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80"/>
  </bookViews>
  <sheets>
    <sheet name="Sheet1" sheetId="1" r:id="rId1"/>
    <sheet name="Node 1" sheetId="2" r:id="rId2"/>
    <sheet name="Node 2 Dan 3" sheetId="4" r:id="rId3"/>
    <sheet name="Node 4,5, dan 13" sheetId="5" r:id="rId4"/>
    <sheet name="Node 6,7" sheetId="6" r:id="rId5"/>
    <sheet name="Node 8,9,10,11,12" sheetId="7" r:id="rId6"/>
    <sheet name="Node 14,15,16" sheetId="8" r:id="rId7"/>
    <sheet name="Node 17,18,19,20" sheetId="9" r:id="rId8"/>
    <sheet name="Node 21,22,23,24,25,26" sheetId="10" r:id="rId9"/>
    <sheet name="Node 27,28" sheetId="11" r:id="rId10"/>
    <sheet name="Sheet3" sheetId="3" r:id="rId11"/>
  </sheets>
  <calcPr calcId="144525"/>
</workbook>
</file>

<file path=xl/sharedStrings.xml><?xml version="1.0" encoding="utf-8"?>
<sst xmlns="http://schemas.openxmlformats.org/spreadsheetml/2006/main" count="1620" uniqueCount="115">
  <si>
    <t>JK</t>
  </si>
  <si>
    <t>Usia</t>
  </si>
  <si>
    <t>Berat Badan</t>
  </si>
  <si>
    <t>Tinggi Badan</t>
  </si>
  <si>
    <t>Status Gizi</t>
  </si>
  <si>
    <t>Instensitas ASI</t>
  </si>
  <si>
    <t>Penghasilan Keluarga</t>
  </si>
  <si>
    <t>Status Ibu Bekerja</t>
  </si>
  <si>
    <t>Frekuensi sakit (dalam 1 bulan)</t>
  </si>
  <si>
    <t>Jumlah Anak</t>
  </si>
  <si>
    <t>Pendidikan Ibu</t>
  </si>
  <si>
    <t>Akses Kesehatan</t>
  </si>
  <si>
    <t>P</t>
  </si>
  <si>
    <t>B</t>
  </si>
  <si>
    <t>lebih</t>
  </si>
  <si>
    <t>pendek</t>
  </si>
  <si>
    <t>normal</t>
  </si>
  <si>
    <t>formula</t>
  </si>
  <si>
    <t>sedang</t>
  </si>
  <si>
    <t>bekerja</t>
  </si>
  <si>
    <t>x</t>
  </si>
  <si>
    <t>i</t>
  </si>
  <si>
    <t>menengah</t>
  </si>
  <si>
    <t>memiliki</t>
  </si>
  <si>
    <t>L</t>
  </si>
  <si>
    <t>kurus</t>
  </si>
  <si>
    <t>kombinasi</t>
  </si>
  <si>
    <t>Tidak</t>
  </si>
  <si>
    <t>ii</t>
  </si>
  <si>
    <t>tidak</t>
  </si>
  <si>
    <t>rendah</t>
  </si>
  <si>
    <t>tinggi</t>
  </si>
  <si>
    <t>C</t>
  </si>
  <si>
    <t>A</t>
  </si>
  <si>
    <t>ASI</t>
  </si>
  <si>
    <t>Lebih</t>
  </si>
  <si>
    <t>kurang</t>
  </si>
  <si>
    <t>Node</t>
  </si>
  <si>
    <t>Attribut</t>
  </si>
  <si>
    <t>jumlah</t>
  </si>
  <si>
    <t xml:space="preserve">lebih </t>
  </si>
  <si>
    <t>entropy</t>
  </si>
  <si>
    <t>gain</t>
  </si>
  <si>
    <t>total</t>
  </si>
  <si>
    <t>jk</t>
  </si>
  <si>
    <t>usia</t>
  </si>
  <si>
    <t>berat badan</t>
  </si>
  <si>
    <t>tinggi badan</t>
  </si>
  <si>
    <t>intesitas asi</t>
  </si>
  <si>
    <t>penghasilan keluarga</t>
  </si>
  <si>
    <t>status kerja ibu</t>
  </si>
  <si>
    <t>frekuensi sakit</t>
  </si>
  <si>
    <t>y</t>
  </si>
  <si>
    <t>z</t>
  </si>
  <si>
    <t>jumlah anak</t>
  </si>
  <si>
    <t>iii</t>
  </si>
  <si>
    <t>pendidikan ibu</t>
  </si>
  <si>
    <t>akses kesehatan</t>
  </si>
  <si>
    <t>2 Berat Badan Normal</t>
  </si>
  <si>
    <t>Berat Badan Normal</t>
  </si>
  <si>
    <t>3 Berat Badan Lebih</t>
  </si>
  <si>
    <t>Berat Badan Lebih</t>
  </si>
  <si>
    <t>2 Berat Badan Kurus</t>
  </si>
  <si>
    <t>Berat Badan Kurus</t>
  </si>
  <si>
    <t>4 Jumlah Anak i</t>
  </si>
  <si>
    <t>Berat Badan Normal Jumlah Anak i</t>
  </si>
  <si>
    <t>5 Status Ibu Kerja Bekerja</t>
  </si>
  <si>
    <t>Berat Badan Normal Jumlah Anak i Status Kerja Ibu TIDAK</t>
  </si>
  <si>
    <t>13 Status Ibu Kerja TIDAK</t>
  </si>
  <si>
    <t>6 Status Ibu Kerja Bekerja jk p</t>
  </si>
  <si>
    <t>7 Status Ibu Kerja Bekerja jk p penghasilan sedang</t>
  </si>
  <si>
    <t>Berat Badan Normal Jumlah Anak i Status Kerja Ibu bekerja jk p</t>
  </si>
  <si>
    <t>Berat Badan Normal Jumlah Anak i Status Kerja Ibu bekerja jk p penghasilan sedang</t>
  </si>
  <si>
    <t>8 Status Ibu Kerja Bekerja jk p penghasilan sedang tinggi badan normal</t>
  </si>
  <si>
    <t>9 Status Ibu Kerja Bekerja jk p penghasilan sedang tinggi badan normal USIA C</t>
  </si>
  <si>
    <t>10 Status Ibu Kerja Bekerja jk p penghasilan sedang tinggi badan normal USIA C intensitas asi formula</t>
  </si>
  <si>
    <t>11 Status Ibu Kerja Bekerja jk p penghasilan sedang tinggi badan normal USIA C intensitas asi formula frekuensi sakit x</t>
  </si>
  <si>
    <t>12 Status Ibu Kerja Bekerja jk p penghasilan sedang tinggi badan normal USIA C intensitas asi formula frekuensi sakit x PENDIDIKAN IBU menengah</t>
  </si>
  <si>
    <t>Berat Badan Normal Jumlah Anak i Status Kerja Ibu bekerja jk p penghasilan sedang tinggi badan normal</t>
  </si>
  <si>
    <t>Berat Badan Normal Jumlah Anak i Status Kerja Ibu bekerja jk p penghasilan sedang tinggi badan normal usia c</t>
  </si>
  <si>
    <t>Berat Badan Normal Jumlah Anak i Status Kerja Ibu bekerja jk p penghasilan sedang tinggi badan normal usia c intesitas asi normal</t>
  </si>
  <si>
    <t>Berat Badan Normal Jumlah Anak i Status Kerja Ibu bekerja jk p penghasilan sedang tinggi badan normal usia c intesitas asi normal frekuensi sakit x</t>
  </si>
  <si>
    <t>Berat Badan Normal Jumlah Anak i Status Kerja Ibu bekerja jk p penghasilan sedang tinggi badan normal usia c intesitas asi normal frekuensi sakit x pendidikan ibu menengah</t>
  </si>
  <si>
    <t>15 Status Ibu Kerja TIDAK AKSES KESEHATAN MEMILIKI usia A</t>
  </si>
  <si>
    <t>16 Status Ibu Kerja TIDAK AKSES KESEHATAN MEMILIKI usia A tinggi badan normal</t>
  </si>
  <si>
    <t>14 Status Ibu Kerja TIDAK AKSES KESEHATAN MEMILIKI</t>
  </si>
  <si>
    <t>Berat Badan Normal Jumlah Anak i Status Kerja Ibu TIDAK AKSES KESEHATAN MEMILIKI</t>
  </si>
  <si>
    <t>Berat Badan Normal Jumlah Anak i Status Kerja Ibu TIDAK AKSES KESEHATAN MEMILIKI usia A</t>
  </si>
  <si>
    <t>Berat Badan Normal Jumlah Anak i Status Kerja Ibu TIDAK AKSES KESEHATAN MEMILIKI usia A tinggi badan normal</t>
  </si>
  <si>
    <t>17 Status Ibu Kerja TIDAK AKSES KESEHATAN MEMILIKI usia A tinggi badan normal JK L</t>
  </si>
  <si>
    <t>18 Status Ibu Kerja TIDAK AKSES KESEHATAN MEMILIKI usia A tinggi badan normal JK L INTESITAS ASI KOMBINASI</t>
  </si>
  <si>
    <t>19 Status Ibu Kerja TIDAK AKSES KESEHATAN MEMILIKI usia A tinggi badan normal JK L INTESITAS ASI KOMBINASI PENGHASILAN SEDANG</t>
  </si>
  <si>
    <t>20 Status Ibu Kerja TIDAK AKSES KESEHATAN MEMILIKI usia A tinggi badan normal JK L INTESITAS ASI KOMBINASI PENGHASILAN SEDANG FREKUENSI x</t>
  </si>
  <si>
    <t>Berat Badan Normal Jumlah Anak i Status Kerja Ibu TIDAK AKSES KESEHATAN MEMILIKI usia A tinggi badan normal JK L</t>
  </si>
  <si>
    <t>Berat Badan Normal Jumlah Anak i Status Kerja Ibu TIDAK AKSES KESEHATAN MEMILIKI usia A tinggi badan normal JK L INTESITAS ASI KOMBINASI</t>
  </si>
  <si>
    <t>Berat Badan Normal Jumlah Anak i Status Kerja Ibu TIDAK AKSES KESEHATAN MEMILIKI usia A tinggi badan normal JK L INTESITAS ASI KOMBINASI PENGHASILAN SEDANG</t>
  </si>
  <si>
    <t>Berat Badan Normal Jumlah Anak i Status Kerja Ibu TIDAK AKSES KESEHATAN MEMILIKI usia A tinggi badan normal JK L INTESITAS ASI KOMBINASI PENGHASILAN SEDANG frekunsi x</t>
  </si>
  <si>
    <t>21 Status Ibu Kerja TIDAK AKSES KESEHATAN MEMILIKI usia B</t>
  </si>
  <si>
    <t>22 Status Ibu Kerja TIDAK AKSES KESEHATAN MEMILIKI usia B JK P</t>
  </si>
  <si>
    <t>23 Status Ibu Kerja TIDAK AKSES KESEHATAN MEMILIKI usia B JK P TB PENDEK</t>
  </si>
  <si>
    <t>24 Status Ibu Kerja TIDAK AKSES KESEHATAN MEMILIKI usia B JK P TB PENDEK INTESITAS ASI FORMULA</t>
  </si>
  <si>
    <t>Berat Badan Normal Jumlah Anak i Status Kerja Ibu TIDAK AKSES KESEHATAN MEMILIKI usia B</t>
  </si>
  <si>
    <t>Berat Badan Normal Jumlah Anak i Status Kerja Ibu TIDAK AKSES KESEHATAN MEMILIKI usia B JK P</t>
  </si>
  <si>
    <t>Berat Badan Normal Jumlah Anak i Status Kerja Ibu TIDAK AKSES KESEHATAN MEMILIKI usia B JK P TB PENDEK</t>
  </si>
  <si>
    <t>Berat Badan Normal Jumlah Anak i Status Kerja Ibu TIDAK AKSES KESEHATAN MEMILIKI usia B JK P TB PENDEK FORMULA</t>
  </si>
  <si>
    <t>25 Status Ibu Kerja TIDAK AKSES KESEHATAN MEMILIKI usia B JK P TB PENDEK INTESITAS ASI FORMULA PENGHASILAN SEDANG</t>
  </si>
  <si>
    <t>Berat Badan Normal Jumlah Anak i Status Kerja Ibu TIDAK AKSES KESEHATAN MEMILIKI usia B JK P TB PENDEK FORMULA PENGHASILAN SEDANG</t>
  </si>
  <si>
    <t>25 Status Ibu Kerja TIDAK AKSES KESEHATAN MEMILIKI usia B JK P TB PENDEK INTESITAS ASI FORMULA PENGHASILAN SEDANG FREKUENSI X</t>
  </si>
  <si>
    <t>Berat Badan Normal Jumlah Anak i Status Kerja Ibu TIDAK AKSES KESEHATAN MEMILIKI usia B JK P TB PENDEK FORMULA PENGHASILAN SEDANG FREKUENSI X</t>
  </si>
  <si>
    <t>27 Status Ibu Kerja TIDAK AKSES KESEHATAN TIDAK MEMILIKI</t>
  </si>
  <si>
    <t>27 Status Ibu Kerja TIDAK AKSES KESEHATAN TIDAK MEMILIKI usia A</t>
  </si>
  <si>
    <t>berat_badan (node 1)</t>
  </si>
  <si>
    <t xml:space="preserve"> </t>
  </si>
  <si>
    <t>normal (node 2)</t>
  </si>
  <si>
    <t>lebih (node 3)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</si>
</sst>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_-;_-@_-"/>
    <numFmt numFmtId="177" formatCode="_-* #,##0.0_-;\-* #,##0.0_-;_-* &quot;-&quot;??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"/>
      <scheme val="minor"/>
    </font>
    <font>
      <sz val="11"/>
      <name val="Calibri"/>
      <charset val="1"/>
      <scheme val="minor"/>
    </font>
    <font>
      <sz val="11"/>
      <color theme="1"/>
      <name val="Calibri"/>
      <charset val="1"/>
    </font>
    <font>
      <b/>
      <sz val="11"/>
      <color theme="1"/>
      <name val="Calibri"/>
      <charset val="134"/>
    </font>
    <font>
      <sz val="11"/>
      <color theme="1"/>
      <name val="Liberation Sans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1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23" fillId="0" borderId="16" applyNumberFormat="false" applyFill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19" fillId="11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7" fillId="7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16" fillId="0" borderId="13" applyNumberFormat="false" applyFill="false" applyAlignment="false" applyProtection="false">
      <alignment vertical="center"/>
    </xf>
    <xf numFmtId="0" fontId="15" fillId="4" borderId="12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7" fillId="19" borderId="15" applyNumberFormat="false" applyFont="false" applyAlignment="false" applyProtection="false">
      <alignment vertical="center"/>
    </xf>
    <xf numFmtId="0" fontId="22" fillId="24" borderId="11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3" fillId="4" borderId="11" applyNumberFormat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10" fillId="0" borderId="14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10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/>
    <xf numFmtId="0" fontId="9" fillId="3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176" fontId="0" fillId="0" borderId="0" applyFont="false" applyFill="false" applyBorder="false" applyAlignment="false" applyProtection="false"/>
    <xf numFmtId="0" fontId="20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0" borderId="10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6" fillId="2" borderId="9" applyNumberFormat="false" applyAlignment="false" applyProtection="false">
      <alignment vertical="center"/>
    </xf>
    <xf numFmtId="0" fontId="14" fillId="5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35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0" xfId="0" applyBorder="true" applyAlignment="true">
      <alignment vertical="center"/>
    </xf>
    <xf numFmtId="0" fontId="0" fillId="0" borderId="0" xfId="0" applyBorder="true" applyAlignment="true">
      <alignment vertical="center"/>
    </xf>
    <xf numFmtId="0" fontId="0" fillId="0" borderId="0" xfId="0" applyBorder="true" applyAlignment="true"/>
    <xf numFmtId="0" fontId="0" fillId="0" borderId="0" xfId="0" applyBorder="true" applyAlignment="true">
      <alignment vertical="center"/>
    </xf>
    <xf numFmtId="0" fontId="0" fillId="0" borderId="0" xfId="0" applyBorder="true" applyAlignment="true">
      <alignment vertical="center"/>
    </xf>
    <xf numFmtId="0" fontId="0" fillId="0" borderId="0" xfId="0" applyBorder="true" applyAlignment="true">
      <alignment vertical="center"/>
    </xf>
    <xf numFmtId="0" fontId="0" fillId="0" borderId="0" xfId="0" applyBorder="true" applyAlignment="true"/>
    <xf numFmtId="0" fontId="0" fillId="0" borderId="2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0" xfId="0" applyBorder="true"/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2" fillId="0" borderId="0" xfId="0" applyFont="true"/>
    <xf numFmtId="0" fontId="2" fillId="0" borderId="0" xfId="0" applyFont="true" applyAlignment="true">
      <alignment horizontal="center"/>
    </xf>
    <xf numFmtId="0" fontId="3" fillId="0" borderId="1" xfId="0" applyFont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0" fontId="2" fillId="0" borderId="1" xfId="40" applyNumberFormat="true" applyFont="true" applyBorder="true" applyAlignment="true">
      <alignment horizontal="center" vertical="center"/>
    </xf>
    <xf numFmtId="177" fontId="2" fillId="0" borderId="1" xfId="37" applyNumberFormat="true" applyFont="true" applyBorder="true" applyAlignment="true">
      <alignment horizontal="center" vertical="center"/>
    </xf>
    <xf numFmtId="0" fontId="3" fillId="0" borderId="1" xfId="0" applyFont="true" applyFill="true" applyBorder="true" applyAlignment="true">
      <alignment horizontal="center" vertical="center"/>
    </xf>
    <xf numFmtId="0" fontId="2" fillId="0" borderId="1" xfId="0" applyFont="true" applyBorder="true" applyAlignment="true">
      <alignment horizontal="center"/>
    </xf>
    <xf numFmtId="0" fontId="4" fillId="0" borderId="1" xfId="0" applyFont="true" applyBorder="true" applyAlignment="true">
      <alignment horizont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topLeftCell="A39" workbookViewId="0">
      <selection activeCell="E24" sqref="E24"/>
    </sheetView>
  </sheetViews>
  <sheetFormatPr defaultColWidth="9" defaultRowHeight="15"/>
  <cols>
    <col min="1" max="3" width="9" style="26"/>
    <col min="4" max="4" width="15" style="26" customWidth="true"/>
    <col min="5" max="5" width="14.2857142857143" style="26" customWidth="true"/>
    <col min="6" max="6" width="15.2857142857143" style="26" customWidth="true"/>
    <col min="7" max="7" width="17.5714285714286" style="27" customWidth="true"/>
    <col min="8" max="8" width="21.5714285714286" style="26" customWidth="true"/>
    <col min="9" max="9" width="18.1428571428571" style="26" customWidth="true"/>
    <col min="10" max="10" width="21.5714285714286" style="26" customWidth="true"/>
    <col min="11" max="11" width="18.7142857142857" style="26" customWidth="true"/>
    <col min="12" max="12" width="18.5714285714286" style="26" customWidth="true"/>
    <col min="13" max="13" width="17.5714285714286" customWidth="true"/>
    <col min="14" max="14" width="22.8571428571429" customWidth="true"/>
  </cols>
  <sheetData>
    <row r="1" spans="1:1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</row>
    <row r="2" spans="1:12">
      <c r="A2" s="29" t="s">
        <v>12</v>
      </c>
      <c r="B2" s="30" t="s">
        <v>13</v>
      </c>
      <c r="C2" s="29" t="s">
        <v>14</v>
      </c>
      <c r="D2" s="29" t="s">
        <v>15</v>
      </c>
      <c r="E2" s="29" t="s">
        <v>16</v>
      </c>
      <c r="F2" s="33" t="s">
        <v>17</v>
      </c>
      <c r="G2" s="33" t="s">
        <v>18</v>
      </c>
      <c r="H2" s="33" t="s">
        <v>19</v>
      </c>
      <c r="I2" s="33" t="s">
        <v>20</v>
      </c>
      <c r="J2" s="34" t="s">
        <v>21</v>
      </c>
      <c r="K2" s="33" t="s">
        <v>22</v>
      </c>
      <c r="L2" s="33" t="s">
        <v>23</v>
      </c>
    </row>
    <row r="3" spans="1:12">
      <c r="A3" s="29" t="s">
        <v>24</v>
      </c>
      <c r="B3" s="29" t="s">
        <v>13</v>
      </c>
      <c r="C3" s="31" t="s">
        <v>25</v>
      </c>
      <c r="D3" s="29" t="s">
        <v>15</v>
      </c>
      <c r="E3" s="29" t="s">
        <v>16</v>
      </c>
      <c r="F3" s="33" t="s">
        <v>26</v>
      </c>
      <c r="G3" s="33" t="s">
        <v>18</v>
      </c>
      <c r="H3" s="33" t="s">
        <v>27</v>
      </c>
      <c r="I3" s="33" t="s">
        <v>20</v>
      </c>
      <c r="J3" s="34" t="s">
        <v>28</v>
      </c>
      <c r="K3" s="33" t="s">
        <v>22</v>
      </c>
      <c r="L3" s="33" t="s">
        <v>29</v>
      </c>
    </row>
    <row r="4" spans="1:12">
      <c r="A4" s="29" t="s">
        <v>12</v>
      </c>
      <c r="B4" s="29" t="s">
        <v>13</v>
      </c>
      <c r="C4" s="29" t="s">
        <v>25</v>
      </c>
      <c r="D4" s="29" t="s">
        <v>15</v>
      </c>
      <c r="E4" s="29" t="s">
        <v>16</v>
      </c>
      <c r="F4" s="33" t="s">
        <v>26</v>
      </c>
      <c r="G4" s="33" t="s">
        <v>18</v>
      </c>
      <c r="H4" s="33" t="s">
        <v>27</v>
      </c>
      <c r="I4" s="33" t="s">
        <v>20</v>
      </c>
      <c r="J4" s="34" t="s">
        <v>21</v>
      </c>
      <c r="K4" s="33" t="s">
        <v>22</v>
      </c>
      <c r="L4" s="33" t="s">
        <v>23</v>
      </c>
    </row>
    <row r="5" spans="1:12">
      <c r="A5" s="29" t="s">
        <v>12</v>
      </c>
      <c r="B5" s="29" t="s">
        <v>13</v>
      </c>
      <c r="C5" s="29" t="s">
        <v>25</v>
      </c>
      <c r="D5" s="29" t="s">
        <v>15</v>
      </c>
      <c r="E5" s="29" t="s">
        <v>16</v>
      </c>
      <c r="F5" s="33" t="s">
        <v>17</v>
      </c>
      <c r="G5" s="33" t="s">
        <v>18</v>
      </c>
      <c r="H5" s="33" t="s">
        <v>27</v>
      </c>
      <c r="I5" s="33" t="s">
        <v>20</v>
      </c>
      <c r="J5" s="34" t="s">
        <v>21</v>
      </c>
      <c r="K5" s="33" t="s">
        <v>22</v>
      </c>
      <c r="L5" s="33" t="s">
        <v>29</v>
      </c>
    </row>
    <row r="6" spans="1:12">
      <c r="A6" s="29" t="s">
        <v>12</v>
      </c>
      <c r="B6" s="29" t="s">
        <v>13</v>
      </c>
      <c r="C6" s="29" t="s">
        <v>16</v>
      </c>
      <c r="D6" s="29" t="s">
        <v>15</v>
      </c>
      <c r="E6" s="29" t="s">
        <v>16</v>
      </c>
      <c r="F6" s="33" t="s">
        <v>17</v>
      </c>
      <c r="G6" s="33" t="s">
        <v>18</v>
      </c>
      <c r="H6" s="33" t="s">
        <v>19</v>
      </c>
      <c r="I6" s="33" t="s">
        <v>20</v>
      </c>
      <c r="J6" s="34" t="s">
        <v>28</v>
      </c>
      <c r="K6" s="33" t="s">
        <v>30</v>
      </c>
      <c r="L6" s="33" t="s">
        <v>29</v>
      </c>
    </row>
    <row r="7" spans="1:12">
      <c r="A7" s="29" t="s">
        <v>12</v>
      </c>
      <c r="B7" s="29" t="s">
        <v>13</v>
      </c>
      <c r="C7" s="29" t="s">
        <v>16</v>
      </c>
      <c r="D7" s="29" t="s">
        <v>31</v>
      </c>
      <c r="E7" s="29" t="s">
        <v>16</v>
      </c>
      <c r="F7" s="33" t="s">
        <v>17</v>
      </c>
      <c r="G7" s="33" t="s">
        <v>31</v>
      </c>
      <c r="H7" s="33" t="s">
        <v>19</v>
      </c>
      <c r="I7" s="33" t="s">
        <v>20</v>
      </c>
      <c r="J7" s="34" t="s">
        <v>21</v>
      </c>
      <c r="K7" s="33" t="s">
        <v>31</v>
      </c>
      <c r="L7" s="33" t="s">
        <v>23</v>
      </c>
    </row>
    <row r="8" spans="1:12">
      <c r="A8" s="29" t="s">
        <v>12</v>
      </c>
      <c r="B8" s="29" t="s">
        <v>32</v>
      </c>
      <c r="C8" s="29" t="s">
        <v>16</v>
      </c>
      <c r="D8" s="29" t="s">
        <v>16</v>
      </c>
      <c r="E8" s="29" t="s">
        <v>16</v>
      </c>
      <c r="F8" s="33" t="s">
        <v>17</v>
      </c>
      <c r="G8" s="33" t="s">
        <v>18</v>
      </c>
      <c r="H8" s="33" t="s">
        <v>27</v>
      </c>
      <c r="I8" s="33" t="s">
        <v>20</v>
      </c>
      <c r="J8" s="34" t="s">
        <v>21</v>
      </c>
      <c r="K8" s="33" t="s">
        <v>22</v>
      </c>
      <c r="L8" s="33" t="s">
        <v>23</v>
      </c>
    </row>
    <row r="9" spans="1:12">
      <c r="A9" s="29" t="s">
        <v>12</v>
      </c>
      <c r="B9" s="29" t="s">
        <v>13</v>
      </c>
      <c r="C9" s="29" t="s">
        <v>16</v>
      </c>
      <c r="D9" s="29" t="s">
        <v>16</v>
      </c>
      <c r="E9" s="29" t="s">
        <v>16</v>
      </c>
      <c r="F9" s="33" t="s">
        <v>17</v>
      </c>
      <c r="G9" s="33" t="s">
        <v>18</v>
      </c>
      <c r="H9" s="33" t="s">
        <v>27</v>
      </c>
      <c r="I9" s="33" t="s">
        <v>20</v>
      </c>
      <c r="J9" s="34" t="s">
        <v>28</v>
      </c>
      <c r="K9" s="33" t="s">
        <v>22</v>
      </c>
      <c r="L9" s="33" t="s">
        <v>23</v>
      </c>
    </row>
    <row r="10" spans="1:12">
      <c r="A10" s="29" t="s">
        <v>12</v>
      </c>
      <c r="B10" s="29" t="s">
        <v>13</v>
      </c>
      <c r="C10" s="29" t="s">
        <v>25</v>
      </c>
      <c r="D10" s="29" t="s">
        <v>15</v>
      </c>
      <c r="E10" s="29" t="s">
        <v>16</v>
      </c>
      <c r="F10" s="33" t="s">
        <v>17</v>
      </c>
      <c r="G10" s="33" t="s">
        <v>18</v>
      </c>
      <c r="H10" s="33" t="s">
        <v>27</v>
      </c>
      <c r="I10" s="33" t="s">
        <v>20</v>
      </c>
      <c r="J10" s="34" t="s">
        <v>28</v>
      </c>
      <c r="K10" s="33" t="s">
        <v>22</v>
      </c>
      <c r="L10" s="33" t="s">
        <v>29</v>
      </c>
    </row>
    <row r="11" spans="1:12">
      <c r="A11" s="29" t="s">
        <v>12</v>
      </c>
      <c r="B11" s="29" t="s">
        <v>13</v>
      </c>
      <c r="C11" s="29" t="s">
        <v>16</v>
      </c>
      <c r="D11" s="29" t="s">
        <v>16</v>
      </c>
      <c r="E11" s="29" t="s">
        <v>16</v>
      </c>
      <c r="F11" s="33" t="s">
        <v>17</v>
      </c>
      <c r="G11" s="33" t="s">
        <v>18</v>
      </c>
      <c r="H11" s="33" t="s">
        <v>19</v>
      </c>
      <c r="I11" s="33" t="s">
        <v>20</v>
      </c>
      <c r="J11" s="34" t="s">
        <v>21</v>
      </c>
      <c r="K11" s="33" t="s">
        <v>22</v>
      </c>
      <c r="L11" s="33" t="s">
        <v>29</v>
      </c>
    </row>
    <row r="12" spans="1:12">
      <c r="A12" s="29" t="s">
        <v>12</v>
      </c>
      <c r="B12" s="29" t="s">
        <v>13</v>
      </c>
      <c r="C12" s="29" t="s">
        <v>16</v>
      </c>
      <c r="D12" s="29" t="s">
        <v>15</v>
      </c>
      <c r="E12" s="29" t="s">
        <v>16</v>
      </c>
      <c r="F12" s="33" t="s">
        <v>17</v>
      </c>
      <c r="G12" s="33" t="s">
        <v>31</v>
      </c>
      <c r="H12" s="33" t="s">
        <v>19</v>
      </c>
      <c r="I12" s="33" t="s">
        <v>20</v>
      </c>
      <c r="J12" s="34" t="s">
        <v>21</v>
      </c>
      <c r="K12" s="33" t="s">
        <v>22</v>
      </c>
      <c r="L12" s="33" t="s">
        <v>29</v>
      </c>
    </row>
    <row r="13" spans="1:12">
      <c r="A13" s="29" t="s">
        <v>12</v>
      </c>
      <c r="B13" s="29" t="s">
        <v>13</v>
      </c>
      <c r="C13" s="29" t="s">
        <v>25</v>
      </c>
      <c r="D13" s="29" t="s">
        <v>15</v>
      </c>
      <c r="E13" s="29" t="s">
        <v>16</v>
      </c>
      <c r="F13" s="33" t="s">
        <v>17</v>
      </c>
      <c r="G13" s="33" t="s">
        <v>18</v>
      </c>
      <c r="H13" s="33" t="s">
        <v>27</v>
      </c>
      <c r="I13" s="33" t="s">
        <v>20</v>
      </c>
      <c r="J13" s="34" t="s">
        <v>21</v>
      </c>
      <c r="K13" s="33" t="s">
        <v>22</v>
      </c>
      <c r="L13" s="33" t="s">
        <v>29</v>
      </c>
    </row>
    <row r="14" spans="1:12">
      <c r="A14" s="29" t="s">
        <v>12</v>
      </c>
      <c r="B14" s="29" t="s">
        <v>32</v>
      </c>
      <c r="C14" s="29" t="s">
        <v>16</v>
      </c>
      <c r="D14" s="29" t="s">
        <v>15</v>
      </c>
      <c r="E14" s="29" t="s">
        <v>16</v>
      </c>
      <c r="F14" s="33" t="s">
        <v>17</v>
      </c>
      <c r="G14" s="33" t="s">
        <v>18</v>
      </c>
      <c r="H14" s="33" t="s">
        <v>27</v>
      </c>
      <c r="I14" s="33" t="s">
        <v>20</v>
      </c>
      <c r="J14" s="34" t="s">
        <v>28</v>
      </c>
      <c r="K14" s="33" t="s">
        <v>22</v>
      </c>
      <c r="L14" s="33" t="s">
        <v>29</v>
      </c>
    </row>
    <row r="15" spans="1:12">
      <c r="A15" s="29" t="s">
        <v>12</v>
      </c>
      <c r="B15" s="29" t="s">
        <v>32</v>
      </c>
      <c r="C15" s="29" t="s">
        <v>16</v>
      </c>
      <c r="D15" s="29" t="s">
        <v>16</v>
      </c>
      <c r="E15" s="29" t="s">
        <v>16</v>
      </c>
      <c r="F15" s="33" t="s">
        <v>17</v>
      </c>
      <c r="G15" s="33" t="s">
        <v>18</v>
      </c>
      <c r="H15" s="33" t="s">
        <v>19</v>
      </c>
      <c r="I15" s="33" t="s">
        <v>20</v>
      </c>
      <c r="J15" s="34" t="s">
        <v>21</v>
      </c>
      <c r="K15" s="33" t="s">
        <v>22</v>
      </c>
      <c r="L15" s="33" t="s">
        <v>29</v>
      </c>
    </row>
    <row r="16" spans="1:12">
      <c r="A16" s="29" t="s">
        <v>12</v>
      </c>
      <c r="B16" s="29" t="s">
        <v>32</v>
      </c>
      <c r="C16" s="29" t="s">
        <v>16</v>
      </c>
      <c r="D16" s="29" t="s">
        <v>16</v>
      </c>
      <c r="E16" s="29" t="s">
        <v>16</v>
      </c>
      <c r="F16" s="33" t="s">
        <v>17</v>
      </c>
      <c r="G16" s="33" t="s">
        <v>18</v>
      </c>
      <c r="H16" s="33" t="s">
        <v>19</v>
      </c>
      <c r="I16" s="33" t="s">
        <v>20</v>
      </c>
      <c r="J16" s="34" t="s">
        <v>28</v>
      </c>
      <c r="K16" s="33" t="s">
        <v>22</v>
      </c>
      <c r="L16" s="33" t="s">
        <v>29</v>
      </c>
    </row>
    <row r="17" spans="1:12">
      <c r="A17" s="29" t="s">
        <v>12</v>
      </c>
      <c r="B17" s="29" t="s">
        <v>32</v>
      </c>
      <c r="C17" s="29" t="s">
        <v>25</v>
      </c>
      <c r="D17" s="29" t="s">
        <v>16</v>
      </c>
      <c r="E17" s="29" t="s">
        <v>16</v>
      </c>
      <c r="F17" s="33" t="s">
        <v>17</v>
      </c>
      <c r="G17" s="33" t="s">
        <v>18</v>
      </c>
      <c r="H17" s="33" t="s">
        <v>27</v>
      </c>
      <c r="I17" s="33" t="s">
        <v>20</v>
      </c>
      <c r="J17" s="34" t="s">
        <v>21</v>
      </c>
      <c r="K17" s="33" t="s">
        <v>22</v>
      </c>
      <c r="L17" s="33" t="s">
        <v>29</v>
      </c>
    </row>
    <row r="18" spans="1:12">
      <c r="A18" s="29" t="s">
        <v>12</v>
      </c>
      <c r="B18" s="29" t="s">
        <v>32</v>
      </c>
      <c r="C18" s="29" t="s">
        <v>16</v>
      </c>
      <c r="D18" s="29" t="s">
        <v>16</v>
      </c>
      <c r="E18" s="29" t="s">
        <v>16</v>
      </c>
      <c r="F18" s="33" t="s">
        <v>17</v>
      </c>
      <c r="G18" s="33" t="s">
        <v>31</v>
      </c>
      <c r="H18" s="33" t="s">
        <v>27</v>
      </c>
      <c r="I18" s="33" t="s">
        <v>20</v>
      </c>
      <c r="J18" s="34" t="s">
        <v>21</v>
      </c>
      <c r="K18" s="33" t="s">
        <v>31</v>
      </c>
      <c r="L18" s="33" t="s">
        <v>23</v>
      </c>
    </row>
    <row r="19" spans="1:12">
      <c r="A19" s="29" t="s">
        <v>12</v>
      </c>
      <c r="B19" s="29" t="s">
        <v>33</v>
      </c>
      <c r="C19" s="29" t="s">
        <v>25</v>
      </c>
      <c r="D19" s="29" t="s">
        <v>15</v>
      </c>
      <c r="E19" s="29" t="s">
        <v>16</v>
      </c>
      <c r="F19" s="33" t="s">
        <v>34</v>
      </c>
      <c r="G19" s="33" t="s">
        <v>18</v>
      </c>
      <c r="H19" s="33" t="s">
        <v>27</v>
      </c>
      <c r="I19" s="33" t="s">
        <v>20</v>
      </c>
      <c r="J19" s="34" t="s">
        <v>21</v>
      </c>
      <c r="K19" s="33" t="s">
        <v>22</v>
      </c>
      <c r="L19" s="33" t="s">
        <v>23</v>
      </c>
    </row>
    <row r="20" spans="1:12">
      <c r="A20" s="29" t="s">
        <v>12</v>
      </c>
      <c r="B20" s="29" t="s">
        <v>32</v>
      </c>
      <c r="C20" s="29" t="s">
        <v>16</v>
      </c>
      <c r="D20" s="29" t="s">
        <v>16</v>
      </c>
      <c r="E20" s="29" t="s">
        <v>16</v>
      </c>
      <c r="F20" s="33" t="s">
        <v>17</v>
      </c>
      <c r="G20" s="33" t="s">
        <v>18</v>
      </c>
      <c r="H20" s="33" t="s">
        <v>19</v>
      </c>
      <c r="I20" s="33" t="s">
        <v>20</v>
      </c>
      <c r="J20" s="34" t="s">
        <v>21</v>
      </c>
      <c r="K20" s="33" t="s">
        <v>22</v>
      </c>
      <c r="L20" s="33" t="s">
        <v>29</v>
      </c>
    </row>
    <row r="21" spans="1:12">
      <c r="A21" s="29" t="s">
        <v>12</v>
      </c>
      <c r="B21" s="29" t="s">
        <v>32</v>
      </c>
      <c r="C21" s="29" t="s">
        <v>16</v>
      </c>
      <c r="D21" s="29" t="s">
        <v>16</v>
      </c>
      <c r="E21" s="29" t="s">
        <v>35</v>
      </c>
      <c r="F21" s="33" t="s">
        <v>17</v>
      </c>
      <c r="G21" s="33" t="s">
        <v>18</v>
      </c>
      <c r="H21" s="33" t="s">
        <v>19</v>
      </c>
      <c r="I21" s="33" t="s">
        <v>20</v>
      </c>
      <c r="J21" s="34" t="s">
        <v>21</v>
      </c>
      <c r="K21" s="33" t="s">
        <v>22</v>
      </c>
      <c r="L21" s="33" t="s">
        <v>29</v>
      </c>
    </row>
    <row r="22" spans="1:12">
      <c r="A22" s="29" t="s">
        <v>12</v>
      </c>
      <c r="B22" s="29" t="s">
        <v>13</v>
      </c>
      <c r="C22" s="29" t="s">
        <v>16</v>
      </c>
      <c r="D22" s="29" t="s">
        <v>16</v>
      </c>
      <c r="E22" s="29" t="s">
        <v>16</v>
      </c>
      <c r="F22" s="33" t="s">
        <v>17</v>
      </c>
      <c r="G22" s="33" t="s">
        <v>18</v>
      </c>
      <c r="H22" s="33" t="s">
        <v>19</v>
      </c>
      <c r="I22" s="33" t="s">
        <v>20</v>
      </c>
      <c r="J22" s="34" t="s">
        <v>28</v>
      </c>
      <c r="K22" s="33" t="s">
        <v>22</v>
      </c>
      <c r="L22" s="33" t="s">
        <v>23</v>
      </c>
    </row>
    <row r="23" spans="1:12">
      <c r="A23" s="29" t="s">
        <v>12</v>
      </c>
      <c r="B23" s="29" t="s">
        <v>13</v>
      </c>
      <c r="C23" s="29" t="s">
        <v>16</v>
      </c>
      <c r="D23" s="29" t="s">
        <v>15</v>
      </c>
      <c r="E23" s="29" t="s">
        <v>16</v>
      </c>
      <c r="F23" s="33" t="s">
        <v>17</v>
      </c>
      <c r="G23" s="33" t="s">
        <v>18</v>
      </c>
      <c r="H23" s="33" t="s">
        <v>27</v>
      </c>
      <c r="I23" s="33" t="s">
        <v>20</v>
      </c>
      <c r="J23" s="34" t="s">
        <v>21</v>
      </c>
      <c r="K23" s="33" t="s">
        <v>22</v>
      </c>
      <c r="L23" s="33" t="s">
        <v>23</v>
      </c>
    </row>
    <row r="24" spans="1:12">
      <c r="A24" s="29" t="s">
        <v>12</v>
      </c>
      <c r="B24" s="29" t="s">
        <v>13</v>
      </c>
      <c r="C24" s="29" t="s">
        <v>16</v>
      </c>
      <c r="D24" s="29" t="s">
        <v>31</v>
      </c>
      <c r="E24" s="29" t="s">
        <v>16</v>
      </c>
      <c r="F24" s="33" t="s">
        <v>17</v>
      </c>
      <c r="G24" s="33" t="s">
        <v>18</v>
      </c>
      <c r="H24" s="33" t="s">
        <v>27</v>
      </c>
      <c r="I24" s="33" t="s">
        <v>20</v>
      </c>
      <c r="J24" s="34" t="s">
        <v>28</v>
      </c>
      <c r="K24" s="33" t="s">
        <v>22</v>
      </c>
      <c r="L24" s="33" t="s">
        <v>29</v>
      </c>
    </row>
    <row r="25" spans="1:12">
      <c r="A25" s="29" t="s">
        <v>12</v>
      </c>
      <c r="B25" s="29" t="s">
        <v>13</v>
      </c>
      <c r="C25" s="29" t="s">
        <v>16</v>
      </c>
      <c r="D25" s="29" t="s">
        <v>15</v>
      </c>
      <c r="E25" s="29" t="s">
        <v>35</v>
      </c>
      <c r="F25" s="33" t="s">
        <v>17</v>
      </c>
      <c r="G25" s="33" t="s">
        <v>18</v>
      </c>
      <c r="H25" s="33" t="s">
        <v>27</v>
      </c>
      <c r="I25" s="33" t="s">
        <v>20</v>
      </c>
      <c r="J25" s="34" t="s">
        <v>21</v>
      </c>
      <c r="K25" s="33" t="s">
        <v>22</v>
      </c>
      <c r="L25" s="33" t="s">
        <v>23</v>
      </c>
    </row>
    <row r="26" spans="1:12">
      <c r="A26" s="29" t="s">
        <v>12</v>
      </c>
      <c r="B26" s="29" t="s">
        <v>33</v>
      </c>
      <c r="C26" s="29" t="s">
        <v>25</v>
      </c>
      <c r="D26" s="29" t="s">
        <v>15</v>
      </c>
      <c r="E26" s="29" t="s">
        <v>16</v>
      </c>
      <c r="F26" s="33" t="s">
        <v>26</v>
      </c>
      <c r="G26" s="33" t="s">
        <v>18</v>
      </c>
      <c r="H26" s="33" t="s">
        <v>27</v>
      </c>
      <c r="I26" s="33" t="s">
        <v>20</v>
      </c>
      <c r="J26" s="34" t="s">
        <v>21</v>
      </c>
      <c r="K26" s="33" t="s">
        <v>22</v>
      </c>
      <c r="L26" s="33" t="s">
        <v>23</v>
      </c>
    </row>
    <row r="27" spans="1:12">
      <c r="A27" s="29" t="s">
        <v>12</v>
      </c>
      <c r="B27" s="29" t="s">
        <v>33</v>
      </c>
      <c r="C27" s="29" t="s">
        <v>16</v>
      </c>
      <c r="D27" s="29" t="s">
        <v>16</v>
      </c>
      <c r="E27" s="29" t="s">
        <v>36</v>
      </c>
      <c r="F27" s="33" t="s">
        <v>26</v>
      </c>
      <c r="G27" s="33" t="s">
        <v>18</v>
      </c>
      <c r="H27" s="33" t="s">
        <v>27</v>
      </c>
      <c r="I27" s="33" t="s">
        <v>20</v>
      </c>
      <c r="J27" s="34" t="s">
        <v>21</v>
      </c>
      <c r="K27" s="33" t="s">
        <v>22</v>
      </c>
      <c r="L27" s="33" t="s">
        <v>29</v>
      </c>
    </row>
    <row r="28" spans="1:12">
      <c r="A28" s="29" t="s">
        <v>12</v>
      </c>
      <c r="B28" s="29" t="s">
        <v>13</v>
      </c>
      <c r="C28" s="29" t="s">
        <v>16</v>
      </c>
      <c r="D28" s="29" t="s">
        <v>16</v>
      </c>
      <c r="E28" s="29" t="s">
        <v>36</v>
      </c>
      <c r="F28" s="33" t="s">
        <v>17</v>
      </c>
      <c r="G28" s="33" t="s">
        <v>31</v>
      </c>
      <c r="H28" s="33" t="s">
        <v>27</v>
      </c>
      <c r="I28" s="33" t="s">
        <v>20</v>
      </c>
      <c r="J28" s="34" t="s">
        <v>21</v>
      </c>
      <c r="K28" s="33" t="s">
        <v>31</v>
      </c>
      <c r="L28" s="33" t="s">
        <v>29</v>
      </c>
    </row>
    <row r="29" spans="1:12">
      <c r="A29" s="29" t="s">
        <v>12</v>
      </c>
      <c r="B29" s="29" t="s">
        <v>33</v>
      </c>
      <c r="C29" s="29" t="s">
        <v>16</v>
      </c>
      <c r="D29" s="29" t="s">
        <v>16</v>
      </c>
      <c r="E29" s="29" t="s">
        <v>16</v>
      </c>
      <c r="F29" s="33" t="s">
        <v>34</v>
      </c>
      <c r="G29" s="33" t="s">
        <v>18</v>
      </c>
      <c r="H29" s="33" t="s">
        <v>27</v>
      </c>
      <c r="I29" s="33" t="s">
        <v>20</v>
      </c>
      <c r="J29" s="34" t="s">
        <v>21</v>
      </c>
      <c r="K29" s="33" t="s">
        <v>22</v>
      </c>
      <c r="L29" s="33" t="s">
        <v>29</v>
      </c>
    </row>
    <row r="30" spans="1:12">
      <c r="A30" s="29" t="s">
        <v>12</v>
      </c>
      <c r="B30" s="29" t="s">
        <v>13</v>
      </c>
      <c r="C30" s="29" t="s">
        <v>16</v>
      </c>
      <c r="D30" s="29" t="s">
        <v>15</v>
      </c>
      <c r="E30" s="29" t="s">
        <v>14</v>
      </c>
      <c r="F30" s="33" t="s">
        <v>17</v>
      </c>
      <c r="G30" s="33" t="s">
        <v>18</v>
      </c>
      <c r="H30" s="33" t="s">
        <v>19</v>
      </c>
      <c r="I30" s="33" t="s">
        <v>20</v>
      </c>
      <c r="J30" s="34" t="s">
        <v>21</v>
      </c>
      <c r="K30" s="33" t="s">
        <v>22</v>
      </c>
      <c r="L30" s="33" t="s">
        <v>23</v>
      </c>
    </row>
    <row r="31" spans="1:12">
      <c r="A31" s="29" t="s">
        <v>24</v>
      </c>
      <c r="B31" s="29" t="s">
        <v>33</v>
      </c>
      <c r="C31" s="29" t="s">
        <v>16</v>
      </c>
      <c r="D31" s="29" t="s">
        <v>15</v>
      </c>
      <c r="E31" s="29" t="s">
        <v>16</v>
      </c>
      <c r="F31" s="33" t="s">
        <v>34</v>
      </c>
      <c r="G31" s="33" t="s">
        <v>18</v>
      </c>
      <c r="H31" s="33" t="s">
        <v>27</v>
      </c>
      <c r="I31" s="33" t="s">
        <v>20</v>
      </c>
      <c r="J31" s="34" t="s">
        <v>21</v>
      </c>
      <c r="K31" s="33" t="s">
        <v>22</v>
      </c>
      <c r="L31" s="33" t="s">
        <v>23</v>
      </c>
    </row>
    <row r="32" spans="1:12">
      <c r="A32" s="29" t="s">
        <v>24</v>
      </c>
      <c r="B32" s="29" t="s">
        <v>33</v>
      </c>
      <c r="C32" s="29" t="s">
        <v>16</v>
      </c>
      <c r="D32" s="29" t="s">
        <v>16</v>
      </c>
      <c r="E32" s="29" t="s">
        <v>16</v>
      </c>
      <c r="F32" s="33" t="s">
        <v>34</v>
      </c>
      <c r="G32" s="33" t="s">
        <v>18</v>
      </c>
      <c r="H32" s="33" t="s">
        <v>19</v>
      </c>
      <c r="I32" s="33" t="s">
        <v>20</v>
      </c>
      <c r="J32" s="34" t="s">
        <v>21</v>
      </c>
      <c r="K32" s="33" t="s">
        <v>22</v>
      </c>
      <c r="L32" s="33" t="s">
        <v>29</v>
      </c>
    </row>
    <row r="33" spans="1:12">
      <c r="A33" s="29" t="s">
        <v>24</v>
      </c>
      <c r="B33" s="29" t="s">
        <v>33</v>
      </c>
      <c r="C33" s="29" t="s">
        <v>16</v>
      </c>
      <c r="D33" s="29" t="s">
        <v>16</v>
      </c>
      <c r="E33" s="29" t="s">
        <v>16</v>
      </c>
      <c r="F33" s="33" t="s">
        <v>34</v>
      </c>
      <c r="G33" s="33" t="s">
        <v>18</v>
      </c>
      <c r="H33" s="33" t="s">
        <v>19</v>
      </c>
      <c r="I33" s="33" t="s">
        <v>20</v>
      </c>
      <c r="J33" s="34" t="s">
        <v>21</v>
      </c>
      <c r="K33" s="33" t="s">
        <v>22</v>
      </c>
      <c r="L33" s="33" t="s">
        <v>29</v>
      </c>
    </row>
    <row r="34" spans="1:12">
      <c r="A34" s="29" t="s">
        <v>24</v>
      </c>
      <c r="B34" s="29" t="s">
        <v>33</v>
      </c>
      <c r="C34" s="29" t="s">
        <v>16</v>
      </c>
      <c r="D34" s="29" t="s">
        <v>16</v>
      </c>
      <c r="E34" s="29" t="s">
        <v>35</v>
      </c>
      <c r="F34" s="33" t="s">
        <v>26</v>
      </c>
      <c r="G34" s="33" t="s">
        <v>18</v>
      </c>
      <c r="H34" s="33" t="s">
        <v>27</v>
      </c>
      <c r="I34" s="33" t="s">
        <v>20</v>
      </c>
      <c r="J34" s="34" t="s">
        <v>21</v>
      </c>
      <c r="K34" s="33" t="s">
        <v>22</v>
      </c>
      <c r="L34" s="33" t="s">
        <v>23</v>
      </c>
    </row>
    <row r="35" spans="1:12">
      <c r="A35" s="29" t="s">
        <v>24</v>
      </c>
      <c r="B35" s="29" t="s">
        <v>33</v>
      </c>
      <c r="C35" s="29" t="s">
        <v>16</v>
      </c>
      <c r="D35" s="29" t="s">
        <v>16</v>
      </c>
      <c r="E35" s="29" t="s">
        <v>16</v>
      </c>
      <c r="F35" s="33" t="s">
        <v>26</v>
      </c>
      <c r="G35" s="33" t="s">
        <v>18</v>
      </c>
      <c r="H35" s="33" t="s">
        <v>27</v>
      </c>
      <c r="I35" s="33" t="s">
        <v>20</v>
      </c>
      <c r="J35" s="34" t="s">
        <v>21</v>
      </c>
      <c r="K35" s="33" t="s">
        <v>22</v>
      </c>
      <c r="L35" s="33" t="s">
        <v>23</v>
      </c>
    </row>
    <row r="36" spans="1:12">
      <c r="A36" s="29" t="s">
        <v>24</v>
      </c>
      <c r="B36" s="29" t="s">
        <v>33</v>
      </c>
      <c r="C36" s="29" t="s">
        <v>16</v>
      </c>
      <c r="D36" s="29" t="s">
        <v>16</v>
      </c>
      <c r="E36" s="29" t="s">
        <v>16</v>
      </c>
      <c r="F36" s="33" t="s">
        <v>26</v>
      </c>
      <c r="G36" s="33" t="s">
        <v>18</v>
      </c>
      <c r="H36" s="33" t="s">
        <v>19</v>
      </c>
      <c r="I36" s="33" t="s">
        <v>20</v>
      </c>
      <c r="J36" s="34" t="s">
        <v>21</v>
      </c>
      <c r="K36" s="33" t="s">
        <v>22</v>
      </c>
      <c r="L36" s="33" t="s">
        <v>29</v>
      </c>
    </row>
    <row r="37" spans="1:12">
      <c r="A37" s="29" t="s">
        <v>24</v>
      </c>
      <c r="B37" s="29" t="s">
        <v>13</v>
      </c>
      <c r="C37" s="29" t="s">
        <v>16</v>
      </c>
      <c r="D37" s="29" t="s">
        <v>16</v>
      </c>
      <c r="E37" s="29" t="s">
        <v>16</v>
      </c>
      <c r="F37" s="33" t="s">
        <v>26</v>
      </c>
      <c r="G37" s="33" t="s">
        <v>18</v>
      </c>
      <c r="H37" s="33" t="s">
        <v>19</v>
      </c>
      <c r="I37" s="33" t="s">
        <v>20</v>
      </c>
      <c r="J37" s="34" t="s">
        <v>28</v>
      </c>
      <c r="K37" s="33" t="s">
        <v>22</v>
      </c>
      <c r="L37" s="33" t="s">
        <v>23</v>
      </c>
    </row>
    <row r="38" spans="1:12">
      <c r="A38" s="29" t="s">
        <v>24</v>
      </c>
      <c r="B38" s="29" t="s">
        <v>13</v>
      </c>
      <c r="C38" s="29" t="s">
        <v>16</v>
      </c>
      <c r="D38" s="29" t="s">
        <v>15</v>
      </c>
      <c r="E38" s="29" t="s">
        <v>16</v>
      </c>
      <c r="F38" s="33" t="s">
        <v>17</v>
      </c>
      <c r="G38" s="33" t="s">
        <v>31</v>
      </c>
      <c r="H38" s="33" t="s">
        <v>19</v>
      </c>
      <c r="I38" s="33" t="s">
        <v>20</v>
      </c>
      <c r="J38" s="34" t="s">
        <v>21</v>
      </c>
      <c r="K38" s="33" t="s">
        <v>22</v>
      </c>
      <c r="L38" s="33" t="s">
        <v>23</v>
      </c>
    </row>
    <row r="39" spans="1:12">
      <c r="A39" s="29" t="s">
        <v>24</v>
      </c>
      <c r="B39" s="29" t="s">
        <v>13</v>
      </c>
      <c r="C39" s="29" t="s">
        <v>16</v>
      </c>
      <c r="D39" s="29" t="s">
        <v>16</v>
      </c>
      <c r="E39" s="29" t="s">
        <v>16</v>
      </c>
      <c r="F39" s="33" t="s">
        <v>17</v>
      </c>
      <c r="G39" s="33" t="s">
        <v>31</v>
      </c>
      <c r="H39" s="33" t="s">
        <v>19</v>
      </c>
      <c r="I39" s="33" t="s">
        <v>20</v>
      </c>
      <c r="J39" s="34" t="s">
        <v>21</v>
      </c>
      <c r="K39" s="33" t="s">
        <v>22</v>
      </c>
      <c r="L39" s="33" t="s">
        <v>23</v>
      </c>
    </row>
    <row r="40" spans="1:12">
      <c r="A40" s="29" t="s">
        <v>24</v>
      </c>
      <c r="B40" s="29" t="s">
        <v>13</v>
      </c>
      <c r="C40" s="29" t="s">
        <v>16</v>
      </c>
      <c r="D40" s="29" t="s">
        <v>16</v>
      </c>
      <c r="E40" s="29" t="s">
        <v>16</v>
      </c>
      <c r="F40" s="33" t="s">
        <v>17</v>
      </c>
      <c r="G40" s="33" t="s">
        <v>18</v>
      </c>
      <c r="H40" s="33" t="s">
        <v>27</v>
      </c>
      <c r="I40" s="33" t="s">
        <v>20</v>
      </c>
      <c r="J40" s="34" t="s">
        <v>28</v>
      </c>
      <c r="K40" s="33" t="s">
        <v>22</v>
      </c>
      <c r="L40" s="33" t="s">
        <v>29</v>
      </c>
    </row>
    <row r="41" spans="1:12">
      <c r="A41" s="29" t="s">
        <v>24</v>
      </c>
      <c r="B41" s="29" t="s">
        <v>13</v>
      </c>
      <c r="C41" s="29" t="s">
        <v>16</v>
      </c>
      <c r="D41" s="29" t="s">
        <v>16</v>
      </c>
      <c r="E41" s="29" t="s">
        <v>16</v>
      </c>
      <c r="F41" s="33" t="s">
        <v>17</v>
      </c>
      <c r="G41" s="33" t="s">
        <v>18</v>
      </c>
      <c r="H41" s="33" t="s">
        <v>19</v>
      </c>
      <c r="I41" s="33" t="s">
        <v>20</v>
      </c>
      <c r="J41" s="34" t="s">
        <v>21</v>
      </c>
      <c r="K41" s="33" t="s">
        <v>22</v>
      </c>
      <c r="L41" s="33" t="s">
        <v>29</v>
      </c>
    </row>
    <row r="42" spans="1:12">
      <c r="A42" s="29" t="s">
        <v>24</v>
      </c>
      <c r="B42" s="29" t="s">
        <v>13</v>
      </c>
      <c r="C42" s="29" t="s">
        <v>14</v>
      </c>
      <c r="D42" s="29" t="s">
        <v>16</v>
      </c>
      <c r="E42" s="29" t="s">
        <v>16</v>
      </c>
      <c r="F42" s="33" t="s">
        <v>17</v>
      </c>
      <c r="G42" s="33" t="s">
        <v>18</v>
      </c>
      <c r="H42" s="33" t="s">
        <v>19</v>
      </c>
      <c r="I42" s="33" t="s">
        <v>20</v>
      </c>
      <c r="J42" s="34" t="s">
        <v>21</v>
      </c>
      <c r="K42" s="33" t="s">
        <v>22</v>
      </c>
      <c r="L42" s="33" t="s">
        <v>23</v>
      </c>
    </row>
    <row r="43" spans="1:12">
      <c r="A43" s="29" t="s">
        <v>24</v>
      </c>
      <c r="B43" s="29" t="s">
        <v>13</v>
      </c>
      <c r="C43" s="29" t="s">
        <v>14</v>
      </c>
      <c r="D43" s="29" t="s">
        <v>16</v>
      </c>
      <c r="E43" s="29" t="s">
        <v>35</v>
      </c>
      <c r="F43" s="33" t="s">
        <v>17</v>
      </c>
      <c r="G43" s="33" t="s">
        <v>18</v>
      </c>
      <c r="H43" s="33" t="s">
        <v>19</v>
      </c>
      <c r="I43" s="33" t="s">
        <v>20</v>
      </c>
      <c r="J43" s="34" t="s">
        <v>21</v>
      </c>
      <c r="K43" s="33" t="s">
        <v>22</v>
      </c>
      <c r="L43" s="33" t="s">
        <v>29</v>
      </c>
    </row>
    <row r="44" spans="1:12">
      <c r="A44" s="29" t="s">
        <v>24</v>
      </c>
      <c r="B44" s="29" t="s">
        <v>32</v>
      </c>
      <c r="C44" s="29" t="s">
        <v>14</v>
      </c>
      <c r="D44" s="29" t="s">
        <v>16</v>
      </c>
      <c r="E44" s="29" t="s">
        <v>35</v>
      </c>
      <c r="F44" s="33" t="s">
        <v>17</v>
      </c>
      <c r="G44" s="33" t="s">
        <v>31</v>
      </c>
      <c r="H44" s="33" t="s">
        <v>27</v>
      </c>
      <c r="I44" s="33" t="s">
        <v>20</v>
      </c>
      <c r="J44" s="34" t="s">
        <v>21</v>
      </c>
      <c r="K44" s="33" t="s">
        <v>22</v>
      </c>
      <c r="L44" s="33" t="s">
        <v>29</v>
      </c>
    </row>
    <row r="45" spans="1:12">
      <c r="A45" s="29" t="s">
        <v>24</v>
      </c>
      <c r="B45" s="29" t="s">
        <v>32</v>
      </c>
      <c r="C45" s="29" t="s">
        <v>16</v>
      </c>
      <c r="D45" s="29" t="s">
        <v>16</v>
      </c>
      <c r="E45" s="29" t="s">
        <v>35</v>
      </c>
      <c r="F45" s="33" t="s">
        <v>17</v>
      </c>
      <c r="G45" s="33" t="s">
        <v>18</v>
      </c>
      <c r="H45" s="33" t="s">
        <v>27</v>
      </c>
      <c r="I45" s="33" t="s">
        <v>20</v>
      </c>
      <c r="J45" s="34" t="s">
        <v>21</v>
      </c>
      <c r="K45" s="33" t="s">
        <v>22</v>
      </c>
      <c r="L45" s="33" t="s">
        <v>29</v>
      </c>
    </row>
    <row r="46" spans="1:12">
      <c r="A46" s="29" t="s">
        <v>24</v>
      </c>
      <c r="B46" s="29" t="s">
        <v>32</v>
      </c>
      <c r="C46" s="29" t="s">
        <v>16</v>
      </c>
      <c r="D46" s="29" t="s">
        <v>16</v>
      </c>
      <c r="E46" s="29" t="s">
        <v>16</v>
      </c>
      <c r="F46" s="33" t="s">
        <v>17</v>
      </c>
      <c r="G46" s="33" t="s">
        <v>18</v>
      </c>
      <c r="H46" s="33" t="s">
        <v>19</v>
      </c>
      <c r="I46" s="33" t="s">
        <v>20</v>
      </c>
      <c r="J46" s="34" t="s">
        <v>21</v>
      </c>
      <c r="K46" s="33" t="s">
        <v>22</v>
      </c>
      <c r="L46" s="33" t="s">
        <v>29</v>
      </c>
    </row>
    <row r="47" spans="1:12">
      <c r="A47" s="29" t="s">
        <v>24</v>
      </c>
      <c r="B47" s="29" t="s">
        <v>32</v>
      </c>
      <c r="C47" s="29" t="s">
        <v>16</v>
      </c>
      <c r="D47" s="29" t="s">
        <v>16</v>
      </c>
      <c r="E47" s="29" t="s">
        <v>16</v>
      </c>
      <c r="F47" s="33" t="s">
        <v>17</v>
      </c>
      <c r="G47" s="33" t="s">
        <v>18</v>
      </c>
      <c r="H47" s="33" t="s">
        <v>19</v>
      </c>
      <c r="I47" s="33" t="s">
        <v>20</v>
      </c>
      <c r="J47" s="34" t="s">
        <v>21</v>
      </c>
      <c r="K47" s="33" t="s">
        <v>22</v>
      </c>
      <c r="L47" s="33" t="s">
        <v>29</v>
      </c>
    </row>
    <row r="48" spans="1:12">
      <c r="A48" s="29" t="s">
        <v>24</v>
      </c>
      <c r="B48" s="29" t="s">
        <v>32</v>
      </c>
      <c r="C48" s="29" t="s">
        <v>16</v>
      </c>
      <c r="D48" s="29" t="s">
        <v>15</v>
      </c>
      <c r="E48" s="29" t="s">
        <v>16</v>
      </c>
      <c r="F48" s="33" t="s">
        <v>17</v>
      </c>
      <c r="G48" s="33" t="s">
        <v>18</v>
      </c>
      <c r="H48" s="33" t="s">
        <v>27</v>
      </c>
      <c r="I48" s="33" t="s">
        <v>20</v>
      </c>
      <c r="J48" s="34" t="s">
        <v>28</v>
      </c>
      <c r="K48" s="33" t="s">
        <v>22</v>
      </c>
      <c r="L48" s="33" t="s">
        <v>29</v>
      </c>
    </row>
    <row r="49" spans="1:12">
      <c r="A49" s="29" t="s">
        <v>24</v>
      </c>
      <c r="B49" s="29" t="s">
        <v>32</v>
      </c>
      <c r="C49" s="29" t="s">
        <v>16</v>
      </c>
      <c r="D49" s="29" t="s">
        <v>16</v>
      </c>
      <c r="E49" s="29" t="s">
        <v>16</v>
      </c>
      <c r="F49" s="33" t="s">
        <v>17</v>
      </c>
      <c r="G49" s="33" t="s">
        <v>18</v>
      </c>
      <c r="H49" s="33" t="s">
        <v>27</v>
      </c>
      <c r="I49" s="33" t="s">
        <v>20</v>
      </c>
      <c r="J49" s="34" t="s">
        <v>21</v>
      </c>
      <c r="K49" s="33" t="s">
        <v>22</v>
      </c>
      <c r="L49" s="33" t="s">
        <v>23</v>
      </c>
    </row>
    <row r="50" spans="1:12">
      <c r="A50" s="29" t="s">
        <v>24</v>
      </c>
      <c r="B50" s="29" t="s">
        <v>32</v>
      </c>
      <c r="C50" s="29" t="s">
        <v>16</v>
      </c>
      <c r="D50" s="29" t="s">
        <v>16</v>
      </c>
      <c r="E50" s="29" t="s">
        <v>16</v>
      </c>
      <c r="F50" s="33" t="s">
        <v>17</v>
      </c>
      <c r="G50" s="33" t="s">
        <v>18</v>
      </c>
      <c r="H50" s="33" t="s">
        <v>19</v>
      </c>
      <c r="I50" s="33" t="s">
        <v>20</v>
      </c>
      <c r="J50" s="34" t="s">
        <v>28</v>
      </c>
      <c r="K50" s="33" t="s">
        <v>22</v>
      </c>
      <c r="L50" s="33" t="s">
        <v>23</v>
      </c>
    </row>
    <row r="51" spans="1:12">
      <c r="A51" s="29" t="s">
        <v>24</v>
      </c>
      <c r="B51" s="29" t="s">
        <v>32</v>
      </c>
      <c r="C51" s="29" t="s">
        <v>16</v>
      </c>
      <c r="D51" s="29" t="s">
        <v>16</v>
      </c>
      <c r="E51" s="29" t="s">
        <v>16</v>
      </c>
      <c r="F51" s="33" t="s">
        <v>17</v>
      </c>
      <c r="G51" s="33" t="s">
        <v>18</v>
      </c>
      <c r="H51" s="33" t="s">
        <v>19</v>
      </c>
      <c r="I51" s="33" t="s">
        <v>20</v>
      </c>
      <c r="J51" s="34" t="s">
        <v>21</v>
      </c>
      <c r="K51" s="33" t="s">
        <v>22</v>
      </c>
      <c r="L51" s="33" t="s">
        <v>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workbookViewId="0">
      <selection activeCell="L4" sqref="L4:L5"/>
    </sheetView>
  </sheetViews>
  <sheetFormatPr defaultColWidth="9" defaultRowHeight="15"/>
  <cols>
    <col min="1" max="1" width="17.7142857142857" customWidth="true"/>
    <col min="2" max="2" width="21.8571428571429" customWidth="true"/>
    <col min="3" max="3" width="11.7142857142857" customWidth="true"/>
    <col min="8" max="8" width="12.8571428571429"/>
    <col min="9" max="9" width="14"/>
    <col min="11" max="11" width="18" customWidth="true"/>
    <col min="12" max="12" width="20.2857142857143" customWidth="true"/>
    <col min="13" max="13" width="12.4285714285714" customWidth="true"/>
    <col min="17" max="18" width="12.8571428571429"/>
    <col min="19" max="19" width="14"/>
    <col min="21" max="21" width="25.5714285714286" customWidth="true"/>
    <col min="22" max="22" width="18.8571428571429" customWidth="true"/>
    <col min="23" max="23" width="14.7142857142857" customWidth="true"/>
    <col min="28" max="28" width="12.8571428571429"/>
    <col min="29" max="30" width="14"/>
  </cols>
  <sheetData>
    <row r="1" spans="1:29">
      <c r="A1" s="2" t="s">
        <v>37</v>
      </c>
      <c r="B1" s="2" t="s">
        <v>38</v>
      </c>
      <c r="C1" s="2"/>
      <c r="D1" s="2" t="s">
        <v>39</v>
      </c>
      <c r="E1" s="2" t="s">
        <v>40</v>
      </c>
      <c r="F1" s="2" t="s">
        <v>16</v>
      </c>
      <c r="G1" s="2" t="s">
        <v>36</v>
      </c>
      <c r="H1" s="2" t="s">
        <v>41</v>
      </c>
      <c r="I1" s="2" t="s">
        <v>42</v>
      </c>
      <c r="K1" s="2" t="s">
        <v>37</v>
      </c>
      <c r="L1" s="2" t="s">
        <v>38</v>
      </c>
      <c r="M1" s="2"/>
      <c r="N1" s="2" t="s">
        <v>39</v>
      </c>
      <c r="O1" s="2" t="s">
        <v>40</v>
      </c>
      <c r="P1" s="2" t="s">
        <v>16</v>
      </c>
      <c r="Q1" s="2" t="s">
        <v>36</v>
      </c>
      <c r="R1" s="2" t="s">
        <v>41</v>
      </c>
      <c r="S1" s="2" t="s">
        <v>42</v>
      </c>
      <c r="T1" s="13"/>
      <c r="U1" s="7"/>
      <c r="V1" s="7"/>
      <c r="W1" s="7"/>
      <c r="X1" s="7"/>
      <c r="Y1" s="7"/>
      <c r="Z1" s="7"/>
      <c r="AA1" s="7"/>
      <c r="AB1" s="7"/>
      <c r="AC1" s="7"/>
    </row>
    <row r="2" spans="1:29">
      <c r="A2" s="2"/>
      <c r="B2" s="2" t="s">
        <v>43</v>
      </c>
      <c r="C2" s="2"/>
      <c r="D2" s="2">
        <v>50</v>
      </c>
      <c r="E2" s="2">
        <f>COUNTIF(Sheet1!$E$2:$E$51,"lebih")</f>
        <v>7</v>
      </c>
      <c r="F2" s="2">
        <f>COUNTIF(Sheet1!$E$2:$E$51,"normal")</f>
        <v>41</v>
      </c>
      <c r="G2" s="2">
        <f>COUNTIF(Sheet1!$E$2:$E$51,"kurang")</f>
        <v>2</v>
      </c>
      <c r="H2" s="2">
        <f>((-E2/D2)*IMLOG2(E2/D2)+(-F2/D2)*IMLOG2(F2/D2)+(-G2/D2)*IMLOG2(G2/D2))</f>
        <v>0.817633856899831</v>
      </c>
      <c r="I2" s="2"/>
      <c r="K2" s="2"/>
      <c r="L2" s="2" t="s">
        <v>43</v>
      </c>
      <c r="M2" s="2"/>
      <c r="N2" s="2">
        <v>50</v>
      </c>
      <c r="O2" s="2">
        <f>COUNTIF(Sheet1!$E$2:$E$51,"lebih")</f>
        <v>7</v>
      </c>
      <c r="P2" s="2">
        <f>COUNTIF(Sheet1!$E$2:$E$51,"normal")</f>
        <v>41</v>
      </c>
      <c r="Q2" s="2">
        <f>COUNTIF(Sheet1!$E$2:$E$51,"kurang")</f>
        <v>2</v>
      </c>
      <c r="R2" s="2">
        <f>((-O2/N2)*IMLOG2(O2/N2)+(-P2/N2)*IMLOG2(P2/N2)+(-Q2/N2)*IMLOG2(Q2/N2))</f>
        <v>0.817633856899831</v>
      </c>
      <c r="S2" s="2"/>
      <c r="T2" s="13"/>
      <c r="U2" s="8"/>
      <c r="V2" s="7"/>
      <c r="W2" s="7"/>
      <c r="X2" s="7"/>
      <c r="Y2" s="7"/>
      <c r="Z2" s="7"/>
      <c r="AA2" s="7"/>
      <c r="AB2" s="7"/>
      <c r="AC2" s="7"/>
    </row>
    <row r="3" spans="1:29">
      <c r="A3" s="3" t="s">
        <v>109</v>
      </c>
      <c r="B3" s="2" t="s">
        <v>86</v>
      </c>
      <c r="C3" s="2"/>
      <c r="D3" s="2">
        <f>COUNTIFS(Sheet1!$C$2:$C$51,"normal",Sheet1!$J$2:$J$51,"i",Sheet1!$H$2:$H$51,"tidak",Sheet1!$L$2:$L$51,"tidak")</f>
        <v>4</v>
      </c>
      <c r="E3" s="2">
        <f>COUNTIFS(Sheet1!$C$2:$C$51,"normal",Sheet1!$J$2:$J$51,"i",Sheet1!$H$2:$H$51,"tidak",Sheet1!$L$2:$L$51,"tidak",Sheet1!$E$2:$E$51,"lebih")</f>
        <v>1</v>
      </c>
      <c r="F3" s="2">
        <f>COUNTIFS(Sheet1!$C$2:$C$51,"normal",Sheet1!$J$2:$J$51,"i",Sheet1!$H$2:$H$51,"tidak",Sheet1!$L$2:$L$51,"tidak",Sheet1!$E$2:$E$51,"normal")</f>
        <v>1</v>
      </c>
      <c r="G3" s="2">
        <f>COUNTIFS(Sheet1!$C$2:$C$51,"normal",Sheet1!$J$2:$J$51,"i",Sheet1!$H$2:$H$51,"tidak",Sheet1!$L$2:$L$51,"tidak",Sheet1!$E$2:$E$51,"kurang")</f>
        <v>2</v>
      </c>
      <c r="H3" s="2">
        <f>((-E3/D3)*IMLOG2(E3/D3)+(-F3/D3)*IMLOG2(F3/D3))</f>
        <v>1</v>
      </c>
      <c r="I3" s="2"/>
      <c r="K3" s="3" t="s">
        <v>110</v>
      </c>
      <c r="L3" s="2" t="s">
        <v>87</v>
      </c>
      <c r="M3" s="2"/>
      <c r="N3" s="2">
        <f>COUNTIFS(Sheet1!$C$2:$C$51,"normal",Sheet1!$J$2:$J$51,"i",Sheet1!$H$2:$H$51,"tidak",Sheet1!$L$2:$L$51,"TIDAK",Sheet1!$B$2:$B$51,"A")</f>
        <v>2</v>
      </c>
      <c r="O3" s="2">
        <f>COUNTIFS(Sheet1!$C$2:$C$51,"normal",Sheet1!$J$2:$J$51,"i",Sheet1!$H$2:$H$51,"tidak",Sheet1!$L$2:$L$51,"TIDAK",Sheet1!$B$2:$B$51,"A",Sheet1!$E$2:$E$51,"lebih")</f>
        <v>0</v>
      </c>
      <c r="P3" s="2">
        <f>COUNTIFS(Sheet1!$C$2:$C$51,"normal",Sheet1!$J$2:$J$51,"i",Sheet1!$H$2:$H$51,"tidak",Sheet1!$L$2:$L$51,"TIDAK",Sheet1!$B$2:$B$51,"A",Sheet1!$E$2:$E$51,"NORMAL")</f>
        <v>1</v>
      </c>
      <c r="Q3" s="2">
        <f>COUNTIFS(Sheet1!$C$2:$C$51,"normal",Sheet1!$J$2:$J$51,"i",Sheet1!$H$2:$H$51,"tidak",Sheet1!$L$2:$L$51,"TIDAK",Sheet1!$B$2:$B$51,"A",Sheet1!$E$2:$E$51,"KURANG")</f>
        <v>1</v>
      </c>
      <c r="R3" s="2">
        <f>((-P3/N3)*IMLOG2(P3/N3)+(-Q3/N3)*IMLOG2(Q3/N3))</f>
        <v>1</v>
      </c>
      <c r="S3" s="2"/>
      <c r="T3" s="13"/>
      <c r="U3" s="8"/>
      <c r="V3" s="7"/>
      <c r="W3" s="7"/>
      <c r="X3" s="7"/>
      <c r="Y3" s="7"/>
      <c r="Z3" s="7"/>
      <c r="AA3" s="7"/>
      <c r="AB3" s="7"/>
      <c r="AC3" s="7"/>
    </row>
    <row r="4" spans="1:29">
      <c r="A4" s="3"/>
      <c r="B4" s="4" t="s">
        <v>44</v>
      </c>
      <c r="C4" s="2" t="s">
        <v>24</v>
      </c>
      <c r="D4" s="2">
        <f>COUNTIFS(Sheet1!$C$2:$C$51,"normal",Sheet1!$J$2:$J$51,"i",Sheet1!$H$2:$H$51,"tidak",Sheet1!$L$2:$L$51,"TIDAK",Sheet1!$A$2:$A$51,"L")</f>
        <v>1</v>
      </c>
      <c r="E4" s="2">
        <f>COUNTIFS(Sheet1!$C$2:$C$51,"normal",Sheet1!$J$2:$J$51,"i",Sheet1!$H$2:$H$51,"tidak",Sheet1!$L$2:$L$51,"TIDAK",Sheet1!$A$2:$A$51,"L",Sheet1!$E$2:$E$51,"lebih")</f>
        <v>1</v>
      </c>
      <c r="F4" s="2">
        <v>0</v>
      </c>
      <c r="G4" s="2">
        <v>0</v>
      </c>
      <c r="H4" s="2">
        <v>0</v>
      </c>
      <c r="I4" s="4">
        <f>($H$2)-((D4/$D$3*H4)+(D5/$D$3*H5))</f>
        <v>0.128911981358963</v>
      </c>
      <c r="K4" s="3"/>
      <c r="L4" s="4" t="s">
        <v>44</v>
      </c>
      <c r="M4" s="2" t="s">
        <v>24</v>
      </c>
      <c r="N4" s="2">
        <f>COUNTIFS(Sheet1!$C$2:$C$51,"normal",Sheet1!$J$2:$J$51,"i",Sheet1!$H$2:$H$51,"tidak",Sheet1!$L$2:$L$51,"TIDAK",Sheet1!$A$2:$A$51,"L",Sheet1!$B$2:$B$51,"A")</f>
        <v>0</v>
      </c>
      <c r="O4" s="2">
        <f>COUNTIFS(Sheet1!$C$2:$C$51,"normal",Sheet1!$J$2:$J$51,"i",Sheet1!$H$2:$H$51,"tidak",Sheet1!$L$2:$L$51,"TIDAK",Sheet1!$A$2:$A$51,"L",Sheet1!$B$2:$B$51,"A",Sheet1!$E$2:$E$51,"lebih")</f>
        <v>0</v>
      </c>
      <c r="P4" s="2">
        <v>0</v>
      </c>
      <c r="Q4" s="2">
        <v>0</v>
      </c>
      <c r="R4" s="2">
        <v>0</v>
      </c>
      <c r="S4" s="4">
        <f>($R$2)-((N4/$N$3*R4)+(N5/$N$3*R5))</f>
        <v>-0.182366143100169</v>
      </c>
      <c r="T4" s="13"/>
      <c r="U4" s="8"/>
      <c r="V4" s="7"/>
      <c r="W4" s="7"/>
      <c r="X4" s="7"/>
      <c r="Y4" s="7"/>
      <c r="Z4" s="7"/>
      <c r="AA4" s="7"/>
      <c r="AB4" s="7"/>
      <c r="AC4" s="7"/>
    </row>
    <row r="5" spans="1:29">
      <c r="A5" s="3"/>
      <c r="B5" s="5"/>
      <c r="C5" s="2" t="s">
        <v>12</v>
      </c>
      <c r="D5" s="2">
        <f>COUNTIFS(Sheet1!$C$2:$C$51,"normal",Sheet1!$J$2:$J$51,"i",Sheet1!$H$2:$H$51,"tidak",Sheet1!$L$2:$L$51,"TIDAK",Sheet1!$A$2:$A$51,"P")</f>
        <v>3</v>
      </c>
      <c r="E5" s="2">
        <f>COUNTIFS(Sheet1!$C$2:$C$51,"normal",Sheet1!$J$2:$J$51,"i",Sheet1!$H$2:$H$51,"tidak",Sheet1!$L$2:$L$51,"TIDAK",Sheet1!$A$2:$A$51,"P",Sheet1!$E$2:$E$51,"lebih")</f>
        <v>0</v>
      </c>
      <c r="F5" s="2">
        <f>COUNTIFS(Sheet1!$C$2:$C$51,"normal",Sheet1!$J$2:$J$51,"i",Sheet1!$H$2:$H$51,"tidak",Sheet1!$L$2:$L$51,"TIDAK",Sheet1!$A$2:$A$51,"P",Sheet1!$E$2:$E$51,"NORMAL")</f>
        <v>1</v>
      </c>
      <c r="G5" s="2">
        <f>COUNTIFS(Sheet1!$C$2:$C$51,"normal",Sheet1!$J$2:$J$51,"i",Sheet1!$H$2:$H$51,"tidak",Sheet1!$L$2:$L$51,"TIDAK",Sheet1!$A$2:$A$51,"P",Sheet1!$E$2:$E$51,"KURANG")</f>
        <v>2</v>
      </c>
      <c r="H5" s="2">
        <f>((-F5/D5)*IMLOG2(F5/D5)+(-G5/D5)*IMLOG2(G5/D5))</f>
        <v>0.918295834054491</v>
      </c>
      <c r="I5" s="5"/>
      <c r="K5" s="3"/>
      <c r="L5" s="5"/>
      <c r="M5" s="2" t="s">
        <v>12</v>
      </c>
      <c r="N5" s="2">
        <f>COUNTIFS(Sheet1!$C$2:$C$51,"normal",Sheet1!$J$2:$J$51,"i",Sheet1!$H$2:$H$51,"tidak",Sheet1!$L$2:$L$51,"TIDAK",Sheet1!$A$2:$A$51,"P",Sheet1!$B$2:$B$51,"A")</f>
        <v>2</v>
      </c>
      <c r="O5" s="2">
        <f>COUNTIFS(Sheet1!$C$2:$C$51,"normal",Sheet1!$J$2:$J$51,"i",Sheet1!$H$2:$H$51,"tidak",Sheet1!$L$2:$L$51,"TIDAK",Sheet1!$B$2:$B$51,"A",Sheet1!$A$2:$A$51,"P",Sheet1!$E$2:$E$51,"lebih")</f>
        <v>0</v>
      </c>
      <c r="P5" s="2">
        <f>COUNTIFS(Sheet1!$C$2:$C$51,"normal",Sheet1!$J$2:$J$51,"i",Sheet1!$H$2:$H$51,"tidak",Sheet1!$L$2:$L$51,"TIDAK",Sheet1!$A$2:$A$51,"P",Sheet1!$B$2:$B$51,"A",Sheet1!$E$2:$E$51,"NORMAL")</f>
        <v>1</v>
      </c>
      <c r="Q5" s="2">
        <f>COUNTIFS(Sheet1!$C$2:$C$51,"normal",Sheet1!$J$2:$J$51,"i",Sheet1!$H$2:$H$51,"tidak",Sheet1!$L$2:$L$51,"TIDAK",Sheet1!$A$2:$A$51,"P",Sheet1!$B$2:$B$51,"A",Sheet1!$E$2:$E$51,"KURANG")</f>
        <v>1</v>
      </c>
      <c r="R5" s="2">
        <f>((-P5/N5)*IMLOG2(P5/N5)+(-Q5/N5)*IMLOG2(Q5/N5))</f>
        <v>1</v>
      </c>
      <c r="S5" s="5"/>
      <c r="T5" s="13"/>
      <c r="U5" s="8"/>
      <c r="V5" s="7"/>
      <c r="W5" s="7"/>
      <c r="X5" s="7"/>
      <c r="Y5" s="7"/>
      <c r="Z5" s="7"/>
      <c r="AA5" s="7"/>
      <c r="AB5" s="7"/>
      <c r="AC5" s="7"/>
    </row>
    <row r="6" spans="1:29">
      <c r="A6" s="3"/>
      <c r="B6" s="4" t="s">
        <v>45</v>
      </c>
      <c r="C6" s="2" t="s">
        <v>33</v>
      </c>
      <c r="D6" s="2">
        <f>COUNTIFS(Sheet1!$C$2:$C$51,"normal",Sheet1!$J$2:$J$51,"i",Sheet1!$H$2:$H$51,"tidak",Sheet1!$L$2:$L$51,"TIDAK",Sheet1!$B$2:$B$51,"A")</f>
        <v>2</v>
      </c>
      <c r="E6" s="2">
        <f>COUNTIFS(Sheet1!$C$2:$C$51,"normal",Sheet1!$J$2:$J$51,"i",Sheet1!$H$2:$H$51,"tidak",Sheet1!$L$2:$L$51,"TIDAK",Sheet1!$B$2:$B$51,"A",Sheet1!$E$2:$E$51,"lebih")</f>
        <v>0</v>
      </c>
      <c r="F6" s="2">
        <f>COUNTIFS(Sheet1!$C$2:$C$51,"normal",Sheet1!$J$2:$J$51,"i",Sheet1!$H$2:$H$51,"tidak",Sheet1!$L$2:$L$51,"TIDAK",Sheet1!$B$2:$B$51,"A",Sheet1!$E$2:$E$51,"NORMAL")</f>
        <v>1</v>
      </c>
      <c r="G6" s="2">
        <f>COUNTIFS(Sheet1!$C$2:$C$51,"normal",Sheet1!$J$2:$J$51,"i",Sheet1!$H$2:$H$51,"tidak",Sheet1!$L$2:$L$51,"TIDAK",Sheet1!$B$2:$B$51,"A",Sheet1!$E$2:$E$51,"KURANG")</f>
        <v>1</v>
      </c>
      <c r="H6" s="2">
        <f>((-F6/D6)*IMLOG2(F6/D6)+(-G6/D6)*IMLOG2(G6/D6))</f>
        <v>1</v>
      </c>
      <c r="I6" s="4">
        <f>($H$2)-((D6/$D$3*H6)+(D7/$D$3*H7)+(D8/$D$3*H8))</f>
        <v>0.317633856899831</v>
      </c>
      <c r="K6" s="3"/>
      <c r="L6" s="2" t="s">
        <v>47</v>
      </c>
      <c r="M6" s="2" t="s">
        <v>15</v>
      </c>
      <c r="N6" s="2">
        <f>COUNTIFS(Sheet1!$C$2:$C$51,"normal",Sheet1!$J$2:$J$51,"i",Sheet1!$H$2:$H$51,"tidak",Sheet1!$L$2:$L$51,"TIDAK",Sheet1!$D$2:$D$51,"pendek",Sheet1!$B$2:$B$51,"A")</f>
        <v>0</v>
      </c>
      <c r="O6" s="2">
        <f>COUNTIFS(Sheet1!$C$2:$C$51,"normal",Sheet1!$J$2:$J$51,"i",Sheet1!$H$2:$H$51,"tidak",Sheet1!$L$2:$L$51,"TIDAK",Sheet1!$D$2:$D$51,"pendek",Sheet1!$B$2:$B$51,"A",Sheet1!$E$2:$E$51,"lebih")</f>
        <v>0</v>
      </c>
      <c r="P6" s="2">
        <f>COUNTIFS(Sheet1!$C$2:$C$51,"normal",Sheet1!$J$2:$J$51,"i",Sheet1!$H$2:$H$51,"tidak",Sheet1!$L$2:$L$51,"TIDAK",Sheet1!$D$2:$D$51,"pendek",Sheet1!$B$2:$B$51,"A",Sheet1!$E$2:$E$51,"NORMAL")</f>
        <v>0</v>
      </c>
      <c r="Q6" s="2">
        <f>COUNTIFS(Sheet1!$C$2:$C$51,"normal",Sheet1!$J$2:$J$51,"i",Sheet1!$H$2:$H$51,"tidak",Sheet1!$L$2:$L$51,"TIDAK",Sheet1!$D$2:$D$51,"pendek",Sheet1!$E$2:$E$51,"KURANG")</f>
        <v>0</v>
      </c>
      <c r="R6" s="2">
        <v>0</v>
      </c>
      <c r="S6" s="4">
        <f>($R$2)-((N6/$N$3*R6)+(N7/$N$3*R7)+(N8/$N$3*R8))</f>
        <v>-0.182366143100169</v>
      </c>
      <c r="T6" s="13"/>
      <c r="U6" s="8"/>
      <c r="V6" s="7"/>
      <c r="W6" s="7"/>
      <c r="X6" s="7"/>
      <c r="Y6" s="7"/>
      <c r="Z6" s="7"/>
      <c r="AA6" s="7"/>
      <c r="AB6" s="7"/>
      <c r="AC6" s="7"/>
    </row>
    <row r="7" spans="1:29">
      <c r="A7" s="3"/>
      <c r="B7" s="6"/>
      <c r="C7" s="2" t="s">
        <v>13</v>
      </c>
      <c r="D7" s="2">
        <f>COUNTIFS(Sheet1!$C$2:$C$51,"normal",Sheet1!$J$2:$J$51,"i",Sheet1!$H$2:$H$51,"tidak",Sheet1!$L$2:$L$51,"TIDAK",Sheet1!$B$2:$B$51,"B")</f>
        <v>1</v>
      </c>
      <c r="E7" s="2">
        <f>COUNTIFS(Sheet1!$C$2:$C$51,"normal",Sheet1!$J$2:$J$51,"i",Sheet1!$H$2:$H$51,"tidak",Sheet1!$L$2:$L$51,"TIDAK",Sheet1!$B$2:$B$51,"B",Sheet1!$E$2:$E$51,"lebih")</f>
        <v>0</v>
      </c>
      <c r="F7" s="2">
        <f>COUNTIFS(Sheet1!$C$2:$C$51,"normal",Sheet1!$J$2:$J$51,"i",Sheet1!$H$2:$H$51,"tidak",Sheet1!$L$2:$L$51,"TIDAK",Sheet1!$B$2:$B$51,"B",Sheet1!$E$2:$E$51,"NORMAL")</f>
        <v>0</v>
      </c>
      <c r="G7" s="2">
        <f>COUNTIFS(Sheet1!$C$2:$C$51,"normal",Sheet1!$J$2:$J$51,"i",Sheet1!$H$2:$H$51,"tidak",Sheet1!$L$2:$L$51,"TIDAK",Sheet1!$B$2:$B$51,"B",Sheet1!$E$2:$E$51,"KURANG")</f>
        <v>1</v>
      </c>
      <c r="H7" s="2">
        <v>0</v>
      </c>
      <c r="I7" s="6"/>
      <c r="K7" s="3"/>
      <c r="L7" s="2"/>
      <c r="M7" s="2" t="s">
        <v>16</v>
      </c>
      <c r="N7" s="2">
        <f>COUNTIFS(Sheet1!$C$2:$C$51,"normal",Sheet1!$J$2:$J$51,"i",Sheet1!$H$2:$H$51,"tidak",Sheet1!$L$2:$L$51,"TIDAK",Sheet1!$D$2:$D$51,"NORMAL",Sheet1!$B$2:$B$51,"A")</f>
        <v>2</v>
      </c>
      <c r="O7" s="2">
        <f>COUNTIFS(Sheet1!$C$2:$C$51,"normal",Sheet1!$J$2:$J$51,"i",Sheet1!$H$2:$H$51,"tidak",Sheet1!$L$2:$L$51,"TIDAK",Sheet1!$D$2:$D$51,"NORMAL",Sheet1!$B$2:$B$51,"A",Sheet1!$E$2:$E$51,"lebih")</f>
        <v>0</v>
      </c>
      <c r="P7" s="2">
        <f>COUNTIFS(Sheet1!$C$2:$C$51,"normal",Sheet1!$J$2:$J$51,"i",Sheet1!$H$2:$H$51,"tidak",Sheet1!$L$2:$L$51,"TIDAK",Sheet1!$D$2:$D$51,"NORMAL",Sheet1!$B$2:$B$51,"A",Sheet1!$E$2:$E$51,"NORMAL")</f>
        <v>1</v>
      </c>
      <c r="Q7" s="2">
        <f>COUNTIFS(Sheet1!$C$2:$C$51,"normal",Sheet1!$J$2:$J$51,"i",Sheet1!$H$2:$H$51,"tidak",Sheet1!$L$2:$L$51,"TIDAK",Sheet1!$D$2:$D$51,"NORMAL",Sheet1!$B$2:$B$51,"A",Sheet1!$E$2:$E$51,"KURANG")</f>
        <v>1</v>
      </c>
      <c r="R7" s="2">
        <v>1</v>
      </c>
      <c r="S7" s="6"/>
      <c r="T7" s="13"/>
      <c r="U7" s="8"/>
      <c r="V7" s="7"/>
      <c r="W7" s="7"/>
      <c r="X7" s="7"/>
      <c r="Y7" s="7"/>
      <c r="Z7" s="7"/>
      <c r="AA7" s="7"/>
      <c r="AB7" s="7"/>
      <c r="AC7" s="7"/>
    </row>
    <row r="8" spans="1:29">
      <c r="A8" s="3"/>
      <c r="B8" s="5"/>
      <c r="C8" s="2" t="s">
        <v>32</v>
      </c>
      <c r="D8" s="2">
        <f>COUNTIFS(Sheet1!$C$2:$C$51,"normal",Sheet1!$J$2:$J$51,"i",Sheet1!$H$2:$H$51,"tidak",Sheet1!$L$2:$L$51,"TIDAK",Sheet1!$B$2:$B$51,"C")</f>
        <v>1</v>
      </c>
      <c r="E8" s="2">
        <f>COUNTIFS(Sheet1!$C$2:$C$51,"normal",Sheet1!$J$2:$J$51,"i",Sheet1!$H$2:$H$51,"tidak",Sheet1!$L$2:$L$51,"TIDAK",Sheet1!$B$2:$B$51,"C",Sheet1!$E$2:$E$51,"lebih")</f>
        <v>1</v>
      </c>
      <c r="F8" s="2">
        <f>COUNTIFS(Sheet1!$C$2:$C$51,"normal",Sheet1!$J$2:$J$51,"i",Sheet1!$H$2:$H$51,"tidak",Sheet1!$L$2:$L$51,"TIDAK",Sheet1!$B$2:$B$51,"C",Sheet1!$E$2:$E$51,"NORMAL")</f>
        <v>0</v>
      </c>
      <c r="G8" s="2">
        <f>COUNTIFS(Sheet1!$C$2:$C$51,"normal",Sheet1!$J$2:$J$51,"i",Sheet1!$H$2:$H$51,"tidak",Sheet1!$L$2:$L$51,"TIDAK",Sheet1!$B$2:$B$51,"C",Sheet1!$E$2:$E$51,"KURANG")</f>
        <v>0</v>
      </c>
      <c r="H8" s="2">
        <v>0</v>
      </c>
      <c r="I8" s="5"/>
      <c r="K8" s="3"/>
      <c r="L8" s="2"/>
      <c r="M8" s="2" t="s">
        <v>31</v>
      </c>
      <c r="N8" s="2">
        <f>COUNTIFS(Sheet1!$C$2:$C$51,"normal",Sheet1!$J$2:$J$51,"i",Sheet1!$H$2:$H$51,"tidak",Sheet1!$L$2:$L$51,"TIDAK",Sheet1!$D$2:$D$51,"tinggi",Sheet1!$B$2:$B$51,"A")</f>
        <v>0</v>
      </c>
      <c r="O8" s="2">
        <v>0</v>
      </c>
      <c r="P8" s="2">
        <f>COUNTIFS(Sheet1!$C$2:$C$51,"normal",Sheet1!$J$2:$J$51,"i",Sheet1!$H$2:$H$51,"tidak",Sheet1!$L$2:$L$51,"TIDAK",Sheet1!$D$2:$D$51,"TINGGI",Sheet1!$E$2:$E$51,"NORMAL")</f>
        <v>0</v>
      </c>
      <c r="Q8" s="2">
        <f>COUNTIFS(Sheet1!$C$2:$C$51,"normal",Sheet1!$J$2:$J$51,"i",Sheet1!$H$2:$H$51,"tidak",Sheet1!$L$2:$L$51,"TIDAK",Sheet1!$D$2:$D$51,"TINGGI",Sheet1!$E$2:$E$51,"KURANG")</f>
        <v>0</v>
      </c>
      <c r="R8" s="2">
        <v>0</v>
      </c>
      <c r="S8" s="5"/>
      <c r="T8" s="13"/>
      <c r="U8" s="8"/>
      <c r="V8" s="7"/>
      <c r="W8" s="7"/>
      <c r="X8" s="7"/>
      <c r="Y8" s="7"/>
      <c r="Z8" s="7"/>
      <c r="AA8" s="7"/>
      <c r="AB8" s="7"/>
      <c r="AC8" s="7"/>
    </row>
    <row r="9" spans="1:29">
      <c r="A9" s="3"/>
      <c r="B9" s="2" t="s">
        <v>47</v>
      </c>
      <c r="C9" s="2" t="s">
        <v>15</v>
      </c>
      <c r="D9" s="2">
        <f>COUNTIFS(Sheet1!$C$2:$C$51,"normal",Sheet1!$J$2:$J$51,"i",Sheet1!$H$2:$H$51,"tidak",Sheet1!$L$2:$L$51,"TIDAK",Sheet1!$D$2:$D$51,"pendek")</f>
        <v>0</v>
      </c>
      <c r="E9" s="2">
        <f>COUNTIFS(Sheet1!$C$2:$C$51,"normal",Sheet1!$J$2:$J$51,"i",Sheet1!$H$2:$H$51,"tidak",Sheet1!$L$2:$L$51,"TIDAK",Sheet1!$D$2:$D$51,"pendek",Sheet1!$E$2:$E$51,"lebih")</f>
        <v>0</v>
      </c>
      <c r="F9" s="2">
        <f>COUNTIFS(Sheet1!$C$2:$C$51,"normal",Sheet1!$J$2:$J$51,"i",Sheet1!$H$2:$H$51,"tidak",Sheet1!$L$2:$L$51,"TIDAK",Sheet1!$D$2:$D$51,"pendek",Sheet1!$E$2:$E$51,"NORMAL")</f>
        <v>0</v>
      </c>
      <c r="G9" s="2">
        <f>COUNTIFS(Sheet1!$C$2:$C$51,"normal",Sheet1!$J$2:$J$51,"i",Sheet1!$H$2:$H$51,"tidak",Sheet1!$L$2:$L$51,"TIDAK",Sheet1!$D$2:$D$51,"pendek",Sheet1!$E$2:$E$51,"KURANG")</f>
        <v>0</v>
      </c>
      <c r="H9" s="2">
        <v>0</v>
      </c>
      <c r="I9" s="4">
        <f>($H$2)-((D9/$D$3*H9)+(D10/$D$3*H10)+(D11/$D$3*H11))</f>
        <v>-0.682366143100169</v>
      </c>
      <c r="K9" s="3"/>
      <c r="L9" s="2" t="s">
        <v>48</v>
      </c>
      <c r="M9" s="2" t="s">
        <v>17</v>
      </c>
      <c r="N9" s="2">
        <f>COUNTIFS(Sheet1!$C$2:$C$51,"normal",Sheet1!$J$2:$J$51,"i",Sheet1!$H$2:$H$51,"tidak",Sheet1!$F$2:$F$51,"formula",Sheet1!$L$2:$L$51,"TIDAK",Sheet1!$B$2:$B$51,"A")</f>
        <v>0</v>
      </c>
      <c r="O9" s="2">
        <f>COUNTIFS(Sheet1!$C$2:$C$51,"normal",Sheet1!$J$2:$J$51,"i",Sheet1!$H$2:$H$51,"tidak",Sheet1!$F$2:$F$51,"formula",Sheet1!$L$2:$L$51,"TIDAK",Sheet1!$B$2:$B$51,"A",Sheet1!$E$2:$E$51,"lebih")</f>
        <v>0</v>
      </c>
      <c r="P9" s="2">
        <f>COUNTIFS(Sheet1!$C$2:$C$51,"normal",Sheet1!$J$2:$J$51,"i",Sheet1!$H$2:$H$51,"tidak",Sheet1!$F$2:$F$51,"formula",Sheet1!$L$2:$L$51,"TIDAK",Sheet1!$E$2:$E$51,"NORMAL")</f>
        <v>0</v>
      </c>
      <c r="Q9" s="2">
        <v>0</v>
      </c>
      <c r="R9" s="2">
        <v>0</v>
      </c>
      <c r="S9" s="4">
        <f>($R$2)-((N9/$N$3*R9)+(N10/$N$3*R10)+(N11/$N$3*R11))</f>
        <v>0.817633856899831</v>
      </c>
      <c r="T9" s="13"/>
      <c r="U9" s="8"/>
      <c r="V9" s="7"/>
      <c r="W9" s="7"/>
      <c r="X9" s="7"/>
      <c r="Y9" s="7"/>
      <c r="Z9" s="7"/>
      <c r="AA9" s="7"/>
      <c r="AB9" s="7"/>
      <c r="AC9" s="7"/>
    </row>
    <row r="10" spans="1:29">
      <c r="A10" s="3"/>
      <c r="B10" s="2"/>
      <c r="C10" s="2" t="s">
        <v>16</v>
      </c>
      <c r="D10" s="2">
        <f>COUNTIFS(Sheet1!$C$2:$C$51,"normal",Sheet1!$J$2:$J$51,"i",Sheet1!$H$2:$H$51,"tidak",Sheet1!$L$2:$L$51,"TIDAK",Sheet1!$D$2:$D$51,"NORMAL")</f>
        <v>4</v>
      </c>
      <c r="E10" s="2">
        <f>COUNTIFS(Sheet1!$C$2:$C$51,"normal",Sheet1!$J$2:$J$51,"i",Sheet1!$H$2:$H$51,"tidak",Sheet1!$L$2:$L$51,"TIDAK",Sheet1!$D$2:$D$51,"NORMAL",Sheet1!$E$2:$E$51,"lebih")</f>
        <v>1</v>
      </c>
      <c r="F10" s="2">
        <f>COUNTIFS(Sheet1!$C$2:$C$51,"normal",Sheet1!$J$2:$J$51,"i",Sheet1!$H$2:$H$51,"tidak",Sheet1!$L$2:$L$51,"TIDAK",Sheet1!$D$2:$D$51,"NORMAL",Sheet1!$E$2:$E$51,"NORMAL")</f>
        <v>1</v>
      </c>
      <c r="G10" s="2">
        <f>COUNTIFS(Sheet1!$C$2:$C$51,"normal",Sheet1!$J$2:$J$51,"i",Sheet1!$H$2:$H$51,"tidak",Sheet1!$L$2:$L$51,"TIDAK",Sheet1!$D$2:$D$51,"NORMAL",Sheet1!$E$2:$E$51,"KURANG")</f>
        <v>2</v>
      </c>
      <c r="H10" s="2">
        <f>((-E10/D10)*IMLOG2(E10/D10)+(-F10/D10)*IMLOG2(F10/D10)+(-G10/D10)*IMLOG2(G10/D10))</f>
        <v>1.5</v>
      </c>
      <c r="I10" s="6"/>
      <c r="K10" s="3"/>
      <c r="L10" s="2"/>
      <c r="M10" s="2" t="s">
        <v>26</v>
      </c>
      <c r="N10" s="2">
        <f>COUNTIFS(Sheet1!$C$2:$C$51,"normal",Sheet1!$J$2:$J$51,"i",Sheet1!$H$2:$H$51,"tidak",Sheet1!$F$2:$F$51,"kombinasi",Sheet1!$L$2:$L$51,"TIDAK",Sheet1!$B$2:$B$51,"A")</f>
        <v>1</v>
      </c>
      <c r="O10" s="2">
        <f>COUNTIFS(Sheet1!$C$2:$C$51,"normal",Sheet1!$J$2:$J$51,"i",Sheet1!$H$2:$H$51,"tidak",Sheet1!$F$2:$F$51,"kombinasi",Sheet1!$L$2:$L$51,"TIDAK",Sheet1!$B$2:$B$51,"A",Sheet1!$E$2:$E$51,"lebih")</f>
        <v>0</v>
      </c>
      <c r="P10" s="2">
        <f>COUNTIFS(Sheet1!$C$2:$C$51,"normal",Sheet1!$J$2:$J$51,"i",Sheet1!$H$2:$H$51,"tidak",Sheet1!$F$2:$F$51,"KOMBINASI",Sheet1!$L$2:$L$51,"TIDAK",Sheet1!$B$2:$B$51,"A",Sheet1!$E$2:$E$51,"NORMAL")</f>
        <v>0</v>
      </c>
      <c r="Q10" s="2">
        <f>COUNTIFS(Sheet1!$C$2:$C$51,"normal",Sheet1!$J$2:$J$51,"i",Sheet1!$H$2:$H$51,"tidak",Sheet1!$F$2:$F$51,"KOMBINASI",Sheet1!$L$2:$L$51,"TIDAK",Sheet1!$B$2:$B$51,"A",Sheet1!$E$2:$E$51,"KURANG")</f>
        <v>1</v>
      </c>
      <c r="R10" s="2">
        <v>0</v>
      </c>
      <c r="S10" s="6"/>
      <c r="T10" s="13"/>
      <c r="U10" s="8"/>
      <c r="V10" s="7"/>
      <c r="W10" s="7"/>
      <c r="X10" s="7"/>
      <c r="Y10" s="7"/>
      <c r="Z10" s="7"/>
      <c r="AA10" s="7"/>
      <c r="AB10" s="7"/>
      <c r="AC10" s="7"/>
    </row>
    <row r="11" spans="1:29">
      <c r="A11" s="3"/>
      <c r="B11" s="2"/>
      <c r="C11" s="2" t="s">
        <v>31</v>
      </c>
      <c r="D11" s="2">
        <f>COUNTIFS(Sheet1!$C$2:$C$51,"normal",Sheet1!$J$2:$J$51,"i",Sheet1!$H$2:$H$51,"tidak",Sheet1!$L$2:$L$51,"TIDAK",Sheet1!$D$2:$D$51,"tinggi")</f>
        <v>0</v>
      </c>
      <c r="E11" s="2">
        <v>0</v>
      </c>
      <c r="F11" s="2">
        <f>COUNTIFS(Sheet1!$C$2:$C$51,"normal",Sheet1!$J$2:$J$51,"i",Sheet1!$H$2:$H$51,"tidak",Sheet1!$L$2:$L$51,"TIDAK",Sheet1!$D$2:$D$51,"TINGGI",Sheet1!$E$2:$E$51,"NORMAL")</f>
        <v>0</v>
      </c>
      <c r="G11" s="2">
        <f>COUNTIFS(Sheet1!$C$2:$C$51,"normal",Sheet1!$J$2:$J$51,"i",Sheet1!$H$2:$H$51,"tidak",Sheet1!$L$2:$L$51,"TIDAK",Sheet1!$D$2:$D$51,"TINGGI",Sheet1!$E$2:$E$51,"KURANG")</f>
        <v>0</v>
      </c>
      <c r="H11" s="2">
        <v>0</v>
      </c>
      <c r="I11" s="5"/>
      <c r="K11" s="3"/>
      <c r="L11" s="2"/>
      <c r="M11" s="2" t="s">
        <v>34</v>
      </c>
      <c r="N11" s="2">
        <f>COUNTIFS(Sheet1!$C$2:$C$51,"normal",Sheet1!$J$2:$J$51,"i",Sheet1!$H$2:$H$51,"tidak",Sheet1!$F$2:$F$51,"ASI",Sheet1!$L$2:$L$51,"TIDAK",Sheet1!$B$2:$B$51,"A")</f>
        <v>1</v>
      </c>
      <c r="O11" s="2">
        <f>COUNTIFS(Sheet1!$C$2:$C$51,"normal",Sheet1!$J$2:$J$51,"i",Sheet1!$H$2:$H$51,"tidak",Sheet1!$F$2:$F$51,"ASI",Sheet1!$L$2:$L$51,"TIDAK",Sheet1!$B$2:$B$51,"A",Sheet1!$E$2:$E$51,"lebih")</f>
        <v>0</v>
      </c>
      <c r="P11" s="2">
        <f>COUNTIFS(Sheet1!$C$2:$C$51,"normal",Sheet1!$J$2:$J$51,"i",Sheet1!$H$2:$H$51,"tidak",Sheet1!$F$2:$F$51,"ASI",Sheet1!$L$2:$L$51,"TIDAK",Sheet1!$E$2:$E$51,"normal")</f>
        <v>1</v>
      </c>
      <c r="Q11" s="2">
        <v>0</v>
      </c>
      <c r="R11" s="2">
        <f>((-P11/N11)*IMLOG2(P11/N11))</f>
        <v>0</v>
      </c>
      <c r="S11" s="5"/>
      <c r="T11" s="13"/>
      <c r="U11" s="8"/>
      <c r="V11" s="7"/>
      <c r="W11" s="7"/>
      <c r="X11" s="7"/>
      <c r="Y11" s="7"/>
      <c r="Z11" s="7"/>
      <c r="AA11" s="7"/>
      <c r="AB11" s="7"/>
      <c r="AC11" s="7"/>
    </row>
    <row r="12" spans="1:29">
      <c r="A12" s="3"/>
      <c r="B12" s="2" t="s">
        <v>48</v>
      </c>
      <c r="C12" s="2" t="s">
        <v>17</v>
      </c>
      <c r="D12" s="2">
        <f>COUNTIFS(Sheet1!$C$2:$C$51,"normal",Sheet1!$J$2:$J$51,"i",Sheet1!$H$2:$H$51,"tidak",Sheet1!$F$2:$F$51,"formula",Sheet1!$L$2:$L$51,"TIDAK")</f>
        <v>2</v>
      </c>
      <c r="E12" s="2">
        <f>COUNTIFS(Sheet1!$C$2:$C$51,"normal",Sheet1!$J$2:$J$51,"i",Sheet1!$H$2:$H$51,"tidak",Sheet1!$F$2:$F$51,"formula",Sheet1!$L$2:$L$51,"TIDAK",Sheet1!$E$2:$E$51,"lebih")</f>
        <v>1</v>
      </c>
      <c r="F12" s="2">
        <f>COUNTIFS(Sheet1!$C$2:$C$51,"normal",Sheet1!$J$2:$J$51,"i",Sheet1!$H$2:$H$51,"tidak",Sheet1!$F$2:$F$51,"formula",Sheet1!$L$2:$L$51,"TIDAK",Sheet1!$E$2:$E$51,"NORMAL")</f>
        <v>0</v>
      </c>
      <c r="G12" s="2">
        <f>COUNTIFS(Sheet1!$C$2:$C$51,"normal",Sheet1!$J$2:$J$51,"i",Sheet1!$H$2:$H$51,"tidak",Sheet1!$F$2:$F$51,"formula",Sheet1!$L$2:$L$51,"TIDAK",Sheet1!$E$2:$E$51,"KURANG")</f>
        <v>1</v>
      </c>
      <c r="H12" s="2">
        <f>((-E12/D12)*IMLOG2(E12/D12)+(-G12/D12)*IMLOG2(G12/D12))</f>
        <v>1</v>
      </c>
      <c r="I12" s="4">
        <f>($H$2)-((D12/$D$3*H12)+(D13/$D$3*H13)+(D14/$D$3*H14))</f>
        <v>0.317633856899831</v>
      </c>
      <c r="K12" s="3"/>
      <c r="L12" s="2" t="s">
        <v>49</v>
      </c>
      <c r="M12" s="2" t="s">
        <v>30</v>
      </c>
      <c r="N12" s="2">
        <f>COUNTIFS(Sheet1!$C$2:$C$51,"normal",Sheet1!$J$2:$J$51,"i",Sheet1!$H$2:$H$51,"tidak",Sheet1!$H$2:$H$51,"tidak",Sheet1!$G$2:$G$51,"rendah",Sheet1!$L$2:$L$51,"TIDAK")</f>
        <v>0</v>
      </c>
      <c r="O12" s="2">
        <f>COUNTIFS(Sheet1!$C$2:$C$51,"normal",Sheet1!$J$2:$J$51,"i",Sheet1!$H$2:$H$51,"tidak",Sheet1!$G$2:$G$51,"rendah",Sheet1!$L$2:$L$51,"memiliki",Sheet1!$E$2:$E$51,"lebih")</f>
        <v>0</v>
      </c>
      <c r="P12" s="2">
        <f>COUNTIFS(Sheet1!$C$2:$C$51,"normal",Sheet1!$J$2:$J$51,"i",Sheet1!$H$2:$H$51,"tidak",Sheet1!$H$2:$H$51,"tidak",Sheet1!$G$2:$G$51,"rendah",Sheet1!$L$2:$L$51,"memiliki",Sheet1!$E$2:$E$51,"NORMAL")</f>
        <v>0</v>
      </c>
      <c r="Q12" s="2">
        <f>COUNTIFS(Sheet1!$C$2:$C$51,"normal",Sheet1!$J$2:$J$51,"i",Sheet1!$H$2:$H$51,"tidak",Sheet1!$G$2:$G$51,"rendah",Sheet1!$L$2:$L$51,"memiliki",Sheet1!$E$2:$E$51,"KURANG")</f>
        <v>0</v>
      </c>
      <c r="R12" s="2">
        <v>0</v>
      </c>
      <c r="S12" s="4">
        <f>($R$2)-((N12/$N$3*R12)+(N13/$N$3*R13)+(N14/$N$3*R14))</f>
        <v>-0.182366143100169</v>
      </c>
      <c r="T12" s="13"/>
      <c r="U12" s="8"/>
      <c r="V12" s="7"/>
      <c r="W12" s="7"/>
      <c r="X12" s="7"/>
      <c r="Y12" s="7"/>
      <c r="Z12" s="7"/>
      <c r="AA12" s="7"/>
      <c r="AB12" s="7"/>
      <c r="AC12" s="7"/>
    </row>
    <row r="13" spans="1:29">
      <c r="A13" s="3"/>
      <c r="B13" s="2"/>
      <c r="C13" s="2" t="s">
        <v>26</v>
      </c>
      <c r="D13" s="2">
        <f>COUNTIFS(Sheet1!$C$2:$C$51,"normal",Sheet1!$J$2:$J$51,"i",Sheet1!$H$2:$H$51,"tidak",Sheet1!$F$2:$F$51,"kombinasi",Sheet1!$L$2:$L$51,"TIDAK")</f>
        <v>1</v>
      </c>
      <c r="E13" s="2">
        <f>COUNTIFS(Sheet1!$C$2:$C$51,"normal",Sheet1!$J$2:$J$51,"i",Sheet1!$H$2:$H$51,"tidak",Sheet1!$F$2:$F$51,"kombinasi",Sheet1!$L$2:$L$51,"TIDAK",Sheet1!$E$2:$E$51,"lebih")</f>
        <v>0</v>
      </c>
      <c r="F13" s="2">
        <f>COUNTIFS(Sheet1!$C$2:$C$51,"normal",Sheet1!$J$2:$J$51,"i",Sheet1!$H$2:$H$51,"tidak",Sheet1!$F$2:$F$51,"KOMBINASI",Sheet1!$L$2:$L$51,"TIDAK",Sheet1!$E$2:$E$51,"NORMAL")</f>
        <v>0</v>
      </c>
      <c r="G13" s="2">
        <f>COUNTIFS(Sheet1!$C$2:$C$51,"normal",Sheet1!$J$2:$J$51,"i",Sheet1!$H$2:$H$51,"tidak",Sheet1!$F$2:$F$51,"KOMBINASI",Sheet1!$L$2:$L$51,"TIDAK",Sheet1!$E$2:$E$51,"KURANG")</f>
        <v>1</v>
      </c>
      <c r="H13" s="2">
        <v>0</v>
      </c>
      <c r="I13" s="6"/>
      <c r="K13" s="3"/>
      <c r="L13" s="2"/>
      <c r="M13" s="2" t="s">
        <v>18</v>
      </c>
      <c r="N13" s="2">
        <f>COUNTIFS(Sheet1!$C$2:$C$51,"normal",Sheet1!$J$2:$J$51,"i",Sheet1!$H$2:$H$51,"tidak",Sheet1!$H$2:$H$51,"tidak",Sheet1!$G$2:$G$51,"sedang",Sheet1!$L$2:$L$51,"TIDAK",Sheet1!$B$2:$B$51,"A")</f>
        <v>2</v>
      </c>
      <c r="O13" s="2">
        <f>COUNTIFS(Sheet1!$C$2:$C$51,"normal",Sheet1!$J$2:$J$51,"i",Sheet1!$H$2:$H$51,"tidak",Sheet1!$H$2:$H$51,"tidak",Sheet1!$G$2:$G$51,"SEDANG",Sheet1!$L$2:$L$51,"TIDAK",Sheet1!$E$2:$E$51,"lebih",Sheet1!$B$2:$B$51,"A")</f>
        <v>0</v>
      </c>
      <c r="P13" s="2">
        <f>COUNTIFS(Sheet1!$C$2:$C$51,"normal",Sheet1!$J$2:$J$51,"i",Sheet1!$H$2:$H$51,"tidak",Sheet1!$G$2:$G$51,"SEDANG",Sheet1!$L$2:$L$51,"TIDAK",Sheet1!$E$2:$E$51,"NORMAL",Sheet1!$B$2:$B$51,"A")</f>
        <v>1</v>
      </c>
      <c r="Q13" s="2">
        <f>COUNTIFS(Sheet1!$C$2:$C$51,"normal",Sheet1!$J$2:$J$51,"i",Sheet1!$H$2:$H$51,"tidak",Sheet1!$G$2:$G$51,"SEDANG",Sheet1!$L$2:$L$51,"TIDAK",Sheet1!$E$2:$E$51,"KURANG",Sheet1!$B$2:$B$51,"A")</f>
        <v>1</v>
      </c>
      <c r="R13" s="2">
        <v>1</v>
      </c>
      <c r="S13" s="6"/>
      <c r="T13" s="13"/>
      <c r="U13" s="8"/>
      <c r="V13" s="7"/>
      <c r="W13" s="7"/>
      <c r="X13" s="7"/>
      <c r="Y13" s="7"/>
      <c r="Z13" s="7"/>
      <c r="AA13" s="7"/>
      <c r="AB13" s="7"/>
      <c r="AC13" s="7"/>
    </row>
    <row r="14" spans="1:29">
      <c r="A14" s="3"/>
      <c r="B14" s="2"/>
      <c r="C14" s="2" t="s">
        <v>34</v>
      </c>
      <c r="D14" s="2">
        <f>COUNTIFS(Sheet1!$C$2:$C$51,"normal",Sheet1!$J$2:$J$51,"i",Sheet1!$H$2:$H$51,"tidak",Sheet1!$F$2:$F$51,"ASI",Sheet1!$L$2:$L$51,"TIDAK")</f>
        <v>1</v>
      </c>
      <c r="E14" s="2">
        <f>COUNTIFS(Sheet1!$C$2:$C$51,"normal",Sheet1!$J$2:$J$51,"i",Sheet1!$H$2:$H$51,"tidak",Sheet1!$F$2:$F$51,"ASI",Sheet1!$L$2:$L$51,"TIDAK",Sheet1!$E$2:$E$51,"lebih")</f>
        <v>0</v>
      </c>
      <c r="F14" s="2">
        <f>COUNTIFS(Sheet1!$C$2:$C$51,"normal",Sheet1!$J$2:$J$51,"i",Sheet1!$H$2:$H$51,"tidak",Sheet1!$F$2:$F$51,"ASI",Sheet1!$L$2:$L$51,"TIDAK",Sheet1!$E$2:$E$51,"normal")</f>
        <v>1</v>
      </c>
      <c r="G14" s="2">
        <f>COUNTIFS(Sheet1!$C$2:$C$51,"normal",Sheet1!$J$2:$J$51,"i",Sheet1!$H$2:$H$51,"tidak",Sheet1!$F$2:$F$51,"ASI",Sheet1!$L$2:$L$51,"TIDAK",Sheet1!$E$2:$E$51,"KURANG")</f>
        <v>0</v>
      </c>
      <c r="H14" s="2">
        <f>((-F14/D14)*IMLOG2(F14/D14))</f>
        <v>0</v>
      </c>
      <c r="I14" s="5"/>
      <c r="K14" s="3"/>
      <c r="L14" s="2"/>
      <c r="M14" s="2" t="s">
        <v>31</v>
      </c>
      <c r="N14" s="2">
        <f>COUNTIFS(Sheet1!$C$2:$C$51,"normal",Sheet1!$J$2:$J$51,"i",Sheet1!$H$2:$H$51,"tidak",Sheet1!$H$2:$H$51,"tidak",Sheet1!$G$2:$G$51,"tinggi",Sheet1!$L$2:$L$51,"TIDAK",Sheet1!$B$2:$B$51,"A")</f>
        <v>0</v>
      </c>
      <c r="O14" s="2">
        <f>COUNTIFS(Sheet1!$C$2:$C$51,"normal",Sheet1!$J$2:$J$51,"i",Sheet1!$H$2:$H$51,"tidak",Sheet1!$H$2:$H$51,"tidak",Sheet1!$G$2:$G$51,"TINGGI",Sheet1!$L$2:$L$51,"TIDAK",Sheet1!$E$2:$E$51,"lebih")</f>
        <v>0</v>
      </c>
      <c r="P14" s="2">
        <f>COUNTIFS(Sheet1!$C$2:$C$51,"normal",Sheet1!$J$2:$J$51,"i",Sheet1!$H$2:$H$51,"tidak",Sheet1!$G$2:$G$51,"TINGGI",Sheet1!$L$2:$L$51,"TIDAK",Sheet1!$E$2:$E$51,"NORMAL")</f>
        <v>0</v>
      </c>
      <c r="Q14" s="2">
        <f>COUNTIFS(Sheet1!$C$2:$C$51,"normal",Sheet1!$J$2:$J$51,"i",Sheet1!$H$2:$H$51,"tidak",Sheet1!$G$2:$G$51,"TINGGI",Sheet1!$L$2:$L$51,"TIDAK",Sheet1!$E$2:$E$51,"KURANG")</f>
        <v>1</v>
      </c>
      <c r="R14" s="2">
        <v>0</v>
      </c>
      <c r="S14" s="5"/>
      <c r="T14" s="13"/>
      <c r="U14" s="8"/>
      <c r="V14" s="7"/>
      <c r="W14" s="7"/>
      <c r="X14" s="7"/>
      <c r="Y14" s="7"/>
      <c r="Z14" s="7"/>
      <c r="AA14" s="7"/>
      <c r="AB14" s="7"/>
      <c r="AC14" s="7"/>
    </row>
    <row r="15" spans="1:29">
      <c r="A15" s="3"/>
      <c r="B15" s="2" t="s">
        <v>49</v>
      </c>
      <c r="C15" s="2" t="s">
        <v>30</v>
      </c>
      <c r="D15" s="2">
        <f>COUNTIFS(Sheet1!$C$2:$C$51,"normal",Sheet1!$J$2:$J$51,"i",Sheet1!$H$2:$H$51,"tidak",Sheet1!$H$2:$H$51,"tidak",Sheet1!$G$2:$G$51,"rendah",Sheet1!$L$2:$L$51,"TIDAK")</f>
        <v>0</v>
      </c>
      <c r="E15" s="2">
        <f>COUNTIFS(Sheet1!$C$2:$C$51,"normal",Sheet1!$J$2:$J$51,"i",Sheet1!$H$2:$H$51,"tidak",Sheet1!$G$2:$G$51,"rendah",Sheet1!$L$2:$L$51,"memiliki",Sheet1!$E$2:$E$51,"lebih")</f>
        <v>0</v>
      </c>
      <c r="F15" s="2">
        <f>COUNTIFS(Sheet1!$C$2:$C$51,"normal",Sheet1!$J$2:$J$51,"i",Sheet1!$H$2:$H$51,"tidak",Sheet1!$H$2:$H$51,"tidak",Sheet1!$G$2:$G$51,"rendah",Sheet1!$L$2:$L$51,"memiliki",Sheet1!$E$2:$E$51,"NORMAL")</f>
        <v>0</v>
      </c>
      <c r="G15" s="2">
        <f>COUNTIFS(Sheet1!$C$2:$C$51,"normal",Sheet1!$J$2:$J$51,"i",Sheet1!$H$2:$H$51,"tidak",Sheet1!$G$2:$G$51,"rendah",Sheet1!$L$2:$L$51,"memiliki",Sheet1!$E$2:$E$51,"KURANG")</f>
        <v>0</v>
      </c>
      <c r="H15" s="2">
        <v>0</v>
      </c>
      <c r="I15" s="4">
        <f>($H$2)-((D15/$D$3*H15)+(D16/$D$3*H16)+(D17/$D$3*H17))</f>
        <v>0.0251526065392513</v>
      </c>
      <c r="K15" s="3"/>
      <c r="L15" s="2" t="s">
        <v>51</v>
      </c>
      <c r="M15" s="2" t="s">
        <v>20</v>
      </c>
      <c r="N15" s="2">
        <f>COUNTIFS(Sheet1!$C$2:$C$51,"normal",Sheet1!$J$2:$J$51,"i",Sheet1!$H$2:$H$51,"tidak",Sheet1!$I$2:$I$51,"x",Sheet1!$L$2:$L$51,"TIDAK",Sheet1!$B$2:$B$51,"A")</f>
        <v>2</v>
      </c>
      <c r="O15" s="2">
        <f>COUNTIFS(Sheet1!$C$2:$C$51,"normal",Sheet1!$J$2:$J$51,"i",Sheet1!$H$2:$H$51,"tidak",Sheet1!$I$2:$I$51,"x",Sheet1!$L$2:$L$51,"TIDAK",Sheet1!$E$2:$E$51,"lebih",Sheet1!$B$2:$B$51,"A")</f>
        <v>0</v>
      </c>
      <c r="P15" s="2">
        <f>COUNTIFS(Sheet1!$C$2:$C$51,"normal",Sheet1!$J$2:$J$51,"i",Sheet1!$H$2:$H$51,"tidak",Sheet1!$I$2:$I$51,"x",Sheet1!$L$2:$L$51,"TIDAK",Sheet1!$E$2:$E$51,"normal",Sheet1!$B$2:$B$51,"A")</f>
        <v>1</v>
      </c>
      <c r="Q15" s="2">
        <v>1</v>
      </c>
      <c r="R15" s="2">
        <v>1</v>
      </c>
      <c r="S15" s="4">
        <f>($R$2)-((N15/$N$3*R15)+(N16/$N$3*R16)+(N17/$N$3*R17))</f>
        <v>-0.182366143100169</v>
      </c>
      <c r="T15" s="13"/>
      <c r="U15" s="8"/>
      <c r="V15" s="7"/>
      <c r="W15" s="7"/>
      <c r="X15" s="7"/>
      <c r="Y15" s="7"/>
      <c r="Z15" s="7"/>
      <c r="AA15" s="7"/>
      <c r="AB15" s="7"/>
      <c r="AC15" s="7"/>
    </row>
    <row r="16" spans="1:29">
      <c r="A16" s="3"/>
      <c r="B16" s="2"/>
      <c r="C16" s="2" t="s">
        <v>18</v>
      </c>
      <c r="D16" s="2">
        <f>COUNTIFS(Sheet1!$C$2:$C$51,"normal",Sheet1!$J$2:$J$51,"i",Sheet1!$H$2:$H$51,"tidak",Sheet1!$H$2:$H$51,"tidak",Sheet1!$G$2:$G$51,"sedang",Sheet1!$L$2:$L$51,"TIDAK")</f>
        <v>3</v>
      </c>
      <c r="E16" s="2">
        <f>COUNTIFS(Sheet1!$C$2:$C$51,"normal",Sheet1!$J$2:$J$51,"i",Sheet1!$H$2:$H$51,"tidak",Sheet1!$H$2:$H$51,"tidak",Sheet1!$G$2:$G$51,"SEDANG",Sheet1!$L$2:$L$51,"TIDAK",Sheet1!$E$2:$E$51,"lebih")</f>
        <v>1</v>
      </c>
      <c r="F16" s="2">
        <f>COUNTIFS(Sheet1!$C$2:$C$51,"normal",Sheet1!$J$2:$J$51,"i",Sheet1!$H$2:$H$51,"tidak",Sheet1!$G$2:$G$51,"SEDANG",Sheet1!$L$2:$L$51,"TIDAK",Sheet1!$E$2:$E$51,"NORMAL")</f>
        <v>1</v>
      </c>
      <c r="G16" s="2">
        <f>COUNTIFS(Sheet1!$C$2:$C$51,"normal",Sheet1!$J$2:$J$51,"i",Sheet1!$H$2:$H$51,"tidak",Sheet1!$G$2:$G$51,"SEDANG",Sheet1!$L$2:$L$51,"TIDAK",Sheet1!$E$2:$E$51,"KURANG")</f>
        <v>1</v>
      </c>
      <c r="H16" s="2">
        <f>((-E16/D16)*IMLOG2(E16/D16)+(-F16/D16)*IMLOG2(F16/D16))</f>
        <v>1.05664166714744</v>
      </c>
      <c r="I16" s="6"/>
      <c r="K16" s="3"/>
      <c r="L16" s="2"/>
      <c r="M16" s="2" t="s">
        <v>52</v>
      </c>
      <c r="N16" s="2">
        <f>COUNTIFS(Sheet1!$C$2:$C$51,"normal",Sheet1!$J$2:$J$51,"i",Sheet1!$H$2:$H$51,"tidak",Sheet1!$I$2:$I$51,"y",Sheet1!$L$2:$L$51,"memiliki")</f>
        <v>0</v>
      </c>
      <c r="O16" s="2">
        <f>COUNTIFS(Sheet1!$C$2:$C$51,"normal",Sheet1!$J$2:$J$51,"i",Sheet1!$H$2:$H$51,"tidak",Sheet1!$I$2:$I$51,"y",Sheet1!$L$2:$L$51,"memiliki",Sheet1!$E$2:$E$51,"lebih")</f>
        <v>0</v>
      </c>
      <c r="P16" s="2">
        <f>COUNTIFS(Sheet1!$C$2:$C$51,"normal",Sheet1!$J$2:$J$51,"i",Sheet1!$H$2:$H$51,"tidak",Sheet1!$I$2:$I$51,"y",Sheet1!$L$2:$L$51,"memiliki",Sheet1!$E$2:$E$51,"normal")</f>
        <v>0</v>
      </c>
      <c r="Q16" s="2">
        <f>COUNTIFS(Sheet1!$C$2:$C$51,"normal",Sheet1!$J$2:$J$51,"i",Sheet1!$I$2:$I$51,"y",Sheet1!$L$2:$L$51,"memiliki",Sheet1!$E$2:$E$51,"kurang")</f>
        <v>0</v>
      </c>
      <c r="R16" s="2">
        <v>0</v>
      </c>
      <c r="S16" s="6"/>
      <c r="T16" s="13"/>
      <c r="U16" s="8"/>
      <c r="V16" s="7"/>
      <c r="W16" s="7"/>
      <c r="X16" s="7"/>
      <c r="Y16" s="7"/>
      <c r="Z16" s="7"/>
      <c r="AA16" s="7"/>
      <c r="AB16" s="7"/>
      <c r="AC16" s="7"/>
    </row>
    <row r="17" spans="1:29">
      <c r="A17" s="3"/>
      <c r="B17" s="2"/>
      <c r="C17" s="2" t="s">
        <v>31</v>
      </c>
      <c r="D17" s="2">
        <f>COUNTIFS(Sheet1!$C$2:$C$51,"normal",Sheet1!$J$2:$J$51,"i",Sheet1!$H$2:$H$51,"tidak",Sheet1!$H$2:$H$51,"tidak",Sheet1!$G$2:$G$51,"tinggi",Sheet1!$L$2:$L$51,"TIDAK")</f>
        <v>1</v>
      </c>
      <c r="E17" s="2">
        <f>COUNTIFS(Sheet1!$C$2:$C$51,"normal",Sheet1!$J$2:$J$51,"i",Sheet1!$H$2:$H$51,"tidak",Sheet1!$H$2:$H$51,"tidak",Sheet1!$G$2:$G$51,"TINGGI",Sheet1!$L$2:$L$51,"TIDAK",Sheet1!$E$2:$E$51,"lebih")</f>
        <v>0</v>
      </c>
      <c r="F17" s="2">
        <f>COUNTIFS(Sheet1!$C$2:$C$51,"normal",Sheet1!$J$2:$J$51,"i",Sheet1!$H$2:$H$51,"tidak",Sheet1!$G$2:$G$51,"TINGGI",Sheet1!$L$2:$L$51,"TIDAK",Sheet1!$E$2:$E$51,"NORMAL")</f>
        <v>0</v>
      </c>
      <c r="G17" s="2">
        <f>COUNTIFS(Sheet1!$C$2:$C$51,"normal",Sheet1!$J$2:$J$51,"i",Sheet1!$H$2:$H$51,"tidak",Sheet1!$G$2:$G$51,"TINGGI",Sheet1!$L$2:$L$51,"TIDAK",Sheet1!$E$2:$E$51,"KURANG")</f>
        <v>1</v>
      </c>
      <c r="H17" s="2">
        <v>0</v>
      </c>
      <c r="I17" s="5"/>
      <c r="K17" s="3"/>
      <c r="L17" s="2"/>
      <c r="M17" s="2" t="s">
        <v>53</v>
      </c>
      <c r="N17" s="2">
        <f>COUNTIFS(Sheet1!$C$2:$C$51,"normal",Sheet1!$J$2:$J$51,"i",Sheet1!$H$2:$H$51,"tidak",Sheet1!$I$2:$I$51,"z",Sheet1!$L$2:$L$51,"memiliki")</f>
        <v>0</v>
      </c>
      <c r="O17" s="2">
        <f>COUNTIFS(Sheet1!$C$2:$C$51,"normal",Sheet1!$J$2:$J$51,"i",Sheet1!$H$2:$H$51,"tidak",Sheet1!$I$2:$I$51,"z",Sheet1!$L$2:$L$51,"memiliki",Sheet1!$E$2:$E$51,"lebih")</f>
        <v>0</v>
      </c>
      <c r="P17" s="2">
        <f>COUNTIFS(Sheet1!$C$2:$C$51,"normal",Sheet1!$J$2:$J$51,"i",Sheet1!$H$2:$H$51,"tidak",Sheet1!$I$2:$I$51,"z",Sheet1!$L$2:$L$51,"memiliki",Sheet1!$E$2:$E$51,"normal")</f>
        <v>0</v>
      </c>
      <c r="Q17" s="2">
        <f>COUNTIFS(Sheet1!$C$2:$C$51,"normal",Sheet1!$J$2:$J$51,"i",Sheet1!$I$2:$I$51,"z",Sheet1!$L$2:$L$51,"memiliki",Sheet1!$E$2:$E$51,"kurang")</f>
        <v>0</v>
      </c>
      <c r="R17" s="2">
        <v>0</v>
      </c>
      <c r="S17" s="5"/>
      <c r="T17" s="13"/>
      <c r="U17" s="8"/>
      <c r="V17" s="7"/>
      <c r="W17" s="7"/>
      <c r="X17" s="7"/>
      <c r="Y17" s="7"/>
      <c r="Z17" s="7"/>
      <c r="AA17" s="7"/>
      <c r="AB17" s="7"/>
      <c r="AC17" s="7"/>
    </row>
    <row r="18" spans="1:29">
      <c r="A18" s="3"/>
      <c r="B18" s="2" t="s">
        <v>51</v>
      </c>
      <c r="C18" s="2" t="s">
        <v>20</v>
      </c>
      <c r="D18" s="2">
        <f>COUNTIFS(Sheet1!$C$2:$C$51,"normal",Sheet1!$J$2:$J$51,"i",Sheet1!$H$2:$H$51,"tidak",Sheet1!$I$2:$I$51,"x",Sheet1!$L$2:$L$51,"TIDAK")</f>
        <v>4</v>
      </c>
      <c r="E18" s="2">
        <f>COUNTIFS(Sheet1!$C$2:$C$51,"normal",Sheet1!$J$2:$J$51,"i",Sheet1!$H$2:$H$51,"tidak",Sheet1!$I$2:$I$51,"x",Sheet1!$L$2:$L$51,"TIDAK",Sheet1!$E$2:$E$51,"lebih")</f>
        <v>1</v>
      </c>
      <c r="F18" s="2">
        <f>COUNTIFS(Sheet1!$C$2:$C$51,"normal",Sheet1!$J$2:$J$51,"i",Sheet1!$H$2:$H$51,"tidak",Sheet1!$I$2:$I$51,"x",Sheet1!$L$2:$L$51,"TIDAK",Sheet1!$E$2:$E$51,"normal")</f>
        <v>1</v>
      </c>
      <c r="G18" s="2">
        <f>COUNTIFS(Sheet1!$C$2:$C$51,"normal",Sheet1!$J$2:$J$51,"i",Sheet1!$H$2:$H$51,"tidak",Sheet1!$I$2:$I$51,"x",Sheet1!$L$2:$L$51,"TIDAK",Sheet1!$E$2:$E$51,"kurang")</f>
        <v>2</v>
      </c>
      <c r="H18" s="2">
        <f>((-E18/D18)*IMLOG2(E18/D18)+(-F18/D18)*IMLOG2(F18/D18)+(-G18/D18)*IMLOG2(G18/D18))</f>
        <v>1.5</v>
      </c>
      <c r="I18" s="4">
        <f>($H$2)-((D18/$D$3*H18)+(D19/$D$3*H19)+(D20/$D$3*H20))</f>
        <v>-0.682366143100169</v>
      </c>
      <c r="K18" s="3"/>
      <c r="L18" s="4" t="s">
        <v>56</v>
      </c>
      <c r="M18" s="2" t="s">
        <v>30</v>
      </c>
      <c r="N18" s="2">
        <f>COUNTIFS(Sheet1!$C$2:$C$51,"normal",Sheet1!$J$2:$J$51,"i",Sheet1!$H$2:$H$51,"tidak",Sheet1!$K$2:$K$51,"rendah",Sheet1!$L$2:$L$51,"TIDAK",Sheet1!$B$2:$B$51,"A")</f>
        <v>0</v>
      </c>
      <c r="O18" s="2">
        <f>COUNTIFS(Sheet1!$C$2:$C$51,"normal",Sheet1!$J$2:$J$51,"i",Sheet1!$H$2:$H$51,"tidak",Sheet1!$K$2:$K$51,"rendah",Sheet1!$L$2:$L$51,"memiliki",Sheet1!$E$2:$E$51,"lebih",Sheet1!$B$2:$B$51,"A")</f>
        <v>0</v>
      </c>
      <c r="P18" s="2">
        <f>COUNTIFS(Sheet1!$C$2:$C$51,"normal",Sheet1!$J$2:$J$51,"i",Sheet1!$H$2:$H$51,"tidak",Sheet1!$K$2:$K$51,"rendah",Sheet1!$L$2:$L$51,"memiliki",Sheet1!$E$2:$E$51,"normal")</f>
        <v>0</v>
      </c>
      <c r="Q18" s="2">
        <f>COUNTIFS(Sheet1!$C$2:$C$51,"normal",Sheet1!$J$2:$J$51,"i",Sheet1!$H$2:$H$51,"tidak",Sheet1!$K$2:$K$51,"rendah",Sheet1!$L$2:$L$51,"memiliki",Sheet1!$E$2:$E$51,"kurang")</f>
        <v>0</v>
      </c>
      <c r="R18" s="2">
        <v>0</v>
      </c>
      <c r="S18" s="4">
        <f>($R$2)-((N18/$N$3*R18)+(N19/$N$3*R19)+(N20/$N$3*R20))</f>
        <v>-0.182366143100169</v>
      </c>
      <c r="T18" s="13"/>
      <c r="U18" s="8"/>
      <c r="V18" s="9"/>
      <c r="W18" s="9"/>
      <c r="X18" s="9"/>
      <c r="Y18" s="9"/>
      <c r="Z18" s="9"/>
      <c r="AA18" s="9"/>
      <c r="AB18" s="9"/>
      <c r="AC18" s="9"/>
    </row>
    <row r="19" spans="1:29">
      <c r="A19" s="3"/>
      <c r="B19" s="2"/>
      <c r="C19" s="2" t="s">
        <v>52</v>
      </c>
      <c r="D19" s="2">
        <f>COUNTIFS(Sheet1!$C$2:$C$51,"normal",Sheet1!$J$2:$J$51,"i",Sheet1!$H$2:$H$51,"tidak",Sheet1!$I$2:$I$51,"y",Sheet1!$L$2:$L$51,"memiliki")</f>
        <v>0</v>
      </c>
      <c r="E19" s="2">
        <f>COUNTIFS(Sheet1!$C$2:$C$51,"normal",Sheet1!$J$2:$J$51,"i",Sheet1!$H$2:$H$51,"tidak",Sheet1!$I$2:$I$51,"y",Sheet1!$L$2:$L$51,"memiliki",Sheet1!$E$2:$E$51,"lebih")</f>
        <v>0</v>
      </c>
      <c r="F19" s="2">
        <f>COUNTIFS(Sheet1!$C$2:$C$51,"normal",Sheet1!$J$2:$J$51,"i",Sheet1!$H$2:$H$51,"tidak",Sheet1!$I$2:$I$51,"y",Sheet1!$L$2:$L$51,"memiliki",Sheet1!$E$2:$E$51,"normal")</f>
        <v>0</v>
      </c>
      <c r="G19" s="2">
        <f>COUNTIFS(Sheet1!$C$2:$C$51,"normal",Sheet1!$J$2:$J$51,"i",Sheet1!$I$2:$I$51,"y",Sheet1!$L$2:$L$51,"memiliki",Sheet1!$E$2:$E$51,"kurang")</f>
        <v>0</v>
      </c>
      <c r="H19" s="2">
        <v>0</v>
      </c>
      <c r="I19" s="6"/>
      <c r="K19" s="3"/>
      <c r="L19" s="6"/>
      <c r="M19" s="2" t="s">
        <v>22</v>
      </c>
      <c r="N19" s="2">
        <f>COUNTIFS(Sheet1!$C$2:$C$51,"normal",Sheet1!$J$2:$J$51,"i",Sheet1!$H$2:$H$51,"tidak",Sheet1!$K$2:$K$51,"menengah",Sheet1!$L$2:$L$51,"TIDAK",Sheet1!$B$2:$B$51,"A")</f>
        <v>2</v>
      </c>
      <c r="O19" s="2">
        <f>COUNTIFS(Sheet1!$C$2:$C$51,"normal",Sheet1!$J$2:$J$51,"i",Sheet1!$H$2:$H$51,"tidak",Sheet1!$K$2:$K$51,"menengah",Sheet1!$L$2:$L$51,"TIDAK",Sheet1!$E$2:$E$51,"lebih",Sheet1!$B$2:$B$51,"A")</f>
        <v>0</v>
      </c>
      <c r="P19" s="2">
        <f>COUNTIFS(Sheet1!$C$2:$C$51,"normal",Sheet1!$J$2:$J$51,"i",Sheet1!$H$2:$H$51,"tidak",Sheet1!$K$2:$K$51,"menengah",Sheet1!$L$2:$L$51,"TIDAK",Sheet1!$E$2:$E$51,"normal",Sheet1!$B$2:$B$51,"A")</f>
        <v>1</v>
      </c>
      <c r="Q19" s="2">
        <f>COUNTIFS(Sheet1!$C$2:$C$51,"normal",Sheet1!$J$2:$J$51,"i",Sheet1!$H$2:$H$51,"tidak",Sheet1!$K$2:$K$51,"menengah",Sheet1!$L$2:$L$51,"TIDAK",Sheet1!$E$2:$E$51,"kurang",Sheet1!$B$2:$B$51,"A")</f>
        <v>1</v>
      </c>
      <c r="R19" s="2">
        <v>1</v>
      </c>
      <c r="S19" s="6"/>
      <c r="T19" s="13"/>
      <c r="U19" s="8"/>
      <c r="V19" s="9"/>
      <c r="W19" s="9"/>
      <c r="X19" s="9"/>
      <c r="Y19" s="9"/>
      <c r="Z19" s="9"/>
      <c r="AA19" s="9"/>
      <c r="AB19" s="9"/>
      <c r="AC19" s="9"/>
    </row>
    <row r="20" spans="1:29">
      <c r="A20" s="3"/>
      <c r="B20" s="2"/>
      <c r="C20" s="2" t="s">
        <v>53</v>
      </c>
      <c r="D20" s="2">
        <f>COUNTIFS(Sheet1!$C$2:$C$51,"normal",Sheet1!$J$2:$J$51,"i",Sheet1!$H$2:$H$51,"tidak",Sheet1!$I$2:$I$51,"z",Sheet1!$L$2:$L$51,"memiliki")</f>
        <v>0</v>
      </c>
      <c r="E20" s="2">
        <f>COUNTIFS(Sheet1!$C$2:$C$51,"normal",Sheet1!$J$2:$J$51,"i",Sheet1!$H$2:$H$51,"tidak",Sheet1!$I$2:$I$51,"z",Sheet1!$L$2:$L$51,"memiliki",Sheet1!$E$2:$E$51,"lebih")</f>
        <v>0</v>
      </c>
      <c r="F20" s="2">
        <f>COUNTIFS(Sheet1!$C$2:$C$51,"normal",Sheet1!$J$2:$J$51,"i",Sheet1!$H$2:$H$51,"tidak",Sheet1!$I$2:$I$51,"z",Sheet1!$L$2:$L$51,"memiliki",Sheet1!$E$2:$E$51,"normal")</f>
        <v>0</v>
      </c>
      <c r="G20" s="2">
        <f>COUNTIFS(Sheet1!$C$2:$C$51,"normal",Sheet1!$J$2:$J$51,"i",Sheet1!$I$2:$I$51,"z",Sheet1!$L$2:$L$51,"memiliki",Sheet1!$E$2:$E$51,"kurang")</f>
        <v>0</v>
      </c>
      <c r="H20" s="2">
        <v>0</v>
      </c>
      <c r="I20" s="5"/>
      <c r="K20" s="3"/>
      <c r="L20" s="5"/>
      <c r="M20" s="2" t="s">
        <v>31</v>
      </c>
      <c r="N20" s="2">
        <f>COUNTIFS(Sheet1!$C$2:$C$51,"normal",Sheet1!$J$2:$J$51,"i",Sheet1!$H$2:$H$51,"tidak",Sheet1!$K$2:$K$51,"tinggi",Sheet1!$L$2:$L$51,"TIDAK",Sheet1!$B$2:$B$51,"A")</f>
        <v>0</v>
      </c>
      <c r="O20" s="2">
        <f>COUNTIFS(Sheet1!$C$2:$C$51,"normal",Sheet1!$J$2:$J$51,"i",Sheet1!$H$2:$H$51,"tidak",Sheet1!$K$2:$K$51,"tinggi",Sheet1!$L$2:$L$51,"TIDAK",Sheet1!$E$2:$E$51,"lebih",Sheet1!$B$2:$B$51,"A")</f>
        <v>0</v>
      </c>
      <c r="P20" s="2">
        <f>COUNTIFS(Sheet1!$C$2:$C$51,"normal",Sheet1!$J$2:$J$51,"i",Sheet1!$H$2:$H$51,"tidak",Sheet1!$K$2:$K$51,"tinggi",Sheet1!$L$2:$L$51,"TIDAK",Sheet1!$E$2:$E$51,"normal",Sheet1!$B$2:$B$51,"A")</f>
        <v>0</v>
      </c>
      <c r="Q20" s="2">
        <f>COUNTIFS(Sheet1!$C$2:$C$51,"normal",Sheet1!$J$2:$J$51,"i",Sheet1!$H$2:$H$51,"tidak",Sheet1!$K$2:$K$51,"tinggi",Sheet1!$L$2:$L$51,"TIDAK",Sheet1!$E$2:$E$51,"kurang",Sheet1!$B$2:$B$51,"A")</f>
        <v>0</v>
      </c>
      <c r="R20" s="2">
        <v>0</v>
      </c>
      <c r="S20" s="5"/>
      <c r="T20" s="13"/>
      <c r="U20" s="8"/>
      <c r="V20" s="9"/>
      <c r="W20" s="9"/>
      <c r="X20" s="9"/>
      <c r="Y20" s="9"/>
      <c r="Z20" s="9"/>
      <c r="AA20" s="9"/>
      <c r="AB20" s="9"/>
      <c r="AC20" s="9"/>
    </row>
    <row r="21" spans="1:29">
      <c r="A21" s="3"/>
      <c r="B21" s="4" t="s">
        <v>56</v>
      </c>
      <c r="C21" s="2" t="s">
        <v>30</v>
      </c>
      <c r="D21" s="2">
        <f>COUNTIFS(Sheet1!$C$2:$C$51,"normal",Sheet1!$J$2:$J$51,"i",Sheet1!$H$2:$H$51,"tidak",Sheet1!$K$2:$K$51,"rendah",Sheet1!$L$2:$L$51,"TIDAK")</f>
        <v>0</v>
      </c>
      <c r="E21" s="2">
        <f>COUNTIFS(Sheet1!$C$2:$C$51,"normal",Sheet1!$J$2:$J$51,"i",Sheet1!$H$2:$H$51,"tidak",Sheet1!$K$2:$K$51,"rendah",Sheet1!$L$2:$L$51,"memiliki",Sheet1!$E$2:$E$51,"lebih")</f>
        <v>0</v>
      </c>
      <c r="F21" s="2">
        <f>COUNTIFS(Sheet1!$C$2:$C$51,"normal",Sheet1!$J$2:$J$51,"i",Sheet1!$H$2:$H$51,"tidak",Sheet1!$K$2:$K$51,"rendah",Sheet1!$L$2:$L$51,"memiliki",Sheet1!$E$2:$E$51,"normal")</f>
        <v>0</v>
      </c>
      <c r="G21" s="2">
        <f>COUNTIFS(Sheet1!$C$2:$C$51,"normal",Sheet1!$J$2:$J$51,"i",Sheet1!$H$2:$H$51,"tidak",Sheet1!$K$2:$K$51,"rendah",Sheet1!$L$2:$L$51,"memiliki",Sheet1!$E$2:$E$51,"kurang")</f>
        <v>0</v>
      </c>
      <c r="H21" s="2">
        <v>0</v>
      </c>
      <c r="I21" s="4">
        <f>($H$2)-((D21/$D$3*H21)+(D22/$D$3*H22)+(D23/$D$3*H23))</f>
        <v>0.0251526065392513</v>
      </c>
      <c r="K21" s="8"/>
      <c r="T21" s="13"/>
      <c r="U21" s="7"/>
      <c r="V21" s="7"/>
      <c r="W21" s="7"/>
      <c r="X21" s="7"/>
      <c r="Y21" s="7"/>
      <c r="Z21" s="7"/>
      <c r="AA21" s="7"/>
      <c r="AB21" s="7"/>
      <c r="AC21" s="7"/>
    </row>
    <row r="22" spans="1:29">
      <c r="A22" s="3"/>
      <c r="B22" s="6"/>
      <c r="C22" s="2" t="s">
        <v>22</v>
      </c>
      <c r="D22" s="2">
        <f>COUNTIFS(Sheet1!$C$2:$C$51,"normal",Sheet1!$J$2:$J$51,"i",Sheet1!$H$2:$H$51,"tidak",Sheet1!$K$2:$K$51,"menengah",Sheet1!$L$2:$L$51,"TIDAK")</f>
        <v>3</v>
      </c>
      <c r="E22" s="2">
        <f>COUNTIFS(Sheet1!$C$2:$C$51,"normal",Sheet1!$J$2:$J$51,"i",Sheet1!$H$2:$H$51,"tidak",Sheet1!$K$2:$K$51,"menengah",Sheet1!$L$2:$L$51,"TIDAK",Sheet1!$E$2:$E$51,"lebih")</f>
        <v>1</v>
      </c>
      <c r="F22" s="2">
        <f>COUNTIFS(Sheet1!$C$2:$C$51,"normal",Sheet1!$J$2:$J$51,"i",Sheet1!$H$2:$H$51,"tidak",Sheet1!$K$2:$K$51,"menengah",Sheet1!$L$2:$L$51,"TIDAK",Sheet1!$E$2:$E$51,"normal")</f>
        <v>1</v>
      </c>
      <c r="G22" s="2">
        <f>COUNTIFS(Sheet1!$C$2:$C$51,"normal",Sheet1!$J$2:$J$51,"i",Sheet1!$H$2:$H$51,"tidak",Sheet1!$K$2:$K$51,"menengah",Sheet1!$L$2:$L$51,"TIDAK",Sheet1!$E$2:$E$51,"kurang")</f>
        <v>1</v>
      </c>
      <c r="H22" s="2">
        <f>((-E22/D22)*IMLOG2(E22/D22)+(-F22/D22)*IMLOG2(F22/D22))</f>
        <v>1.05664166714744</v>
      </c>
      <c r="I22" s="6"/>
      <c r="K22" s="8"/>
      <c r="T22" s="13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3"/>
      <c r="B23" s="5"/>
      <c r="C23" s="2" t="s">
        <v>31</v>
      </c>
      <c r="D23" s="2">
        <f>COUNTIFS(Sheet1!$C$2:$C$51,"normal",Sheet1!$J$2:$J$51,"i",Sheet1!$H$2:$H$51,"tidak",Sheet1!$K$2:$K$51,"tinggi",Sheet1!$L$2:$L$51,"TIDAK")</f>
        <v>1</v>
      </c>
      <c r="E23" s="2">
        <f>COUNTIFS(Sheet1!$C$2:$C$51,"normal",Sheet1!$J$2:$J$51,"i",Sheet1!$H$2:$H$51,"tidak",Sheet1!$K$2:$K$51,"tinggi",Sheet1!$L$2:$L$51,"TIDAK",Sheet1!$E$2:$E$51,"lebih")</f>
        <v>0</v>
      </c>
      <c r="F23" s="2">
        <f>COUNTIFS(Sheet1!$C$2:$C$51,"normal",Sheet1!$J$2:$J$51,"i",Sheet1!$H$2:$H$51,"tidak",Sheet1!$K$2:$K$51,"tinggi",Sheet1!$L$2:$L$51,"TIDAK",Sheet1!$E$2:$E$51,"normal")</f>
        <v>0</v>
      </c>
      <c r="G23" s="2">
        <f>COUNTIFS(Sheet1!$C$2:$C$51,"normal",Sheet1!$J$2:$J$51,"i",Sheet1!$H$2:$H$51,"tidak",Sheet1!$K$2:$K$51,"tinggi",Sheet1!$L$2:$L$51,"TIDAK",Sheet1!$E$2:$E$51,"kurang")</f>
        <v>1</v>
      </c>
      <c r="H23" s="2">
        <v>0</v>
      </c>
      <c r="I23" s="5"/>
      <c r="K23" s="8"/>
      <c r="T23" s="13"/>
      <c r="U23" s="7"/>
      <c r="V23" s="7"/>
      <c r="W23" s="7"/>
      <c r="X23" s="7"/>
      <c r="Y23" s="7"/>
      <c r="Z23" s="7"/>
      <c r="AA23" s="7"/>
      <c r="AB23" s="7"/>
      <c r="AC23" s="7"/>
    </row>
    <row r="24" spans="1:29">
      <c r="A24" s="7"/>
      <c r="K24" s="9"/>
      <c r="L24" s="9"/>
      <c r="M24" s="9"/>
      <c r="N24" s="9"/>
      <c r="O24" s="9"/>
      <c r="P24" s="9"/>
      <c r="Q24" s="9"/>
      <c r="R24" s="9"/>
      <c r="S24" s="9"/>
      <c r="T24" s="13"/>
      <c r="U24" s="7"/>
      <c r="V24" s="7"/>
      <c r="W24" s="7"/>
      <c r="X24" s="7"/>
      <c r="Y24" s="7"/>
      <c r="Z24" s="7"/>
      <c r="AA24" s="7"/>
      <c r="AB24" s="7"/>
      <c r="AC24" s="7"/>
    </row>
    <row r="25" spans="1:29">
      <c r="A25" s="7"/>
      <c r="K25" s="10"/>
      <c r="L25" s="7"/>
      <c r="M25" s="7"/>
      <c r="N25" s="7"/>
      <c r="O25" s="7"/>
      <c r="P25" s="7"/>
      <c r="Q25" s="7"/>
      <c r="R25" s="7"/>
      <c r="S25" s="7"/>
      <c r="T25" s="13"/>
      <c r="U25" s="7"/>
      <c r="V25" s="7"/>
      <c r="W25" s="7"/>
      <c r="X25" s="7"/>
      <c r="Y25" s="7"/>
      <c r="Z25" s="7"/>
      <c r="AA25" s="7"/>
      <c r="AB25" s="7"/>
      <c r="AC25" s="7"/>
    </row>
    <row r="26" spans="1:29">
      <c r="A26" s="7"/>
      <c r="B26" s="7"/>
      <c r="C26" s="7"/>
      <c r="D26" s="7"/>
      <c r="E26" s="7"/>
      <c r="F26" s="7"/>
      <c r="G26" s="7"/>
      <c r="H26" s="7"/>
      <c r="I26" s="7"/>
      <c r="K26" s="11"/>
      <c r="L26" s="4" t="s">
        <v>45</v>
      </c>
      <c r="M26" s="2" t="s">
        <v>33</v>
      </c>
      <c r="N26" s="2">
        <f>COUNTIFS(Sheet1!$C$2:$C$51,"normal",Sheet1!$J$2:$J$51,"i",Sheet1!$H$2:$H$51,"tidak",Sheet1!$L$2:$L$51,"TIDAK",Sheet1!$B$2:$B$51,"A")</f>
        <v>2</v>
      </c>
      <c r="O26" s="2">
        <f>COUNTIFS(Sheet1!$C$2:$C$51,"normal",Sheet1!$J$2:$J$51,"i",Sheet1!$H$2:$H$51,"tidak",Sheet1!$L$2:$L$51,"TIDAK",Sheet1!$B$2:$B$51,"A",Sheet1!$E$2:$E$51,"lebih")</f>
        <v>0</v>
      </c>
      <c r="P26" s="2">
        <f>COUNTIFS(Sheet1!$C$2:$C$51,"normal",Sheet1!$J$2:$J$51,"i",Sheet1!$H$2:$H$51,"tidak",Sheet1!$L$2:$L$51,"TIDAK",Sheet1!$B$2:$B$51,"A",Sheet1!$E$2:$E$51,"NORMAL")</f>
        <v>1</v>
      </c>
      <c r="Q26" s="2">
        <f>COUNTIFS(Sheet1!$C$2:$C$51,"normal",Sheet1!$J$2:$J$51,"i",Sheet1!$H$2:$H$51,"tidak",Sheet1!$L$2:$L$51,"TIDAK",Sheet1!$B$2:$B$51,"A",Sheet1!$E$2:$E$51,"KURANG")</f>
        <v>1</v>
      </c>
      <c r="R26" s="2">
        <f>((-P26/N26)*IMLOG2(P26/N26)+(-Q26/N26)*IMLOG2(Q26/N26))</f>
        <v>1</v>
      </c>
      <c r="S26" s="4">
        <f>($H$2)-((N26/$D$3*R26)+(N27/$D$3*R27)+(N28/$D$3*R28))</f>
        <v>0.317633856899831</v>
      </c>
      <c r="T26" s="13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7"/>
      <c r="B27" s="2" t="s">
        <v>57</v>
      </c>
      <c r="C27" s="2" t="s">
        <v>29</v>
      </c>
      <c r="D27" s="2">
        <f>COUNTIFS(Sheet1!$C$2:$C$51,"normal",Sheet1!$J$2:$J$51,"i",Sheet1!$H$2:$H$51,"tidak",Sheet1!$L$2:$L$51,"tidak")</f>
        <v>4</v>
      </c>
      <c r="E27" s="2">
        <f>COUNTIFS(Sheet1!$C$2:$C$51,"normal",Sheet1!$J$2:$J$51,"i",Sheet1!$H$2:$H$51,"tidak",Sheet1!$L$2:$L$51,"tidak",Sheet1!$E$2:$E$51,"lebih")</f>
        <v>1</v>
      </c>
      <c r="F27" s="2">
        <f>COUNTIFS(Sheet1!$C$2:$C$51,"normal",Sheet1!$J$2:$J$51,"i",Sheet1!$H$2:$H$51,"tidak",Sheet1!$L$2:$L$51,"tidak",Sheet1!$E$2:$E$51,"normal")</f>
        <v>1</v>
      </c>
      <c r="G27" s="2">
        <f>COUNTIFS(Sheet1!$C$2:$C$51,"normal",Sheet1!$J$2:$J$51,"i",Sheet1!$H$2:$H$51,"tidak",Sheet1!$L$2:$L$51,"tidak",Sheet1!$E$2:$E$51,"kurang")</f>
        <v>2</v>
      </c>
      <c r="H27" s="2">
        <f>((-E27/D27)*IMLOG2(E27/D27)+(-F27/D27)*IMLOG2(F27/D27)+(-G27/D27)*IMLOG2(G27/D27))</f>
        <v>1.5</v>
      </c>
      <c r="I27" s="4">
        <f>($H$2)-((D27/$D$3*H27)+(D28/$D$3*H28))</f>
        <v>-2.30492239201843</v>
      </c>
      <c r="K27" s="12"/>
      <c r="L27" s="6"/>
      <c r="M27" s="2" t="s">
        <v>13</v>
      </c>
      <c r="N27" s="2">
        <f>COUNTIFS(Sheet1!$C$2:$C$51,"normal",Sheet1!$J$2:$J$51,"i",Sheet1!$H$2:$H$51,"tidak",Sheet1!$L$2:$L$51,"TIDAK",Sheet1!$B$2:$B$51,"B")</f>
        <v>1</v>
      </c>
      <c r="O27" s="2">
        <f>COUNTIFS(Sheet1!$C$2:$C$51,"normal",Sheet1!$J$2:$J$51,"i",Sheet1!$H$2:$H$51,"tidak",Sheet1!$L$2:$L$51,"TIDAK",Sheet1!$B$2:$B$51,"B",Sheet1!$E$2:$E$51,"lebih")</f>
        <v>0</v>
      </c>
      <c r="P27" s="2">
        <f>COUNTIFS(Sheet1!$C$2:$C$51,"normal",Sheet1!$J$2:$J$51,"i",Sheet1!$H$2:$H$51,"tidak",Sheet1!$L$2:$L$51,"TIDAK",Sheet1!$B$2:$B$51,"B",Sheet1!$E$2:$E$51,"NORMAL")</f>
        <v>0</v>
      </c>
      <c r="Q27" s="2">
        <f>COUNTIFS(Sheet1!$C$2:$C$51,"normal",Sheet1!$J$2:$J$51,"i",Sheet1!$H$2:$H$51,"tidak",Sheet1!$L$2:$L$51,"TIDAK",Sheet1!$B$2:$B$51,"B",Sheet1!$E$2:$E$51,"KURANG")</f>
        <v>1</v>
      </c>
      <c r="R27" s="2">
        <v>0</v>
      </c>
      <c r="S27" s="6"/>
      <c r="T27" s="13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7"/>
      <c r="B28" s="2"/>
      <c r="C28" s="2" t="s">
        <v>23</v>
      </c>
      <c r="D28" s="2">
        <f>COUNTIFS(Sheet1!$C$2:$C$51,"normal",Sheet1!$J$2:$J$51,"i",Sheet1!$H$2:$H$51,"tidak",Sheet1!$L$2:$L$51,"memiliki")</f>
        <v>8</v>
      </c>
      <c r="E28" s="2">
        <f>COUNTIFS(Sheet1!$C$2:$C$51,"normal",Sheet1!$J$2:$J$51,"i",Sheet1!$H$2:$H$51,"tidak",Sheet1!$L$2:$L$51,"memiliki",Sheet1!$E$2:$E$51,"lebih")</f>
        <v>2</v>
      </c>
      <c r="F28" s="2">
        <f>COUNTIFS(Sheet1!$C$2:$C$51,"normal",Sheet1!$J$2:$J$51,"i",Sheet1!$H$2:$H$51,"tidak",Sheet1!$L$2:$L$51,"memiliki",Sheet1!$E$2:$E$51,"normal")</f>
        <v>6</v>
      </c>
      <c r="G28" s="2">
        <f>COUNTIFS(Sheet1!$C$2:$C$51,"normal",Sheet1!$J$2:$J$51,"i",Sheet1!$H$2:$H$51,"tidak",Sheet1!$L$2:$L$51,"memiliki",Sheet1!$E$2:$E$51,"kurang")</f>
        <v>0</v>
      </c>
      <c r="H28" s="2">
        <f>((-E28/D28)*IMLOG2(E28/D28)+(-F28/D28)*IMLOG2(F28/D28))</f>
        <v>0.811278124459133</v>
      </c>
      <c r="I28" s="5"/>
      <c r="L28" s="5"/>
      <c r="M28" s="2" t="s">
        <v>32</v>
      </c>
      <c r="N28" s="2">
        <f>COUNTIFS(Sheet1!$C$2:$C$51,"normal",Sheet1!$J$2:$J$51,"i",Sheet1!$H$2:$H$51,"tidak",Sheet1!$L$2:$L$51,"TIDAK",Sheet1!$B$2:$B$51,"C")</f>
        <v>1</v>
      </c>
      <c r="O28" s="2">
        <f>COUNTIFS(Sheet1!$C$2:$C$51,"normal",Sheet1!$J$2:$J$51,"i",Sheet1!$H$2:$H$51,"tidak",Sheet1!$L$2:$L$51,"TIDAK",Sheet1!$B$2:$B$51,"C",Sheet1!$E$2:$E$51,"lebih")</f>
        <v>1</v>
      </c>
      <c r="P28" s="2">
        <f>COUNTIFS(Sheet1!$C$2:$C$51,"normal",Sheet1!$J$2:$J$51,"i",Sheet1!$H$2:$H$51,"tidak",Sheet1!$L$2:$L$51,"TIDAK",Sheet1!$B$2:$B$51,"C",Sheet1!$E$2:$E$51,"NORMAL")</f>
        <v>0</v>
      </c>
      <c r="Q28" s="2">
        <f>COUNTIFS(Sheet1!$C$2:$C$51,"normal",Sheet1!$J$2:$J$51,"i",Sheet1!$H$2:$H$51,"tidak",Sheet1!$L$2:$L$51,"TIDAK",Sheet1!$B$2:$B$51,"C",Sheet1!$E$2:$E$51,"KURANG")</f>
        <v>0</v>
      </c>
      <c r="R28" s="2">
        <v>0</v>
      </c>
      <c r="S28" s="5"/>
      <c r="T28" s="13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7"/>
      <c r="B29" s="7"/>
      <c r="C29" s="7"/>
      <c r="D29" s="7"/>
      <c r="E29" s="7"/>
      <c r="F29" s="7"/>
      <c r="G29" s="7"/>
      <c r="H29" s="7"/>
      <c r="I29" s="7"/>
      <c r="S29" s="7"/>
      <c r="T29" s="13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13"/>
      <c r="U30" s="7"/>
      <c r="V30" s="7"/>
      <c r="W30" s="7"/>
      <c r="X30" s="7"/>
      <c r="Y30" s="7"/>
      <c r="Z30" s="7"/>
      <c r="AA30" s="7"/>
      <c r="AB30" s="7"/>
      <c r="AC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1">
      <c r="A32" s="7"/>
    </row>
  </sheetData>
  <mergeCells count="38">
    <mergeCell ref="B1:C1"/>
    <mergeCell ref="L1:M1"/>
    <mergeCell ref="B2:C2"/>
    <mergeCell ref="L2:M2"/>
    <mergeCell ref="B3:C3"/>
    <mergeCell ref="L3:M3"/>
    <mergeCell ref="A3:A23"/>
    <mergeCell ref="B4:B5"/>
    <mergeCell ref="B6:B8"/>
    <mergeCell ref="B9:B11"/>
    <mergeCell ref="B12:B14"/>
    <mergeCell ref="B15:B17"/>
    <mergeCell ref="B18:B20"/>
    <mergeCell ref="B21:B23"/>
    <mergeCell ref="B27:B28"/>
    <mergeCell ref="I4:I5"/>
    <mergeCell ref="I6:I8"/>
    <mergeCell ref="I9:I11"/>
    <mergeCell ref="I12:I14"/>
    <mergeCell ref="I15:I17"/>
    <mergeCell ref="I18:I20"/>
    <mergeCell ref="I21:I23"/>
    <mergeCell ref="I27:I28"/>
    <mergeCell ref="K3:K20"/>
    <mergeCell ref="L4:L5"/>
    <mergeCell ref="L6:L8"/>
    <mergeCell ref="L9:L11"/>
    <mergeCell ref="L12:L14"/>
    <mergeCell ref="L15:L17"/>
    <mergeCell ref="L18:L20"/>
    <mergeCell ref="L26:L28"/>
    <mergeCell ref="S4:S5"/>
    <mergeCell ref="S6:S8"/>
    <mergeCell ref="S9:S11"/>
    <mergeCell ref="S12:S14"/>
    <mergeCell ref="S15:S17"/>
    <mergeCell ref="S18:S20"/>
    <mergeCell ref="S26:S28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H5"/>
  <sheetViews>
    <sheetView workbookViewId="0">
      <selection activeCell="J7" sqref="J7"/>
    </sheetView>
  </sheetViews>
  <sheetFormatPr defaultColWidth="9" defaultRowHeight="15" outlineLevelRow="4" outlineLevelCol="7"/>
  <cols>
    <col min="6" max="6" width="16.7142857142857" customWidth="true"/>
    <col min="7" max="7" width="13.7142857142857" customWidth="true"/>
    <col min="8" max="8" width="15.2857142857143" customWidth="true"/>
  </cols>
  <sheetData>
    <row r="4" spans="6:8">
      <c r="F4" s="1" t="s">
        <v>111</v>
      </c>
      <c r="G4" s="1"/>
      <c r="H4" s="1"/>
    </row>
    <row r="5" spans="5:8">
      <c r="E5" t="s">
        <v>112</v>
      </c>
      <c r="F5" t="s">
        <v>113</v>
      </c>
      <c r="G5" t="s">
        <v>114</v>
      </c>
      <c r="H5" t="s">
        <v>25</v>
      </c>
    </row>
  </sheetData>
  <mergeCells count="1">
    <mergeCell ref="F4:H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opLeftCell="A11" workbookViewId="0">
      <selection activeCell="K23" sqref="K23"/>
    </sheetView>
  </sheetViews>
  <sheetFormatPr defaultColWidth="9" defaultRowHeight="15"/>
  <cols>
    <col min="2" max="2" width="21.8571428571429" customWidth="true"/>
    <col min="3" max="3" width="11.7142857142857" customWidth="true"/>
    <col min="8" max="8" width="12.8571428571429"/>
    <col min="9" max="9" width="14"/>
  </cols>
  <sheetData>
    <row r="1" spans="1:9">
      <c r="A1" s="2" t="s">
        <v>37</v>
      </c>
      <c r="B1" s="2" t="s">
        <v>38</v>
      </c>
      <c r="C1" s="2"/>
      <c r="D1" s="2" t="s">
        <v>39</v>
      </c>
      <c r="E1" s="2" t="s">
        <v>40</v>
      </c>
      <c r="F1" s="2" t="s">
        <v>16</v>
      </c>
      <c r="G1" s="2" t="s">
        <v>36</v>
      </c>
      <c r="H1" s="2" t="s">
        <v>41</v>
      </c>
      <c r="I1" s="2" t="s">
        <v>42</v>
      </c>
    </row>
    <row r="2" spans="1:9">
      <c r="A2" s="2"/>
      <c r="B2" s="2" t="s">
        <v>43</v>
      </c>
      <c r="C2" s="2"/>
      <c r="D2" s="2">
        <v>50</v>
      </c>
      <c r="E2" s="2">
        <f>COUNTIF(Sheet1!$E$2:$E$51,"lebih")</f>
        <v>7</v>
      </c>
      <c r="F2" s="2">
        <f>COUNTIF(Sheet1!$E$2:$E$51,"normal")</f>
        <v>41</v>
      </c>
      <c r="G2" s="2">
        <f>COUNTIF(Sheet1!$E$2:$E$51,"kurang")</f>
        <v>2</v>
      </c>
      <c r="H2" s="2">
        <f>((-E2/D2)*IMLOG2(E2/D2)+(-F2/D2)*IMLOG2(F2/D2)+(-G2/D2)*IMLOG2(G2/D2))</f>
        <v>0.817633856899831</v>
      </c>
      <c r="I2" s="2"/>
    </row>
    <row r="3" spans="1:9">
      <c r="A3" s="4">
        <v>1</v>
      </c>
      <c r="B3" s="2" t="s">
        <v>44</v>
      </c>
      <c r="C3" s="2" t="s">
        <v>24</v>
      </c>
      <c r="D3" s="2">
        <f>COUNTIF(Sheet1!$A$2:$A$51,"L")</f>
        <v>22</v>
      </c>
      <c r="E3" s="2">
        <f>COUNTIFS(Sheet1!$A$2:$A$51,"L",Sheet1!$E$2:$E$51,"lebih")</f>
        <v>4</v>
      </c>
      <c r="F3" s="2">
        <f>COUNTIFS(Sheet1!$A$2:$A$51,"L",Sheet1!$E$2:$E$51,"NORMAL")</f>
        <v>18</v>
      </c>
      <c r="G3" s="2">
        <f>COUNTIFS(Sheet1!$A$2:$A$51,"L",Sheet1!$E$2:$E$51,"KURANG")</f>
        <v>0</v>
      </c>
      <c r="H3" s="2">
        <f>((-E3/D3)*IMLOG2(E3/D3)+(-F3/D3)*IMLOG2(F3/D3))</f>
        <v>0.684038435639042</v>
      </c>
      <c r="I3" s="2">
        <f>($H$2)-((D3/$D$2*H3)+(D4/$D$2*H4))</f>
        <v>0.0404744386958897</v>
      </c>
    </row>
    <row r="4" spans="1:9">
      <c r="A4" s="6"/>
      <c r="B4" s="2"/>
      <c r="C4" s="2" t="s">
        <v>12</v>
      </c>
      <c r="D4" s="2">
        <f>COUNTIF(Sheet1!$A$2:$A$51,"P")</f>
        <v>28</v>
      </c>
      <c r="E4" s="2">
        <f>COUNTIFS(Sheet1!$A$2:$A$51,"P",Sheet1!$E$2:$E$51,"lebih")</f>
        <v>3</v>
      </c>
      <c r="F4" s="2">
        <f>COUNTIFS(Sheet1!$A$2:$A$51,"P",Sheet1!$E$2:$E$51,"NORMAL")</f>
        <v>23</v>
      </c>
      <c r="G4" s="2">
        <f>COUNTIFS(Sheet1!$A$2:$A$51,"P",Sheet1!$E$2:$E$51,"KURANG")</f>
        <v>2</v>
      </c>
      <c r="H4" s="2">
        <f t="shared" ref="H4:H8" si="0">((-E4/D4)*IMLOG2(E4/D4)+(-F4/D4)*IMLOG2(F4/D4)+(-G4/D4)*IMLOG2(G4/D4))</f>
        <v>0.850325904504934</v>
      </c>
      <c r="I4" s="2"/>
    </row>
    <row r="5" spans="1:9">
      <c r="A5" s="6"/>
      <c r="B5" s="2" t="s">
        <v>45</v>
      </c>
      <c r="C5" s="2" t="s">
        <v>33</v>
      </c>
      <c r="D5" s="2">
        <f>COUNTIF(Sheet1!$B$2:$B$51,"A")</f>
        <v>10</v>
      </c>
      <c r="E5" s="2">
        <f>COUNTIFS(Sheet1!$B$2:$B$51,"A",Sheet1!$E$2:$E$51,"lebih")</f>
        <v>1</v>
      </c>
      <c r="F5" s="2">
        <f>COUNTIFS(Sheet1!$B$2:$B$51,"A",Sheet1!$E$2:$E$51,"NORMAL")</f>
        <v>8</v>
      </c>
      <c r="G5" s="2">
        <f>COUNTIFS(Sheet1!$B$2:$B$51,"A",Sheet1!$E$2:$E$51,"KURANG")</f>
        <v>1</v>
      </c>
      <c r="H5" s="2">
        <f t="shared" si="0"/>
        <v>0.921928094887362</v>
      </c>
      <c r="I5" s="2">
        <f>($H$2)-((D5/$D$2*H5)+(D6/$D$2*H6)+(D7/$D$2*H7))</f>
        <v>0.0335473023343716</v>
      </c>
    </row>
    <row r="6" spans="1:9">
      <c r="A6" s="6"/>
      <c r="B6" s="2"/>
      <c r="C6" s="2" t="s">
        <v>13</v>
      </c>
      <c r="D6" s="2">
        <f>COUNTIF(Sheet1!$B$2:$B$51,"B")</f>
        <v>24</v>
      </c>
      <c r="E6" s="2">
        <f>COUNTIFS(Sheet1!$B$2:$B$51,"B",Sheet1!$E$2:$E$51,"lebih")</f>
        <v>3</v>
      </c>
      <c r="F6" s="2">
        <f>COUNTIFS(Sheet1!$B$2:$B$51,"B",Sheet1!$E$2:$E$51,"NORMAL")</f>
        <v>20</v>
      </c>
      <c r="G6" s="2">
        <f>COUNTIFS(Sheet1!$B$2:$B$51,"B",Sheet1!$E$2:$E$51,"KURANG")</f>
        <v>1</v>
      </c>
      <c r="H6" s="2">
        <f t="shared" si="0"/>
        <v>0.785235442391543</v>
      </c>
      <c r="I6" s="2"/>
    </row>
    <row r="7" spans="1:9">
      <c r="A7" s="6"/>
      <c r="B7" s="2"/>
      <c r="C7" s="2" t="s">
        <v>32</v>
      </c>
      <c r="D7" s="2">
        <f>COUNTIF(Sheet1!$B$2:$B$51,"C")</f>
        <v>16</v>
      </c>
      <c r="E7" s="2">
        <f>COUNTIFS(Sheet1!$B$2:$B$51,"C",Sheet1!$E$2:$E$51,"lebih")</f>
        <v>3</v>
      </c>
      <c r="F7" s="2">
        <f>COUNTIFS(Sheet1!$B$2:$B$51,"C",Sheet1!$E$2:$E$51,"NORMAL")</f>
        <v>13</v>
      </c>
      <c r="G7" s="2">
        <f>COUNTIFS(Sheet1!$B$2:$B$51,"C",Sheet1!$E$2:$E$51,"KURANG")</f>
        <v>0</v>
      </c>
      <c r="H7" s="2">
        <f t="shared" ref="H7:H10" si="1">((-E7/D7)*IMLOG2(E7/D7)+(-F7/D7)*IMLOG2(F7/D7))</f>
        <v>0.696212260125145</v>
      </c>
      <c r="I7" s="2"/>
    </row>
    <row r="8" spans="1:9">
      <c r="A8" s="6"/>
      <c r="B8" s="25" t="s">
        <v>46</v>
      </c>
      <c r="C8" s="25" t="s">
        <v>16</v>
      </c>
      <c r="D8" s="25">
        <f>COUNTIF(Sheet1!$C$2:$C$51,"normal")</f>
        <v>38</v>
      </c>
      <c r="E8" s="25">
        <f>COUNTIFS(Sheet1!$C$2:$C$51,"normal",Sheet1!$E$2:$E$51,"lebih")</f>
        <v>5</v>
      </c>
      <c r="F8" s="25">
        <f>COUNTIFS(Sheet1!$C$2:$C$51,"normal",Sheet1!$E$2:$E$51,"normal")</f>
        <v>31</v>
      </c>
      <c r="G8" s="25">
        <f>COUNTIFS(Sheet1!$C$2:$C$51,"normal",Sheet1!$E$2:$E$51,"kurang")</f>
        <v>2</v>
      </c>
      <c r="H8" s="25">
        <f t="shared" si="0"/>
        <v>0.848197879327008</v>
      </c>
      <c r="I8" s="25">
        <f>($H$2)-((D8/$D$2*H8)+(D9/$D$2*H9)+(D10/$D$2*H10))</f>
        <v>0.0930034686113055</v>
      </c>
    </row>
    <row r="9" spans="1:9">
      <c r="A9" s="6"/>
      <c r="B9" s="25"/>
      <c r="C9" s="25" t="s">
        <v>14</v>
      </c>
      <c r="D9" s="25">
        <f>COUNTIF(Sheet1!$C$2:$C$51,"lebih")</f>
        <v>4</v>
      </c>
      <c r="E9" s="25">
        <f>COUNTIFS(Sheet1!$C$2:$C$51,"lebih",Sheet1!$E$2:$E$51,"lebih")</f>
        <v>2</v>
      </c>
      <c r="F9" s="25">
        <f>COUNTIFS(Sheet1!$C$2:$C$51,"lebih",Sheet1!$E$2:$E$51,"normal")</f>
        <v>2</v>
      </c>
      <c r="G9" s="25">
        <f>COUNTIFS(Sheet1!$C$2:$C$51,"lebih",Sheet1!$E$2:$E$51,"kurang")</f>
        <v>0</v>
      </c>
      <c r="H9" s="25">
        <f t="shared" si="1"/>
        <v>1</v>
      </c>
      <c r="I9" s="25"/>
    </row>
    <row r="10" spans="1:9">
      <c r="A10" s="6"/>
      <c r="B10" s="25"/>
      <c r="C10" s="25" t="s">
        <v>25</v>
      </c>
      <c r="D10" s="25">
        <f>COUNTIF(Sheet1!$C$2:$C$51,"kurus")</f>
        <v>8</v>
      </c>
      <c r="E10" s="25">
        <f>COUNTIFS(Sheet1!$C$2:$C$51,"kurus",Sheet1!$E$2:$E$51,"lebih")</f>
        <v>0</v>
      </c>
      <c r="F10" s="25">
        <f>COUNTIFS(Sheet1!$C$2:$C$51,"kurus",Sheet1!$E$2:$E$51,"normal")</f>
        <v>8</v>
      </c>
      <c r="G10" s="25">
        <f>COUNTIFS(Sheet1!$C$2:$C$51,"kurus",Sheet1!$E$2:$E$51,"kurang")</f>
        <v>0</v>
      </c>
      <c r="H10" s="25">
        <f>((-F10/D10)*IMLOG2(F10/D10))</f>
        <v>0</v>
      </c>
      <c r="I10" s="25"/>
    </row>
    <row r="11" spans="1:9">
      <c r="A11" s="6"/>
      <c r="B11" s="2" t="s">
        <v>47</v>
      </c>
      <c r="C11" s="2" t="s">
        <v>15</v>
      </c>
      <c r="D11" s="2">
        <f>COUNTIF(Sheet1!$D$2:$D$51,"pendek")</f>
        <v>17</v>
      </c>
      <c r="E11" s="2">
        <f>COUNTIFS(Sheet1!$D$2:$D$51,"pendek",Sheet1!$E$2:$E$51,"lebih")</f>
        <v>2</v>
      </c>
      <c r="F11" s="2">
        <f>COUNTIFS(Sheet1!$D$2:$D$51,"pendek",Sheet1!$E$2:$E$51,"NORMAL")</f>
        <v>15</v>
      </c>
      <c r="G11" s="2">
        <f>COUNTIFS(Sheet1!$D$2:$D$51,"pendek",Sheet1!$E$2:$E$51,"KURANG")</f>
        <v>0</v>
      </c>
      <c r="H11" s="2">
        <f>((-E11/D11)*IMLOG2(E11/D11)+(-F11/D11)*IMLOG2(F11/D11))</f>
        <v>0.522559374536941</v>
      </c>
      <c r="I11" s="2">
        <f>($H$2)-((D11/$D$2*H11)+(D12/$D$2*H12)+(D13/$D$2*H13))</f>
        <v>0.0413367669523004</v>
      </c>
    </row>
    <row r="12" spans="1:9">
      <c r="A12" s="6"/>
      <c r="B12" s="2"/>
      <c r="C12" s="2" t="s">
        <v>16</v>
      </c>
      <c r="D12" s="2">
        <f>COUNTIF(Sheet1!$D$2:$D$51,"normal")</f>
        <v>31</v>
      </c>
      <c r="E12" s="2">
        <f>COUNTIFS(Sheet1!$D$2:$D$51,"NORMAL",Sheet1!$E$2:$E$51,"lebih")</f>
        <v>5</v>
      </c>
      <c r="F12" s="2">
        <f>COUNTIFS(Sheet1!$D$2:$D$51,"NORMAL",Sheet1!$E$2:$E$51,"NORMAL")</f>
        <v>24</v>
      </c>
      <c r="G12" s="2">
        <f>COUNTIFS(Sheet1!$D$2:$D$51,"NORMAL",Sheet1!$E$2:$E$51,"KURANG")</f>
        <v>2</v>
      </c>
      <c r="H12" s="2">
        <f t="shared" ref="H12:H15" si="2">((-E12/D12)*IMLOG2(E12/D12)+(-F12/D12)*IMLOG2(F12/D12)+(-G12/D12)*IMLOG2(G12/D12))</f>
        <v>0.965527262266082</v>
      </c>
      <c r="I12" s="2"/>
    </row>
    <row r="13" spans="1:9">
      <c r="A13" s="6"/>
      <c r="B13" s="2"/>
      <c r="C13" s="2" t="s">
        <v>31</v>
      </c>
      <c r="D13" s="2">
        <f>COUNTIF(Sheet1!$D$2:$D$51,"tinggi")</f>
        <v>2</v>
      </c>
      <c r="E13" s="2">
        <f>COUNTIFS(Sheet1!$D$2:$D$51,"TINGGI",Sheet1!$E$2:$E$51,"lebih")</f>
        <v>0</v>
      </c>
      <c r="F13" s="2">
        <f>COUNTIFS(Sheet1!$D$2:$D$51,"TINGGI",Sheet1!$E$2:$E$51,"NORMAL")</f>
        <v>2</v>
      </c>
      <c r="G13" s="2">
        <f>COUNTIFS(Sheet1!$D$2:$D$51,"TINGGI",Sheet1!$E$2:$E$51,"KURANG")</f>
        <v>0</v>
      </c>
      <c r="H13" s="2">
        <f>((-F13/D13)*IMLOG2(F13/D13))</f>
        <v>0</v>
      </c>
      <c r="I13" s="2"/>
    </row>
    <row r="14" spans="1:9">
      <c r="A14" s="6"/>
      <c r="B14" s="2" t="s">
        <v>48</v>
      </c>
      <c r="C14" s="2" t="s">
        <v>17</v>
      </c>
      <c r="D14" s="2">
        <f>COUNTIF(Sheet1!$F$2:$F$51,"formula")</f>
        <v>37</v>
      </c>
      <c r="E14" s="2">
        <f>COUNTIFS(Sheet1!$F$2:$F$51,"formula",Sheet1!$E$2:$E$51,"lebih")</f>
        <v>6</v>
      </c>
      <c r="F14" s="2">
        <f>COUNTIFS(Sheet1!$F$2:$F$51,"formula",Sheet1!$E$2:$E$51,"NORMAL")</f>
        <v>30</v>
      </c>
      <c r="G14" s="2">
        <f>COUNTIFS(Sheet1!$F$2:$F$51,"formula",Sheet1!$E$2:$E$51,"KURANG")</f>
        <v>1</v>
      </c>
      <c r="H14" s="2">
        <f t="shared" si="2"/>
        <v>0.811710315018611</v>
      </c>
      <c r="I14" s="2">
        <f>($H$2)-((D14/$D$2*H14)+(D15/$D$2*H15)+(D16/$D$2*H16))</f>
        <v>0.0471637238725976</v>
      </c>
    </row>
    <row r="15" spans="1:9">
      <c r="A15" s="6"/>
      <c r="B15" s="2"/>
      <c r="C15" s="2" t="s">
        <v>26</v>
      </c>
      <c r="D15" s="2">
        <f>COUNTIF(Sheet1!$F$2:$F$51,"kombinasi")</f>
        <v>8</v>
      </c>
      <c r="E15" s="2">
        <f>COUNTIFS(Sheet1!$F$2:$F$51,"kombinasi",Sheet1!$E$2:$E$51,"lebih")</f>
        <v>1</v>
      </c>
      <c r="F15" s="2">
        <f>COUNTIFS(Sheet1!$F$2:$F$51,"KOMBINASI",Sheet1!$E$2:$E$51,"NORMAL")</f>
        <v>6</v>
      </c>
      <c r="G15" s="2">
        <f>COUNTIFS(Sheet1!$F$2:$F$51,"KOMBINASI",Sheet1!$E$2:$E$51,"KURANG")</f>
        <v>1</v>
      </c>
      <c r="H15" s="2">
        <f t="shared" si="2"/>
        <v>1.06127812445913</v>
      </c>
      <c r="I15" s="2"/>
    </row>
    <row r="16" spans="1:9">
      <c r="A16" s="6"/>
      <c r="B16" s="2"/>
      <c r="C16" s="2" t="s">
        <v>34</v>
      </c>
      <c r="D16" s="2">
        <f>COUNTIF(Sheet1!$F$2:$F$51,"ASI")</f>
        <v>5</v>
      </c>
      <c r="E16" s="2">
        <f>COUNTIFS(Sheet1!$F$2:$F$51,"ASI",Sheet1!$E$2:$E$51,"lebih")</f>
        <v>0</v>
      </c>
      <c r="F16" s="2">
        <f>COUNTIFS(Sheet1!$F$2:$F$51,"ASI",Sheet1!$E$2:$E$51,"NORMAL")</f>
        <v>5</v>
      </c>
      <c r="G16" s="2">
        <f>COUNTIFS(Sheet1!$F$2:$F$51,"ASI",Sheet1!$E$2:$E$51,"KURANG")</f>
        <v>0</v>
      </c>
      <c r="H16" s="2">
        <f>((-F16/D16)*IMLOG2(F16/D16))</f>
        <v>0</v>
      </c>
      <c r="I16" s="2"/>
    </row>
    <row r="17" spans="1:9">
      <c r="A17" s="6"/>
      <c r="B17" s="2" t="s">
        <v>49</v>
      </c>
      <c r="C17" s="2" t="s">
        <v>30</v>
      </c>
      <c r="D17" s="2">
        <f>COUNTIF(Sheet1!$G$2:$G$51,"rendah")</f>
        <v>0</v>
      </c>
      <c r="E17" s="2">
        <f>COUNTIFS(Sheet1!$G$2:$G$51,"rendah",Sheet1!$E$2:$E$51,"lebih")</f>
        <v>0</v>
      </c>
      <c r="F17" s="2">
        <f>COUNTIFS(Sheet1!$G$2:$G$51,"rendah",Sheet1!$E$2:$E$51,"NORMAL")</f>
        <v>0</v>
      </c>
      <c r="G17" s="2">
        <f>COUNTIFS(Sheet1!$G$2:$G$51,"rendah",Sheet1!$E$2:$E$51,"KURANG")</f>
        <v>0</v>
      </c>
      <c r="H17" s="2">
        <v>0</v>
      </c>
      <c r="I17" s="2">
        <f>($H$2)-((D17/$D$2*H17)+(D18/$D$2*H18)+(D19/$D$2*H19))</f>
        <v>0.0227507893817031</v>
      </c>
    </row>
    <row r="18" spans="1:9">
      <c r="A18" s="6"/>
      <c r="B18" s="2"/>
      <c r="C18" s="2" t="s">
        <v>18</v>
      </c>
      <c r="D18" s="2">
        <f>COUNTIF(Sheet1!$G$2:$G$51,"sedang")</f>
        <v>43</v>
      </c>
      <c r="E18" s="2">
        <f>COUNTIFS(Sheet1!$G$2:$G$51,"SEDANG",Sheet1!$E$2:$E$51,"lebih")</f>
        <v>6</v>
      </c>
      <c r="F18" s="2">
        <f>COUNTIFS(Sheet1!$G$2:$G$51,"SEDANG",Sheet1!$E$2:$E$51,"NORMAL")</f>
        <v>36</v>
      </c>
      <c r="G18" s="2">
        <f>COUNTIFS(Sheet1!$G$2:$G$51,"SEDANG",Sheet1!$E$2:$E$51,"KURANG")</f>
        <v>1</v>
      </c>
      <c r="H18" s="2">
        <f t="shared" ref="H18:H21" si="3">((-E18/D18)*IMLOG2(E18/D18)+(-F18/D18)*IMLOG2(F18/D18)+(-G18/D18)*IMLOG2(G18/D18))</f>
        <v>0.737263009207907</v>
      </c>
      <c r="I18" s="2"/>
    </row>
    <row r="19" spans="1:9">
      <c r="A19" s="6"/>
      <c r="B19" s="2"/>
      <c r="C19" s="2" t="s">
        <v>31</v>
      </c>
      <c r="D19" s="2">
        <f>COUNTIF(Sheet1!$G$2:$G$51,"tinggi")</f>
        <v>7</v>
      </c>
      <c r="E19" s="2">
        <f>COUNTIFS(Sheet1!$G$2:$G$51,"TINGGI",Sheet1!$E$2:$E$51,"lebih")</f>
        <v>1</v>
      </c>
      <c r="F19" s="2">
        <f>COUNTIFS(Sheet1!$G$2:$G$51,"TINGGI",Sheet1!$E$2:$E$51,"NORMAL")</f>
        <v>5</v>
      </c>
      <c r="G19" s="2">
        <f>COUNTIFS(Sheet1!$G$2:$G$51,"TINGGI",Sheet1!$E$2:$E$51,"KURANG")</f>
        <v>1</v>
      </c>
      <c r="H19" s="2">
        <f t="shared" si="3"/>
        <v>1.14883485428092</v>
      </c>
      <c r="I19" s="2"/>
    </row>
    <row r="20" spans="1:9">
      <c r="A20" s="6"/>
      <c r="B20" s="2" t="s">
        <v>50</v>
      </c>
      <c r="C20" s="2" t="s">
        <v>29</v>
      </c>
      <c r="D20" s="2">
        <f>COUNTIF(Sheet1!$H$2:$H$51,"tidak")</f>
        <v>26</v>
      </c>
      <c r="E20" s="2">
        <f>COUNTIFS(Sheet1!$H$2:$H$51,"tidak",Sheet1!$E$2:$E$51,"lebih")</f>
        <v>4</v>
      </c>
      <c r="F20" s="2">
        <f>COUNTIFS(Sheet1!$H$2:$H$51,"tidak",Sheet1!$E$2:$E$51,"normal")</f>
        <v>20</v>
      </c>
      <c r="G20" s="2">
        <f>COUNTIFS(Sheet1!$H$2:$H$51,"tidak",Sheet1!$E$2:$E$51,"kurang")</f>
        <v>2</v>
      </c>
      <c r="H20" s="2">
        <f t="shared" si="3"/>
        <v>0.991264260535428</v>
      </c>
      <c r="I20" s="2">
        <f>($H$2)-((D20/$D$2*H20)+(D21/$D$2*H21))</f>
        <v>0.0412655086856021</v>
      </c>
    </row>
    <row r="21" spans="1:9">
      <c r="A21" s="6"/>
      <c r="B21" s="2"/>
      <c r="C21" s="2" t="s">
        <v>19</v>
      </c>
      <c r="D21" s="2">
        <f>COUNTIF(Sheet1!$H$2:$H$51,"bekerja")</f>
        <v>24</v>
      </c>
      <c r="E21" s="2">
        <f>COUNTIFS(Sheet1!$H$2:$H$51,"bekerja",Sheet1!$E$2:$E$51,"lebih")</f>
        <v>3</v>
      </c>
      <c r="F21" s="2">
        <f>COUNTIFS(Sheet1!$H$2:$H$51,"bekerja",Sheet1!$E$2:$E$51,"normal")</f>
        <v>21</v>
      </c>
      <c r="G21" s="2">
        <f>COUNTIFS(Sheet1!$H$2:$H$51,"bekerja",Sheet1!$E$2:$E$51,"kurang")</f>
        <v>0</v>
      </c>
      <c r="H21" s="2">
        <f>((-E21/D21)*IMLOG2(E21/D21)+(-F21/D21)*IMLOG2(F21/D21))</f>
        <v>0.543564443199597</v>
      </c>
      <c r="I21" s="2"/>
    </row>
    <row r="22" spans="1:9">
      <c r="A22" s="6"/>
      <c r="B22" s="2" t="s">
        <v>51</v>
      </c>
      <c r="C22" s="2" t="s">
        <v>20</v>
      </c>
      <c r="D22" s="2">
        <f>COUNTIF(Sheet1!$I$2:$I$51,"x")</f>
        <v>50</v>
      </c>
      <c r="E22" s="2">
        <f>COUNTIFS(Sheet1!$I$2:$I$51,"x",Sheet1!$E$2:$E$51,"lebih")</f>
        <v>7</v>
      </c>
      <c r="F22" s="2">
        <f>COUNTIFS(Sheet1!$I$2:$I$51,"x",Sheet1!$E$2:$E$51,"normal")</f>
        <v>41</v>
      </c>
      <c r="G22" s="2">
        <f>COUNTIFS(Sheet1!$I$2:$I$51,"x",Sheet1!$E$2:$E$51,"kurang")</f>
        <v>2</v>
      </c>
      <c r="H22" s="2">
        <f>((-E22/D22)*IMLOG2(E22/D22)+(-F22/D22)*IMLOG2(F22/D22)+(-G22/D22)*IMLOG2(G22/D22))</f>
        <v>0.817633856899831</v>
      </c>
      <c r="I22" s="2">
        <f>($H$2)-((D22/$D$2*H22)+(D23/$D$2*H23)+(D24/$D$2*H24))</f>
        <v>0</v>
      </c>
    </row>
    <row r="23" spans="1:9">
      <c r="A23" s="6"/>
      <c r="B23" s="2"/>
      <c r="C23" s="2" t="s">
        <v>52</v>
      </c>
      <c r="D23" s="2">
        <f>COUNTIF(Sheet1!$I$2:$I$51,"y")</f>
        <v>0</v>
      </c>
      <c r="E23" s="2">
        <f>COUNTIFS(Sheet1!$I$2:$I$51,"y",Sheet1!$E$2:$E$51,"lebih")</f>
        <v>0</v>
      </c>
      <c r="F23" s="2">
        <f>COUNTIFS(Sheet1!$I$2:$I$51,"y",Sheet1!$E$2:$E$51,"normal")</f>
        <v>0</v>
      </c>
      <c r="G23" s="2">
        <f>COUNTIFS(Sheet1!$I$2:$I$51,"y",Sheet1!$E$2:$E$51,"kurang")</f>
        <v>0</v>
      </c>
      <c r="H23" s="2">
        <v>0</v>
      </c>
      <c r="I23" s="2"/>
    </row>
    <row r="24" spans="1:9">
      <c r="A24" s="6"/>
      <c r="B24" s="2"/>
      <c r="C24" s="2" t="s">
        <v>53</v>
      </c>
      <c r="D24" s="2">
        <f>COUNTIF(Sheet1!$I$2:$I$51,"z")</f>
        <v>0</v>
      </c>
      <c r="E24" s="2">
        <f>COUNTIFS(Sheet1!$I$2:$I$51,"z",Sheet1!$E$2:$E$51,"lebih")</f>
        <v>0</v>
      </c>
      <c r="F24" s="2">
        <f>COUNTIFS(Sheet1!$I$2:$I$51,"z",Sheet1!$E$2:$E$51,"normal")</f>
        <v>0</v>
      </c>
      <c r="G24" s="2">
        <f>COUNTIFS(Sheet1!$I$2:$I$51,"z",Sheet1!$E$2:$E$51,"kurang")</f>
        <v>0</v>
      </c>
      <c r="H24" s="2">
        <v>0</v>
      </c>
      <c r="I24" s="2"/>
    </row>
    <row r="25" spans="1:9">
      <c r="A25" s="6"/>
      <c r="B25" s="2" t="s">
        <v>54</v>
      </c>
      <c r="C25" s="2" t="s">
        <v>21</v>
      </c>
      <c r="D25" s="2">
        <f>COUNTIF(Sheet1!$J$2:$J$51,"i")</f>
        <v>38</v>
      </c>
      <c r="E25" s="2">
        <f>COUNTIFS(Sheet1!$J$2:$J$51,"i",Sheet1!$E$2:$E$51,"lebih")</f>
        <v>7</v>
      </c>
      <c r="F25" s="2">
        <f>COUNTIFS(Sheet1!$J$2:$J$51,"i",Sheet1!$E$2:$E$51,"normal")</f>
        <v>29</v>
      </c>
      <c r="G25" s="2">
        <f>COUNTIFS(Sheet1!$J$2:$J$51,"i",Sheet1!$E$2:$E$51,"kurang")</f>
        <v>2</v>
      </c>
      <c r="H25" s="2">
        <f>((-E25/D25)*IMLOG2(E25/D25)+(-F25/D25)*IMLOG2(F25/D25)+(-G25/D25)*IMLOG2(G25/D25))</f>
        <v>0.970745057835616</v>
      </c>
      <c r="I25" s="2">
        <f>($H$2)-((D25/$D$2*H25)+(D26/$D$2*H26)+(D27/$D$2*H27))</f>
        <v>0.0798676129447629</v>
      </c>
    </row>
    <row r="26" spans="1:9">
      <c r="A26" s="6"/>
      <c r="B26" s="2"/>
      <c r="C26" s="2" t="s">
        <v>28</v>
      </c>
      <c r="D26" s="2">
        <f>COUNTIF(Sheet1!$J$2:$J$51,"ii")</f>
        <v>12</v>
      </c>
      <c r="E26" s="2">
        <f>COUNTIFS(Sheet1!$J$2:$J$51,"ii",Sheet1!$E$2:$E$51,"lebih")</f>
        <v>0</v>
      </c>
      <c r="F26" s="2">
        <f>COUNTIFS(Sheet1!$J$2:$J$51,"ii",Sheet1!$E$2:$E$51,"normal")</f>
        <v>12</v>
      </c>
      <c r="G26" s="2">
        <f>COUNTIFS(Sheet1!$J$2:$J$51,"ii",Sheet1!$E$2:$E$51,"kurang")</f>
        <v>0</v>
      </c>
      <c r="H26" s="2">
        <f>((-F26/D26)*IMLOG2(F26/D26))</f>
        <v>0</v>
      </c>
      <c r="I26" s="2"/>
    </row>
    <row r="27" spans="1:9">
      <c r="A27" s="6"/>
      <c r="B27" s="2"/>
      <c r="C27" s="2" t="s">
        <v>55</v>
      </c>
      <c r="D27" s="2">
        <f>COUNTIF(Sheet1!$J$2:$J$51,"iii")</f>
        <v>0</v>
      </c>
      <c r="E27" s="2">
        <f>COUNTIFS(Sheet1!$J$2:$J$51,"iii",Sheet1!$E$2:$E$51,"lebih")</f>
        <v>0</v>
      </c>
      <c r="F27" s="2">
        <f>COUNTIFS(Sheet1!$J$2:$J$51,"iii",Sheet1!$E$2:$E$51,"normal")</f>
        <v>0</v>
      </c>
      <c r="G27" s="2">
        <f>COUNTIFS(Sheet1!$J$2:$J$51,"iii",Sheet1!$E$2:$E$51,"kurang")</f>
        <v>0</v>
      </c>
      <c r="H27" s="2">
        <v>0</v>
      </c>
      <c r="I27" s="2"/>
    </row>
    <row r="28" spans="1:9">
      <c r="A28" s="6"/>
      <c r="B28" s="2" t="s">
        <v>56</v>
      </c>
      <c r="C28" s="2" t="s">
        <v>30</v>
      </c>
      <c r="D28" s="2">
        <f>COUNTIF(Sheet1!$K$2:$K$51,"rendah")</f>
        <v>1</v>
      </c>
      <c r="E28" s="2">
        <f>COUNTIFS(Sheet1!$K$2:$K$51,"rendah",Sheet1!$E$2:$E$51,"lebih")</f>
        <v>0</v>
      </c>
      <c r="F28" s="2">
        <f>COUNTIFS(Sheet1!$K$2:$K$51,"rendah",Sheet1!$E$2:$E$51,"normal")</f>
        <v>1</v>
      </c>
      <c r="G28" s="2">
        <f>COUNTIFS(Sheet1!$K$2:$K$51,"rendah",Sheet1!$E$2:$E$51,"kurang")</f>
        <v>0</v>
      </c>
      <c r="H28" s="2">
        <f>((-F28/D28)*IMLOG2(F28/D28))</f>
        <v>0</v>
      </c>
      <c r="I28" s="2">
        <f>($H$2)-((D28/$D$2*H28)+(D29/$D$2*H29)+(D30/$D$2*H30))</f>
        <v>0.0623137065892996</v>
      </c>
    </row>
    <row r="29" spans="1:9">
      <c r="A29" s="6"/>
      <c r="B29" s="2"/>
      <c r="C29" s="2" t="s">
        <v>22</v>
      </c>
      <c r="D29" s="2">
        <f>COUNTIF(Sheet1!$K$2:$K$51,"menengah")</f>
        <v>46</v>
      </c>
      <c r="E29" s="2">
        <f>COUNTIFS(Sheet1!$K$2:$K$51,"menengah",Sheet1!$E$2:$E$51,"lebih")</f>
        <v>7</v>
      </c>
      <c r="F29" s="2">
        <f>COUNTIFS(Sheet1!$K$2:$K$51,"menengah",Sheet1!$E$2:$E$51,"normal")</f>
        <v>38</v>
      </c>
      <c r="G29" s="2">
        <f>COUNTIFS(Sheet1!$K$2:$K$51,"menengah",Sheet1!$E$2:$E$51,"kurang")</f>
        <v>1</v>
      </c>
      <c r="H29" s="2">
        <f t="shared" ref="H29:H32" si="4">((-E29/D29)*IMLOG2(E29/D29)+(-F29/D29)*IMLOG2(F29/D29)+(-G29/D29)*IMLOG2(G29/D29))</f>
        <v>0.761111304638328</v>
      </c>
      <c r="I29" s="2"/>
    </row>
    <row r="30" spans="1:9">
      <c r="A30" s="6"/>
      <c r="B30" s="2"/>
      <c r="C30" s="2" t="s">
        <v>31</v>
      </c>
      <c r="D30" s="2">
        <f>COUNTIF(Sheet1!$K$2:$K$51,"tinggi")</f>
        <v>3</v>
      </c>
      <c r="E30" s="2">
        <f>COUNTIFS(Sheet1!$K$2:$K$51,"tinggi",Sheet1!$E$2:$E$51,"lebih")</f>
        <v>0</v>
      </c>
      <c r="F30" s="2">
        <f>COUNTIFS(Sheet1!$K$2:$K$51,"tinggi",Sheet1!$E$2:$E$51,"normal")</f>
        <v>2</v>
      </c>
      <c r="G30" s="2">
        <f>COUNTIFS(Sheet1!$K$2:$K$51,"tinggi",Sheet1!$E$2:$E$51,"kurang")</f>
        <v>1</v>
      </c>
      <c r="H30" s="2">
        <f>((-F30/D30)*IMLOG2(F30/D30)+(-G30/D30)*IMLOG2(G30/D30))</f>
        <v>0.918295834054491</v>
      </c>
      <c r="I30" s="2"/>
    </row>
    <row r="31" spans="1:9">
      <c r="A31" s="6"/>
      <c r="B31" s="2" t="s">
        <v>57</v>
      </c>
      <c r="C31" s="2" t="s">
        <v>29</v>
      </c>
      <c r="D31" s="2">
        <f>COUNTIF(Sheet1!$L$2:$L$51,"tidak")</f>
        <v>29</v>
      </c>
      <c r="E31" s="2">
        <f>COUNTIFS(Sheet1!$L$2:$L$51,"tidak",Sheet1!$E$2:$E$51,"lebih")</f>
        <v>4</v>
      </c>
      <c r="F31" s="2">
        <f>COUNTIFS(Sheet1!$L$2:$L$51,"tidak",Sheet1!$E$2:$E$51,"normal")</f>
        <v>23</v>
      </c>
      <c r="G31" s="2">
        <f>COUNTIFS(Sheet1!$L$2:$L$51,"tidak",Sheet1!$E$2:$E$51,"kurang")</f>
        <v>2</v>
      </c>
      <c r="H31" s="2">
        <f t="shared" si="4"/>
        <v>0.925500823082354</v>
      </c>
      <c r="I31" s="2">
        <f>($H$2)-((D31/$D$2*H31)+(D32/$D$2*H32))</f>
        <v>0.0323408125074885</v>
      </c>
    </row>
    <row r="32" spans="1:9">
      <c r="A32" s="5"/>
      <c r="B32" s="2"/>
      <c r="C32" s="2" t="s">
        <v>23</v>
      </c>
      <c r="D32" s="2">
        <f>COUNTIF(Sheet1!$L$2:$L$51,"memiliki")</f>
        <v>21</v>
      </c>
      <c r="E32" s="2">
        <f>COUNTIFS(Sheet1!$L$2:$L$51,"memiliki",Sheet1!$E$2:$E$51,"lebih")</f>
        <v>3</v>
      </c>
      <c r="F32" s="2">
        <f>COUNTIFS(Sheet1!$L$2:$L$51,"memiliki",Sheet1!$E$2:$E$51,"normal")</f>
        <v>18</v>
      </c>
      <c r="G32" s="2">
        <f>COUNTIFS(Sheet1!$L$2:$L$51,"memiliki",Sheet1!$E$2:$E$51,"kurang")</f>
        <v>0</v>
      </c>
      <c r="H32" s="2">
        <f>((-E32/D32)*IMLOG2(E32/D32)+(-F32/D32)*IMLOG2(F32/D32))</f>
        <v>0.591672778582327</v>
      </c>
      <c r="I32" s="2"/>
    </row>
  </sheetData>
  <mergeCells count="25">
    <mergeCell ref="B1:C1"/>
    <mergeCell ref="B2:C2"/>
    <mergeCell ref="A3:A32"/>
    <mergeCell ref="B3:B4"/>
    <mergeCell ref="B5:B7"/>
    <mergeCell ref="B8:B10"/>
    <mergeCell ref="B11:B13"/>
    <mergeCell ref="B14:B16"/>
    <mergeCell ref="B17:B19"/>
    <mergeCell ref="B20:B21"/>
    <mergeCell ref="B22:B24"/>
    <mergeCell ref="B25:B27"/>
    <mergeCell ref="B28:B30"/>
    <mergeCell ref="B31:B32"/>
    <mergeCell ref="I3:I4"/>
    <mergeCell ref="I5:I7"/>
    <mergeCell ref="I8:I10"/>
    <mergeCell ref="I11:I13"/>
    <mergeCell ref="I14:I16"/>
    <mergeCell ref="I17:I19"/>
    <mergeCell ref="I20:I21"/>
    <mergeCell ref="I22:I24"/>
    <mergeCell ref="I25:I27"/>
    <mergeCell ref="I28:I30"/>
    <mergeCell ref="I31:I3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topLeftCell="E13" workbookViewId="0">
      <selection activeCell="K3" sqref="K3:K30"/>
    </sheetView>
  </sheetViews>
  <sheetFormatPr defaultColWidth="9" defaultRowHeight="15"/>
  <cols>
    <col min="2" max="2" width="21.8571428571429" customWidth="true"/>
    <col min="3" max="3" width="11.7142857142857" customWidth="true"/>
    <col min="8" max="8" width="12.8571428571429"/>
    <col min="9" max="9" width="14"/>
    <col min="11" max="12" width="18.5714285714286" customWidth="true"/>
    <col min="13" max="13" width="12.4285714285714" customWidth="true"/>
    <col min="18" max="18" width="12.8571428571429"/>
    <col min="19" max="19" width="14"/>
    <col min="22" max="22" width="20.2857142857143" customWidth="true"/>
    <col min="28" max="29" width="12.8571428571429"/>
  </cols>
  <sheetData>
    <row r="1" spans="1:29">
      <c r="A1" s="2" t="s">
        <v>37</v>
      </c>
      <c r="B1" s="2" t="s">
        <v>38</v>
      </c>
      <c r="C1" s="2"/>
      <c r="D1" s="2" t="s">
        <v>39</v>
      </c>
      <c r="E1" s="2" t="s">
        <v>40</v>
      </c>
      <c r="F1" s="2" t="s">
        <v>16</v>
      </c>
      <c r="G1" s="2" t="s">
        <v>36</v>
      </c>
      <c r="H1" s="2" t="s">
        <v>41</v>
      </c>
      <c r="I1" s="2" t="s">
        <v>42</v>
      </c>
      <c r="K1" s="2" t="s">
        <v>37</v>
      </c>
      <c r="L1" s="2" t="s">
        <v>38</v>
      </c>
      <c r="M1" s="2"/>
      <c r="N1" s="2" t="s">
        <v>39</v>
      </c>
      <c r="O1" s="2" t="s">
        <v>40</v>
      </c>
      <c r="P1" s="2" t="s">
        <v>16</v>
      </c>
      <c r="Q1" s="2" t="s">
        <v>36</v>
      </c>
      <c r="R1" s="2" t="s">
        <v>41</v>
      </c>
      <c r="S1" s="2" t="s">
        <v>42</v>
      </c>
      <c r="U1" s="2" t="s">
        <v>37</v>
      </c>
      <c r="V1" s="2" t="s">
        <v>38</v>
      </c>
      <c r="W1" s="2"/>
      <c r="X1" s="2" t="s">
        <v>39</v>
      </c>
      <c r="Y1" s="2" t="s">
        <v>40</v>
      </c>
      <c r="Z1" s="2" t="s">
        <v>16</v>
      </c>
      <c r="AA1" s="2" t="s">
        <v>36</v>
      </c>
      <c r="AB1" s="2" t="s">
        <v>41</v>
      </c>
      <c r="AC1" s="2" t="s">
        <v>42</v>
      </c>
    </row>
    <row r="2" spans="1:29">
      <c r="A2" s="2"/>
      <c r="B2" s="2" t="s">
        <v>43</v>
      </c>
      <c r="C2" s="2"/>
      <c r="D2" s="2">
        <v>50</v>
      </c>
      <c r="E2" s="2">
        <f>COUNTIF(Sheet1!$E$2:$E$51,"lebih")</f>
        <v>7</v>
      </c>
      <c r="F2" s="2">
        <f>COUNTIF(Sheet1!$E$2:$E$51,"normal")</f>
        <v>41</v>
      </c>
      <c r="G2" s="2">
        <v>2</v>
      </c>
      <c r="H2" s="2">
        <f>((-E2/D2)*IMLOG2(E2/D2)+(-F2/D2)*IMLOG2(F2/D2)+(-G2/D2)*IMLOG2(G2/D2))</f>
        <v>0.817633856899831</v>
      </c>
      <c r="I2" s="2"/>
      <c r="K2" s="2"/>
      <c r="L2" s="2" t="s">
        <v>43</v>
      </c>
      <c r="M2" s="2"/>
      <c r="N2" s="2">
        <v>50</v>
      </c>
      <c r="O2" s="2">
        <f>COUNTIF(Sheet1!$E$2:$E$51,"lebih")</f>
        <v>7</v>
      </c>
      <c r="P2" s="2">
        <f>COUNTIF(Sheet1!$E$2:$E$51,"normal")</f>
        <v>41</v>
      </c>
      <c r="Q2" s="2">
        <f>COUNTIF(Sheet1!$E$2:$E$51,"kurang")</f>
        <v>2</v>
      </c>
      <c r="R2" s="2">
        <f>((-O2/N2)*IMLOG2(O2/N2)+(-P2/N2)*IMLOG2(P2/N2)+(-Q2/N2)*IMLOG2(Q2/N2))</f>
        <v>0.817633856899831</v>
      </c>
      <c r="S2" s="2"/>
      <c r="U2" s="2"/>
      <c r="V2" s="2" t="s">
        <v>43</v>
      </c>
      <c r="W2" s="2"/>
      <c r="X2" s="2">
        <v>50</v>
      </c>
      <c r="Y2" s="2">
        <f>COUNTIF(Sheet1!$E$2:$E$51,"lebih")</f>
        <v>7</v>
      </c>
      <c r="Z2" s="2">
        <f>COUNTIF(Sheet1!$E$2:$E$51,"normal")</f>
        <v>41</v>
      </c>
      <c r="AA2" s="2">
        <f>COUNTIF(Sheet1!$E$2:$E$51,"kurang")</f>
        <v>2</v>
      </c>
      <c r="AB2" s="2">
        <f>((-Y2/X2)*IMLOG2(Y2/X2)+(-Z2/X2)*IMLOG2(Z2/X2)+(-AA2/X2)*IMLOG2(AA2/X2))</f>
        <v>0.817633856899831</v>
      </c>
      <c r="AC2" s="2"/>
    </row>
    <row r="3" spans="1:29">
      <c r="A3" s="2" t="s">
        <v>58</v>
      </c>
      <c r="B3" s="2" t="s">
        <v>59</v>
      </c>
      <c r="C3" s="2"/>
      <c r="D3" s="25">
        <f>COUNTIF(Sheet1!$C$2:$C$51,"normal")</f>
        <v>38</v>
      </c>
      <c r="E3" s="2">
        <f>COUNTIFS(Sheet1!$C$2:$C$51,"normal",Sheet1!$E$2:$E$51,"lebih")</f>
        <v>5</v>
      </c>
      <c r="F3" s="2">
        <f>COUNTIFS(Sheet1!$C$2:$C$51,"normal",Sheet1!$E$2:$E$51,"normal")</f>
        <v>31</v>
      </c>
      <c r="G3" s="2">
        <f>COUNTIFS(Sheet1!$C$2:$C$51,"normal",Sheet1!$E$2:$E$51,"kurang")</f>
        <v>2</v>
      </c>
      <c r="H3" s="2">
        <f>((-E3/D3)*IMLOG2(E3/D3)+(-F3/D3)*IMLOG2(F3/D3)+(-G3/D3)*IMLOG2(G3/D3))</f>
        <v>0.848197879327008</v>
      </c>
      <c r="I3" s="2"/>
      <c r="K3" s="2" t="s">
        <v>60</v>
      </c>
      <c r="L3" s="2" t="s">
        <v>61</v>
      </c>
      <c r="M3" s="2"/>
      <c r="N3" s="25">
        <f>COUNTIF(Sheet1!$C$2:$C$51,"lebih")</f>
        <v>4</v>
      </c>
      <c r="O3" s="2">
        <f>COUNTIFS(Sheet1!$C$2:$C$51,"lebih",Sheet1!$E$2:$E$51,"lebih")</f>
        <v>2</v>
      </c>
      <c r="P3" s="2">
        <f>COUNTIFS(Sheet1!$C$2:$C$51,"lebih",Sheet1!$E$2:$E$51,"normal")</f>
        <v>2</v>
      </c>
      <c r="Q3" s="2">
        <f>COUNTIFS(Sheet1!$C$2:$C$51,"lebih",Sheet1!$E$2:$E$51,"kurang")</f>
        <v>0</v>
      </c>
      <c r="R3" s="2">
        <f>((-O3/N3)*IMLOG2(O3/N3)+(-P3/N3)*IMLOG2(P3/N3))</f>
        <v>1</v>
      </c>
      <c r="S3" s="2"/>
      <c r="U3" s="2" t="s">
        <v>62</v>
      </c>
      <c r="V3" s="2" t="s">
        <v>63</v>
      </c>
      <c r="W3" s="2"/>
      <c r="X3" s="25">
        <f>COUNTIF(Sheet1!$C$2:$C$51,"kurus")</f>
        <v>8</v>
      </c>
      <c r="Y3" s="2">
        <f>COUNTIFS(Sheet1!$C$2:$C$51,"kurus",Sheet1!$E$2:$E$51,"lebih")</f>
        <v>0</v>
      </c>
      <c r="Z3" s="2">
        <f>COUNTIFS(Sheet1!$C$2:$C$51,"kurus",Sheet1!$E$2:$E$51,"normal")</f>
        <v>8</v>
      </c>
      <c r="AA3" s="2">
        <f>COUNTIFS(Sheet1!$C$2:$C$51,"kurus",Sheet1!$E$2:$E$51,"kurang")</f>
        <v>0</v>
      </c>
      <c r="AB3" s="2">
        <v>0</v>
      </c>
      <c r="AC3" s="2"/>
    </row>
    <row r="4" spans="1:29">
      <c r="A4" s="2"/>
      <c r="B4" s="4" t="s">
        <v>44</v>
      </c>
      <c r="C4" s="2" t="s">
        <v>24</v>
      </c>
      <c r="D4" s="2">
        <f>COUNTIFS(Sheet1!$C$2:$C$51,"normal",Sheet1!$A$2:$A$51,"L")</f>
        <v>18</v>
      </c>
      <c r="E4" s="2">
        <f>COUNTIFS(Sheet1!$C$2:$C$51,"normal",Sheet1!$A$2:$A$51,"L",Sheet1!$E$2:$E$51,"lebih")</f>
        <v>2</v>
      </c>
      <c r="F4" s="2">
        <f>COUNTIFS(Sheet1!$C$2:$C$51,"normal",Sheet1!$A$2:$A$51,"L",Sheet1!$E$2:$E$51,"NORMAL")</f>
        <v>16</v>
      </c>
      <c r="G4" s="2">
        <f>COUNTIFS(Sheet1!$C$2:$C$51,"normal",Sheet1!$A$2:$A$51,"L",Sheet1!$E$2:$E$51,"KURANG")</f>
        <v>0</v>
      </c>
      <c r="H4" s="2">
        <f>((-E4/D4)*IMLOG2(E4/D4)+(-F4/D4)*IMLOG2(F4/D4))</f>
        <v>0.503258334775645</v>
      </c>
      <c r="I4" s="4">
        <f>($H$2)-((D4/$D$3*H4)+(D5/$D$3*H5))</f>
        <v>0.0245031861783149</v>
      </c>
      <c r="K4" s="2"/>
      <c r="L4" s="4" t="s">
        <v>44</v>
      </c>
      <c r="M4" s="2" t="s">
        <v>24</v>
      </c>
      <c r="N4" s="2">
        <f>COUNTIFS(Sheet1!$C$2:$C$51,"lebih",Sheet1!$A$2:$A$51,"L")</f>
        <v>3</v>
      </c>
      <c r="O4" s="2">
        <f>COUNTIFS(Sheet1!$C$2:$C$51,"lebih",Sheet1!$A$2:$A$51,"L",Sheet1!$E$2:$E$51,"lebih")</f>
        <v>2</v>
      </c>
      <c r="P4" s="2">
        <f>COUNTIFS(Sheet1!$C$2:$C$51,"lebih",Sheet1!$A$2:$A$51,"L",Sheet1!$E$2:$E$51,"NORMAL")</f>
        <v>1</v>
      </c>
      <c r="Q4" s="2">
        <f>COUNTIFS(Sheet1!$C$2:$C$51,"lebih",Sheet1!$A$2:$A$51,"L",Sheet1!$E$2:$E$51,"KURANG")</f>
        <v>0</v>
      </c>
      <c r="R4" s="2">
        <f>((-O4/N4)*IMLOG2(O4/N4)+(-P4/N4)*IMLOG2(P4/N4))</f>
        <v>0.918295834054491</v>
      </c>
      <c r="S4" s="4">
        <f>($R$2)-((N4/$N$3*R4)+(N5/$N$3*R5))</f>
        <v>0.128911981358963</v>
      </c>
      <c r="U4" s="2"/>
      <c r="V4" s="4" t="s">
        <v>44</v>
      </c>
      <c r="W4" s="2" t="s">
        <v>24</v>
      </c>
      <c r="X4" s="2">
        <f>COUNTIFS(Sheet1!$C$2:$C$51,"kurus",Sheet1!$A$2:$A$51,"L")</f>
        <v>1</v>
      </c>
      <c r="Y4" s="2">
        <f>COUNTIFS(Sheet1!$C$2:$C$51,"KURUS",Sheet1!$A$2:$A$51,"L",Sheet1!$E$2:$E$51,"lebih")</f>
        <v>0</v>
      </c>
      <c r="Z4" s="2">
        <f>COUNTIFS(Sheet1!$C$2:$C$51,"KURUS",Sheet1!$A$2:$A$51,"L",Sheet1!$E$2:$E$51,"NORMAL")</f>
        <v>1</v>
      </c>
      <c r="AA4" s="2">
        <f>COUNTIFS(Sheet1!$C$2:$C$51,"KURUS",Sheet1!$A$2:$A$51,"L",Sheet1!$E$2:$E$51,"KURANG")</f>
        <v>0</v>
      </c>
      <c r="AB4" s="2">
        <v>0</v>
      </c>
      <c r="AC4" s="4">
        <f>($AB$2)-((X4/$X$3*AB4)+(X5/$X$3*AB5))</f>
        <v>0.817633856899831</v>
      </c>
    </row>
    <row r="5" spans="1:29">
      <c r="A5" s="2"/>
      <c r="B5" s="5"/>
      <c r="C5" s="2" t="s">
        <v>12</v>
      </c>
      <c r="D5" s="2">
        <f>COUNTIFS(Sheet1!$C$2:$C$51,"normal",Sheet1!$A$2:$A$51,"P")</f>
        <v>20</v>
      </c>
      <c r="E5" s="2">
        <f>COUNTIFS(Sheet1!$C$2:$C$51,"normal",Sheet1!$A$2:$A$51,"P",Sheet1!$E$2:$E$51,"lebih")</f>
        <v>3</v>
      </c>
      <c r="F5" s="2">
        <f>COUNTIFS(Sheet1!$C$2:$C$51,"normal",Sheet1!$A$2:$A$51,"P",Sheet1!$E$2:$E$51,"NORMAL")</f>
        <v>15</v>
      </c>
      <c r="G5" s="2">
        <f>COUNTIFS(Sheet1!$C$2:$C$51,"normal",Sheet1!$A$2:$A$51,"P",Sheet1!$E$2:$E$51,"KURANG")</f>
        <v>2</v>
      </c>
      <c r="H5" s="2">
        <f>((-E5/D5)*IMLOG2(E5/D5)+(-F5/D5)*IMLOG2(F5/D5)+(-G5/D5)*IMLOG2(G5/D5))</f>
        <v>1.0540157730728</v>
      </c>
      <c r="I5" s="5"/>
      <c r="K5" s="2"/>
      <c r="L5" s="5"/>
      <c r="M5" s="2" t="s">
        <v>12</v>
      </c>
      <c r="N5" s="2">
        <f>COUNTIFS(Sheet1!$C$2:$C$51,"lebih",Sheet1!$A$2:$A$51,"P")</f>
        <v>1</v>
      </c>
      <c r="O5" s="2">
        <v>0</v>
      </c>
      <c r="P5" s="2">
        <f>COUNTIFS(Sheet1!$C$2:$C$51,"lebih",Sheet1!$A$2:$A$51,"P",Sheet1!$E$2:$E$51,"NORMAL")</f>
        <v>1</v>
      </c>
      <c r="Q5" s="2">
        <f>COUNTIFS(Sheet1!$C$2:$C$51,"lebih",Sheet1!$A$2:$A$51,"P",Sheet1!$E$2:$E$51,"KURANG")</f>
        <v>0</v>
      </c>
      <c r="R5" s="2">
        <f>((-P5/N5)*IMLOG2(P5/N5))</f>
        <v>0</v>
      </c>
      <c r="S5" s="5"/>
      <c r="U5" s="2"/>
      <c r="V5" s="5"/>
      <c r="W5" s="2" t="s">
        <v>12</v>
      </c>
      <c r="X5" s="2">
        <f>COUNTIFS(Sheet1!$C$2:$C$51,"kurus",Sheet1!$A$2:$A$51,"P")</f>
        <v>7</v>
      </c>
      <c r="Y5" s="2">
        <f>COUNTIFS(Sheet1!$C$2:$C$51,"KURUS",Sheet1!$A$2:$A$51,"P",Sheet1!$E$2:$E$51,"lebih")</f>
        <v>0</v>
      </c>
      <c r="Z5" s="2">
        <f>COUNTIFS(Sheet1!$C$2:$C$51,"KURUS",Sheet1!$A$2:$A$51,"P",Sheet1!$E$2:$E$51,"NORMAL")</f>
        <v>7</v>
      </c>
      <c r="AA5" s="2">
        <f>COUNTIFS(Sheet1!$C$2:$C$51,"KURUS",Sheet1!$A$2:$A$51,"P",Sheet1!$E$2:$E$51,"KURANG")</f>
        <v>0</v>
      </c>
      <c r="AB5" s="2">
        <f>((-Z5/X5)*IMLOG2(Z5/X5))</f>
        <v>0</v>
      </c>
      <c r="AC5" s="5"/>
    </row>
    <row r="6" spans="1:29">
      <c r="A6" s="2"/>
      <c r="B6" s="4" t="s">
        <v>45</v>
      </c>
      <c r="C6" s="2" t="s">
        <v>33</v>
      </c>
      <c r="D6" s="2">
        <f>COUNTIFS(Sheet1!$C$2:$C$51,"normal",Sheet1!$B$2:$B$51,"A")</f>
        <v>8</v>
      </c>
      <c r="E6" s="2">
        <f>COUNTIFS(Sheet1!$C$2:$C$51,"normal",Sheet1!$B$2:$B$51,"A",Sheet1!$E$2:$E$51,"lebih")</f>
        <v>1</v>
      </c>
      <c r="F6" s="2">
        <f>COUNTIFS(Sheet1!$C$2:$C$51,"normal",Sheet1!$B$2:$B$51,"A",Sheet1!$E$2:$E$51,"NORMAL")</f>
        <v>6</v>
      </c>
      <c r="G6" s="2">
        <f>COUNTIFS(Sheet1!$C$2:$C$51,"normal",Sheet1!$B$2:$B$51,"A",Sheet1!$E$2:$E$51,"KURANG")</f>
        <v>1</v>
      </c>
      <c r="H6" s="2">
        <f>((-E6/D6)*IMLOG2(E6/D6)+(-F6/D6)*IMLOG2(F6/D6)+(-G6/D6)*IMLOG2(G6/D6))</f>
        <v>1.06127812445913</v>
      </c>
      <c r="I6" s="4">
        <f>($H$2)-((D6/$D$3*H6)+(D7/$D$3*H7)+(D8/$D$3*H8))</f>
        <v>0.0105831316368986</v>
      </c>
      <c r="K6" s="2"/>
      <c r="L6" s="4" t="s">
        <v>45</v>
      </c>
      <c r="M6" s="2" t="s">
        <v>33</v>
      </c>
      <c r="N6" s="2">
        <f>COUNTIFS(Sheet1!$C$2:$C$51,"lebih",Sheet1!$B$2:$B$51,"A")</f>
        <v>0</v>
      </c>
      <c r="O6" s="2">
        <v>0</v>
      </c>
      <c r="P6" s="2">
        <f>COUNTIFS(Sheet1!$C$2:$C$51,"lebih",Sheet1!$B$2:$B$51,"A",Sheet1!$E$2:$E$51,"NORMAL")</f>
        <v>0</v>
      </c>
      <c r="Q6" s="2">
        <f>COUNTIFS(Sheet1!$C$2:$C$51,"lebih",Sheet1!$B$2:$B$51,"A",Sheet1!$E$2:$E$51,"KURANG")</f>
        <v>0</v>
      </c>
      <c r="R6" s="2">
        <v>0</v>
      </c>
      <c r="S6" s="4">
        <f>($R$2)-((N6/$N$3*R6)+(N7/$N$3*R7)+(N8/$N$3*R8))</f>
        <v>0.128911981358963</v>
      </c>
      <c r="U6" s="2"/>
      <c r="V6" s="4" t="s">
        <v>45</v>
      </c>
      <c r="W6" s="2" t="s">
        <v>33</v>
      </c>
      <c r="X6" s="2">
        <f>COUNTIFS(Sheet1!$C$2:$C$51,"kurus",Sheet1!$B$2:$B$51,"A")</f>
        <v>2</v>
      </c>
      <c r="Y6" s="2">
        <f>COUNTIFS(Sheet1!$C$2:$C$51,"KURUS",Sheet1!$B$2:$B$51,"A",Sheet1!$E$2:$E$51,"lebih")</f>
        <v>0</v>
      </c>
      <c r="Z6" s="2">
        <f>COUNTIFS(Sheet1!$C$2:$C$51,"KURUS",Sheet1!$B$2:$B$51,"A",Sheet1!$E$2:$E$51,"NORMAL")</f>
        <v>2</v>
      </c>
      <c r="AA6" s="2">
        <f>COUNTIFS(Sheet1!$C$2:$C$51,"KURUS",Sheet1!$B$2:$B$51,"A",Sheet1!$E$2:$E$51,"KURANG")</f>
        <v>0</v>
      </c>
      <c r="AB6" s="2">
        <v>0</v>
      </c>
      <c r="AC6" s="4">
        <f>($AB$2)-((X6/$X$3*AB6)+(X7/$X$3*AB7)+(X8/$X$3*AB8))</f>
        <v>0.817633856899831</v>
      </c>
    </row>
    <row r="7" spans="1:29">
      <c r="A7" s="2"/>
      <c r="B7" s="6"/>
      <c r="C7" s="2" t="s">
        <v>13</v>
      </c>
      <c r="D7" s="2">
        <f>COUNTIFS(Sheet1!$C$2:$C$51,"normal",Sheet1!$B$2:$B$51,"B")</f>
        <v>16</v>
      </c>
      <c r="E7" s="2">
        <f>COUNTIFS(Sheet1!$C$2:$C$51,"normal",Sheet1!$B$2:$B$51,"B",Sheet1!$E$2:$E$51,"lebih")</f>
        <v>2</v>
      </c>
      <c r="F7" s="2">
        <f>COUNTIFS(Sheet1!$C$2:$C$51,"normal",Sheet1!$B$2:$B$51,"B",Sheet1!$E$2:$E$51,"NORMAL")</f>
        <v>13</v>
      </c>
      <c r="G7" s="2">
        <f>COUNTIFS(Sheet1!$C$2:$C$51,"normal",Sheet1!$B$2:$B$51,"B",Sheet1!$E$2:$E$51,"KURANG")</f>
        <v>1</v>
      </c>
      <c r="H7" s="2">
        <f>((-E7/D7)*IMLOG2(E7/D7)+(-F7/D7)*IMLOG2(F7/D7)+(-G7/D7)*IMLOG2(G7/D7))</f>
        <v>0.868392729010363</v>
      </c>
      <c r="I7" s="6"/>
      <c r="K7" s="2"/>
      <c r="L7" s="6"/>
      <c r="M7" s="2" t="s">
        <v>13</v>
      </c>
      <c r="N7" s="2">
        <f>COUNTIFS(Sheet1!$C$2:$C$51,"lebih",Sheet1!$B$2:$B$51,"B")</f>
        <v>3</v>
      </c>
      <c r="O7" s="2">
        <f>COUNTIFS(Sheet1!$C$2:$C$51,"lebih",Sheet1!$B$2:$B$51,"B",Sheet1!$E$2:$E$51,"lebih")</f>
        <v>1</v>
      </c>
      <c r="P7" s="2">
        <f>COUNTIFS(Sheet1!$C$2:$C$51,"lebih",Sheet1!$B$2:$B$51,"B",Sheet1!$E$2:$E$51,"NORMAL")</f>
        <v>2</v>
      </c>
      <c r="Q7" s="2">
        <f>COUNTIFS(Sheet1!$C$2:$C$51,"lebih",Sheet1!$B$2:$B$51,"B",Sheet1!$E$2:$E$51,"KURANG")</f>
        <v>0</v>
      </c>
      <c r="R7" s="2">
        <f>((-O7/N7)*IMLOG2(O7/N7)+(-P7/N7)*IMLOG2(P7/N7))</f>
        <v>0.918295834054491</v>
      </c>
      <c r="S7" s="6"/>
      <c r="U7" s="2"/>
      <c r="V7" s="6"/>
      <c r="W7" s="2" t="s">
        <v>13</v>
      </c>
      <c r="X7" s="2">
        <f>COUNTIFS(Sheet1!$C$2:$C$51,"kurus",Sheet1!$B$2:$B$51,"B")</f>
        <v>5</v>
      </c>
      <c r="Y7" s="2">
        <f>COUNTIFS(Sheet1!$C$2:$C$51,"KURUS",Sheet1!$B$2:$B$51,"B",Sheet1!$E$2:$E$51,"lebih")</f>
        <v>0</v>
      </c>
      <c r="Z7" s="2">
        <f>COUNTIFS(Sheet1!$C$2:$C$51,"KURUS",Sheet1!$B$2:$B$51,"B",Sheet1!$E$2:$E$51,"NORMAL")</f>
        <v>5</v>
      </c>
      <c r="AA7" s="2">
        <f>COUNTIFS(Sheet1!$C$2:$C$51,"KURUS",Sheet1!$B$2:$B$51,"B",Sheet1!$E$2:$E$51,"KURANG")</f>
        <v>0</v>
      </c>
      <c r="AB7" s="2">
        <v>0</v>
      </c>
      <c r="AC7" s="6"/>
    </row>
    <row r="8" spans="1:29">
      <c r="A8" s="2"/>
      <c r="B8" s="5"/>
      <c r="C8" s="2" t="s">
        <v>32</v>
      </c>
      <c r="D8" s="2">
        <f>COUNTIFS(Sheet1!$C$2:$C$51,"normal",Sheet1!$B$2:$B$51,"C")</f>
        <v>14</v>
      </c>
      <c r="E8" s="2">
        <v>2</v>
      </c>
      <c r="F8" s="2">
        <f>COUNTIFS(Sheet1!$C$2:$C$51,"normal",Sheet1!$B$2:$B$51,"C",Sheet1!$E$2:$E$51,"NORMAL")</f>
        <v>12</v>
      </c>
      <c r="G8" s="2">
        <f>COUNTIFS(Sheet1!$C$2:$C$51,"normal",Sheet1!$B$2:$B$51,"C",Sheet1!$E$2:$E$51,"KURANG")</f>
        <v>0</v>
      </c>
      <c r="H8" s="2">
        <f>((-E8/D8)*IMLOG2(E8/D8)+(-F8/D8)*IMLOG2(F8/D8))</f>
        <v>0.591672778582327</v>
      </c>
      <c r="I8" s="5"/>
      <c r="K8" s="2"/>
      <c r="L8" s="5"/>
      <c r="M8" s="2" t="s">
        <v>32</v>
      </c>
      <c r="N8" s="2">
        <f>COUNTIFS(Sheet1!$C$2:$C$51,"lebih",Sheet1!$B$2:$B$51,"C")</f>
        <v>1</v>
      </c>
      <c r="O8" s="2">
        <f>COUNTIFS(Sheet1!$C$2:$C$51,"lebih",Sheet1!$B$2:$B$51,"C",Sheet1!$E$2:$E$51,"lebih")</f>
        <v>1</v>
      </c>
      <c r="P8" s="2">
        <f>COUNTIFS(Sheet1!$C$2:$C$51,"lebih",Sheet1!$B$2:$B$51,"C",Sheet1!$E$2:$E$51,"NORMAL")</f>
        <v>0</v>
      </c>
      <c r="Q8" s="2">
        <v>0</v>
      </c>
      <c r="R8" s="2">
        <f>((-O8/N8)*IMLOG2(O8/N8))</f>
        <v>0</v>
      </c>
      <c r="S8" s="5"/>
      <c r="U8" s="2"/>
      <c r="V8" s="5"/>
      <c r="W8" s="2" t="s">
        <v>32</v>
      </c>
      <c r="X8" s="2">
        <f>COUNTIFS(Sheet1!$C$2:$C$51,"kurus",Sheet1!$B$2:$B$51,"C")</f>
        <v>1</v>
      </c>
      <c r="Y8" s="2">
        <f>COUNTIFS(Sheet1!$C$2:$C$51,"KURUS",Sheet1!$B$2:$B$51,"C",Sheet1!$E$2:$E$51,"lebih")</f>
        <v>0</v>
      </c>
      <c r="Z8" s="2">
        <f>COUNTIFS(Sheet1!$C$2:$C$51,"KURUS",Sheet1!$B$2:$B$51,"C",Sheet1!$E$2:$E$51,"NORMAL")</f>
        <v>1</v>
      </c>
      <c r="AA8" s="2">
        <v>0</v>
      </c>
      <c r="AB8" s="2">
        <v>0</v>
      </c>
      <c r="AC8" s="5"/>
    </row>
    <row r="9" spans="1:29">
      <c r="A9" s="2"/>
      <c r="B9" s="2" t="s">
        <v>47</v>
      </c>
      <c r="C9" s="2" t="s">
        <v>15</v>
      </c>
      <c r="D9" s="2">
        <f>COUNTIFS(Sheet1!$C$2:$C$51,"normal",Sheet1!$D$2:$D$51,"pendek")</f>
        <v>9</v>
      </c>
      <c r="E9" s="2">
        <f>COUNTIFS(Sheet1!$C$2:$C$51,"normal",Sheet1!$D$2:$D$51,"pendek",Sheet1!$E$2:$E$51,"lebih")</f>
        <v>2</v>
      </c>
      <c r="F9" s="2">
        <f>COUNTIFS(Sheet1!$C$2:$C$51,"normal",Sheet1!$D$2:$D$51,"pendek",Sheet1!$E$2:$E$51,"NORMAL")</f>
        <v>7</v>
      </c>
      <c r="G9" s="2">
        <f>COUNTIFS(Sheet1!$C$2:$C$51,"normal",Sheet1!$D$2:$D$51,"pendek",Sheet1!$E$2:$E$51,"KURANG")</f>
        <v>0</v>
      </c>
      <c r="H9" s="2">
        <f>((-E9/D9)*IMLOG2(E9/D9)+(-F9/D9)*IMLOG2(F9/D9))</f>
        <v>0.764204506508619</v>
      </c>
      <c r="I9" s="4">
        <f>($H$2)-((D9/$D$3*H9)+(D10/$D$3*H10)+(D11/$D$3*H11))</f>
        <v>0.017701751510168</v>
      </c>
      <c r="K9" s="2"/>
      <c r="L9" s="2" t="s">
        <v>47</v>
      </c>
      <c r="M9" s="2" t="s">
        <v>15</v>
      </c>
      <c r="N9" s="2">
        <f>COUNTIFS(Sheet1!$C$2:$C$51,"lebih",Sheet1!$D$2:$D$51,"pendek")</f>
        <v>1</v>
      </c>
      <c r="O9" s="2">
        <f>COUNTIFS(Sheet1!$C$2:$C$51,"lebih",Sheet1!$D$2:$D$51,"pendek",Sheet1!$E$2:$E$51,"lebih")</f>
        <v>0</v>
      </c>
      <c r="P9" s="2">
        <f>COUNTIFS(Sheet1!$C$2:$C$51,"lebih",Sheet1!$D$2:$D$51,"pendek",Sheet1!$E$2:$E$51,"NORMAL")</f>
        <v>1</v>
      </c>
      <c r="Q9" s="2">
        <f>COUNTIFS(Sheet1!$C$2:$C$51,"lebih",Sheet1!$D$2:$D$51,"pendek",Sheet1!$E$2:$E$51,"KURANG")</f>
        <v>0</v>
      </c>
      <c r="R9" s="2">
        <f>((-P9/N9)*IMLOG2(P9/N9))</f>
        <v>0</v>
      </c>
      <c r="S9" s="4">
        <f>($R$2)-((N9/$N$3*R9)+(N10/$N$3*R10)+(N11/$N$3*R11))</f>
        <v>0.128911981358963</v>
      </c>
      <c r="U9" s="2"/>
      <c r="V9" s="2" t="s">
        <v>47</v>
      </c>
      <c r="W9" s="2" t="s">
        <v>15</v>
      </c>
      <c r="X9" s="2">
        <f>COUNTIFS(Sheet1!$C$2:$C$51,"kurus",Sheet1!$D$2:$D$51,"pendek")</f>
        <v>7</v>
      </c>
      <c r="Y9" s="2">
        <f>COUNTIFS(Sheet1!$C$2:$C$51,"kurus",Sheet1!$D$2:$D$51,"pendek",Sheet1!$E$2:$E$51,"lebih")</f>
        <v>0</v>
      </c>
      <c r="Z9" s="2">
        <f>COUNTIFS(Sheet1!$C$2:$C$51,"kurus",Sheet1!$D$2:$D$51,"pendek",Sheet1!$E$2:$E$51,"NORMAL")</f>
        <v>7</v>
      </c>
      <c r="AA9" s="2">
        <f>COUNTIFS(Sheet1!$C$2:$C$51,"kurus",Sheet1!$D$2:$D$51,"pendek",Sheet1!$E$2:$E$51,"KURANG")</f>
        <v>0</v>
      </c>
      <c r="AB9" s="2">
        <f>((-Z9/X9)*IMLOG2(Z9/X9))</f>
        <v>0</v>
      </c>
      <c r="AC9" s="4">
        <f>($AB$2)-((X9/$X$3*AB9)+(X10/$X$3*AB10)+(X11/$X$3*AB11))</f>
        <v>0.817633856899831</v>
      </c>
    </row>
    <row r="10" spans="1:29">
      <c r="A10" s="2"/>
      <c r="B10" s="2"/>
      <c r="C10" s="2" t="s">
        <v>16</v>
      </c>
      <c r="D10" s="2">
        <f>COUNTIFS(Sheet1!$C$2:$C$51,"normal",Sheet1!$D$2:$D$51,"normal")</f>
        <v>27</v>
      </c>
      <c r="E10" s="2">
        <f>COUNTIFS(Sheet1!$C$2:$C$51,"normal",Sheet1!$D$2:$D$51,"NORMAL",Sheet1!$E$2:$E$51,"lebih")</f>
        <v>3</v>
      </c>
      <c r="F10" s="2">
        <f>COUNTIFS(Sheet1!$C$2:$C$51,"normal",Sheet1!$D$2:$D$51,"NORMAL",Sheet1!$E$2:$E$51,"NORMAL")</f>
        <v>22</v>
      </c>
      <c r="G10" s="2">
        <f>COUNTIFS(Sheet1!$C$2:$C$51,"normal",Sheet1!$D$2:$D$51,"NORMAL",Sheet1!$E$2:$E$51,"KURANG")</f>
        <v>2</v>
      </c>
      <c r="H10" s="2">
        <f t="shared" ref="H10:H13" si="0">((-E10/D10)*IMLOG2(E10/D10)+(-F10/D10)*IMLOG2(F10/D10)+(-G10/D10)*IMLOG2(G10/D10))</f>
        <v>0.871095535045542</v>
      </c>
      <c r="I10" s="6"/>
      <c r="K10" s="2"/>
      <c r="L10" s="2"/>
      <c r="M10" s="2" t="s">
        <v>16</v>
      </c>
      <c r="N10" s="2">
        <f>COUNTIFS(Sheet1!$C$2:$C$51,"lebih",Sheet1!$D$2:$D$51,"normal")</f>
        <v>3</v>
      </c>
      <c r="O10" s="2">
        <f>COUNTIFS(Sheet1!$C$2:$C$51,"lebih",Sheet1!$D$2:$D$51,"NORMAL",Sheet1!$E$2:$E$51,"lebih")</f>
        <v>2</v>
      </c>
      <c r="P10" s="2">
        <f>COUNTIFS(Sheet1!$C$2:$C$51,"lebih",Sheet1!$D$2:$D$51,"NORMAL",Sheet1!$E$2:$E$51,"NORMAL")</f>
        <v>1</v>
      </c>
      <c r="Q10" s="2">
        <f>COUNTIFS(Sheet1!$C$2:$C$51,"lebih",Sheet1!$D$2:$D$51,"NORMAL",Sheet1!$E$2:$E$51,"KURANG")</f>
        <v>0</v>
      </c>
      <c r="R10" s="2">
        <f>((-O10/N10)*IMLOG2(O10/N10)+(-P10/N10)*IMLOG2(P10/N10))</f>
        <v>0.918295834054491</v>
      </c>
      <c r="S10" s="6"/>
      <c r="U10" s="2"/>
      <c r="V10" s="2"/>
      <c r="W10" s="2" t="s">
        <v>16</v>
      </c>
      <c r="X10" s="2">
        <f>COUNTIFS(Sheet1!$C$2:$C$51,"kurus",Sheet1!$D$2:$D$51,"normal")</f>
        <v>1</v>
      </c>
      <c r="Y10" s="2">
        <f>COUNTIFS(Sheet1!$C$2:$C$51,"kurus",Sheet1!$D$2:$D$51,"NORMAL",Sheet1!$E$2:$E$51,"lebih")</f>
        <v>0</v>
      </c>
      <c r="Z10" s="2">
        <v>1</v>
      </c>
      <c r="AA10" s="2">
        <f>COUNTIFS(Sheet1!$C$2:$C$51,"kurus",Sheet1!$D$2:$D$51,"NORMAL",Sheet1!$E$2:$E$51,"KURANG")</f>
        <v>0</v>
      </c>
      <c r="AB10" s="2">
        <v>0</v>
      </c>
      <c r="AC10" s="6"/>
    </row>
    <row r="11" spans="1:29">
      <c r="A11" s="2"/>
      <c r="B11" s="2"/>
      <c r="C11" s="2" t="s">
        <v>31</v>
      </c>
      <c r="D11" s="2">
        <f>COUNTIFS(Sheet1!$C$2:$C$51,"normal",Sheet1!$D$2:$D$51,"tinggi")</f>
        <v>2</v>
      </c>
      <c r="E11" s="2">
        <f>COUNTIFS(Sheet1!$C$2:$C$51,"normal",Sheet1!$D$2:$D$51,"TINGGI",Sheet1!$E$2:$E$51,"lebih")</f>
        <v>0</v>
      </c>
      <c r="F11" s="2">
        <f>COUNTIFS(Sheet1!$C$2:$C$51,"normal",Sheet1!$D$2:$D$51,"TINGGI",Sheet1!$E$2:$E$51,"NORMAL")</f>
        <v>2</v>
      </c>
      <c r="G11" s="2">
        <f>COUNTIFS(Sheet1!$C$2:$C$51,"normal",Sheet1!$D$2:$D$51,"TINGGI",Sheet1!$E$2:$E$51,"KURANG")</f>
        <v>0</v>
      </c>
      <c r="H11" s="2">
        <f>((-F11/D11)*IMLOG2(F11/D11))</f>
        <v>0</v>
      </c>
      <c r="I11" s="5"/>
      <c r="K11" s="2"/>
      <c r="L11" s="2"/>
      <c r="M11" s="2" t="s">
        <v>31</v>
      </c>
      <c r="N11" s="2">
        <f>COUNTIFS(Sheet1!$C$2:$C$51,"lebih",Sheet1!$D$2:$D$51,"tinggi")</f>
        <v>0</v>
      </c>
      <c r="O11" s="2">
        <f>COUNTIFS(Sheet1!$C$2:$C$51,"lebih",Sheet1!$D$2:$D$51,"TINGGI",Sheet1!$E$2:$E$51,"lebih")</f>
        <v>0</v>
      </c>
      <c r="P11" s="2">
        <f>COUNTIFS(Sheet1!$C$2:$C$51,"lebih",Sheet1!$D$2:$D$51,"TINGGI",Sheet1!$E$2:$E$51,"NORMAL")</f>
        <v>0</v>
      </c>
      <c r="Q11" s="2">
        <v>0</v>
      </c>
      <c r="R11" s="2">
        <v>0</v>
      </c>
      <c r="S11" s="5"/>
      <c r="U11" s="2"/>
      <c r="V11" s="2"/>
      <c r="W11" s="2" t="s">
        <v>31</v>
      </c>
      <c r="X11" s="2">
        <f>COUNTIFS(Sheet1!$C$2:$C$51,"kurus",Sheet1!$D$2:$D$51,"tinggi")</f>
        <v>0</v>
      </c>
      <c r="Y11" s="2">
        <f>COUNTIFS(Sheet1!$C$2:$C$51,"kurus",Sheet1!$D$2:$D$51,"TINGGI",Sheet1!$E$2:$E$51,"lebih")</f>
        <v>0</v>
      </c>
      <c r="Z11" s="2">
        <f>COUNTIFS(Sheet1!$C$2:$C$51,"kurus",Sheet1!$D$2:$D$51,"TINGGI",Sheet1!$E$2:$E$51,"NORMAL")</f>
        <v>0</v>
      </c>
      <c r="AA11" s="2">
        <v>0</v>
      </c>
      <c r="AB11" s="2">
        <v>0</v>
      </c>
      <c r="AC11" s="5"/>
    </row>
    <row r="12" spans="1:29">
      <c r="A12" s="2"/>
      <c r="B12" s="2" t="s">
        <v>48</v>
      </c>
      <c r="C12" s="2" t="s">
        <v>17</v>
      </c>
      <c r="D12" s="2">
        <f>COUNTIFS(Sheet1!$C$2:$C$51,"normal",Sheet1!$F$2:$F$51,"formula")</f>
        <v>29</v>
      </c>
      <c r="E12" s="2">
        <f>COUNTIFS(Sheet1!$C$2:$C$51,"normal",Sheet1!$F$2:$F$51,"formula",Sheet1!$E$2:$E$51,"lebih")</f>
        <v>4</v>
      </c>
      <c r="F12" s="2">
        <f>COUNTIFS(Sheet1!$C$2:$C$51,"normal",Sheet1!$F$2:$F$51,"formula",Sheet1!$E$2:$E$51,"NORMAL")</f>
        <v>24</v>
      </c>
      <c r="G12" s="2">
        <f>COUNTIFS(Sheet1!$C$2:$C$51,"normal",Sheet1!$F$2:$F$51,"formula",Sheet1!$E$2:$E$51,"KURANG")</f>
        <v>1</v>
      </c>
      <c r="H12" s="2">
        <f t="shared" si="0"/>
        <v>0.787667201427305</v>
      </c>
      <c r="I12" s="4">
        <f>($H$2)-((D12/$D$3*H12)+(D13/$D$3*H13)+(D14/$D$3*H14))</f>
        <v>0.036131177592853</v>
      </c>
      <c r="K12" s="2"/>
      <c r="L12" s="2" t="s">
        <v>48</v>
      </c>
      <c r="M12" s="2" t="s">
        <v>17</v>
      </c>
      <c r="N12" s="2">
        <f>COUNTIFS(Sheet1!$C$2:$C$51,"lebih",Sheet1!$F$2:$F$51,"formula")</f>
        <v>4</v>
      </c>
      <c r="O12" s="2">
        <f>COUNTIFS(Sheet1!$C$2:$C$51,"lebih",Sheet1!$F$2:$F$51,"formula",Sheet1!$E$2:$E$51,"lebih")</f>
        <v>2</v>
      </c>
      <c r="P12" s="2">
        <f>COUNTIFS(Sheet1!$C$2:$C$51,"lebih",Sheet1!$F$2:$F$51,"formula",Sheet1!$E$2:$E$51,"NORMAL")</f>
        <v>2</v>
      </c>
      <c r="Q12" s="2">
        <f>COUNTIFS(Sheet1!$C$2:$C$51,"lebih",Sheet1!$F$2:$F$51,"formula",Sheet1!$E$2:$E$51,"KURANG")</f>
        <v>0</v>
      </c>
      <c r="R12" s="2">
        <f>((-O12/N12)*IMLOG2(O12/N12)+(-P12/N12)*IMLOG2(P12/N12))</f>
        <v>1</v>
      </c>
      <c r="S12" s="4">
        <f>($R$2)-((N12/$N$3*R12)+(N13/$N$3*R13)+(N14/$N$3*R14))</f>
        <v>-0.182366143100169</v>
      </c>
      <c r="U12" s="2"/>
      <c r="V12" s="2" t="s">
        <v>48</v>
      </c>
      <c r="W12" s="2" t="s">
        <v>17</v>
      </c>
      <c r="X12" s="2">
        <f>COUNTIFS(Sheet1!$C$2:$C$51,"kurus",Sheet1!$F$2:$F$51,"formula")</f>
        <v>4</v>
      </c>
      <c r="Y12" s="2">
        <f>COUNTIFS(Sheet1!$C$2:$C$51,"kurus",Sheet1!$F$2:$F$51,"formula",Sheet1!$E$2:$E$51,"lebih")</f>
        <v>0</v>
      </c>
      <c r="Z12" s="2">
        <f>COUNTIFS(Sheet1!$C$2:$C$51,"kurus",Sheet1!$F$2:$F$51,"formula",Sheet1!$E$2:$E$51,"NORMAL")</f>
        <v>4</v>
      </c>
      <c r="AA12" s="2">
        <f>COUNTIFS(Sheet1!$C$2:$C$51,"kurus",Sheet1!$F$2:$F$51,"formula",Sheet1!$E$2:$E$51,"KURANG")</f>
        <v>0</v>
      </c>
      <c r="AB12" s="2">
        <v>0</v>
      </c>
      <c r="AC12" s="4">
        <f>($AB$2)-((X12/$X$3*AB12)+(X13/$X$3*AB13)+(X14/$X$3*AB14))</f>
        <v>0.817633856899831</v>
      </c>
    </row>
    <row r="13" spans="1:29">
      <c r="A13" s="2"/>
      <c r="B13" s="2"/>
      <c r="C13" s="2" t="s">
        <v>26</v>
      </c>
      <c r="D13" s="2">
        <f>COUNTIFS(Sheet1!$C$2:$C$51,"normal",Sheet1!$F$2:$F$51,"kombinasi")</f>
        <v>5</v>
      </c>
      <c r="E13" s="2">
        <f>COUNTIFS(Sheet1!$C$2:$C$51,"normal",Sheet1!$F$2:$F$51,"kombinasi",Sheet1!$E$2:$E$51,"lebih")</f>
        <v>1</v>
      </c>
      <c r="F13" s="2">
        <f>COUNTIFS(Sheet1!$C$2:$C$51,"normal",Sheet1!$F$2:$F$51,"KOMBINASI",Sheet1!$E$2:$E$51,"NORMAL")</f>
        <v>3</v>
      </c>
      <c r="G13" s="2">
        <f>COUNTIFS(Sheet1!$C$2:$C$51,"normal",Sheet1!$F$2:$F$51,"KOMBINASI",Sheet1!$E$2:$E$51,"KURANG")</f>
        <v>1</v>
      </c>
      <c r="H13" s="2">
        <f t="shared" si="0"/>
        <v>1.37095059445467</v>
      </c>
      <c r="I13" s="6"/>
      <c r="K13" s="2"/>
      <c r="L13" s="2"/>
      <c r="M13" s="2" t="s">
        <v>26</v>
      </c>
      <c r="N13" s="2">
        <f>COUNTIFS(Sheet1!$C$2:$C$51,"lebih",Sheet1!$F$2:$F$51,"kombinasi")</f>
        <v>0</v>
      </c>
      <c r="O13" s="2">
        <f>COUNTIFS(Sheet1!$C$2:$C$51,"lebih",Sheet1!$F$2:$F$51,"kombinasi",Sheet1!$E$2:$E$51,"lebih")</f>
        <v>0</v>
      </c>
      <c r="P13" s="2">
        <f>COUNTIFS(Sheet1!$C$2:$C$51,"lebih",Sheet1!$F$2:$F$51,"KOMBINASI",Sheet1!$E$2:$E$51,"NORMAL")</f>
        <v>0</v>
      </c>
      <c r="Q13" s="2">
        <f>COUNTIFS(Sheet1!$C$2:$C$51,"lebih",Sheet1!$F$2:$F$51,"KOMBINASI",Sheet1!$E$2:$E$51,"KURANG")</f>
        <v>0</v>
      </c>
      <c r="R13" s="2">
        <v>0</v>
      </c>
      <c r="S13" s="6"/>
      <c r="U13" s="2"/>
      <c r="V13" s="2"/>
      <c r="W13" s="2" t="s">
        <v>26</v>
      </c>
      <c r="X13" s="2">
        <f>COUNTIFS(Sheet1!$C$2:$C$51,"kurus",Sheet1!$F$2:$F$51,"kombinasi")</f>
        <v>3</v>
      </c>
      <c r="Y13" s="2">
        <v>0</v>
      </c>
      <c r="Z13" s="2">
        <f>COUNTIFS(Sheet1!$C$2:$C$51,"kurus",Sheet1!$F$2:$F$51,"KOMBINASI",Sheet1!$E$2:$E$51,"NORMAL")</f>
        <v>3</v>
      </c>
      <c r="AA13" s="2">
        <f>COUNTIFS(Sheet1!$C$2:$C$51,"kurus",Sheet1!$F$2:$F$51,"KOMBINASI",Sheet1!$E$2:$E$51,"KURANG")</f>
        <v>0</v>
      </c>
      <c r="AB13" s="2">
        <v>0</v>
      </c>
      <c r="AC13" s="6"/>
    </row>
    <row r="14" spans="1:29">
      <c r="A14" s="2"/>
      <c r="B14" s="2"/>
      <c r="C14" s="2" t="s">
        <v>34</v>
      </c>
      <c r="D14" s="2">
        <f>COUNTIFS(Sheet1!$C$2:$C$51,"normal",Sheet1!$F$2:$F$51,"ASI")</f>
        <v>4</v>
      </c>
      <c r="E14" s="2">
        <f>COUNTIFS(Sheet1!$C$2:$C$51,"normal",Sheet1!$F$2:$F$51,"ASI",Sheet1!$E$2:$E$51,"lebih")</f>
        <v>0</v>
      </c>
      <c r="F14" s="2">
        <f>COUNTIFS(Sheet1!$C$2:$C$51,"normal",Sheet1!$F$2:$F$51,"ASI",Sheet1!$E$2:$E$51,"NORMAL")</f>
        <v>4</v>
      </c>
      <c r="G14" s="2">
        <f>COUNTIFS(Sheet1!$C$2:$C$51,"normal",Sheet1!$F$2:$F$51,"ASI",Sheet1!$E$2:$E$51,"KURANG")</f>
        <v>0</v>
      </c>
      <c r="H14" s="2">
        <f>((-F14/D14)*IMLOG2(F14/D14))</f>
        <v>0</v>
      </c>
      <c r="I14" s="5"/>
      <c r="K14" s="2"/>
      <c r="L14" s="2"/>
      <c r="M14" s="2" t="s">
        <v>34</v>
      </c>
      <c r="N14" s="2">
        <f>COUNTIFS(Sheet1!$C$2:$C$51,"lebih",Sheet1!$F$2:$F$51,"ASI")</f>
        <v>0</v>
      </c>
      <c r="O14" s="2">
        <f>COUNTIFS(Sheet1!$C$2:$C$51,"lebih",Sheet1!$F$2:$F$51,"ASI",Sheet1!$E$2:$E$51,"lebih")</f>
        <v>0</v>
      </c>
      <c r="P14" s="2">
        <f>COUNTIFS(Sheet1!$C$2:$C$51,"lebih",Sheet1!$F$2:$F$51,"ASI",Sheet1!$E$2:$E$51,"NORMAL")</f>
        <v>0</v>
      </c>
      <c r="Q14" s="2">
        <f>COUNTIFS(Sheet1!$C$2:$C$51,"lebih",Sheet1!$F$2:$F$51,"ASI",Sheet1!$E$2:$E$51,"KURANG")</f>
        <v>0</v>
      </c>
      <c r="R14" s="2">
        <v>0</v>
      </c>
      <c r="S14" s="5"/>
      <c r="U14" s="2"/>
      <c r="V14" s="2"/>
      <c r="W14" s="2" t="s">
        <v>34</v>
      </c>
      <c r="X14" s="2">
        <f>COUNTIFS(Sheet1!$C$2:$C$51,"kurus",Sheet1!$F$2:$F$51,"ASI")</f>
        <v>1</v>
      </c>
      <c r="Y14" s="2">
        <f>COUNTIFS(Sheet1!$C$2:$C$51,"kurus",Sheet1!$F$2:$F$51,"ASI",Sheet1!$E$2:$E$51,"lebih")</f>
        <v>0</v>
      </c>
      <c r="Z14" s="2">
        <f>COUNTIFS(Sheet1!$C$2:$C$51,"kurus",Sheet1!$F$2:$F$51,"ASI",Sheet1!$E$2:$E$51,"NORMAL")</f>
        <v>1</v>
      </c>
      <c r="AA14" s="2">
        <f>COUNTIFS(Sheet1!$C$2:$C$51,"kurus",Sheet1!$F$2:$F$51,"ASI",Sheet1!$E$2:$E$51,"KURANG")</f>
        <v>0</v>
      </c>
      <c r="AB14" s="2">
        <v>0</v>
      </c>
      <c r="AC14" s="5"/>
    </row>
    <row r="15" spans="1:29">
      <c r="A15" s="2"/>
      <c r="B15" s="2" t="s">
        <v>49</v>
      </c>
      <c r="C15" s="2" t="s">
        <v>30</v>
      </c>
      <c r="D15" s="2">
        <f>COUNTIFS(Sheet1!$C$2:$C$51,"normal",Sheet1!$G$2:$G$51,"rendah")</f>
        <v>0</v>
      </c>
      <c r="E15" s="2">
        <f>COUNTIFS(Sheet1!$C$2:$C$51,"normal",Sheet1!$G$2:$G$51,"rendah",Sheet1!$E$2:$E$51,"lebih")</f>
        <v>0</v>
      </c>
      <c r="F15" s="2">
        <f>COUNTIFS(Sheet1!$C$2:$C$51,"normal",Sheet1!$G$2:$G$51,"rendah",Sheet1!$E$2:$E$51,"NORMAL")</f>
        <v>0</v>
      </c>
      <c r="G15" s="2">
        <f>COUNTIFS(Sheet1!$C$2:$C$51,"normal",Sheet1!$G$2:$G$51,"rendah",Sheet1!$E$2:$E$51,"KURANG")</f>
        <v>0</v>
      </c>
      <c r="H15" s="2">
        <v>0</v>
      </c>
      <c r="I15" s="4">
        <f>($H$2)-((D15/$D$3*H15)+(D16/$D$3*H16)+(D17/$D$3*H17))</f>
        <v>0.0260796099581224</v>
      </c>
      <c r="K15" s="2"/>
      <c r="L15" s="2" t="s">
        <v>49</v>
      </c>
      <c r="M15" s="2" t="s">
        <v>30</v>
      </c>
      <c r="N15" s="2">
        <f>COUNTIFS(Sheet1!$C$2:$C$51,"lebih",Sheet1!$G$2:$G$51,"rendah")</f>
        <v>0</v>
      </c>
      <c r="O15" s="2">
        <f>COUNTIFS(Sheet1!$C$2:$C$51,"lebih",Sheet1!$G$2:$G$51,"rendah",Sheet1!$E$2:$E$51,"lebih")</f>
        <v>0</v>
      </c>
      <c r="P15" s="2">
        <f>COUNTIFS(Sheet1!$C$2:$C$51,"lebih",Sheet1!$G$2:$G$51,"rendah",Sheet1!$E$2:$E$51,"NORMAL")</f>
        <v>0</v>
      </c>
      <c r="Q15" s="2">
        <f>COUNTIFS(Sheet1!$C$2:$C$51,"lebih",Sheet1!$G$2:$G$51,"rendah",Sheet1!$E$2:$E$51,"KURANG")</f>
        <v>0</v>
      </c>
      <c r="R15" s="2">
        <v>0</v>
      </c>
      <c r="S15" s="4">
        <f>($R$2)-((N15/$N$3*R15)+(N16/$N$3*R16)+(N17/$N$3*R17))</f>
        <v>0.128911981358963</v>
      </c>
      <c r="U15" s="2"/>
      <c r="V15" s="2" t="s">
        <v>49</v>
      </c>
      <c r="W15" s="2" t="s">
        <v>30</v>
      </c>
      <c r="X15" s="2">
        <f>COUNTIFS(Sheet1!$C$2:$C$51,"kurus",Sheet1!$G$2:$G$51,"rendah")</f>
        <v>0</v>
      </c>
      <c r="Y15" s="2">
        <f>COUNTIFS(Sheet1!$C$2:$C$51,"kurus",Sheet1!$G$2:$G$51,"rendah",Sheet1!$E$2:$E$51,"lebih")</f>
        <v>0</v>
      </c>
      <c r="Z15" s="2">
        <f>COUNTIFS(Sheet1!$C$2:$C$51,"kurus",Sheet1!$G$2:$G$51,"rendah",Sheet1!$E$2:$E$51,"NORMAL")</f>
        <v>0</v>
      </c>
      <c r="AA15" s="2">
        <f>COUNTIFS(Sheet1!$C$2:$C$51,"kurus",Sheet1!$G$2:$G$51,"rendah",Sheet1!$E$2:$E$51,"KURANG")</f>
        <v>0</v>
      </c>
      <c r="AB15" s="2">
        <v>0</v>
      </c>
      <c r="AC15" s="4">
        <f>($AB$2)-((X15/$X$3*AB15)+(X16/$X$3*AB16)+(X17/$X$3*AB17))</f>
        <v>0.817633856899831</v>
      </c>
    </row>
    <row r="16" spans="1:29">
      <c r="A16" s="2"/>
      <c r="B16" s="2"/>
      <c r="C16" s="2" t="s">
        <v>18</v>
      </c>
      <c r="D16" s="2">
        <f>COUNTIFS(Sheet1!$C$2:$C$51,"normal",Sheet1!$G$2:$G$51,"sedang")</f>
        <v>32</v>
      </c>
      <c r="E16" s="2">
        <f>COUNTIFS(Sheet1!$C$2:$C$51,"normal",Sheet1!$G$2:$G$51,"SEDANG",Sheet1!$E$2:$E$51,"lebih")</f>
        <v>5</v>
      </c>
      <c r="F16" s="2">
        <f>COUNTIFS(Sheet1!$C$2:$C$51,"normal",Sheet1!$G$2:$G$51,"SEDANG",Sheet1!$E$2:$E$51,"NORMAL")</f>
        <v>26</v>
      </c>
      <c r="G16" s="2">
        <f>COUNTIFS(Sheet1!$C$2:$C$51,"normal",Sheet1!$G$2:$G$51,"SEDANG",Sheet1!$E$2:$E$51,"KURANG")</f>
        <v>1</v>
      </c>
      <c r="H16" s="2">
        <f t="shared" ref="H16:H18" si="1">((-E16/D16)*IMLOG2(E16/D16)+(-F16/D16)*IMLOG2(F16/D16)+(-G16/D16)*IMLOG2(G16/D16))</f>
        <v>0.818091464184213</v>
      </c>
      <c r="I16" s="6"/>
      <c r="K16" s="2"/>
      <c r="L16" s="2"/>
      <c r="M16" s="2" t="s">
        <v>18</v>
      </c>
      <c r="N16" s="2">
        <f>COUNTIFS(Sheet1!$C$2:$C$51,"LEBIH",Sheet1!$G$2:$G$51,"sedang")</f>
        <v>3</v>
      </c>
      <c r="O16" s="2">
        <f>COUNTIFS(Sheet1!$C$2:$C$51,"LEBIH",Sheet1!$G$2:$G$51,"SEDANG",Sheet1!$E$2:$E$51,"lebih")</f>
        <v>1</v>
      </c>
      <c r="P16" s="2">
        <f>COUNTIFS(Sheet1!$C$2:$C$51,"LEBIH",Sheet1!$G$2:$G$51,"SEDANG",Sheet1!$E$2:$E$51,"NORMAL")</f>
        <v>2</v>
      </c>
      <c r="Q16" s="2">
        <f>COUNTIFS(Sheet1!$C$2:$C$51,"LEBIH",Sheet1!$G$2:$G$51,"SEDANG",Sheet1!$E$2:$E$51,"KURANG")</f>
        <v>0</v>
      </c>
      <c r="R16" s="2">
        <f>((-O16/N16)*IMLOG2(O16/N16)+(-P16/N16)*IMLOG2(P16/N16))</f>
        <v>0.918295834054491</v>
      </c>
      <c r="S16" s="6"/>
      <c r="U16" s="2"/>
      <c r="V16" s="2"/>
      <c r="W16" s="2" t="s">
        <v>18</v>
      </c>
      <c r="X16" s="2">
        <f>COUNTIFS(Sheet1!$C$2:$C$51,"kurus",Sheet1!$G$2:$G$51,"sedang")</f>
        <v>8</v>
      </c>
      <c r="Y16" s="2">
        <f>COUNTIFS(Sheet1!$C$2:$C$51,"kurus",Sheet1!$G$2:$G$51,"SEDANG",Sheet1!$E$2:$E$51,"lebih")</f>
        <v>0</v>
      </c>
      <c r="Z16" s="2">
        <f>COUNTIFS(Sheet1!$C$2:$C$51,"kurus",Sheet1!$G$2:$G$51,"SEDANG",Sheet1!$E$2:$E$51,"NORMAL")</f>
        <v>8</v>
      </c>
      <c r="AA16" s="2">
        <f>COUNTIFS(Sheet1!$C$2:$C$51,"kurus",Sheet1!$G$2:$G$51,"SEDANG",Sheet1!$E$2:$E$51,"KURANG")</f>
        <v>0</v>
      </c>
      <c r="AB16" s="2">
        <v>0</v>
      </c>
      <c r="AC16" s="6"/>
    </row>
    <row r="17" spans="1:29">
      <c r="A17" s="2"/>
      <c r="B17" s="2"/>
      <c r="C17" s="2" t="s">
        <v>31</v>
      </c>
      <c r="D17" s="2">
        <f>COUNTIFS(Sheet1!$C$2:$C$51,"normal",Sheet1!$G$2:$G$51,"tinggi")</f>
        <v>6</v>
      </c>
      <c r="E17" s="2">
        <f>COUNTIFS(Sheet1!$C$2:$C$51,"normal",Sheet1!$G$2:$G$51,"TINGGI",Sheet1!$E$2:$E$51,"lebih")</f>
        <v>0</v>
      </c>
      <c r="F17" s="2">
        <f>COUNTIFS(Sheet1!$C$2:$C$51,"normal",Sheet1!$G$2:$G$51,"TINGGI",Sheet1!$E$2:$E$51,"NORMAL")</f>
        <v>5</v>
      </c>
      <c r="G17" s="2">
        <f>COUNTIFS(Sheet1!$C$2:$C$51,"normal",Sheet1!$G$2:$G$51,"TINGGI",Sheet1!$E$2:$E$51,"KURANG")</f>
        <v>1</v>
      </c>
      <c r="H17" s="2">
        <f>((-F17/D17)*IMLOG2(F17/D17)+(-G17/D17)*IMLOG2(G17/D17))</f>
        <v>0.650022421648355</v>
      </c>
      <c r="I17" s="5"/>
      <c r="K17" s="2"/>
      <c r="L17" s="2"/>
      <c r="M17" s="2" t="s">
        <v>31</v>
      </c>
      <c r="N17" s="2">
        <f>COUNTIFS(Sheet1!$C$2:$C$51,"LEBIH",Sheet1!$G$2:$G$51,"tinggi")</f>
        <v>1</v>
      </c>
      <c r="O17" s="2">
        <f>COUNTIFS(Sheet1!$C$2:$C$51,"LEBIH",Sheet1!$G$2:$G$51,"TINGGI",Sheet1!$E$2:$E$51,"lebih")</f>
        <v>1</v>
      </c>
      <c r="P17" s="2">
        <f>COUNTIFS(Sheet1!$C$2:$C$51,"LEBIH",Sheet1!$G$2:$G$51,"TINGGI",Sheet1!$E$2:$E$51,"NORMAL")</f>
        <v>0</v>
      </c>
      <c r="Q17" s="2">
        <f>COUNTIFS(Sheet1!$C$2:$C$51,"LEBIH",Sheet1!$G$2:$G$51,"TINGGI",Sheet1!$E$2:$E$51,"KURANG")</f>
        <v>0</v>
      </c>
      <c r="R17" s="2">
        <v>0</v>
      </c>
      <c r="S17" s="5"/>
      <c r="U17" s="2"/>
      <c r="V17" s="2"/>
      <c r="W17" s="2" t="s">
        <v>31</v>
      </c>
      <c r="X17" s="2">
        <f>COUNTIFS(Sheet1!$C$2:$C$51,"kurus",Sheet1!$G$2:$G$51,"tinggi")</f>
        <v>0</v>
      </c>
      <c r="Y17" s="2">
        <f>COUNTIFS(Sheet1!$C$2:$C$51,"kurus",Sheet1!$G$2:$G$51,"TINGGI",Sheet1!$E$2:$E$51,"lebih")</f>
        <v>0</v>
      </c>
      <c r="Z17" s="2">
        <f>COUNTIFS(Sheet1!$C$2:$C$51,"kurus",Sheet1!$G$2:$G$51,"TINGGI",Sheet1!$E$2:$E$51,"NORMAL")</f>
        <v>0</v>
      </c>
      <c r="AA17" s="2">
        <f>COUNTIFS(Sheet1!$C$2:$C$51,"kurus",Sheet1!$G$2:$G$51,"TINGGI",Sheet1!$E$2:$E$51,"KURANG")</f>
        <v>0</v>
      </c>
      <c r="AB17" s="2">
        <v>0</v>
      </c>
      <c r="AC17" s="5"/>
    </row>
    <row r="18" spans="1:29">
      <c r="A18" s="2"/>
      <c r="B18" s="2" t="s">
        <v>50</v>
      </c>
      <c r="C18" s="2" t="s">
        <v>29</v>
      </c>
      <c r="D18" s="2">
        <f>COUNTIFS(Sheet1!$C$2:$C$51,"normal",Sheet1!$H$2:$H$51,"tidak")</f>
        <v>17</v>
      </c>
      <c r="E18" s="2">
        <f>COUNTIFS(Sheet1!$C$2:$C$51,"normal",Sheet1!$H$2:$H$51,"tidak",Sheet1!$E$2:$E$51,"lebih")</f>
        <v>3</v>
      </c>
      <c r="F18" s="2">
        <f>COUNTIFS(Sheet1!$C$2:$C$51,"normal",Sheet1!$H$2:$H$51,"tidak",Sheet1!$E$2:$E$51,"normal")</f>
        <v>12</v>
      </c>
      <c r="G18" s="2">
        <f>COUNTIFS(Sheet1!$C$2:$C$51,"normal",Sheet1!$H$2:$H$51,"tidak",Sheet1!$E$2:$E$51,"kurang")</f>
        <v>2</v>
      </c>
      <c r="H18" s="2">
        <f t="shared" si="1"/>
        <v>1.15955475237873</v>
      </c>
      <c r="I18" s="4">
        <f>($H$2)-((D18/$D$3*H18)+(D19/$D$3*H19))</f>
        <v>0.0481477012849821</v>
      </c>
      <c r="K18" s="2"/>
      <c r="L18" s="2" t="s">
        <v>50</v>
      </c>
      <c r="M18" s="2" t="s">
        <v>29</v>
      </c>
      <c r="N18" s="2">
        <f>COUNTIFS(Sheet1!$C$2:$C$51,"lebih",Sheet1!$H$2:$H$51,"tidak")</f>
        <v>1</v>
      </c>
      <c r="O18" s="2">
        <f>COUNTIFS(Sheet1!$C$2:$C$51,"lebih",Sheet1!$H$2:$H$51,"tidak",Sheet1!$E$2:$E$51,"lebih")</f>
        <v>1</v>
      </c>
      <c r="P18" s="2">
        <f>COUNTIFS(Sheet1!$C$2:$C$51,"lebih",Sheet1!$H$2:$H$51,"tidak",Sheet1!$E$2:$E$51,"normal")</f>
        <v>0</v>
      </c>
      <c r="Q18" s="2">
        <f>COUNTIFS(Sheet1!$C$2:$C$51,"lebih",Sheet1!$H$2:$H$51,"tidak",Sheet1!$E$2:$E$51,"kurang")</f>
        <v>0</v>
      </c>
      <c r="R18" s="2">
        <v>0</v>
      </c>
      <c r="S18" s="4">
        <f>($R$2)-((N18/$N$3*R18)+(N19/$N$3*R19))</f>
        <v>0.128911981358963</v>
      </c>
      <c r="U18" s="2"/>
      <c r="V18" s="2" t="s">
        <v>50</v>
      </c>
      <c r="W18" s="2" t="s">
        <v>29</v>
      </c>
      <c r="X18" s="2">
        <f>COUNTIFS(Sheet1!$C$2:$C$51,"kurus",Sheet1!$H$2:$H$51,"tidak")</f>
        <v>8</v>
      </c>
      <c r="Y18" s="2">
        <f>COUNTIFS(Sheet1!$C$2:$C$51,"kurus",Sheet1!$H$2:$H$51,"tidak",Sheet1!$E$2:$E$51,"lebih")</f>
        <v>0</v>
      </c>
      <c r="Z18" s="2">
        <f>COUNTIFS(Sheet1!$C$2:$C$51,"kurus",Sheet1!$H$2:$H$51,"tidak",Sheet1!$E$2:$E$51,"normal")</f>
        <v>8</v>
      </c>
      <c r="AA18" s="2">
        <f>COUNTIFS(Sheet1!$C$2:$C$51,"kurus",Sheet1!$H$2:$H$51,"tidak",Sheet1!$E$2:$E$51,"kurang")</f>
        <v>0</v>
      </c>
      <c r="AB18" s="2">
        <v>0</v>
      </c>
      <c r="AC18" s="4">
        <f>($AB$2)-((X18/$X$3*AB18)+(X19/$X$3*AB19))</f>
        <v>0.817633856899831</v>
      </c>
    </row>
    <row r="19" spans="1:29">
      <c r="A19" s="2"/>
      <c r="B19" s="2"/>
      <c r="C19" s="2" t="s">
        <v>19</v>
      </c>
      <c r="D19" s="2">
        <f>COUNTIFS(Sheet1!$C$2:$C$51,"normal",Sheet1!$H$2:$H$51,"bekerja")</f>
        <v>21</v>
      </c>
      <c r="E19" s="2">
        <f>COUNTIFS(Sheet1!$C$2:$C$51,"normal",Sheet1!$H$2:$H$51,"bekerja",Sheet1!$E$2:$E$51,"lebih")</f>
        <v>2</v>
      </c>
      <c r="F19" s="2">
        <f>COUNTIFS(Sheet1!$C$2:$C$51,"normal",Sheet1!$H$2:$H$51,"bekerja",Sheet1!$E$2:$E$51,"normal")</f>
        <v>19</v>
      </c>
      <c r="G19" s="2">
        <f>COUNTIFS(Sheet1!$C$2:$C$51,"normal",Sheet1!$H$2:$H$51,"bekerja",Sheet1!$E$2:$E$51,"kurang")</f>
        <v>0</v>
      </c>
      <c r="H19" s="2">
        <f>((-E19/D19)*IMLOG2(E19/D19)+(-F19/D19)*IMLOG2(F19/D19))</f>
        <v>0.453716339186945</v>
      </c>
      <c r="I19" s="5"/>
      <c r="K19" s="2"/>
      <c r="L19" s="2"/>
      <c r="M19" s="2" t="s">
        <v>19</v>
      </c>
      <c r="N19" s="2">
        <f>COUNTIFS(Sheet1!$C$2:$C$51,"lebih",Sheet1!$H$2:$H$51,"bekerja")</f>
        <v>3</v>
      </c>
      <c r="O19" s="2">
        <f>COUNTIFS(Sheet1!$C$2:$C$51,"lebih",Sheet1!$H$2:$H$51,"bekerja",Sheet1!$E$2:$E$51,"lebih")</f>
        <v>1</v>
      </c>
      <c r="P19" s="2">
        <f>COUNTIFS(Sheet1!$C$2:$C$51,"lebih",Sheet1!$H$2:$H$51,"bekerja",Sheet1!$E$2:$E$51,"normal")</f>
        <v>2</v>
      </c>
      <c r="Q19" s="2">
        <f>COUNTIFS(Sheet1!$C$2:$C$51,"lebih",Sheet1!$H$2:$H$51,"bekerja",Sheet1!$E$2:$E$51,"kurang")</f>
        <v>0</v>
      </c>
      <c r="R19" s="2">
        <f>((-O19/N19)*IMLOG2(O19/N19)+(-P19/N19)*IMLOG2(P19/N19))</f>
        <v>0.918295834054491</v>
      </c>
      <c r="S19" s="5"/>
      <c r="U19" s="2"/>
      <c r="V19" s="2"/>
      <c r="W19" s="2" t="s">
        <v>19</v>
      </c>
      <c r="X19" s="2">
        <f>COUNTIFS(Sheet1!$C$2:$C$51,"kurus",Sheet1!$H$2:$H$51,"bekerja")</f>
        <v>0</v>
      </c>
      <c r="Y19" s="2">
        <f>COUNTIFS(Sheet1!$C$2:$C$51,"kurus",Sheet1!$H$2:$H$51,"bekerja",Sheet1!$E$2:$E$51,"lebih")</f>
        <v>0</v>
      </c>
      <c r="Z19" s="2">
        <f>COUNTIFS(Sheet1!$C$2:$C$51,"kurus",Sheet1!$H$2:$H$51,"bekerja",Sheet1!$E$2:$E$51,"normal")</f>
        <v>0</v>
      </c>
      <c r="AA19" s="2">
        <f>COUNTIFS(Sheet1!$C$2:$C$51,"kurus",Sheet1!$H$2:$H$51,"bekerja",Sheet1!$E$2:$E$51,"kurang")</f>
        <v>0</v>
      </c>
      <c r="AB19" s="2">
        <v>0</v>
      </c>
      <c r="AC19" s="5"/>
    </row>
    <row r="20" spans="1:29">
      <c r="A20" s="2"/>
      <c r="B20" s="2" t="s">
        <v>51</v>
      </c>
      <c r="C20" s="2" t="s">
        <v>20</v>
      </c>
      <c r="D20" s="2">
        <f>COUNTIFS(Sheet1!$C$2:$C$51,"normal",Sheet1!$I$2:$I$51,"x")</f>
        <v>38</v>
      </c>
      <c r="E20" s="2">
        <f>COUNTIFS(Sheet1!$C$2:$C$51,"normal",Sheet1!$I$2:$I$51,"x",Sheet1!$E$2:$E$51,"lebih")</f>
        <v>5</v>
      </c>
      <c r="F20" s="2">
        <f>COUNTIFS(Sheet1!$C$2:$C$51,"normal",Sheet1!$I$2:$I$51,"x",Sheet1!$E$2:$E$51,"normal")</f>
        <v>31</v>
      </c>
      <c r="G20" s="2">
        <f>COUNTIFS(Sheet1!$C$2:$C$51,"normal",Sheet1!$I$2:$I$51,"x",Sheet1!$E$2:$E$51,"kurang")</f>
        <v>2</v>
      </c>
      <c r="H20" s="2">
        <f>((-E20/D20)*IMLOG2(E20/D20)+(-F20/D20)*IMLOG2(F20/D20)+(-G20/D20)*IMLOG2(G20/D20))</f>
        <v>0.848197879327008</v>
      </c>
      <c r="I20" s="4">
        <f>($H$2)-((D20/$D$3*H20)+(D21/$D$3*H21)+(D22/$D$3*H22))</f>
        <v>-0.0305640224271764</v>
      </c>
      <c r="K20" s="2"/>
      <c r="L20" s="2" t="s">
        <v>51</v>
      </c>
      <c r="M20" s="2" t="s">
        <v>20</v>
      </c>
      <c r="N20" s="2">
        <f>COUNTIFS(Sheet1!$C$2:$C$51,"lebih",Sheet1!$I$2:$I$51,"x")</f>
        <v>4</v>
      </c>
      <c r="O20" s="2">
        <f>COUNTIFS(Sheet1!$C$2:$C$51,"lebih",Sheet1!$I$2:$I$51,"x",Sheet1!$E$2:$E$51,"lebih")</f>
        <v>2</v>
      </c>
      <c r="P20" s="2">
        <f>COUNTIFS(Sheet1!$C$2:$C$51,"lebih",Sheet1!$I$2:$I$51,"x",Sheet1!$E$2:$E$51,"normal")</f>
        <v>2</v>
      </c>
      <c r="Q20" s="2">
        <f>COUNTIFS(Sheet1!$C$2:$C$51,"lebih",Sheet1!$I$2:$I$51,"x",Sheet1!$E$2:$E$51,"kurang")</f>
        <v>0</v>
      </c>
      <c r="R20" s="2">
        <f>((-O20/N20)*IMLOG2(O20/N20)+(-P20/N20)*IMLOG2(P20/N20))</f>
        <v>1</v>
      </c>
      <c r="S20" s="4">
        <f>($R$2)-((N20/$N$3*R20)+(N21/$N$3*R21)+(N22/$N$3*R22))</f>
        <v>-0.182366143100169</v>
      </c>
      <c r="U20" s="2"/>
      <c r="V20" s="2" t="s">
        <v>51</v>
      </c>
      <c r="W20" s="2" t="s">
        <v>20</v>
      </c>
      <c r="X20" s="2">
        <f>COUNTIFS(Sheet1!$C$2:$C$51,"kurus",Sheet1!$I$2:$I$51,"x")</f>
        <v>8</v>
      </c>
      <c r="Y20" s="2">
        <f>COUNTIFS(Sheet1!$C$2:$C$51,"kurus",Sheet1!$I$2:$I$51,"x",Sheet1!$E$2:$E$51,"lebih")</f>
        <v>0</v>
      </c>
      <c r="Z20" s="2">
        <f>COUNTIFS(Sheet1!$C$2:$C$51,"kurus",Sheet1!$I$2:$I$51,"x",Sheet1!$E$2:$E$51,"normal")</f>
        <v>8</v>
      </c>
      <c r="AA20" s="2">
        <f>COUNTIFS(Sheet1!$C$2:$C$51,"kurus",Sheet1!$I$2:$I$51,"x",Sheet1!$E$2:$E$51,"kurang")</f>
        <v>0</v>
      </c>
      <c r="AB20" s="2">
        <v>0</v>
      </c>
      <c r="AC20" s="4">
        <f>($AB$2)-((X20/$X$3*AB20)+(X21/$X$3*AB21)+(X22/$X$3*AB22))</f>
        <v>0.817633856899831</v>
      </c>
    </row>
    <row r="21" spans="1:29">
      <c r="A21" s="2"/>
      <c r="B21" s="2"/>
      <c r="C21" s="2" t="s">
        <v>52</v>
      </c>
      <c r="D21" s="2">
        <f>COUNTIFS(Sheet1!$C$2:$C$51,"normal",Sheet1!$I$2:$I$51,"y")</f>
        <v>0</v>
      </c>
      <c r="E21" s="2">
        <f>COUNTIFS(Sheet1!$C$2:$C$51,"normal",Sheet1!$I$2:$I$51,"y",Sheet1!$E$2:$E$51,"lebih")</f>
        <v>0</v>
      </c>
      <c r="F21" s="2">
        <f>COUNTIFS(Sheet1!$C$2:$C$51,"normal",Sheet1!$I$2:$I$51,"y",Sheet1!$E$2:$E$51,"normal")</f>
        <v>0</v>
      </c>
      <c r="G21" s="2">
        <f>COUNTIFS(Sheet1!$C$2:$C$51,"normal",Sheet1!$I$2:$I$51,"y",Sheet1!$E$2:$E$51,"kurang")</f>
        <v>0</v>
      </c>
      <c r="H21" s="2">
        <v>0</v>
      </c>
      <c r="I21" s="6"/>
      <c r="K21" s="2"/>
      <c r="L21" s="2"/>
      <c r="M21" s="2" t="s">
        <v>52</v>
      </c>
      <c r="N21" s="2">
        <f>COUNTIFS(Sheet1!$C$2:$C$51,"lebih",Sheet1!$I$2:$I$51,"y")</f>
        <v>0</v>
      </c>
      <c r="O21" s="2">
        <f>COUNTIFS(Sheet1!$C$2:$C$51,"lebih",Sheet1!$I$2:$I$51,"y",Sheet1!$E$2:$E$51,"lebih")</f>
        <v>0</v>
      </c>
      <c r="P21" s="2">
        <f>COUNTIFS(Sheet1!$C$2:$C$51,"lebih",Sheet1!$I$2:$I$51,"y",Sheet1!$E$2:$E$51,"normal")</f>
        <v>0</v>
      </c>
      <c r="Q21" s="2">
        <f>COUNTIFS(Sheet1!$C$2:$C$51,"lebih",Sheet1!$I$2:$I$51,"y",Sheet1!$E$2:$E$51,"kurang")</f>
        <v>0</v>
      </c>
      <c r="R21" s="2">
        <v>0</v>
      </c>
      <c r="S21" s="6"/>
      <c r="U21" s="2"/>
      <c r="V21" s="2"/>
      <c r="W21" s="2" t="s">
        <v>52</v>
      </c>
      <c r="X21" s="2">
        <f>COUNTIFS(Sheet1!$C$2:$C$51,"kurus",Sheet1!$I$2:$I$51,"y")</f>
        <v>0</v>
      </c>
      <c r="Y21" s="2">
        <f>COUNTIFS(Sheet1!$C$2:$C$51,"kurus",Sheet1!$I$2:$I$51,"y",Sheet1!$E$2:$E$51,"lebih")</f>
        <v>0</v>
      </c>
      <c r="Z21" s="2">
        <f>COUNTIFS(Sheet1!$C$2:$C$51,"kurus",Sheet1!$I$2:$I$51,"y",Sheet1!$E$2:$E$51,"normal")</f>
        <v>0</v>
      </c>
      <c r="AA21" s="2">
        <f>COUNTIFS(Sheet1!$C$2:$C$51,"kurus",Sheet1!$I$2:$I$51,"y",Sheet1!$E$2:$E$51,"kurang")</f>
        <v>0</v>
      </c>
      <c r="AB21" s="2">
        <v>0</v>
      </c>
      <c r="AC21" s="6"/>
    </row>
    <row r="22" spans="1:29">
      <c r="A22" s="2"/>
      <c r="B22" s="2"/>
      <c r="C22" s="2" t="s">
        <v>53</v>
      </c>
      <c r="D22" s="2">
        <f>COUNTIFS(Sheet1!$C$2:$C$51,"normal",Sheet1!$I$2:$I$51,"z")</f>
        <v>0</v>
      </c>
      <c r="E22" s="2">
        <f>COUNTIFS(Sheet1!$C$2:$C$51,"normal",Sheet1!$I$2:$I$51,"z",Sheet1!$E$2:$E$51,"lebih")</f>
        <v>0</v>
      </c>
      <c r="F22" s="2">
        <f>COUNTIFS(Sheet1!$C$2:$C$51,"normal",Sheet1!$I$2:$I$51,"z",Sheet1!$E$2:$E$51,"normal")</f>
        <v>0</v>
      </c>
      <c r="G22" s="2">
        <f>COUNTIFS(Sheet1!$C$2:$C$51,"normal",Sheet1!$I$2:$I$51,"z",Sheet1!$E$2:$E$51,"kurang")</f>
        <v>0</v>
      </c>
      <c r="H22" s="2">
        <v>0</v>
      </c>
      <c r="I22" s="5"/>
      <c r="K22" s="2"/>
      <c r="L22" s="2"/>
      <c r="M22" s="2" t="s">
        <v>53</v>
      </c>
      <c r="N22" s="2">
        <f>COUNTIFS(Sheet1!$C$2:$C$51,"lebih",Sheet1!$I$2:$I$51,"z")</f>
        <v>0</v>
      </c>
      <c r="O22" s="2">
        <f>COUNTIFS(Sheet1!$C$2:$C$51,"lebih",Sheet1!$I$2:$I$51,"z",Sheet1!$E$2:$E$51,"lebih")</f>
        <v>0</v>
      </c>
      <c r="P22" s="2">
        <f>COUNTIFS(Sheet1!$C$2:$C$51,"lebih",Sheet1!$I$2:$I$51,"z",Sheet1!$E$2:$E$51,"normal")</f>
        <v>0</v>
      </c>
      <c r="Q22" s="2">
        <f>COUNTIFS(Sheet1!$C$2:$C$51,"lebih",Sheet1!$I$2:$I$51,"z",Sheet1!$E$2:$E$51,"kurang")</f>
        <v>0</v>
      </c>
      <c r="R22" s="2">
        <v>0</v>
      </c>
      <c r="S22" s="5"/>
      <c r="U22" s="2"/>
      <c r="V22" s="2"/>
      <c r="W22" s="2" t="s">
        <v>53</v>
      </c>
      <c r="X22" s="2">
        <f>COUNTIFS(Sheet1!$C$2:$C$51,"kurus",Sheet1!$I$2:$I$51,"z")</f>
        <v>0</v>
      </c>
      <c r="Y22" s="2">
        <f>COUNTIFS(Sheet1!$C$2:$C$51,"kurus",Sheet1!$I$2:$I$51,"z",Sheet1!$E$2:$E$51,"lebih")</f>
        <v>0</v>
      </c>
      <c r="Z22" s="2">
        <f>COUNTIFS(Sheet1!$C$2:$C$51,"kurus",Sheet1!$I$2:$I$51,"z",Sheet1!$E$2:$E$51,"normal")</f>
        <v>0</v>
      </c>
      <c r="AA22" s="2">
        <f>COUNTIFS(Sheet1!$C$2:$C$51,"kurus",Sheet1!$I$2:$I$51,"z",Sheet1!$E$2:$E$51,"kurang")</f>
        <v>0</v>
      </c>
      <c r="AB22" s="2">
        <v>0</v>
      </c>
      <c r="AC22" s="5"/>
    </row>
    <row r="23" spans="1:29">
      <c r="A23" s="2"/>
      <c r="B23" s="2" t="s">
        <v>54</v>
      </c>
      <c r="C23" s="2" t="s">
        <v>21</v>
      </c>
      <c r="D23" s="2">
        <f>COUNTIFS(Sheet1!$C$2:$C$51,"normal",Sheet1!$J$2:$J$51,"i")</f>
        <v>28</v>
      </c>
      <c r="E23" s="2">
        <f>COUNTIFS(Sheet1!$C$2:$C$51,"normal",Sheet1!$J$2:$J$51,"i",Sheet1!$E$2:$E$51,"lebih")</f>
        <v>5</v>
      </c>
      <c r="F23" s="2">
        <f>COUNTIFS(Sheet1!$C$2:$C$51,"normal",Sheet1!$J$2:$J$51,"i",Sheet1!$E$2:$E$51,"normal")</f>
        <v>21</v>
      </c>
      <c r="G23" s="2">
        <f>COUNTIFS(Sheet1!$C$2:$C$51,"normal",Sheet1!$J$2:$J$51,"i",Sheet1!$E$2:$E$51,"kurang")</f>
        <v>2</v>
      </c>
      <c r="H23" s="2">
        <f>((-E23/D23)*IMLOG2(E23/D23)+(-F23/D23)*IMLOG2(F23/D23)+(-G23/D23)*IMLOG2(G23/D23))</f>
        <v>1.02705826660079</v>
      </c>
      <c r="I23" s="4">
        <f>($H$2)-((D23/$D$3*H23)+(D24/$D$3*H24)+(D25/$D$3*H25))</f>
        <v>0.0608540815097754</v>
      </c>
      <c r="K23" s="2"/>
      <c r="L23" s="2" t="s">
        <v>54</v>
      </c>
      <c r="M23" s="2" t="s">
        <v>21</v>
      </c>
      <c r="N23" s="2">
        <f>COUNTIFS(Sheet1!$C$2:$C$51,"lebih",Sheet1!$J$2:$J$51,"i")</f>
        <v>4</v>
      </c>
      <c r="O23" s="2">
        <f>COUNTIFS(Sheet1!$C$2:$C$51,"lebih",Sheet1!$J$2:$J$51,"i",Sheet1!$E$2:$E$51,"lebih")</f>
        <v>2</v>
      </c>
      <c r="P23" s="2">
        <f>COUNTIFS(Sheet1!$C$2:$C$51,"lebih",Sheet1!$J$2:$J$51,"i",Sheet1!$E$2:$E$51,"normal")</f>
        <v>2</v>
      </c>
      <c r="Q23" s="2">
        <f>COUNTIFS(Sheet1!$C$2:$C$51,"lebih",Sheet1!$J$2:$J$51,"i",Sheet1!$E$2:$E$51,"kurang")</f>
        <v>0</v>
      </c>
      <c r="R23" s="2">
        <f>((-O23/N23)*IMLOG2(O23/N23)+(-P23/N23)*IMLOG2(P23/N23))</f>
        <v>1</v>
      </c>
      <c r="S23" s="4">
        <f>($R$2)-((N23/$N$3*R23)+(N24/$N$3*R24)+(N25/$N$3*R25))</f>
        <v>-0.182366143100169</v>
      </c>
      <c r="U23" s="2"/>
      <c r="V23" s="2" t="s">
        <v>54</v>
      </c>
      <c r="W23" s="2" t="s">
        <v>21</v>
      </c>
      <c r="X23" s="2">
        <f>COUNTIFS(Sheet1!$C$2:$C$51,"kurus",Sheet1!$J$2:$J$51,"i")</f>
        <v>6</v>
      </c>
      <c r="Y23" s="2">
        <f>COUNTIFS(Sheet1!$C$2:$C$51,"kurus",Sheet1!$J$2:$J$51,"i",Sheet1!$E$2:$E$51,"lebih")</f>
        <v>0</v>
      </c>
      <c r="Z23" s="2">
        <f>COUNTIFS(Sheet1!$C$2:$C$51,"kurus",Sheet1!$J$2:$J$51,"i",Sheet1!$E$2:$E$51,"normal")</f>
        <v>6</v>
      </c>
      <c r="AA23" s="2">
        <f>COUNTIFS(Sheet1!$C$2:$C$51,"kurus",Sheet1!$J$2:$J$51,"i",Sheet1!$E$2:$E$51,"kurang")</f>
        <v>0</v>
      </c>
      <c r="AB23" s="2">
        <v>0</v>
      </c>
      <c r="AC23" s="4">
        <f>($AB$2)-((X23/$X$3*AB23)+(X24/$X$3*AB24)+(X25/$X$3*AB25))</f>
        <v>0.817633856899831</v>
      </c>
    </row>
    <row r="24" spans="1:29">
      <c r="A24" s="2"/>
      <c r="B24" s="2"/>
      <c r="C24" s="2" t="s">
        <v>28</v>
      </c>
      <c r="D24" s="2">
        <f>COUNTIFS(Sheet1!$C$2:$C$51,"normal",Sheet1!$J$2:$J$51,"ii")</f>
        <v>10</v>
      </c>
      <c r="E24" s="2">
        <f>COUNTIFS(Sheet1!$C$2:$C$51,"normal",Sheet1!$J$2:$J$51,"ii",Sheet1!$E$2:$E$51,"lebih")</f>
        <v>0</v>
      </c>
      <c r="F24" s="2">
        <f>COUNTIFS(Sheet1!$C$2:$C$51,"normal",Sheet1!$J$2:$J$51,"ii",Sheet1!$E$2:$E$51,"normal")</f>
        <v>10</v>
      </c>
      <c r="G24" s="2">
        <f>COUNTIFS(Sheet1!$C$2:$C$51,"normal",Sheet1!$J$2:$J$51,"ii",Sheet1!$E$2:$E$51,"kurang")</f>
        <v>0</v>
      </c>
      <c r="H24" s="2">
        <f>((-F24/D24)*IMLOG2(F24/D24))</f>
        <v>0</v>
      </c>
      <c r="I24" s="6"/>
      <c r="K24" s="2"/>
      <c r="L24" s="2"/>
      <c r="M24" s="2" t="s">
        <v>28</v>
      </c>
      <c r="N24" s="2">
        <f>COUNTIFS(Sheet1!$C$2:$C$51,"lebih",Sheet1!$J$2:$J$51,"ii")</f>
        <v>0</v>
      </c>
      <c r="O24" s="2">
        <f>COUNTIFS(Sheet1!$C$2:$C$51,"lebih",Sheet1!$J$2:$J$51,"ii",Sheet1!$E$2:$E$51,"lebih")</f>
        <v>0</v>
      </c>
      <c r="P24" s="2">
        <f>COUNTIFS(Sheet1!$C$2:$C$51,"lebih",Sheet1!$J$2:$J$51,"ii",Sheet1!$E$2:$E$51,"normal")</f>
        <v>0</v>
      </c>
      <c r="Q24" s="2">
        <f>COUNTIFS(Sheet1!$C$2:$C$51,"lebih",Sheet1!$J$2:$J$51,"ii",Sheet1!$E$2:$E$51,"kurang")</f>
        <v>0</v>
      </c>
      <c r="R24" s="2">
        <v>0</v>
      </c>
      <c r="S24" s="6"/>
      <c r="U24" s="2"/>
      <c r="V24" s="2"/>
      <c r="W24" s="2" t="s">
        <v>28</v>
      </c>
      <c r="X24" s="2">
        <f>COUNTIFS(Sheet1!$C$2:$C$51,"kurus",Sheet1!$J$2:$J$51,"ii")</f>
        <v>2</v>
      </c>
      <c r="Y24" s="2">
        <f>COUNTIFS(Sheet1!$C$2:$C$51,"kurus",Sheet1!$J$2:$J$51,"ii",Sheet1!$E$2:$E$51,"lebih")</f>
        <v>0</v>
      </c>
      <c r="Z24" s="2">
        <f>COUNTIFS(Sheet1!$C$2:$C$51,"kurus",Sheet1!$J$2:$J$51,"ii",Sheet1!$E$2:$E$51,"normal")</f>
        <v>2</v>
      </c>
      <c r="AA24" s="2">
        <f>COUNTIFS(Sheet1!$C$2:$C$51,"kurus",Sheet1!$J$2:$J$51,"ii",Sheet1!$E$2:$E$51,"kurang")</f>
        <v>0</v>
      </c>
      <c r="AB24" s="2">
        <v>0</v>
      </c>
      <c r="AC24" s="6"/>
    </row>
    <row r="25" spans="1:29">
      <c r="A25" s="2"/>
      <c r="B25" s="2"/>
      <c r="C25" s="2" t="s">
        <v>55</v>
      </c>
      <c r="D25" s="2">
        <f>COUNTIFS(Sheet1!$C$2:$C$51,"normal",Sheet1!$J$2:$J$51,"iii")</f>
        <v>0</v>
      </c>
      <c r="E25" s="2">
        <f>COUNTIFS(Sheet1!$C$2:$C$51,"normal",Sheet1!$J$2:$J$51,"iii",Sheet1!$E$2:$E$51,"lebih")</f>
        <v>0</v>
      </c>
      <c r="F25" s="2">
        <f>COUNTIFS(Sheet1!$C$2:$C$51,"normal",Sheet1!$J$2:$J$51,"iii",Sheet1!$E$2:$E$51,"normal")</f>
        <v>0</v>
      </c>
      <c r="G25" s="2">
        <f>COUNTIFS(Sheet1!$C$2:$C$51,"normal",Sheet1!$J$2:$J$51,"iii",Sheet1!$E$2:$E$51,"kurang")</f>
        <v>0</v>
      </c>
      <c r="H25" s="2">
        <v>0</v>
      </c>
      <c r="I25" s="5"/>
      <c r="K25" s="2"/>
      <c r="L25" s="2"/>
      <c r="M25" s="2" t="s">
        <v>55</v>
      </c>
      <c r="N25" s="2">
        <f>COUNTIFS(Sheet1!$C$2:$C$51,"lebih",Sheet1!$J$2:$J$51,"iii")</f>
        <v>0</v>
      </c>
      <c r="O25" s="2">
        <f>COUNTIFS(Sheet1!$C$2:$C$51,"lebih",Sheet1!$J$2:$J$51,"iii",Sheet1!$E$2:$E$51,"lebih")</f>
        <v>0</v>
      </c>
      <c r="P25" s="2">
        <f>COUNTIFS(Sheet1!$C$2:$C$51,"lebih",Sheet1!$J$2:$J$51,"iii",Sheet1!$E$2:$E$51,"normal")</f>
        <v>0</v>
      </c>
      <c r="Q25" s="2">
        <f>COUNTIFS(Sheet1!$C$2:$C$51,"lebih",Sheet1!$J$2:$J$51,"iii",Sheet1!$E$2:$E$51,"kurang")</f>
        <v>0</v>
      </c>
      <c r="R25" s="2">
        <v>0</v>
      </c>
      <c r="S25" s="5"/>
      <c r="U25" s="2"/>
      <c r="V25" s="2"/>
      <c r="W25" s="2" t="s">
        <v>55</v>
      </c>
      <c r="X25" s="2">
        <f>COUNTIFS(Sheet1!$C$2:$C$51,"kurus",Sheet1!$J$2:$J$51,"iii")</f>
        <v>0</v>
      </c>
      <c r="Y25" s="2">
        <f>COUNTIFS(Sheet1!$C$2:$C$51,"kurus",Sheet1!$J$2:$J$51,"iii",Sheet1!$E$2:$E$51,"lebih")</f>
        <v>0</v>
      </c>
      <c r="Z25" s="2">
        <f>COUNTIFS(Sheet1!$C$2:$C$51,"kurus",Sheet1!$J$2:$J$51,"iii",Sheet1!$E$2:$E$51,"normal")</f>
        <v>0</v>
      </c>
      <c r="AA25" s="2">
        <f>COUNTIFS(Sheet1!$C$2:$C$51,"kurus",Sheet1!$J$2:$J$51,"iii",Sheet1!$E$2:$E$51,"kurang")</f>
        <v>0</v>
      </c>
      <c r="AB25" s="2">
        <v>0</v>
      </c>
      <c r="AC25" s="5"/>
    </row>
    <row r="26" spans="1:29">
      <c r="A26" s="2"/>
      <c r="B26" s="2" t="s">
        <v>56</v>
      </c>
      <c r="C26" s="2" t="s">
        <v>30</v>
      </c>
      <c r="D26" s="2">
        <f>COUNTIFS(Sheet1!$C$2:$C$51,"normal",Sheet1!$K$2:$K$51,"rendah")</f>
        <v>1</v>
      </c>
      <c r="E26" s="2">
        <f>COUNTIFS(Sheet1!$C$2:$C$51,"normal",Sheet1!$K$2:$K$51,"rendah",Sheet1!$E$2:$E$51,"lebih")</f>
        <v>0</v>
      </c>
      <c r="F26" s="2">
        <f>COUNTIFS(Sheet1!$C$2:$C$51,"normal",Sheet1!$K$2:$K$51,"rendah",Sheet1!$E$2:$E$51,"normal")</f>
        <v>1</v>
      </c>
      <c r="G26" s="2">
        <f>COUNTIFS(Sheet1!$C$2:$C$51,"normal",Sheet1!$K$2:$K$51,"rendah",Sheet1!$E$2:$E$51,"kurang")</f>
        <v>0</v>
      </c>
      <c r="H26" s="2">
        <f>((-F26/D26)*IMLOG2(F26/D26))</f>
        <v>0</v>
      </c>
      <c r="I26" s="4">
        <f>($H$2)-((D26/$D$3*H26)+(D27/$D$3*H27)+(D28/$D$3*H28))</f>
        <v>0.0409747565675866</v>
      </c>
      <c r="K26" s="2"/>
      <c r="L26" s="2" t="s">
        <v>56</v>
      </c>
      <c r="M26" s="2" t="s">
        <v>30</v>
      </c>
      <c r="N26" s="2">
        <f>COUNTIFS(Sheet1!$C$2:$C$51,"lebih",Sheet1!$K$2:$K$51,"rendah")</f>
        <v>0</v>
      </c>
      <c r="O26" s="2">
        <f>COUNTIFS(Sheet1!$C$2:$C$51,"lebih",Sheet1!$K$2:$K$51,"rendah",Sheet1!$E$2:$E$51,"lebih")</f>
        <v>0</v>
      </c>
      <c r="P26" s="2">
        <f>COUNTIFS(Sheet1!$C$2:$C$51,"lebih",Sheet1!$K$2:$K$51,"rendah",Sheet1!$E$2:$E$51,"normal")</f>
        <v>0</v>
      </c>
      <c r="Q26" s="2">
        <f>COUNTIFS(Sheet1!$C$2:$C$51,"lebih",Sheet1!$K$2:$K$51,"rendah",Sheet1!$E$2:$E$51,"kurang")</f>
        <v>0</v>
      </c>
      <c r="R26" s="2">
        <v>0</v>
      </c>
      <c r="S26" s="4">
        <f>($R$2)-((N26/$N$3*R26)+(N27/$N$3*R27)+(N28/$N$3*R28))</f>
        <v>-0.182366143100169</v>
      </c>
      <c r="U26" s="2"/>
      <c r="V26" s="2" t="s">
        <v>56</v>
      </c>
      <c r="W26" s="2" t="s">
        <v>30</v>
      </c>
      <c r="X26" s="2">
        <f>COUNTIFS(Sheet1!$C$2:$C$51,"kurus",Sheet1!$K$2:$K$51,"rendah")</f>
        <v>0</v>
      </c>
      <c r="Y26" s="2">
        <f>COUNTIFS(Sheet1!$C$2:$C$51,"kurus",Sheet1!$K$2:$K$51,"rendah",Sheet1!$E$2:$E$51,"lebih")</f>
        <v>0</v>
      </c>
      <c r="Z26" s="2">
        <f>COUNTIFS(Sheet1!$C$2:$C$51,"kurus",Sheet1!$K$2:$K$51,"rendah",Sheet1!$E$2:$E$51,"normal")</f>
        <v>0</v>
      </c>
      <c r="AA26" s="2">
        <f>COUNTIFS(Sheet1!$C$2:$C$51,"kurus",Sheet1!$K$2:$K$51,"rendah",Sheet1!$E$2:$E$51,"kurang")</f>
        <v>0</v>
      </c>
      <c r="AB26" s="2">
        <v>0</v>
      </c>
      <c r="AC26" s="4">
        <f>($AB$2)-((X26/$X$3*AB26)+(X27/$X$3*AB27)+(X28/$X$3*AB28))</f>
        <v>0.817633856899831</v>
      </c>
    </row>
    <row r="27" spans="1:29">
      <c r="A27" s="2"/>
      <c r="B27" s="2"/>
      <c r="C27" s="2" t="s">
        <v>22</v>
      </c>
      <c r="D27" s="2">
        <f>COUNTIFS(Sheet1!$C$2:$C$51,"normal",Sheet1!$K$2:$K$51,"menengah")</f>
        <v>34</v>
      </c>
      <c r="E27" s="2">
        <f>COUNTIFS(Sheet1!$C$2:$C$51,"normal",Sheet1!$K$2:$K$51,"menengah",Sheet1!$E$2:$E$51,"lebih")</f>
        <v>5</v>
      </c>
      <c r="F27" s="2">
        <f>COUNTIFS(Sheet1!$C$2:$C$51,"normal",Sheet1!$K$2:$K$51,"menengah",Sheet1!$E$2:$E$51,"normal")</f>
        <v>28</v>
      </c>
      <c r="G27" s="2">
        <f>COUNTIFS(Sheet1!$C$2:$C$51,"normal",Sheet1!$K$2:$K$51,"menengah",Sheet1!$E$2:$E$51,"kurang")</f>
        <v>1</v>
      </c>
      <c r="H27" s="2">
        <f>((-E27/D27)*IMLOG2(E27/D27)+(-F27/D27)*IMLOG2(F27/D27)+(-G27/D27)*IMLOG2(G27/D27))</f>
        <v>0.787004656190054</v>
      </c>
      <c r="I27" s="6"/>
      <c r="K27" s="2"/>
      <c r="L27" s="2"/>
      <c r="M27" s="2" t="s">
        <v>22</v>
      </c>
      <c r="N27" s="2">
        <f>COUNTIFS(Sheet1!$C$2:$C$51,"lebih",Sheet1!$K$2:$K$51,"menengah")</f>
        <v>4</v>
      </c>
      <c r="O27" s="2">
        <f>COUNTIFS(Sheet1!$C$2:$C$51,"lebih",Sheet1!$K$2:$K$51,"menengah",Sheet1!$E$2:$E$51,"lebih")</f>
        <v>2</v>
      </c>
      <c r="P27" s="2">
        <f>COUNTIFS(Sheet1!$C$2:$C$51,"lebih",Sheet1!$K$2:$K$51,"menengah",Sheet1!$E$2:$E$51,"normal")</f>
        <v>2</v>
      </c>
      <c r="Q27" s="2">
        <f>COUNTIFS(Sheet1!$C$2:$C$51,"lebih",Sheet1!$K$2:$K$51,"menengah",Sheet1!$E$2:$E$51,"kurang")</f>
        <v>0</v>
      </c>
      <c r="R27" s="2">
        <f>((-O27/N27)*IMLOG2(O27/N27)+(-P27/N27)*IMLOG2(P27/N27))</f>
        <v>1</v>
      </c>
      <c r="S27" s="6"/>
      <c r="U27" s="2"/>
      <c r="V27" s="2"/>
      <c r="W27" s="2" t="s">
        <v>22</v>
      </c>
      <c r="X27" s="2">
        <f>COUNTIFS(Sheet1!$C$2:$C$51,"kurus",Sheet1!$K$2:$K$51,"menengah")</f>
        <v>8</v>
      </c>
      <c r="Y27" s="2">
        <f>COUNTIFS(Sheet1!$C$2:$C$51,"kurus",Sheet1!$K$2:$K$51,"menengah",Sheet1!$E$2:$E$51,"lebih")</f>
        <v>0</v>
      </c>
      <c r="Z27" s="2">
        <f>COUNTIFS(Sheet1!$C$2:$C$51,"kurus",Sheet1!$K$2:$K$51,"menengah",Sheet1!$E$2:$E$51,"normal")</f>
        <v>8</v>
      </c>
      <c r="AA27" s="2">
        <f>COUNTIFS(Sheet1!$C$2:$C$51,"kurus",Sheet1!$K$2:$K$51,"menengah",Sheet1!$E$2:$E$51,"kurang")</f>
        <v>0</v>
      </c>
      <c r="AB27" s="2">
        <v>0</v>
      </c>
      <c r="AC27" s="6"/>
    </row>
    <row r="28" spans="1:29">
      <c r="A28" s="2"/>
      <c r="B28" s="2"/>
      <c r="C28" s="2" t="s">
        <v>31</v>
      </c>
      <c r="D28" s="2">
        <f>COUNTIFS(Sheet1!$C$2:$C$51,"normal",Sheet1!$K$2:$K$51,"tinggi")</f>
        <v>3</v>
      </c>
      <c r="E28" s="2">
        <f>COUNTIFS(Sheet1!$C$2:$C$51,"normal",Sheet1!$K$2:$K$51,"tinggi",Sheet1!$E$2:$E$51,"lebih")</f>
        <v>0</v>
      </c>
      <c r="F28" s="2">
        <f>COUNTIFS(Sheet1!$C$2:$C$51,"normal",Sheet1!$K$2:$K$51,"tinggi",Sheet1!$E$2:$E$51,"normal")</f>
        <v>2</v>
      </c>
      <c r="G28" s="2">
        <f>COUNTIFS(Sheet1!$C$2:$C$51,"normal",Sheet1!$K$2:$K$51,"tinggi",Sheet1!$E$2:$E$51,"kurang")</f>
        <v>1</v>
      </c>
      <c r="H28" s="2">
        <f>((-F28/D28)*IMLOG2(F28/D28)+(-G28/D28)*IMLOG2(G28/D28))</f>
        <v>0.918295834054491</v>
      </c>
      <c r="I28" s="5"/>
      <c r="K28" s="2"/>
      <c r="L28" s="2"/>
      <c r="M28" s="2" t="s">
        <v>31</v>
      </c>
      <c r="N28" s="2">
        <f>COUNTIFS(Sheet1!$C$2:$C$51,"lebih",Sheet1!$K$2:$K$51,"tinggi")</f>
        <v>0</v>
      </c>
      <c r="O28" s="2">
        <f>COUNTIFS(Sheet1!$C$2:$C$51,"lebih",Sheet1!$K$2:$K$51,"tinggi",Sheet1!$E$2:$E$51,"lebih")</f>
        <v>0</v>
      </c>
      <c r="P28" s="2">
        <f>COUNTIFS(Sheet1!$C$2:$C$51,"lebih",Sheet1!$K$2:$K$51,"tinggi",Sheet1!$E$2:$E$51,"normal")</f>
        <v>0</v>
      </c>
      <c r="Q28" s="2">
        <f>COUNTIFS(Sheet1!$C$2:$C$51,"lebih",Sheet1!$K$2:$K$51,"tinggi",Sheet1!$E$2:$E$51,"kurang")</f>
        <v>0</v>
      </c>
      <c r="R28" s="2">
        <v>0</v>
      </c>
      <c r="S28" s="5"/>
      <c r="U28" s="2"/>
      <c r="V28" s="2"/>
      <c r="W28" s="2" t="s">
        <v>31</v>
      </c>
      <c r="X28" s="2">
        <f>COUNTIFS(Sheet1!$C$2:$C$51,"kurus",Sheet1!$K$2:$K$51,"tinggi")</f>
        <v>0</v>
      </c>
      <c r="Y28" s="2">
        <f>COUNTIFS(Sheet1!$C$2:$C$51,"kurus",Sheet1!$K$2:$K$51,"tinggi",Sheet1!$E$2:$E$51,"lebih")</f>
        <v>0</v>
      </c>
      <c r="Z28" s="2">
        <f>COUNTIFS(Sheet1!$C$2:$C$51,"kurus",Sheet1!$K$2:$K$51,"tinggi",Sheet1!$E$2:$E$51,"normal")</f>
        <v>0</v>
      </c>
      <c r="AA28" s="2">
        <f>COUNTIFS(Sheet1!$C$2:$C$51,"kurus",Sheet1!$K$2:$K$51,"tinggi",Sheet1!$E$2:$E$51,"kurang")</f>
        <v>0</v>
      </c>
      <c r="AB28" s="2">
        <v>0</v>
      </c>
      <c r="AC28" s="5"/>
    </row>
    <row r="29" spans="1:29">
      <c r="A29" s="2"/>
      <c r="B29" s="2" t="s">
        <v>57</v>
      </c>
      <c r="C29" s="2" t="s">
        <v>29</v>
      </c>
      <c r="D29" s="2">
        <f>COUNTIFS(Sheet1!$C$2:$C$51,"normal",Sheet1!$L$2:$L$51,"tidak")</f>
        <v>22</v>
      </c>
      <c r="E29" s="2">
        <f>COUNTIFS(Sheet1!$C$2:$C$51,"normal",Sheet1!$L$2:$L$51,"tidak",Sheet1!$E$2:$E$51,"lebih")</f>
        <v>2</v>
      </c>
      <c r="F29" s="2">
        <f>COUNTIFS(Sheet1!$C$2:$C$51,"normal",Sheet1!$L$2:$L$51,"tidak",Sheet1!$E$2:$E$51,"normal")</f>
        <v>18</v>
      </c>
      <c r="G29" s="2">
        <f>COUNTIFS(Sheet1!$C$2:$C$51,"normal",Sheet1!$L$2:$L$51,"tidak",Sheet1!$E$2:$E$51,"kurang")</f>
        <v>2</v>
      </c>
      <c r="H29" s="2">
        <f>((-E29/D29)*IMLOG2(E29/D29)+(-F29/D29)*IMLOG2(F29/D29)+(-G29/D29)*IMLOG2(G29/D29))</f>
        <v>0.865856617457224</v>
      </c>
      <c r="I29" s="4">
        <f>($H$2)-((D29/$D$3*H29)+(D30/$D$3*H30))</f>
        <v>0.0232064425297983</v>
      </c>
      <c r="K29" s="2"/>
      <c r="L29" s="2" t="s">
        <v>57</v>
      </c>
      <c r="M29" s="2" t="s">
        <v>29</v>
      </c>
      <c r="N29" s="2">
        <f>COUNTIFS(Sheet1!$C$2:$C$51,"lebih",Sheet1!$L$2:$L$51,"tidak")</f>
        <v>2</v>
      </c>
      <c r="O29" s="2">
        <f>COUNTIFS(Sheet1!$C$2:$C$51,"lebih",Sheet1!$L$2:$L$51,"tidak",Sheet1!$E$2:$E$51,"lebih")</f>
        <v>2</v>
      </c>
      <c r="P29" s="2">
        <f>COUNTIFS(Sheet1!$C$2:$C$51,"lebih",Sheet1!$L$2:$L$51,"tidak",Sheet1!$E$2:$E$51,"normal")</f>
        <v>0</v>
      </c>
      <c r="Q29" s="2">
        <f>COUNTIFS(Sheet1!$C$2:$C$51,"lebih",Sheet1!$L$2:$L$51,"tidak",Sheet1!$E$2:$E$51,"kurang")</f>
        <v>0</v>
      </c>
      <c r="R29" s="2">
        <v>0</v>
      </c>
      <c r="S29" s="4">
        <f>($R$2)-((N29/$N$3*R29)+(N30/$N$3*R30))</f>
        <v>0.817633856899831</v>
      </c>
      <c r="U29" s="2"/>
      <c r="V29" s="2" t="s">
        <v>57</v>
      </c>
      <c r="W29" s="2" t="s">
        <v>29</v>
      </c>
      <c r="X29" s="2">
        <f>COUNTIFS(Sheet1!$C$2:$C$51,"kurus",Sheet1!$L$2:$L$51,"tidak")</f>
        <v>5</v>
      </c>
      <c r="Y29" s="2">
        <f>COUNTIFS(Sheet1!$C$2:$C$51,"kurus",Sheet1!$L$2:$L$51,"tidak",Sheet1!$E$2:$E$51,"lebih")</f>
        <v>0</v>
      </c>
      <c r="Z29" s="2">
        <f>COUNTIFS(Sheet1!$C$2:$C$51,"kurus",Sheet1!$L$2:$L$51,"tidak",Sheet1!$E$2:$E$51,"normal")</f>
        <v>5</v>
      </c>
      <c r="AA29" s="2">
        <f>COUNTIFS(Sheet1!$C$2:$C$51,"kurus",Sheet1!$L$2:$L$51,"tidak",Sheet1!$E$2:$E$51,"kurang")</f>
        <v>0</v>
      </c>
      <c r="AB29" s="2">
        <v>0</v>
      </c>
      <c r="AC29" s="4">
        <f>($AB$2)-((X29/$X$3*AB29)+(X30/$X$3*AB30))</f>
        <v>0.817633856899831</v>
      </c>
    </row>
    <row r="30" spans="1:29">
      <c r="A30" s="2"/>
      <c r="B30" s="2"/>
      <c r="C30" s="2" t="s">
        <v>23</v>
      </c>
      <c r="D30" s="2">
        <f>COUNTIFS(Sheet1!$C$2:$C$51,"normal",Sheet1!$L$2:$L$51,"memiliki")</f>
        <v>16</v>
      </c>
      <c r="E30" s="2">
        <f>COUNTIFS(Sheet1!$C$2:$C$51,"normal",Sheet1!$L$2:$L$51,"memiliki",Sheet1!$E$2:$E$51,"lebih")</f>
        <v>3</v>
      </c>
      <c r="F30" s="2">
        <f>COUNTIFS(Sheet1!$C$2:$C$51,"normal",Sheet1!$L$2:$L$51,"memiliki",Sheet1!$E$2:$E$51,"normal")</f>
        <v>13</v>
      </c>
      <c r="G30" s="2">
        <f>COUNTIFS(Sheet1!$C$2:$C$51,"normal",Sheet1!$L$2:$L$51,"memiliki",Sheet1!$E$2:$E$51,"kurang")</f>
        <v>0</v>
      </c>
      <c r="H30" s="2">
        <f>((-E30/D30)*IMLOG2(E30/D30)+(-F30/D30)*IMLOG2(F30/D30))</f>
        <v>0.696212260125145</v>
      </c>
      <c r="I30" s="5"/>
      <c r="K30" s="2"/>
      <c r="L30" s="2"/>
      <c r="M30" s="2" t="s">
        <v>23</v>
      </c>
      <c r="N30" s="2">
        <f>COUNTIFS(Sheet1!$C$2:$C$51,"lebih",Sheet1!$L$2:$L$51,"memiliki")</f>
        <v>2</v>
      </c>
      <c r="O30" s="2">
        <f>COUNTIFS(Sheet1!$C$2:$C$51,"lebih",Sheet1!$L$2:$L$51,"memiliki",Sheet1!$E$2:$E$51,"lebih")</f>
        <v>0</v>
      </c>
      <c r="P30" s="2">
        <f>COUNTIFS(Sheet1!$C$2:$C$51,"lebih",Sheet1!$L$2:$L$51,"memiliki",Sheet1!$E$2:$E$51,"normal")</f>
        <v>2</v>
      </c>
      <c r="Q30" s="2">
        <f>COUNTIFS(Sheet1!$C$2:$C$51,"lebih",Sheet1!$L$2:$L$51,"memiliki",Sheet1!$E$2:$E$51,"kurang")</f>
        <v>0</v>
      </c>
      <c r="R30" s="2">
        <v>0</v>
      </c>
      <c r="S30" s="5"/>
      <c r="U30" s="2"/>
      <c r="V30" s="2"/>
      <c r="W30" s="2" t="s">
        <v>23</v>
      </c>
      <c r="X30" s="2">
        <f>COUNTIFS(Sheet1!$C$2:$C$51,"kurus",Sheet1!$L$2:$L$51,"memiliki")</f>
        <v>3</v>
      </c>
      <c r="Y30" s="2">
        <f>COUNTIFS(Sheet1!$C$2:$C$51,"kurus",Sheet1!$L$2:$L$51,"memiliki",Sheet1!$E$2:$E$51,"lebih")</f>
        <v>0</v>
      </c>
      <c r="Z30" s="2">
        <f>COUNTIFS(Sheet1!$C$2:$C$51,"kurus",Sheet1!$L$2:$L$51,"memiliki",Sheet1!$E$2:$E$51,"normal")</f>
        <v>3</v>
      </c>
      <c r="AA30" s="2">
        <f>COUNTIFS(Sheet1!$C$2:$C$51,"kurus",Sheet1!$L$2:$L$51,"memiliki",Sheet1!$E$2:$E$51,"kurang")</f>
        <v>0</v>
      </c>
      <c r="AB30" s="2">
        <v>0</v>
      </c>
      <c r="AC30" s="5"/>
    </row>
    <row r="31" spans="1:1">
      <c r="A31" s="7"/>
    </row>
    <row r="32" spans="1:9">
      <c r="A32" s="7"/>
      <c r="B32" s="25" t="s">
        <v>46</v>
      </c>
      <c r="C32" s="25" t="s">
        <v>16</v>
      </c>
      <c r="D32" s="25">
        <f>COUNTIF(Sheet1!$C$2:$C$51,"normal")</f>
        <v>38</v>
      </c>
      <c r="E32" s="25">
        <f>COUNTIFS(Sheet1!$C$2:$C$51,"normal",Sheet1!$E$2:$E$51,"lebih")</f>
        <v>5</v>
      </c>
      <c r="F32" s="25">
        <f>COUNTIFS(Sheet1!$C$2:$C$51,"normal",Sheet1!$E$2:$E$51,"normal")</f>
        <v>31</v>
      </c>
      <c r="G32" s="25">
        <f>COUNTIFS(Sheet1!$C$2:$C$51,"normal",Sheet1!$E$2:$E$51,"kurang")</f>
        <v>2</v>
      </c>
      <c r="H32" s="25">
        <f>((-E32/D32)*IMLOG2(E32/D32)+(-F32/D32)*IMLOG2(F32/D32)+(-G32/D32)*IMLOG2(G32/D32))</f>
        <v>0.848197879327008</v>
      </c>
      <c r="I32" s="25">
        <f>($H$2)-((D32/$D$2*H32)+(D33/$D$2*H33)+(D34/$D$2*H34))</f>
        <v>0.0930034686113055</v>
      </c>
    </row>
    <row r="33" spans="2:9">
      <c r="B33" s="25"/>
      <c r="C33" s="25" t="s">
        <v>14</v>
      </c>
      <c r="D33" s="25">
        <f>COUNTIF(Sheet1!$C$2:$C$51,"lebih")</f>
        <v>4</v>
      </c>
      <c r="E33" s="25">
        <f>COUNTIFS(Sheet1!$C$2:$C$51,"lebih",Sheet1!$E$2:$E$51,"lebih")</f>
        <v>2</v>
      </c>
      <c r="F33" s="25">
        <f>COUNTIFS(Sheet1!$C$2:$C$51,"lebih",Sheet1!$E$2:$E$51,"normal")</f>
        <v>2</v>
      </c>
      <c r="G33" s="25">
        <f>COUNTIFS(Sheet1!$C$2:$C$51,"lebih",Sheet1!$E$2:$E$51,"kurang")</f>
        <v>0</v>
      </c>
      <c r="H33" s="25">
        <f>((-E33/D33)*IMLOG2(E33/D33)+(-F33/D33)*IMLOG2(F33/D33))</f>
        <v>1</v>
      </c>
      <c r="I33" s="25"/>
    </row>
    <row r="34" spans="2:9">
      <c r="B34" s="25"/>
      <c r="C34" s="25" t="s">
        <v>25</v>
      </c>
      <c r="D34" s="25">
        <f>COUNTIF(Sheet1!$C$2:$C$51,"kurus")</f>
        <v>8</v>
      </c>
      <c r="E34" s="25">
        <f>COUNTIFS(Sheet1!$C$2:$C$51,"kurus",Sheet1!$E$2:$E$51,"lebih")</f>
        <v>0</v>
      </c>
      <c r="F34" s="25">
        <f>COUNTIFS(Sheet1!$C$2:$C$51,"kurus",Sheet1!$E$2:$E$51,"normal")</f>
        <v>8</v>
      </c>
      <c r="G34" s="25">
        <f>COUNTIFS(Sheet1!$C$2:$C$51,"kurus",Sheet1!$E$2:$E$51,"kurang")</f>
        <v>0</v>
      </c>
      <c r="H34" s="25">
        <f>((-F34/D34)*IMLOG2(F34/D34))</f>
        <v>0</v>
      </c>
      <c r="I34" s="25"/>
    </row>
  </sheetData>
  <mergeCells count="74">
    <mergeCell ref="B1:C1"/>
    <mergeCell ref="L1:M1"/>
    <mergeCell ref="V1:W1"/>
    <mergeCell ref="B2:C2"/>
    <mergeCell ref="L2:M2"/>
    <mergeCell ref="V2:W2"/>
    <mergeCell ref="B3:C3"/>
    <mergeCell ref="L3:M3"/>
    <mergeCell ref="V3:W3"/>
    <mergeCell ref="A3:A30"/>
    <mergeCell ref="B4:B5"/>
    <mergeCell ref="B6:B8"/>
    <mergeCell ref="B9:B11"/>
    <mergeCell ref="B12:B14"/>
    <mergeCell ref="B15:B17"/>
    <mergeCell ref="B18:B19"/>
    <mergeCell ref="B20:B22"/>
    <mergeCell ref="B23:B25"/>
    <mergeCell ref="B26:B28"/>
    <mergeCell ref="B29:B30"/>
    <mergeCell ref="B32:B34"/>
    <mergeCell ref="I4:I5"/>
    <mergeCell ref="I6:I8"/>
    <mergeCell ref="I9:I11"/>
    <mergeCell ref="I12:I14"/>
    <mergeCell ref="I15:I17"/>
    <mergeCell ref="I18:I19"/>
    <mergeCell ref="I20:I22"/>
    <mergeCell ref="I23:I25"/>
    <mergeCell ref="I26:I28"/>
    <mergeCell ref="I29:I30"/>
    <mergeCell ref="I32:I34"/>
    <mergeCell ref="K3:K30"/>
    <mergeCell ref="L4:L5"/>
    <mergeCell ref="L6:L8"/>
    <mergeCell ref="L9:L11"/>
    <mergeCell ref="L12:L14"/>
    <mergeCell ref="L15:L17"/>
    <mergeCell ref="L18:L19"/>
    <mergeCell ref="L20:L22"/>
    <mergeCell ref="L23:L25"/>
    <mergeCell ref="L26:L28"/>
    <mergeCell ref="L29:L30"/>
    <mergeCell ref="S4:S5"/>
    <mergeCell ref="S6:S8"/>
    <mergeCell ref="S9:S11"/>
    <mergeCell ref="S12:S14"/>
    <mergeCell ref="S15:S17"/>
    <mergeCell ref="S18:S19"/>
    <mergeCell ref="S20:S22"/>
    <mergeCell ref="S23:S25"/>
    <mergeCell ref="S26:S28"/>
    <mergeCell ref="S29:S30"/>
    <mergeCell ref="U3:U30"/>
    <mergeCell ref="V4:V5"/>
    <mergeCell ref="V6:V8"/>
    <mergeCell ref="V9:V11"/>
    <mergeCell ref="V12:V14"/>
    <mergeCell ref="V15:V17"/>
    <mergeCell ref="V18:V19"/>
    <mergeCell ref="V20:V22"/>
    <mergeCell ref="V23:V25"/>
    <mergeCell ref="V26:V28"/>
    <mergeCell ref="V29:V30"/>
    <mergeCell ref="AC4:AC5"/>
    <mergeCell ref="AC6:AC8"/>
    <mergeCell ref="AC9:AC11"/>
    <mergeCell ref="AC12:AC14"/>
    <mergeCell ref="AC15:AC17"/>
    <mergeCell ref="AC18:AC19"/>
    <mergeCell ref="AC20:AC22"/>
    <mergeCell ref="AC23:AC25"/>
    <mergeCell ref="AC26:AC28"/>
    <mergeCell ref="AC29:AC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topLeftCell="A15" workbookViewId="0">
      <selection activeCell="X25" sqref="X25"/>
    </sheetView>
  </sheetViews>
  <sheetFormatPr defaultColWidth="9" defaultRowHeight="15"/>
  <cols>
    <col min="1" max="1" width="16.4285714285714" customWidth="true"/>
    <col min="2" max="2" width="21.8571428571429" customWidth="true"/>
    <col min="3" max="3" width="11.7142857142857" customWidth="true"/>
    <col min="8" max="8" width="12.8571428571429"/>
    <col min="9" max="9" width="14"/>
    <col min="11" max="11" width="18" customWidth="true"/>
    <col min="12" max="12" width="18.5714285714286" customWidth="true"/>
    <col min="13" max="13" width="12.4285714285714" customWidth="true"/>
    <col min="18" max="18" width="12.8571428571429"/>
    <col min="19" max="19" width="14"/>
    <col min="21" max="21" width="25.5714285714286" customWidth="true"/>
    <col min="22" max="22" width="18.8571428571429" customWidth="true"/>
    <col min="23" max="23" width="14.7142857142857" customWidth="true"/>
    <col min="28" max="28" width="12.8571428571429"/>
    <col min="29" max="30" width="14"/>
  </cols>
  <sheetData>
    <row r="1" spans="1:29">
      <c r="A1" s="2" t="s">
        <v>37</v>
      </c>
      <c r="B1" s="2" t="s">
        <v>38</v>
      </c>
      <c r="C1" s="2"/>
      <c r="D1" s="2" t="s">
        <v>39</v>
      </c>
      <c r="E1" s="2" t="s">
        <v>40</v>
      </c>
      <c r="F1" s="2" t="s">
        <v>16</v>
      </c>
      <c r="G1" s="2" t="s">
        <v>36</v>
      </c>
      <c r="H1" s="2" t="s">
        <v>41</v>
      </c>
      <c r="I1" s="2" t="s">
        <v>42</v>
      </c>
      <c r="K1" s="2" t="s">
        <v>37</v>
      </c>
      <c r="L1" s="2" t="s">
        <v>38</v>
      </c>
      <c r="M1" s="2"/>
      <c r="N1" s="2" t="s">
        <v>39</v>
      </c>
      <c r="O1" s="2" t="s">
        <v>40</v>
      </c>
      <c r="P1" s="2" t="s">
        <v>16</v>
      </c>
      <c r="Q1" s="2" t="s">
        <v>36</v>
      </c>
      <c r="R1" s="2" t="s">
        <v>41</v>
      </c>
      <c r="S1" s="2" t="s">
        <v>42</v>
      </c>
      <c r="T1" s="13"/>
      <c r="U1" s="2" t="s">
        <v>37</v>
      </c>
      <c r="V1" s="2" t="s">
        <v>38</v>
      </c>
      <c r="W1" s="2"/>
      <c r="X1" s="2" t="s">
        <v>39</v>
      </c>
      <c r="Y1" s="2" t="s">
        <v>40</v>
      </c>
      <c r="Z1" s="2" t="s">
        <v>16</v>
      </c>
      <c r="AA1" s="2" t="s">
        <v>36</v>
      </c>
      <c r="AB1" s="2" t="s">
        <v>41</v>
      </c>
      <c r="AC1" s="2" t="s">
        <v>42</v>
      </c>
    </row>
    <row r="2" spans="1:29">
      <c r="A2" s="2"/>
      <c r="B2" s="2" t="s">
        <v>43</v>
      </c>
      <c r="C2" s="2"/>
      <c r="D2" s="2">
        <v>50</v>
      </c>
      <c r="E2" s="2">
        <f>COUNTIF(Sheet1!$E$2:$E$51,"lebih")</f>
        <v>7</v>
      </c>
      <c r="F2" s="2">
        <f>COUNTIF(Sheet1!$E$2:$E$51,"normal")</f>
        <v>41</v>
      </c>
      <c r="G2" s="2">
        <f>COUNTIF(Sheet1!$E$2:$E$51,"kurang")</f>
        <v>2</v>
      </c>
      <c r="H2" s="2">
        <f t="shared" ref="H2:H7" si="0">((-E2/D2)*IMLOG2(E2/D2)+(-F2/D2)*IMLOG2(F2/D2)+(-G2/D2)*IMLOG2(G2/D2))</f>
        <v>0.817633856899831</v>
      </c>
      <c r="I2" s="2"/>
      <c r="K2" s="2"/>
      <c r="L2" s="2" t="s">
        <v>43</v>
      </c>
      <c r="M2" s="2"/>
      <c r="N2" s="2">
        <v>50</v>
      </c>
      <c r="O2" s="2">
        <f>COUNTIF(Sheet1!$E$2:$E$51,"lebih")</f>
        <v>7</v>
      </c>
      <c r="P2" s="2">
        <f>COUNTIF(Sheet1!$E$2:$E$51,"normal")</f>
        <v>41</v>
      </c>
      <c r="Q2" s="2">
        <f>COUNTIF(Sheet1!$E$2:$E$51,"kurang")</f>
        <v>2</v>
      </c>
      <c r="R2" s="2">
        <f>((-O2/N2)*IMLOG2(O2/N2)+(-P2/N2)*IMLOG2(P2/N2)+(-Q2/N2)*IMLOG2(Q2/N2))</f>
        <v>0.817633856899831</v>
      </c>
      <c r="S2" s="2"/>
      <c r="T2" s="13"/>
      <c r="U2" s="2"/>
      <c r="V2" s="2" t="s">
        <v>43</v>
      </c>
      <c r="W2" s="2"/>
      <c r="X2" s="2">
        <v>50</v>
      </c>
      <c r="Y2" s="2">
        <f>COUNTIF(Sheet1!$E$2:$E$51,"lebih")</f>
        <v>7</v>
      </c>
      <c r="Z2" s="2">
        <f>COUNTIF(Sheet1!$E$2:$E$51,"normal")</f>
        <v>41</v>
      </c>
      <c r="AA2" s="2">
        <f>COUNTIF(Sheet1!$E$2:$E$51,"kurang")</f>
        <v>2</v>
      </c>
      <c r="AB2" s="2">
        <f t="shared" ref="AB2:AB7" si="1">((-Y2/X2)*IMLOG2(Y2/X2)+(-Z2/X2)*IMLOG2(Z2/X2)+(-AA2/X2)*IMLOG2(AA2/X2))</f>
        <v>0.817633856899831</v>
      </c>
      <c r="AC2" s="2"/>
    </row>
    <row r="3" spans="1:29">
      <c r="A3" s="2" t="s">
        <v>64</v>
      </c>
      <c r="B3" s="2" t="s">
        <v>65</v>
      </c>
      <c r="C3" s="2"/>
      <c r="D3" s="2">
        <f>COUNTIFS(Sheet1!$C$2:$C$51,"normal",Sheet1!$J$2:$J$51,"i")</f>
        <v>28</v>
      </c>
      <c r="E3" s="2">
        <v>5</v>
      </c>
      <c r="F3" s="2">
        <f>COUNTIFS(Sheet1!$C$2:$C$51,"normal",Sheet1!$J$2:$J$51,"i",Sheet1!$E$2:$E$51,"normal")</f>
        <v>21</v>
      </c>
      <c r="G3" s="2">
        <f>COUNTIFS(Sheet1!$C$2:$C$51,"normal",Sheet1!$J$2:$J$51,"i",Sheet1!$E$2:$E$51,"kurang")</f>
        <v>2</v>
      </c>
      <c r="H3" s="2">
        <f t="shared" si="0"/>
        <v>1.02705826660079</v>
      </c>
      <c r="I3" s="2"/>
      <c r="K3" s="2" t="s">
        <v>66</v>
      </c>
      <c r="L3" s="2" t="s">
        <v>67</v>
      </c>
      <c r="M3" s="2"/>
      <c r="N3" s="2">
        <f>COUNTIFS(Sheet1!$C$2:$C$51,"normal",Sheet1!$J$2:$J$51,"i",Sheet1!$H$2:$H$51,"bekerja")</f>
        <v>16</v>
      </c>
      <c r="O3" s="2">
        <f>COUNTIFS(Sheet1!$C$2:$C$51,"normal",Sheet1!$J$2:$J$51,"i",Sheet1!$H$2:$H$51,"bekerja",Sheet1!$E$2:$E$51,"lebih")</f>
        <v>2</v>
      </c>
      <c r="P3" s="2">
        <f>COUNTIFS(Sheet1!$C$2:$C$51,"normal",Sheet1!$J$2:$J$51,"i",Sheet1!$H$2:$H$51,"bekerja",Sheet1!$E$2:$E$51,"normal")</f>
        <v>14</v>
      </c>
      <c r="Q3" s="2">
        <f>COUNTIFS(Sheet1!$C$2:$C$51,"normal",Sheet1!$J$2:$J$51,"i",Sheet1!$H$2:$H$51,"bekerja",Sheet1!$E$2:$E$51,"kurang")</f>
        <v>0</v>
      </c>
      <c r="R3" s="2">
        <f>((-O3/N3)*IMLOG2(O3/N3)+(-P3/N3)*IMLOG2(P3/N3))</f>
        <v>0.543564443199597</v>
      </c>
      <c r="S3" s="2"/>
      <c r="T3" s="13"/>
      <c r="U3" s="2" t="s">
        <v>68</v>
      </c>
      <c r="V3" s="2" t="s">
        <v>67</v>
      </c>
      <c r="W3" s="2"/>
      <c r="X3" s="2">
        <f>COUNTIFS(Sheet1!$C$2:$C$51,"normal",Sheet1!$J$2:$J$51,"i",Sheet1!$H$2:$H$51,"tidak")</f>
        <v>12</v>
      </c>
      <c r="Y3" s="2">
        <f>COUNTIFS(Sheet1!$C$2:$C$51,"normal",Sheet1!$J$2:$J$51,"i",Sheet1!$H$2:$H$51,"tidak",Sheet1!$E$2:$E$51,"lebih")</f>
        <v>3</v>
      </c>
      <c r="Z3" s="2">
        <f>COUNTIFS(Sheet1!$C$2:$C$51,"normal",Sheet1!$J$2:$J$51,"i",Sheet1!$H$2:$H$51,"tidak",Sheet1!$E$2:$E$51,"normal")</f>
        <v>7</v>
      </c>
      <c r="AA3" s="2">
        <f>COUNTIFS(Sheet1!$C$2:$C$51,"normal",Sheet1!$J$2:$J$51,"i",Sheet1!$H$2:$H$51,"tidak",Sheet1!$E$2:$E$51,"kurang")</f>
        <v>2</v>
      </c>
      <c r="AB3" s="2">
        <f t="shared" si="1"/>
        <v>1.3844315043406</v>
      </c>
      <c r="AC3" s="2"/>
    </row>
    <row r="4" spans="1:29">
      <c r="A4" s="2"/>
      <c r="B4" s="4" t="s">
        <v>44</v>
      </c>
      <c r="C4" s="2" t="s">
        <v>24</v>
      </c>
      <c r="D4" s="2">
        <f>COUNTIFS(Sheet1!$C$2:$C$51,"normal",Sheet1!$J$2:$J$51,"i",Sheet1!$A$2:$A$51,"L")</f>
        <v>14</v>
      </c>
      <c r="E4" s="2">
        <v>2</v>
      </c>
      <c r="F4" s="2">
        <f>COUNTIFS(Sheet1!$C$2:$C$51,"normal",Sheet1!$J$2:$J$51,"i",Sheet1!$A$2:$A$51,"L",Sheet1!$E$2:$E$51,"NORMAL")</f>
        <v>12</v>
      </c>
      <c r="G4" s="2">
        <f>COUNTIFS(Sheet1!$C$2:$C$51,"normal",Sheet1!$J$2:$J$51,"i",Sheet1!$A$2:$A$51,"L",Sheet1!$E$2:$E$51,"KURANG")</f>
        <v>0</v>
      </c>
      <c r="H4" s="2">
        <f t="shared" ref="H4:H9" si="2">((-E4/D4)*IMLOG2(E4/D4)+(-F4/D4)*IMLOG2(F4/D4))</f>
        <v>0.591672778582327</v>
      </c>
      <c r="I4" s="4">
        <f>($H$2)-((D4/$D$3*H4)+(D5/$D$3*H5))</f>
        <v>-0.121729546450696</v>
      </c>
      <c r="K4" s="2"/>
      <c r="L4" s="4" t="s">
        <v>44</v>
      </c>
      <c r="M4" s="2" t="s">
        <v>24</v>
      </c>
      <c r="N4" s="2">
        <f>COUNTIFS(Sheet1!$C$2:$C$51,"normal",Sheet1!$J$2:$J$51,"i",Sheet1!$H$2:$H$51,"bekerja",Sheet1!$A$2:$A$51,"L")</f>
        <v>9</v>
      </c>
      <c r="O4" s="2">
        <v>0</v>
      </c>
      <c r="P4" s="2">
        <f>COUNTIFS(Sheet1!$C$2:$C$51,"normal",Sheet1!$J$2:$J$51,"i",Sheet1!$H$2:$H$51,"bekerja",Sheet1!$A$2:$A$51,"L",Sheet1!$E$2:$E$51,"NORMAL")</f>
        <v>9</v>
      </c>
      <c r="Q4" s="2">
        <f>COUNTIFS(Sheet1!$C$2:$C$51,"normal",Sheet1!$J$2:$J$51,"i",Sheet1!$H$2:$H$51,"bekerja",Sheet1!$A$2:$A$51,"L",Sheet1!$E$2:$E$51,"KURANG")</f>
        <v>0</v>
      </c>
      <c r="R4" s="2">
        <v>0</v>
      </c>
      <c r="S4" s="4">
        <f>($R$2)-((N4/$N$3*R4)+(N5/$N$3*R5))</f>
        <v>0.440018608151931</v>
      </c>
      <c r="T4" s="13"/>
      <c r="U4" s="2"/>
      <c r="V4" s="4" t="s">
        <v>44</v>
      </c>
      <c r="W4" s="2" t="s">
        <v>24</v>
      </c>
      <c r="X4" s="2">
        <f>COUNTIFS(Sheet1!$C$2:$C$51,"normal",Sheet1!$J$2:$J$51,"i",Sheet1!$H$2:$H$51,"tidak",Sheet1!$A$2:$A$51,"L")</f>
        <v>5</v>
      </c>
      <c r="Y4" s="2">
        <f>COUNTIFS(Sheet1!$C$2:$C$51,"normal",Sheet1!$J$2:$J$51,"i",Sheet1!$H$2:$H$51,"tidak",Sheet1!$A$2:$A$51,"L",Sheet1!$E$2:$E$51,"lebih")</f>
        <v>2</v>
      </c>
      <c r="Z4" s="2">
        <f>COUNTIFS(Sheet1!$C$2:$C$51,"normal",Sheet1!$J$2:$J$51,"i",Sheet1!$H$2:$H$51,"tidak",Sheet1!$A$2:$A$51,"L",Sheet1!$E$2:$E$51,"NORMAL")</f>
        <v>3</v>
      </c>
      <c r="AA4" s="2">
        <f>COUNTIFS(Sheet1!$C$2:$C$51,"normal",Sheet1!$J$2:$J$51,"i",Sheet1!$H$2:$H$51,"tidak",Sheet1!$A$2:$A$51,"L",Sheet1!$E$2:$E$51,"KURANG")</f>
        <v>0</v>
      </c>
      <c r="AB4" s="2">
        <f t="shared" ref="AB4:AB9" si="3">((-Y4/X4)*IMLOG2(Y4/X4)+(-Z4/X4)*IMLOG2(Z4/X4))</f>
        <v>0.970950594454667</v>
      </c>
      <c r="AC4" s="4">
        <f>($AB$2)-((X4/$X$3*AB4)+(X5/$X$3*AB5))</f>
        <v>-0.391219261989881</v>
      </c>
    </row>
    <row r="5" spans="1:29">
      <c r="A5" s="2"/>
      <c r="B5" s="5"/>
      <c r="C5" s="2" t="s">
        <v>12</v>
      </c>
      <c r="D5" s="2">
        <f>COUNTIFS(Sheet1!$C$2:$C$51,"normal",Sheet1!$J$2:$J$51,"i",Sheet1!$A$2:$A$51,"P")</f>
        <v>14</v>
      </c>
      <c r="E5" s="2">
        <f>COUNTIFS(Sheet1!$C$2:$C$51,"normal",Sheet1!$J$2:$J$51,"i",Sheet1!$A$2:$A$51,"P",Sheet1!$E$2:$E$51,"lebih")</f>
        <v>3</v>
      </c>
      <c r="F5" s="2">
        <f>COUNTIFS(Sheet1!$C$2:$C$51,"normal",Sheet1!$J$2:$J$51,"i",Sheet1!$A$2:$A$51,"P",Sheet1!$E$2:$E$51,"NORMAL")</f>
        <v>9</v>
      </c>
      <c r="G5" s="2">
        <f>COUNTIFS(Sheet1!$C$2:$C$51,"normal",Sheet1!$J$2:$J$51,"i",Sheet1!$A$2:$A$51,"P",Sheet1!$E$2:$E$51,"KURANG")</f>
        <v>2</v>
      </c>
      <c r="H5" s="2">
        <f t="shared" si="0"/>
        <v>1.28705402811873</v>
      </c>
      <c r="I5" s="5"/>
      <c r="K5" s="2"/>
      <c r="L5" s="5"/>
      <c r="M5" s="2" t="s">
        <v>12</v>
      </c>
      <c r="N5" s="2">
        <f>COUNTIFS(Sheet1!$C$2:$C$51,"normal",Sheet1!$J$2:$J$51,"i",Sheet1!$H$2:$H$51,"bekerja",Sheet1!$A$2:$A$51,"P")</f>
        <v>7</v>
      </c>
      <c r="O5" s="2">
        <f>COUNTIFS(Sheet1!$C$2:$C$51,"normal",Sheet1!$J$2:$J$51,"i",Sheet1!$H$2:$H$51,"bekerja",Sheet1!$A$2:$A$51,"P",Sheet1!$E$2:$E$51,"lebih")</f>
        <v>2</v>
      </c>
      <c r="P5" s="2">
        <f>COUNTIFS(Sheet1!$C$2:$C$51,"normal",Sheet1!$J$2:$J$51,"i",Sheet1!$H$2:$H$51,"bekerja",Sheet1!$A$2:$A$51,"P",Sheet1!$E$2:$E$51,"NORMAL")</f>
        <v>5</v>
      </c>
      <c r="Q5" s="2">
        <f>COUNTIFS(Sheet1!$C$2:$C$51,"normal",Sheet1!$J$2:$J$51,"i",Sheet1!$H$2:$H$51,"bekerja",Sheet1!$A$2:$A$51,"P",Sheet1!$E$2:$E$51,"KURANG")</f>
        <v>0</v>
      </c>
      <c r="R5" s="2">
        <f>((-O5/N5)*IMLOG2(O5/N5)+(-P5/N5)*IMLOG2(P5/N5))</f>
        <v>0.86312056856663</v>
      </c>
      <c r="S5" s="5"/>
      <c r="T5" s="13"/>
      <c r="U5" s="2"/>
      <c r="V5" s="5"/>
      <c r="W5" s="2" t="s">
        <v>12</v>
      </c>
      <c r="X5" s="2">
        <f>COUNTIFS(Sheet1!$C$2:$C$51,"normal",Sheet1!$J$2:$J$51,"i",Sheet1!$H$2:$H$51,"tidak",Sheet1!$A$2:$A$51,"P")</f>
        <v>7</v>
      </c>
      <c r="Y5" s="2">
        <f>COUNTIFS(Sheet1!$C$2:$C$51,"normal",Sheet1!$J$2:$J$51,"i",Sheet1!$H$2:$H$51,"tidak",Sheet1!$A$2:$A$51,"P",Sheet1!$E$2:$E$51,"lebih")</f>
        <v>1</v>
      </c>
      <c r="Z5" s="2">
        <f>COUNTIFS(Sheet1!$C$2:$C$51,"normal",Sheet1!$J$2:$J$51,"i",Sheet1!$H$2:$H$51,"tidak",Sheet1!$A$2:$A$51,"P",Sheet1!$E$2:$E$51,"NORMAL")</f>
        <v>4</v>
      </c>
      <c r="AA5" s="2">
        <f>COUNTIFS(Sheet1!$C$2:$C$51,"normal",Sheet1!$J$2:$J$51,"i",Sheet1!$H$2:$H$51,"tidak",Sheet1!$A$2:$A$51,"P",Sheet1!$E$2:$E$51,"KURANG")</f>
        <v>2</v>
      </c>
      <c r="AB5" s="2">
        <f t="shared" si="1"/>
        <v>1.37878349348617</v>
      </c>
      <c r="AC5" s="5"/>
    </row>
    <row r="6" spans="1:29">
      <c r="A6" s="2"/>
      <c r="B6" s="4" t="s">
        <v>45</v>
      </c>
      <c r="C6" s="2" t="s">
        <v>33</v>
      </c>
      <c r="D6" s="2">
        <f>COUNTIFS(Sheet1!$C$2:$C$51,"normal",Sheet1!$J$2:$J$51,"i",Sheet1!$B$2:$B$51,"A")</f>
        <v>8</v>
      </c>
      <c r="E6" s="2">
        <f>COUNTIFS(Sheet1!$C$2:$C$51,"normal",Sheet1!$J$2:$J$51,"i",Sheet1!$B$2:$B$51,"A",Sheet1!$E$2:$E$51,"lebih")</f>
        <v>1</v>
      </c>
      <c r="F6" s="2">
        <f>COUNTIFS(Sheet1!$C$2:$C$51,"normal",Sheet1!$J$2:$J$51,"i",Sheet1!$B$2:$B$51,"A",Sheet1!$E$2:$E$51,"NORMAL")</f>
        <v>6</v>
      </c>
      <c r="G6" s="2">
        <f>COUNTIFS(Sheet1!$C$2:$C$51,"normal",Sheet1!$J$2:$J$51,"i",Sheet1!$B$2:$B$51,"A",Sheet1!$E$2:$E$51,"KURANG")</f>
        <v>1</v>
      </c>
      <c r="H6" s="2">
        <f t="shared" si="0"/>
        <v>1.06127812445913</v>
      </c>
      <c r="I6" s="4">
        <f>($H$2)-((D6/$D$3*H6)+(D7/$D$3*H7)+(D8/$D$3*H8))</f>
        <v>-0.156555515922207</v>
      </c>
      <c r="K6" s="2"/>
      <c r="L6" s="4" t="s">
        <v>45</v>
      </c>
      <c r="M6" s="2" t="s">
        <v>33</v>
      </c>
      <c r="N6" s="2">
        <f>COUNTIFS(Sheet1!$C$2:$C$51,"normal",Sheet1!$J$2:$J$51,"i",Sheet1!$H$2:$H$51,"bekerja",Sheet1!$B$2:$B$51,"A")</f>
        <v>3</v>
      </c>
      <c r="O6" s="2">
        <f>COUNTIFS(Sheet1!$C$2:$C$51,"normal",Sheet1!$J$2:$J$51,"i",Sheet1!$H$2:$H$51,"bekerja",Sheet1!$B$2:$B$51,"A",Sheet1!$E$2:$E$51,"lebih")</f>
        <v>0</v>
      </c>
      <c r="P6" s="2">
        <f>COUNTIFS(Sheet1!$C$2:$C$51,"normal",Sheet1!$J$2:$J$51,"i",Sheet1!$H$2:$H$51,"bekerja",Sheet1!$B$2:$B$51,"A",Sheet1!$E$2:$E$51,"NORMAL")</f>
        <v>3</v>
      </c>
      <c r="Q6" s="2">
        <f>COUNTIFS(Sheet1!$C$2:$C$51,"normal",Sheet1!$J$2:$J$51,"i",Sheet1!$H$2:$H$51,"bekerja",Sheet1!$B$2:$B$51,"A",Sheet1!$E$2:$E$51,"KURANG")</f>
        <v>0</v>
      </c>
      <c r="R6" s="2">
        <v>0</v>
      </c>
      <c r="S6" s="4">
        <f>($R$2)-((N6/$N$3*R6)+(N7/$N$3*R7)+(N8/$N$3*R8))</f>
        <v>0.31501860815193</v>
      </c>
      <c r="T6" s="13"/>
      <c r="U6" s="2"/>
      <c r="V6" s="4" t="s">
        <v>45</v>
      </c>
      <c r="W6" s="2" t="s">
        <v>33</v>
      </c>
      <c r="X6" s="2">
        <f>COUNTIFS(Sheet1!$C$2:$C$51,"normal",Sheet1!$J$2:$J$51,"i",Sheet1!$H$2:$H$51,"tidak",Sheet1!$B$2:$B$51,"A")</f>
        <v>5</v>
      </c>
      <c r="Y6" s="2">
        <f>COUNTIFS(Sheet1!$C$2:$C$51,"normal",Sheet1!$J$2:$J$51,"i",Sheet1!$H$2:$H$51,"tidak",Sheet1!$B$2:$B$51,"A",Sheet1!$E$2:$E$51,"lebih")</f>
        <v>1</v>
      </c>
      <c r="Z6" s="2">
        <f>COUNTIFS(Sheet1!$C$2:$C$51,"normal",Sheet1!$J$2:$J$51,"i",Sheet1!$H$2:$H$51,"tidak",Sheet1!$B$2:$B$51,"A",Sheet1!$E$2:$E$51,"NORMAL")</f>
        <v>3</v>
      </c>
      <c r="AA6" s="2">
        <f>COUNTIFS(Sheet1!$C$2:$C$51,"normal",Sheet1!$J$2:$J$51,"i",Sheet1!$H$2:$H$51,"tidak",Sheet1!$B$2:$B$51,"A",Sheet1!$E$2:$E$51,"KURANG")</f>
        <v>1</v>
      </c>
      <c r="AB6" s="2">
        <f t="shared" si="1"/>
        <v>1.37095059445467</v>
      </c>
      <c r="AC6" s="4">
        <f>($AB$2)-((X6/$X$3*AB6)+(X7/$X$3*AB7)+(X8/$X$3*AB8))</f>
        <v>-0.420262224122948</v>
      </c>
    </row>
    <row r="7" spans="1:29">
      <c r="A7" s="2"/>
      <c r="B7" s="6"/>
      <c r="C7" s="2" t="s">
        <v>13</v>
      </c>
      <c r="D7" s="2">
        <f>COUNTIFS(Sheet1!$C$2:$C$51,"normal",Sheet1!$J$2:$J$51,"i",Sheet1!$B$2:$B$51,"B")</f>
        <v>10</v>
      </c>
      <c r="E7" s="2">
        <f>COUNTIFS(Sheet1!$C$2:$C$51,"normal",Sheet1!$J$2:$J$51,"i",Sheet1!$B$2:$B$51,"B",Sheet1!$E$2:$E$51,"lebih")</f>
        <v>2</v>
      </c>
      <c r="F7" s="2">
        <f>COUNTIFS(Sheet1!$C$2:$C$51,"normal",Sheet1!$J$2:$J$51,"i",Sheet1!$B$2:$B$51,"B",Sheet1!$E$2:$E$51,"NORMAL")</f>
        <v>7</v>
      </c>
      <c r="G7" s="2">
        <f>COUNTIFS(Sheet1!$C$2:$C$51,"normal",Sheet1!$J$2:$J$51,"i",Sheet1!$B$2:$B$51,"B",Sheet1!$E$2:$E$51,"KURANG")</f>
        <v>1</v>
      </c>
      <c r="H7" s="2">
        <f t="shared" si="0"/>
        <v>1.15677964944704</v>
      </c>
      <c r="I7" s="6"/>
      <c r="K7" s="2"/>
      <c r="L7" s="6"/>
      <c r="M7" s="2" t="s">
        <v>13</v>
      </c>
      <c r="N7" s="2">
        <f>COUNTIFS(Sheet1!$C$2:$C$51,"normal",Sheet1!$J$2:$J$51,"i",Sheet1!$H$2:$H$51,"bekerja",Sheet1!$B$2:$B$51,"B")</f>
        <v>7</v>
      </c>
      <c r="O7" s="2">
        <f>COUNTIFS(Sheet1!$C$2:$C$51,"normal",Sheet1!$J$2:$J$51,"i",Sheet1!$H$2:$H$51,"bekerja",Sheet1!$B$2:$B$51,"B",Sheet1!$E$2:$E$51,"lebih")</f>
        <v>1</v>
      </c>
      <c r="P7" s="2">
        <f>COUNTIFS(Sheet1!$C$2:$C$51,"normal",Sheet1!$J$2:$J$51,"i",Sheet1!$H$2:$H$51,"bekerja",Sheet1!$B$2:$B$51,"B",Sheet1!$E$2:$E$51,"NORMAL")</f>
        <v>6</v>
      </c>
      <c r="Q7" s="2">
        <f>COUNTIFS(Sheet1!$C$2:$C$51,"normal",Sheet1!$J$2:$J$51,"i",Sheet1!$H$2:$H$51,"bekerja",Sheet1!$B$2:$B$51,"B",Sheet1!$E$2:$E$51,"KURANG")</f>
        <v>0</v>
      </c>
      <c r="R7" s="2">
        <f>((-O7/N7)*IMLOG2(O7/N7)+(-P7/N7)*IMLOG2(P7/N7))</f>
        <v>0.591672778582327</v>
      </c>
      <c r="S7" s="6"/>
      <c r="T7" s="13"/>
      <c r="U7" s="2"/>
      <c r="V7" s="6"/>
      <c r="W7" s="2" t="s">
        <v>13</v>
      </c>
      <c r="X7" s="2">
        <f>COUNTIFS(Sheet1!$C$2:$C$51,"normal",Sheet1!$J$2:$J$51,"i",Sheet1!$H$2:$H$51,"tidak",Sheet1!$B$2:$B$51,"B")</f>
        <v>3</v>
      </c>
      <c r="Y7" s="2">
        <f>COUNTIFS(Sheet1!$C$2:$C$51,"normal",Sheet1!$J$2:$J$51,"i",Sheet1!$H$2:$H$51,"tidak",Sheet1!$B$2:$B$51,"B",Sheet1!$E$2:$E$51,"lebih")</f>
        <v>1</v>
      </c>
      <c r="Z7" s="2">
        <f>COUNTIFS(Sheet1!$C$2:$C$51,"normal",Sheet1!$J$2:$J$51,"i",Sheet1!$H$2:$H$51,"tidak",Sheet1!$B$2:$B$51,"B",Sheet1!$E$2:$E$51,"NORMAL")</f>
        <v>1</v>
      </c>
      <c r="AA7" s="2">
        <f>COUNTIFS(Sheet1!$C$2:$C$51,"normal",Sheet1!$J$2:$J$51,"i",Sheet1!$H$2:$H$51,"tidak",Sheet1!$B$2:$B$51,"B",Sheet1!$E$2:$E$51,"KURANG")</f>
        <v>1</v>
      </c>
      <c r="AB7" s="2">
        <f t="shared" si="1"/>
        <v>1.58496250072116</v>
      </c>
      <c r="AC7" s="6"/>
    </row>
    <row r="8" spans="1:29">
      <c r="A8" s="2"/>
      <c r="B8" s="5"/>
      <c r="C8" s="2" t="s">
        <v>32</v>
      </c>
      <c r="D8" s="2">
        <f>COUNTIFS(Sheet1!$C$2:$C$51,"normal",Sheet1!$J$2:$J$51,"i",Sheet1!$B$2:$B$51,"C")</f>
        <v>10</v>
      </c>
      <c r="E8" s="2">
        <f>COUNTIFS(Sheet1!$C$2:$C$51,"normal",Sheet1!$J$2:$J$51,"i",Sheet1!$B$2:$B$51,"C",Sheet1!$E$2:$E$51,"lebih")</f>
        <v>2</v>
      </c>
      <c r="F8" s="2">
        <f>COUNTIFS(Sheet1!$C$2:$C$51,"normal",Sheet1!$J$2:$J$51,"i",Sheet1!$B$2:$B$51,"C",Sheet1!$E$2:$E$51,"NORMAL")</f>
        <v>8</v>
      </c>
      <c r="G8" s="2">
        <f>COUNTIFS(Sheet1!$C$2:$C$51,"normal",Sheet1!$J$2:$J$51,"i",Sheet1!$B$2:$B$51,"C",Sheet1!$E$2:$E$51,"KURANG")</f>
        <v>0</v>
      </c>
      <c r="H8" s="2">
        <f t="shared" si="2"/>
        <v>0.721928094887362</v>
      </c>
      <c r="I8" s="5"/>
      <c r="K8" s="2"/>
      <c r="L8" s="5"/>
      <c r="M8" s="2" t="s">
        <v>32</v>
      </c>
      <c r="N8" s="2">
        <f>COUNTIFS(Sheet1!$C$2:$C$51,"normal",Sheet1!$J$2:$J$51,"i",Sheet1!$H$2:$H$51,"bekerja",Sheet1!$B$2:$B$51,"C")</f>
        <v>6</v>
      </c>
      <c r="O8" s="2">
        <f>COUNTIFS(Sheet1!$C$2:$C$51,"normal",Sheet1!$J$2:$J$51,"i",Sheet1!$H$2:$H$51,"bekerja",Sheet1!$B$2:$B$51,"C",Sheet1!$E$2:$E$51,"lebih")</f>
        <v>1</v>
      </c>
      <c r="P8" s="2">
        <f>COUNTIFS(Sheet1!$C$2:$C$51,"normal",Sheet1!$J$2:$J$51,"i",Sheet1!$H$2:$H$51,"bekerja",Sheet1!$B$2:$B$51,"C",Sheet1!$E$2:$E$51,"NORMAL")</f>
        <v>5</v>
      </c>
      <c r="Q8" s="2">
        <f>COUNTIFS(Sheet1!$C$2:$C$51,"normal",Sheet1!$J$2:$J$51,"i",Sheet1!$H$2:$H$51,"bekerja",Sheet1!$B$2:$B$51,"C",Sheet1!$E$2:$E$51,"KURANG")</f>
        <v>0</v>
      </c>
      <c r="R8" s="2">
        <f>((-O8/N8)*IMLOG2(O8/N8)+(-P8/N8)*IMLOG2(P8/N8))</f>
        <v>0.650022421648355</v>
      </c>
      <c r="S8" s="5"/>
      <c r="T8" s="13"/>
      <c r="U8" s="2"/>
      <c r="V8" s="5"/>
      <c r="W8" s="2" t="s">
        <v>32</v>
      </c>
      <c r="X8" s="2">
        <f>COUNTIFS(Sheet1!$C$2:$C$51,"normal",Sheet1!$J$2:$J$51,"i",Sheet1!$H$2:$H$51,"tidak",Sheet1!$B$2:$B$51,"C")</f>
        <v>4</v>
      </c>
      <c r="Y8" s="2">
        <f>COUNTIFS(Sheet1!$C$2:$C$51,"normal",Sheet1!$J$2:$J$51,"i",Sheet1!$H$2:$H$51,"tidak",Sheet1!$B$2:$B$51,"C",Sheet1!$E$2:$E$51,"lebih")</f>
        <v>1</v>
      </c>
      <c r="Z8" s="2">
        <f>COUNTIFS(Sheet1!$C$2:$C$51,"normal",Sheet1!$J$2:$J$51,"i",Sheet1!$H$2:$H$51,"tidak",Sheet1!$B$2:$B$51,"C",Sheet1!$E$2:$E$51,"NORMAL")</f>
        <v>3</v>
      </c>
      <c r="AA8" s="2">
        <f>COUNTIFS(Sheet1!$C$2:$C$51,"normal",Sheet1!$J$2:$J$51,"i",Sheet1!$H$2:$H$51,"tidak",Sheet1!$B$2:$B$51,"C",Sheet1!$E$2:$E$51,"KURANG")</f>
        <v>0</v>
      </c>
      <c r="AB8" s="2">
        <f t="shared" si="3"/>
        <v>0.811278124459133</v>
      </c>
      <c r="AC8" s="5"/>
    </row>
    <row r="9" spans="1:29">
      <c r="A9" s="2"/>
      <c r="B9" s="2" t="s">
        <v>47</v>
      </c>
      <c r="C9" s="2" t="s">
        <v>15</v>
      </c>
      <c r="D9" s="2">
        <f>COUNTIFS(Sheet1!$C$2:$C$51,"normal",Sheet1!$J$2:$J$51,"i",Sheet1!$D$2:$D$51,"pendek")</f>
        <v>6</v>
      </c>
      <c r="E9" s="2">
        <f>COUNTIFS(Sheet1!$C$2:$C$51,"normal",Sheet1!$J$2:$J$51,"i",Sheet1!$D$2:$D$51,"pendek",Sheet1!$E$2:$E$51,"lebih")</f>
        <v>2</v>
      </c>
      <c r="F9" s="2">
        <f>COUNTIFS(Sheet1!$C$2:$C$51,"normal",Sheet1!$J$2:$J$51,"i",Sheet1!$D$2:$D$51,"pendek",Sheet1!$E$2:$E$51,"NORMAL")</f>
        <v>4</v>
      </c>
      <c r="G9" s="2">
        <f>COUNTIFS(Sheet1!$C$2:$C$51,"normal",Sheet1!$J$2:$J$51,"i",Sheet1!$D$2:$D$51,"pendek",Sheet1!$E$2:$E$51,"KURANG")</f>
        <v>0</v>
      </c>
      <c r="H9" s="2">
        <f t="shared" si="2"/>
        <v>0.918295834054491</v>
      </c>
      <c r="I9" s="4">
        <f>($H$2)-((D9/$D$3*H9)+(D10/$D$3*H10)+(D11/$D$3*H11))</f>
        <v>-0.146421620975791</v>
      </c>
      <c r="K9" s="2"/>
      <c r="L9" s="2" t="s">
        <v>47</v>
      </c>
      <c r="M9" s="2" t="s">
        <v>15</v>
      </c>
      <c r="N9" s="2">
        <f>COUNTIFS(Sheet1!$C$2:$C$51,"normal",Sheet1!$J$2:$J$51,"i",Sheet1!$H$2:$H$51,"bekerja",Sheet1!$D$2:$D$51,"pendek")</f>
        <v>3</v>
      </c>
      <c r="O9" s="2">
        <f>COUNTIFS(Sheet1!$C$2:$C$51,"normal",Sheet1!$J$2:$J$51,"i",Sheet1!$H$2:$H$51,"bekerja",Sheet1!$D$2:$D$51,"pendek",Sheet1!$E$2:$E$51,"lebih")</f>
        <v>1</v>
      </c>
      <c r="P9" s="2">
        <v>2</v>
      </c>
      <c r="Q9" s="2">
        <f>COUNTIFS(Sheet1!$C$2:$C$51,"normal",Sheet1!$J$2:$J$51,"i",Sheet1!$H$2:$H$51,"bekerja",Sheet1!$D$2:$D$51,"pendek",Sheet1!$E$2:$E$51,"KURANG")</f>
        <v>0</v>
      </c>
      <c r="R9" s="2">
        <f>((-O9/N9)*IMLOG2(O9/N9)+(-P9/N9)*IMLOG2(P9/N9))</f>
        <v>0.918295834054491</v>
      </c>
      <c r="S9" s="4">
        <f>($R$2)-((N9/$N$3*R9)+(N10/$N$3*R10)+(N11/$N$3*R11))</f>
        <v>0.335090750286889</v>
      </c>
      <c r="T9" s="13"/>
      <c r="U9" s="2"/>
      <c r="V9" s="2" t="s">
        <v>47</v>
      </c>
      <c r="W9" s="2" t="s">
        <v>15</v>
      </c>
      <c r="X9" s="2">
        <f>COUNTIFS(Sheet1!$C$2:$C$51,"normal",Sheet1!$J$2:$J$51,"i",Sheet1!$H$2:$H$51,"tidak",Sheet1!$D$2:$D$51,"pendek")</f>
        <v>3</v>
      </c>
      <c r="Y9" s="2">
        <f>COUNTIFS(Sheet1!$C$2:$C$51,"normal",Sheet1!$J$2:$J$51,"i",Sheet1!$H$2:$H$51,"tidak",Sheet1!$D$2:$D$51,"pendek",Sheet1!$E$2:$E$51,"lebih")</f>
        <v>1</v>
      </c>
      <c r="Z9" s="2">
        <f>COUNTIFS(Sheet1!$C$2:$C$51,"normal",Sheet1!$J$2:$J$51,"i",Sheet1!$H$2:$H$51,"tidak",Sheet1!$D$2:$D$51,"pendek",Sheet1!$E$2:$E$51,"NORMAL")</f>
        <v>2</v>
      </c>
      <c r="AA9" s="2">
        <f>COUNTIFS(Sheet1!$C$2:$C$51,"normal",Sheet1!$J$2:$J$51,"i",Sheet1!$H$2:$H$51,"tidak",Sheet1!$D$2:$D$51,"pendek",Sheet1!$E$2:$E$51,"KURANG")</f>
        <v>0</v>
      </c>
      <c r="AB9" s="2">
        <f t="shared" si="3"/>
        <v>0.918295834054491</v>
      </c>
      <c r="AC9" s="4">
        <f>($AB$2)-((X9/$X$3*AB9)+(X10/$X$3*AB10)+(X11/$X$3*AB11))</f>
        <v>-0.48858047982579</v>
      </c>
    </row>
    <row r="10" spans="1:29">
      <c r="A10" s="2"/>
      <c r="B10" s="2"/>
      <c r="C10" s="2" t="s">
        <v>16</v>
      </c>
      <c r="D10" s="2">
        <f>COUNTIFS(Sheet1!$C$2:$C$51,"normal",Sheet1!$J$2:$J$51,"i",Sheet1!$D$2:$D$51,"normal")</f>
        <v>21</v>
      </c>
      <c r="E10" s="2">
        <f>COUNTIFS(Sheet1!$C$2:$C$51,"normal",Sheet1!$J$2:$J$51,"i",Sheet1!$D$2:$D$51,"NORMAL",Sheet1!$E$2:$E$51,"lebih")</f>
        <v>3</v>
      </c>
      <c r="F10" s="2">
        <f>COUNTIFS(Sheet1!$C$2:$C$51,"normal",Sheet1!$J$2:$J$51,"i",Sheet1!$D$2:$D$51,"NORMAL",Sheet1!$E$2:$E$51,"NORMAL")</f>
        <v>16</v>
      </c>
      <c r="G10" s="2">
        <f>COUNTIFS(Sheet1!$C$2:$C$51,"normal",Sheet1!$J$2:$J$51,"i",Sheet1!$D$2:$D$51,"NORMAL",Sheet1!$E$2:$E$51,"KURANG")</f>
        <v>2</v>
      </c>
      <c r="H10" s="2">
        <f t="shared" ref="H10:H13" si="4">((-E10/D10)*IMLOG2(E10/D10)+(-F10/D10)*IMLOG2(F10/D10)+(-G10/D10)*IMLOG2(G10/D10))</f>
        <v>1.02303706553288</v>
      </c>
      <c r="I10" s="6"/>
      <c r="K10" s="2"/>
      <c r="L10" s="2"/>
      <c r="M10" s="2" t="s">
        <v>16</v>
      </c>
      <c r="N10" s="2">
        <f>COUNTIFS(Sheet1!$C$2:$C$51,"normal",Sheet1!$J$2:$J$51,"i",Sheet1!$H$2:$H$51,"bekerja",Sheet1!$D$2:$D$51,"normal")</f>
        <v>12</v>
      </c>
      <c r="O10" s="2">
        <f>COUNTIFS(Sheet1!$C$2:$C$51,"normal",Sheet1!$J$2:$J$51,"i",Sheet1!$H$2:$H$51,"bekerja",Sheet1!$D$2:$D$51,"NORMAL",Sheet1!$E$2:$E$51,"lebih")</f>
        <v>1</v>
      </c>
      <c r="P10" s="2">
        <f>COUNTIFS(Sheet1!$C$2:$C$51,"normal",Sheet1!$J$2:$J$51,"i",Sheet1!$H$2:$H$51,"bekerja",Sheet1!$D$2:$D$51,"NORMAL",Sheet1!$E$2:$E$51,"NORMAL")</f>
        <v>11</v>
      </c>
      <c r="Q10" s="2">
        <f>COUNTIFS(Sheet1!$C$2:$C$51,"normal",Sheet1!$J$2:$J$51,"i",Sheet1!$H$2:$H$51,"bekerja",Sheet1!$D$2:$D$51,"NORMAL",Sheet1!$E$2:$E$51,"KURANG")</f>
        <v>0</v>
      </c>
      <c r="R10" s="2">
        <f>((-O10/N10)*IMLOG2(O10/N10)+(-P10/N10)*IMLOG2(P10/N10))</f>
        <v>0.413816850303634</v>
      </c>
      <c r="S10" s="6"/>
      <c r="T10" s="13"/>
      <c r="U10" s="2"/>
      <c r="V10" s="2"/>
      <c r="W10" s="2" t="s">
        <v>16</v>
      </c>
      <c r="X10" s="2">
        <v>9</v>
      </c>
      <c r="Y10" s="2">
        <f>COUNTIFS(Sheet1!$C$2:$C$51,"normal",Sheet1!$J$2:$J$51,"i",Sheet1!$H$2:$H$51,"tidak",Sheet1!$D$2:$D$51,"NORMAL",Sheet1!$E$2:$E$51,"lebih")</f>
        <v>2</v>
      </c>
      <c r="Z10" s="2">
        <f>COUNTIFS(Sheet1!$C$2:$C$51,"normal",Sheet1!$J$2:$J$51,"i",Sheet1!$H$2:$H$51,"tidak",Sheet1!$D$2:$D$51,"NORMAL",Sheet1!$E$2:$E$51,"NORMAL")</f>
        <v>5</v>
      </c>
      <c r="AA10" s="2">
        <v>2</v>
      </c>
      <c r="AB10" s="2">
        <f t="shared" ref="AB10:AB13" si="5">((-Y10/X10)*IMLOG2(Y10/X10)+(-Z10/X10)*IMLOG2(Z10/X10)+(-AA10/X10)*IMLOG2(AA10/X10))</f>
        <v>1.43552050428267</v>
      </c>
      <c r="AC10" s="6"/>
    </row>
    <row r="11" spans="1:29">
      <c r="A11" s="2"/>
      <c r="B11" s="2"/>
      <c r="C11" s="2" t="s">
        <v>31</v>
      </c>
      <c r="D11" s="2">
        <f>COUNTIFS(Sheet1!$C$2:$C$51,"normal",Sheet1!$J$2:$J$51,"i",Sheet1!$D$2:$D$51,"tinggi")</f>
        <v>1</v>
      </c>
      <c r="E11" s="2">
        <f>COUNTIFS(Sheet1!$C$2:$C$51,"normal",Sheet1!$J$2:$J$51,"i",Sheet1!$D$2:$D$51,"TINGGI",Sheet1!$E$2:$E$51,"lebih")</f>
        <v>0</v>
      </c>
      <c r="F11" s="2">
        <f>COUNTIFS(Sheet1!$C$2:$C$51,"normal",Sheet1!$J$2:$J$51,"i",Sheet1!$D$2:$D$51,"TINGGI",Sheet1!$E$2:$E$51,"NORMAL")</f>
        <v>1</v>
      </c>
      <c r="G11" s="2">
        <f>COUNTIFS(Sheet1!$C$2:$C$51,"normal",Sheet1!$J$2:$J$51,"i",Sheet1!$D$2:$D$51,"TINGGI",Sheet1!$E$2:$E$51,"KURANG")</f>
        <v>0</v>
      </c>
      <c r="H11" s="2">
        <f>((-F11/D11)*IMLOG2(F11/D11))</f>
        <v>0</v>
      </c>
      <c r="I11" s="5"/>
      <c r="K11" s="2"/>
      <c r="L11" s="2"/>
      <c r="M11" s="2" t="s">
        <v>31</v>
      </c>
      <c r="N11" s="2">
        <f>COUNTIFS(Sheet1!$C$2:$C$51,"normal",Sheet1!$J$2:$J$51,"i",Sheet1!$H$2:$H$51,"bekerja",Sheet1!$D$2:$D$51,"tinggi")</f>
        <v>1</v>
      </c>
      <c r="O11" s="2">
        <f>COUNTIFS(Sheet1!$C$2:$C$51,"normal",Sheet1!$J$2:$J$51,"i",Sheet1!$H$2:$H$51,"bekerja",Sheet1!$D$2:$D$51,"TINGGI",Sheet1!$E$2:$E$51,"lebih")</f>
        <v>0</v>
      </c>
      <c r="P11" s="2">
        <f>COUNTIFS(Sheet1!$C$2:$C$51,"normal",Sheet1!$J$2:$J$51,"i",Sheet1!$H$2:$H$51,"bekerja",Sheet1!$D$2:$D$51,"TINGGI",Sheet1!$E$2:$E$51,"NORMAL")</f>
        <v>1</v>
      </c>
      <c r="Q11" s="2">
        <f>COUNTIFS(Sheet1!$C$2:$C$51,"normal",Sheet1!$J$2:$J$51,"i",Sheet1!$H$2:$H$51,"bekerja",Sheet1!$D$2:$D$51,"TINGGI",Sheet1!$E$2:$E$51,"KURANG")</f>
        <v>0</v>
      </c>
      <c r="R11" s="2">
        <v>0</v>
      </c>
      <c r="S11" s="5"/>
      <c r="T11" s="13"/>
      <c r="U11" s="2"/>
      <c r="V11" s="2"/>
      <c r="W11" s="2" t="s">
        <v>31</v>
      </c>
      <c r="X11" s="2">
        <f>COUNTIFS(Sheet1!$C$2:$C$51,"normal",Sheet1!$J$2:$J$51,"i",Sheet1!$H$2:$H$51,"tidak",Sheet1!$D$2:$D$51,"tinggi")</f>
        <v>0</v>
      </c>
      <c r="Y11" s="2">
        <v>0</v>
      </c>
      <c r="Z11" s="2">
        <f>COUNTIFS(Sheet1!$C$2:$C$51,"normal",Sheet1!$J$2:$J$51,"i",Sheet1!$H$2:$H$51,"tidak",Sheet1!$D$2:$D$51,"TINGGI",Sheet1!$E$2:$E$51,"NORMAL")</f>
        <v>0</v>
      </c>
      <c r="AA11" s="2">
        <f>COUNTIFS(Sheet1!$C$2:$C$51,"normal",Sheet1!$J$2:$J$51,"i",Sheet1!$H$2:$H$51,"tidak",Sheet1!$D$2:$D$51,"TINGGI",Sheet1!$E$2:$E$51,"KURANG")</f>
        <v>0</v>
      </c>
      <c r="AB11" s="2">
        <v>0</v>
      </c>
      <c r="AC11" s="5"/>
    </row>
    <row r="12" spans="1:29">
      <c r="A12" s="2"/>
      <c r="B12" s="2" t="s">
        <v>48</v>
      </c>
      <c r="C12" s="2" t="s">
        <v>17</v>
      </c>
      <c r="D12" s="2">
        <f>COUNTIFS(Sheet1!$C$2:$C$51,"normal",Sheet1!$J$2:$J$51,"i",Sheet1!$F$2:$F$51,"formula")</f>
        <v>20</v>
      </c>
      <c r="E12" s="2">
        <f>COUNTIFS(Sheet1!$C$2:$C$51,"normal",Sheet1!$J$2:$J$51,"i",Sheet1!$F$2:$F$51,"formula",Sheet1!$E$2:$E$51,"lebih")</f>
        <v>4</v>
      </c>
      <c r="F12" s="2">
        <f>COUNTIFS(Sheet1!$C$2:$C$51,"normal",Sheet1!$J$2:$J$51,"i",Sheet1!$F$2:$F$51,"formula",Sheet1!$E$2:$E$51,"NORMAL")</f>
        <v>15</v>
      </c>
      <c r="G12" s="2">
        <f>COUNTIFS(Sheet1!$C$2:$C$51,"normal",Sheet1!$J$2:$J$51,"i",Sheet1!$F$2:$F$51,"formula",Sheet1!$E$2:$E$51,"KURANG")</f>
        <v>1</v>
      </c>
      <c r="H12" s="2">
        <f t="shared" si="4"/>
        <v>0.991760148180973</v>
      </c>
      <c r="I12" s="4">
        <f>($H$2)-((D12/$D$3*H12)+(D13/$D$3*H13)+(D14/$D$3*H14))</f>
        <v>-0.105051963229435</v>
      </c>
      <c r="K12" s="2"/>
      <c r="L12" s="2" t="s">
        <v>48</v>
      </c>
      <c r="M12" s="2" t="s">
        <v>17</v>
      </c>
      <c r="N12" s="2">
        <f>COUNTIFS(Sheet1!$C$2:$C$51,"normal",Sheet1!$J$2:$J$51,"i",Sheet1!$H$2:$H$51,"bekerja",Sheet1!$F$2:$F$51,"formula")</f>
        <v>13</v>
      </c>
      <c r="O12" s="2">
        <f>COUNTIFS(Sheet1!$C$2:$C$51,"normal",Sheet1!$J$2:$J$51,"i",Sheet1!$H$2:$H$51,"bekerja",Sheet1!$F$2:$F$51,"formula",Sheet1!$E$2:$E$51,"lebih")</f>
        <v>2</v>
      </c>
      <c r="P12" s="2">
        <f>COUNTIFS(Sheet1!$C$2:$C$51,"normal",Sheet1!$J$2:$J$51,"i",Sheet1!$H$2:$H$51,"bekerja",Sheet1!$F$2:$F$51,"formula",Sheet1!$E$2:$E$51,"NORMAL")</f>
        <v>11</v>
      </c>
      <c r="Q12" s="2">
        <f>COUNTIFS(Sheet1!$C$2:$C$51,"normal",Sheet1!$J$2:$J$51,"i",Sheet1!$H$2:$H$51,"bekerja",Sheet1!$F$2:$F$51,"formula",Sheet1!$E$2:$E$51,"KURANG")</f>
        <v>0</v>
      </c>
      <c r="R12" s="2">
        <f>((-O12/N12)*IMLOG2(O12/N12)+(-P12/N12)*IMLOG2(P12/N12))</f>
        <v>0.619382194678763</v>
      </c>
      <c r="S12" s="4">
        <f>($R$2)-((N12/$N$3*R12)+(N13/$N$3*R13)+(N14/$N$3*R14))</f>
        <v>0.314385823723336</v>
      </c>
      <c r="T12" s="13"/>
      <c r="U12" s="2"/>
      <c r="V12" s="2" t="s">
        <v>48</v>
      </c>
      <c r="W12" s="2" t="s">
        <v>17</v>
      </c>
      <c r="X12" s="2">
        <f>COUNTIFS(Sheet1!$C$2:$C$51,"normal",Sheet1!$J$2:$J$51,"i",Sheet1!$H$2:$H$51,"tidak",Sheet1!$F$2:$F$51,"formula")</f>
        <v>7</v>
      </c>
      <c r="Y12" s="2">
        <f>COUNTIFS(Sheet1!$C$2:$C$51,"normal",Sheet1!$J$2:$J$51,"i",Sheet1!$H$2:$H$51,"tidak",Sheet1!$F$2:$F$51,"formula",Sheet1!$E$2:$E$51,"lebih")</f>
        <v>2</v>
      </c>
      <c r="Z12" s="2">
        <f>COUNTIFS(Sheet1!$C$2:$C$51,"normal",Sheet1!$J$2:$J$51,"i",Sheet1!$H$2:$H$51,"tidak",Sheet1!$F$2:$F$51,"formula",Sheet1!$E$2:$E$51,"NORMAL")</f>
        <v>4</v>
      </c>
      <c r="AA12" s="2">
        <v>1</v>
      </c>
      <c r="AB12" s="2">
        <f t="shared" si="5"/>
        <v>1.37878349348617</v>
      </c>
      <c r="AC12" s="4">
        <f>($AB$2)-((X12/$X$3*AB12)+(X13/$X$3*AB13)+(X14/$X$3*AB14))</f>
        <v>-0.382897139480727</v>
      </c>
    </row>
    <row r="13" spans="1:29">
      <c r="A13" s="2"/>
      <c r="B13" s="2"/>
      <c r="C13" s="2" t="s">
        <v>26</v>
      </c>
      <c r="D13" s="2">
        <f>COUNTIFS(Sheet1!$C$2:$C$51,"normal",Sheet1!$J$2:$J$51,"i",Sheet1!$F$2:$F$51,"kombinasi")</f>
        <v>4</v>
      </c>
      <c r="E13" s="2">
        <f>COUNTIFS(Sheet1!$C$2:$C$51,"normal",Sheet1!$J$2:$J$51,"i",Sheet1!$F$2:$F$51,"kombinasi",Sheet1!$E$2:$E$51,"lebih")</f>
        <v>1</v>
      </c>
      <c r="F13" s="2">
        <f>COUNTIFS(Sheet1!$C$2:$C$51,"normal",Sheet1!$J$2:$J$51,"i",Sheet1!$F$2:$F$51,"KOMBINASI",Sheet1!$E$2:$E$51,"NORMAL")</f>
        <v>2</v>
      </c>
      <c r="G13" s="2">
        <f>COUNTIFS(Sheet1!$C$2:$C$51,"normal",Sheet1!$J$2:$J$51,"i",Sheet1!$F$2:$F$51,"KOMBINASI",Sheet1!$E$2:$E$51,"KURANG")</f>
        <v>1</v>
      </c>
      <c r="H13" s="2">
        <f t="shared" si="4"/>
        <v>1.5</v>
      </c>
      <c r="I13" s="6"/>
      <c r="K13" s="2"/>
      <c r="L13" s="2"/>
      <c r="M13" s="2" t="s">
        <v>26</v>
      </c>
      <c r="N13" s="2">
        <f>COUNTIFS(Sheet1!$C$2:$C$51,"normal",Sheet1!$J$2:$J$51,"i",Sheet1!$H$2:$H$51,"bekerja",Sheet1!$F$2:$F$51,"kombinasi")</f>
        <v>1</v>
      </c>
      <c r="O13" s="2">
        <f>COUNTIFS(Sheet1!$C$2:$C$51,"normal",Sheet1!$J$2:$J$51,"i",Sheet1!$H$2:$H$51,"bekerja",Sheet1!$F$2:$F$51,"kombinasi",Sheet1!$E$2:$E$51,"lebih")</f>
        <v>0</v>
      </c>
      <c r="P13" s="2">
        <f>COUNTIFS(Sheet1!$C$2:$C$51,"normal",Sheet1!$J$2:$J$51,"i",Sheet1!$H$2:$H$51,"bekerja",Sheet1!$F$2:$F$51,"KOMBINASI",Sheet1!$E$2:$E$51,"NORMAL")</f>
        <v>1</v>
      </c>
      <c r="Q13" s="2">
        <f>COUNTIFS(Sheet1!$C$2:$C$51,"normal",Sheet1!$J$2:$J$51,"i",Sheet1!$H$2:$H$51,"bekerja",Sheet1!$F$2:$F$51,"KOMBINASI",Sheet1!$E$2:$E$51,"KURANG")</f>
        <v>0</v>
      </c>
      <c r="R13" s="2">
        <v>0</v>
      </c>
      <c r="S13" s="6"/>
      <c r="T13" s="13"/>
      <c r="U13" s="2"/>
      <c r="V13" s="2"/>
      <c r="W13" s="2" t="s">
        <v>26</v>
      </c>
      <c r="X13" s="2">
        <f>COUNTIFS(Sheet1!$C$2:$C$51,"normal",Sheet1!$J$2:$J$51,"i",Sheet1!$H$2:$H$51,"tidak",Sheet1!$F$2:$F$51,"kombinasi")</f>
        <v>3</v>
      </c>
      <c r="Y13" s="2">
        <f>COUNTIFS(Sheet1!$C$2:$C$51,"normal",Sheet1!$J$2:$J$51,"i",Sheet1!$H$2:$H$51,"tidak",Sheet1!$F$2:$F$51,"kombinasi",Sheet1!$E$2:$E$51,"lebih")</f>
        <v>1</v>
      </c>
      <c r="Z13" s="2">
        <f>COUNTIFS(Sheet1!$C$2:$C$51,"normal",Sheet1!$J$2:$J$51,"i",Sheet1!$H$2:$H$51,"tidak",Sheet1!$F$2:$F$51,"KOMBINASI",Sheet1!$E$2:$E$51,"NORMAL")</f>
        <v>1</v>
      </c>
      <c r="AA13" s="2">
        <f>COUNTIFS(Sheet1!$C$2:$C$51,"normal",Sheet1!$J$2:$J$51,"i",Sheet1!$H$2:$H$51,"tidak",Sheet1!$F$2:$F$51,"KOMBINASI",Sheet1!$E$2:$E$51,"KURANG")</f>
        <v>1</v>
      </c>
      <c r="AB13" s="2">
        <f t="shared" si="5"/>
        <v>1.58496250072116</v>
      </c>
      <c r="AC13" s="6"/>
    </row>
    <row r="14" spans="1:29">
      <c r="A14" s="2"/>
      <c r="B14" s="2"/>
      <c r="C14" s="2" t="s">
        <v>34</v>
      </c>
      <c r="D14" s="2">
        <f>COUNTIFS(Sheet1!$C$2:$C$51,"normal",Sheet1!$J$2:$J$51,"i",Sheet1!$F$2:$F$51,"ASI")</f>
        <v>4</v>
      </c>
      <c r="E14" s="2">
        <f>COUNTIFS(Sheet1!$C$2:$C$51,"normal",Sheet1!$J$2:$J$51,"i",Sheet1!$F$2:$F$51,"ASI",Sheet1!$E$2:$E$51,"lebih")</f>
        <v>0</v>
      </c>
      <c r="F14" s="2">
        <f>COUNTIFS(Sheet1!$C$2:$C$51,"normal",Sheet1!$J$2:$J$51,"i",Sheet1!$F$2:$F$51,"ASI",Sheet1!$E$2:$E$51,"normal")</f>
        <v>4</v>
      </c>
      <c r="G14" s="2">
        <f>COUNTIFS(Sheet1!$C$2:$C$51,"normal",Sheet1!$J$2:$J$51,"i",Sheet1!$F$2:$F$51,"ASI",Sheet1!$E$2:$E$51,"kurang")</f>
        <v>0</v>
      </c>
      <c r="H14" s="2">
        <f>((-F14/D14)*IMLOG2(F14/D14))</f>
        <v>0</v>
      </c>
      <c r="I14" s="5"/>
      <c r="K14" s="2"/>
      <c r="L14" s="2"/>
      <c r="M14" s="2" t="s">
        <v>34</v>
      </c>
      <c r="N14" s="2">
        <f>COUNTIFS(Sheet1!$C$2:$C$51,"normal",Sheet1!$J$2:$J$51,"i",Sheet1!$H$2:$H$51,"bekerja",Sheet1!$F$2:$F$51,"ASI")</f>
        <v>2</v>
      </c>
      <c r="O14" s="2">
        <v>0</v>
      </c>
      <c r="P14" s="2">
        <f>COUNTIFS(Sheet1!$C$2:$C$51,"normal",Sheet1!$J$2:$J$51,"i",Sheet1!$H$2:$H$51,"bekerja",Sheet1!$F$2:$F$51,"ASI",Sheet1!$E$2:$E$51,"normal")</f>
        <v>2</v>
      </c>
      <c r="Q14" s="2">
        <f>COUNTIFS(Sheet1!$C$2:$C$51,"normal",Sheet1!$J$2:$J$51,"i",Sheet1!$H$2:$H$51,"bekerja",Sheet1!$H$2:$H$51,"tidak",Sheet1!$F$2:$F$51,"ASI",Sheet1!$E$2:$E$51,"kurang")</f>
        <v>0</v>
      </c>
      <c r="R14" s="2">
        <f>((-P14/N14)*IMLOG2(P14/N14))</f>
        <v>0</v>
      </c>
      <c r="S14" s="5"/>
      <c r="T14" s="13"/>
      <c r="U14" s="2"/>
      <c r="V14" s="2"/>
      <c r="W14" s="2" t="s">
        <v>34</v>
      </c>
      <c r="X14" s="2">
        <f>COUNTIFS(Sheet1!$C$2:$C$51,"normal",Sheet1!$J$2:$J$51,"i",Sheet1!$H$2:$H$51,"tidak",Sheet1!$F$2:$F$51,"ASI")</f>
        <v>2</v>
      </c>
      <c r="Y14" s="2">
        <f>COUNTIFS(Sheet1!$C$2:$C$51,"normal",Sheet1!$J$2:$J$51,"i",Sheet1!$H$2:$H$51,"tidak",Sheet1!$F$2:$F$51,"ASI",Sheet1!$E$2:$E$51,"lebih")</f>
        <v>0</v>
      </c>
      <c r="Z14" s="2">
        <f>COUNTIFS(Sheet1!$C$2:$C$51,"normal",Sheet1!$J$2:$J$51,"i",Sheet1!$H$2:$H$51,"tidak",Sheet1!$F$2:$F$51,"ASI",Sheet1!$E$2:$E$51,"normal")</f>
        <v>2</v>
      </c>
      <c r="AA14" s="2">
        <v>0</v>
      </c>
      <c r="AB14" s="2">
        <f>((-Z14/X14)*IMLOG2(Z14/X14))</f>
        <v>0</v>
      </c>
      <c r="AC14" s="5"/>
    </row>
    <row r="15" spans="1:29">
      <c r="A15" s="2"/>
      <c r="B15" s="2" t="s">
        <v>49</v>
      </c>
      <c r="C15" s="2" t="s">
        <v>30</v>
      </c>
      <c r="D15" s="2">
        <f>COUNTIFS(Sheet1!$C$2:$C$51,"normal",Sheet1!$J$2:$J$51,"i",Sheet1!$G$2:$G$51,"rendah")</f>
        <v>0</v>
      </c>
      <c r="E15" s="2">
        <f>COUNTIFS(Sheet1!$C$2:$C$51,"normal",Sheet1!$J$2:$J$51,"i",Sheet1!$G$2:$G$51,"rendah",Sheet1!$E$2:$E$51,"lebih")</f>
        <v>0</v>
      </c>
      <c r="F15" s="2">
        <f>COUNTIFS(Sheet1!$C$2:$C$51,"normal",Sheet1!$J$2:$J$51,"i",Sheet1!$G$2:$G$51,"rendah",Sheet1!$E$2:$E$51,"NORMAL")</f>
        <v>0</v>
      </c>
      <c r="G15" s="2">
        <f>COUNTIFS(Sheet1!$C$2:$C$51,"normal",Sheet1!$J$2:$J$51,"i",Sheet1!$G$2:$G$51,"rendah",Sheet1!$E$2:$E$51,"KURANG")</f>
        <v>0</v>
      </c>
      <c r="H15" s="2">
        <v>0</v>
      </c>
      <c r="I15" s="4">
        <f>($H$2)-((D15/$D$3*H15)+(D16/$D$3*H16)+(D17/$D$3*H17))</f>
        <v>-0.125151488295664</v>
      </c>
      <c r="K15" s="2"/>
      <c r="L15" s="2" t="s">
        <v>49</v>
      </c>
      <c r="M15" s="2" t="s">
        <v>30</v>
      </c>
      <c r="N15" s="2">
        <f>COUNTIFS(Sheet1!$C$2:$C$51,"normal",Sheet1!$J$2:$J$51,"i",Sheet1!$H$2:$H$51,"bekerja",Sheet1!$G$2:$G$51,"rendah")</f>
        <v>0</v>
      </c>
      <c r="O15" s="2">
        <f>COUNTIFS(Sheet1!$C$2:$C$51,"normal",Sheet1!$J$2:$J$51,"i",Sheet1!$H$2:$H$51,"bekerja",Sheet1!$G$2:$G$51,"rendah",Sheet1!$E$2:$E$51,"lebih")</f>
        <v>0</v>
      </c>
      <c r="P15" s="2">
        <f>COUNTIFS(Sheet1!$C$2:$C$51,"normal",Sheet1!$J$2:$J$51,"i",Sheet1!$H$2:$H$51,"bekerja",Sheet1!$G$2:$G$51,"rendah",Sheet1!$E$2:$E$51,"NORMAL")</f>
        <v>0</v>
      </c>
      <c r="Q15" s="2">
        <f>COUNTIFS(Sheet1!$C$2:$C$51,"normal",Sheet1!$J$2:$J$51,"i",Sheet1!$H$2:$H$51,"bekerja",Sheet1!$G$2:$G$51,"rendah",Sheet1!$E$2:$E$51,"KURANG")</f>
        <v>0</v>
      </c>
      <c r="R15" s="2">
        <v>0</v>
      </c>
      <c r="S15" s="4">
        <f>($R$2)-((N15/$N$3*R15)+(N16/$N$3*R16)+(N17/$N$3*R17))</f>
        <v>0.330117040663565</v>
      </c>
      <c r="T15" s="13"/>
      <c r="U15" s="2"/>
      <c r="V15" s="2" t="s">
        <v>49</v>
      </c>
      <c r="W15" s="2" t="s">
        <v>30</v>
      </c>
      <c r="X15" s="2">
        <f>COUNTIFS(Sheet1!$C$2:$C$51,"normal",Sheet1!$J$2:$J$51,"i",Sheet1!$H$2:$H$51,"tidak",Sheet1!$H$2:$H$51,"tidak",Sheet1!$G$2:$G$51,"rendah")</f>
        <v>0</v>
      </c>
      <c r="Y15" s="2">
        <f>COUNTIFS(Sheet1!$C$2:$C$51,"normal",Sheet1!$J$2:$J$51,"i",Sheet1!$H$2:$H$51,"tidak",Sheet1!$G$2:$G$51,"rendah",Sheet1!$E$2:$E$51,"lebih")</f>
        <v>0</v>
      </c>
      <c r="Z15" s="2">
        <f>COUNTIFS(Sheet1!$C$2:$C$51,"normal",Sheet1!$J$2:$J$51,"i",Sheet1!$H$2:$H$51,"tidak",Sheet1!$H$2:$H$51,"tidak",Sheet1!$G$2:$G$51,"rendah",Sheet1!$E$2:$E$51,"NORMAL")</f>
        <v>0</v>
      </c>
      <c r="AA15" s="2">
        <f>COUNTIFS(Sheet1!$C$2:$C$51,"normal",Sheet1!$J$2:$J$51,"i",Sheet1!$H$2:$H$51,"tidak",Sheet1!$G$2:$G$51,"rendah",Sheet1!$E$2:$E$51,"KURANG")</f>
        <v>0</v>
      </c>
      <c r="AB15" s="2">
        <v>0</v>
      </c>
      <c r="AC15" s="4">
        <f>($AB$2)-((X15/$X$3*AB15)+(X16/$X$3*AB16)+(X17/$X$3*AB17))</f>
        <v>-0.428584346632104</v>
      </c>
    </row>
    <row r="16" spans="1:29">
      <c r="A16" s="2"/>
      <c r="B16" s="2"/>
      <c r="C16" s="2" t="s">
        <v>18</v>
      </c>
      <c r="D16" s="2">
        <f>COUNTIFS(Sheet1!$C$2:$C$51,"normal",Sheet1!$J$2:$J$51,"i",Sheet1!$G$2:$G$51,"sedang")</f>
        <v>22</v>
      </c>
      <c r="E16" s="2">
        <f>COUNTIFS(Sheet1!$C$2:$C$51,"normal",Sheet1!$J$2:$J$51,"i",Sheet1!$G$2:$G$51,"SEDANG",Sheet1!$E$2:$E$51,"lebih")</f>
        <v>5</v>
      </c>
      <c r="F16" s="2">
        <f>COUNTIFS(Sheet1!$C$2:$C$51,"normal",Sheet1!$J$2:$J$51,"i",Sheet1!$G$2:$G$51,"SEDANG",Sheet1!$E$2:$E$51,"NORMAL")</f>
        <v>16</v>
      </c>
      <c r="G16" s="2">
        <f>COUNTIFS(Sheet1!$C$2:$C$51,"normal",Sheet1!$J$2:$J$51,"i",Sheet1!$G$2:$G$51,"SEDANG",Sheet1!$E$2:$E$51,"KURANG")</f>
        <v>1</v>
      </c>
      <c r="H16" s="2">
        <f t="shared" ref="H16:H20" si="6">((-E16/D16)*IMLOG2(E16/D16)+(-F16/D16)*IMLOG2(F16/D16)+(-G16/D16)*IMLOG2(G16/D16))</f>
        <v>1.02262977889017</v>
      </c>
      <c r="I16" s="6"/>
      <c r="K16" s="2"/>
      <c r="L16" s="2"/>
      <c r="M16" s="2" t="s">
        <v>18</v>
      </c>
      <c r="N16" s="2">
        <f>COUNTIFS(Sheet1!$C$2:$C$51,"normal",Sheet1!$J$2:$J$51,"i",Sheet1!$H$2:$H$51,"bekerja",Sheet1!$G$2:$G$51,"sedang")</f>
        <v>12</v>
      </c>
      <c r="O16" s="2">
        <f>COUNTIFS(Sheet1!$C$2:$C$51,"normal",Sheet1!$J$2:$J$51,"i",Sheet1!$H$2:$H$51,"bekerja",Sheet1!$G$2:$G$51,"SEDANG",Sheet1!$E$2:$E$51,"lebih")</f>
        <v>2</v>
      </c>
      <c r="P16" s="2">
        <f>COUNTIFS(Sheet1!$C$2:$C$51,"normal",Sheet1!$J$2:$J$51,"i",Sheet1!$H$2:$H$51,"bekerja",Sheet1!$G$2:$G$51,"SEDANG",Sheet1!$E$2:$E$51,"NORMAL")</f>
        <v>10</v>
      </c>
      <c r="Q16" s="2">
        <f>COUNTIFS(Sheet1!$C$2:$C$51,"normal",Sheet1!$J$2:$J$51,"i",Sheet1!$H$2:$H$51,"bekerja",Sheet1!$G$2:$G$51,"SEDANG",Sheet1!$E$2:$E$51,"KURANG")</f>
        <v>0</v>
      </c>
      <c r="R16" s="2">
        <f>((-O16/N16)*IMLOG2(O16/N16)+(-P16/N16)*IMLOG2(P16/N16))</f>
        <v>0.650022421648355</v>
      </c>
      <c r="S16" s="6"/>
      <c r="T16" s="13"/>
      <c r="U16" s="2"/>
      <c r="V16" s="2"/>
      <c r="W16" s="2" t="s">
        <v>18</v>
      </c>
      <c r="X16" s="2">
        <f>COUNTIFS(Sheet1!$C$2:$C$51,"normal",Sheet1!$J$2:$J$51,"i",Sheet1!$H$2:$H$51,"tidak",Sheet1!$H$2:$H$51,"tidak",Sheet1!$G$2:$G$51,"sedang")</f>
        <v>10</v>
      </c>
      <c r="Y16" s="2">
        <f>COUNTIFS(Sheet1!$C$2:$C$51,"normal",Sheet1!$J$2:$J$51,"i",Sheet1!$H$2:$H$51,"tidak",Sheet1!$H$2:$H$51,"tidak",Sheet1!$G$2:$G$51,"SEDANG",Sheet1!$E$2:$E$51,"lebih")</f>
        <v>3</v>
      </c>
      <c r="Z16" s="2">
        <f>COUNTIFS(Sheet1!$C$2:$C$51,"normal",Sheet1!$J$2:$J$51,"i",Sheet1!$H$2:$H$51,"tidak",Sheet1!$G$2:$G$51,"SEDANG",Sheet1!$E$2:$E$51,"NORMAL")</f>
        <v>6</v>
      </c>
      <c r="AA16" s="2">
        <f>COUNTIFS(Sheet1!$C$2:$C$51,"normal",Sheet1!$J$2:$J$51,"i",Sheet1!$H$2:$H$51,"tidak",Sheet1!$G$2:$G$51,"SEDANG",Sheet1!$E$2:$E$51,"KURANG")</f>
        <v>1</v>
      </c>
      <c r="AB16" s="2">
        <f>((-Y16/X16)*IMLOG2(Y16/X16)+(-Z16/X16)*IMLOG2(Z16/X16)+(-AA16/X16)*IMLOG2(AA16/X16))</f>
        <v>1.29546184423832</v>
      </c>
      <c r="AC16" s="6"/>
    </row>
    <row r="17" spans="1:29">
      <c r="A17" s="2"/>
      <c r="B17" s="2"/>
      <c r="C17" s="2" t="s">
        <v>31</v>
      </c>
      <c r="D17" s="2">
        <f>COUNTIFS(Sheet1!$C$2:$C$51,"normal",Sheet1!$J$2:$J$51,"i",Sheet1!$G$2:$G$51,"tinggi")</f>
        <v>6</v>
      </c>
      <c r="E17" s="2">
        <f>COUNTIFS(Sheet1!$C$2:$C$51,"normal",Sheet1!$J$2:$J$51,"i",Sheet1!$G$2:$G$51,"TINGGI",Sheet1!$E$2:$E$51,"lebih")</f>
        <v>0</v>
      </c>
      <c r="F17" s="2">
        <f>COUNTIFS(Sheet1!$C$2:$C$51,"normal",Sheet1!$J$2:$J$51,"i",Sheet1!$G$2:$G$51,"TINGGI",Sheet1!$E$2:$E$51,"NORMAL")</f>
        <v>5</v>
      </c>
      <c r="G17" s="2">
        <f>COUNTIFS(Sheet1!$C$2:$C$51,"normal",Sheet1!$J$2:$J$51,"i",Sheet1!$G$2:$G$51,"TINGGI",Sheet1!$E$2:$E$51,"KURANG")</f>
        <v>1</v>
      </c>
      <c r="H17" s="2">
        <f>((-F17/D17)*IMLOG2(F17/D17)+(-G17/D17)*IMLOG2(G17/D17))</f>
        <v>0.650022421648355</v>
      </c>
      <c r="I17" s="5"/>
      <c r="K17" s="2"/>
      <c r="L17" s="2"/>
      <c r="M17" s="2" t="s">
        <v>31</v>
      </c>
      <c r="N17" s="2">
        <f>COUNTIFS(Sheet1!$C$2:$C$51,"normal",Sheet1!$J$2:$J$51,"i",Sheet1!$H$2:$H$51,"bekerja",Sheet1!$G$2:$G$51,"tinggi")</f>
        <v>4</v>
      </c>
      <c r="O17" s="2">
        <f>COUNTIFS(Sheet1!$C$2:$C$51,"normal",Sheet1!$J$2:$J$51,"i",Sheet1!$H$2:$H$51,"bekerja",Sheet1!$H$2:$H$51,"tidak",Sheet1!$G$2:$G$51,"TINGGI",Sheet1!$E$2:$E$51,"lebih")</f>
        <v>0</v>
      </c>
      <c r="P17" s="2">
        <f>COUNTIFS(Sheet1!$C$2:$C$51,"normal",Sheet1!$J$2:$J$51,"i",Sheet1!$H$2:$H$51,"bekerja",Sheet1!$G$2:$G$51,"TINGGI",Sheet1!$E$2:$E$51,"NORMAL")</f>
        <v>4</v>
      </c>
      <c r="Q17" s="2">
        <f>COUNTIFS(Sheet1!$C$2:$C$51,"normal",Sheet1!$J$2:$J$51,"i",Sheet1!$H$2:$H$51,"bekerja",Sheet1!$G$2:$G$51,"TINGGI",Sheet1!$E$2:$E$51,"KURANG")</f>
        <v>0</v>
      </c>
      <c r="R17" s="2">
        <v>0</v>
      </c>
      <c r="S17" s="5"/>
      <c r="T17" s="13"/>
      <c r="U17" s="2"/>
      <c r="V17" s="2"/>
      <c r="W17" s="2" t="s">
        <v>31</v>
      </c>
      <c r="X17" s="2">
        <f>COUNTIFS(Sheet1!$C$2:$C$51,"normal",Sheet1!$J$2:$J$51,"i",Sheet1!$H$2:$H$51,"tidak",Sheet1!$H$2:$H$51,"tidak",Sheet1!$G$2:$G$51,"tinggi")</f>
        <v>2</v>
      </c>
      <c r="Y17" s="2">
        <f>COUNTIFS(Sheet1!$C$2:$C$51,"normal",Sheet1!$J$2:$J$51,"i",Sheet1!$H$2:$H$51,"tidak",Sheet1!$H$2:$H$51,"tidak",Sheet1!$G$2:$G$51,"TINGGI",Sheet1!$E$2:$E$51,"lebih")</f>
        <v>0</v>
      </c>
      <c r="Z17" s="2">
        <f>COUNTIFS(Sheet1!$C$2:$C$51,"normal",Sheet1!$J$2:$J$51,"i",Sheet1!$H$2:$H$51,"tidak",Sheet1!$G$2:$G$51,"TINGGI",Sheet1!$E$2:$E$51,"NORMAL")</f>
        <v>1</v>
      </c>
      <c r="AA17" s="2">
        <f>COUNTIFS(Sheet1!$C$2:$C$51,"normal",Sheet1!$J$2:$J$51,"i",Sheet1!$H$2:$H$51,"tidak",Sheet1!$G$2:$G$51,"TINGGI",Sheet1!$E$2:$E$51,"KURANG")</f>
        <v>1</v>
      </c>
      <c r="AB17" s="2">
        <f>((-Z17/X17)*IMLOG2(Z17/X17)+(-AA17/X17)*IMLOG2(AA17/X17))</f>
        <v>1</v>
      </c>
      <c r="AC17" s="5"/>
    </row>
    <row r="18" spans="1:29">
      <c r="A18" s="2"/>
      <c r="B18" s="2" t="s">
        <v>50</v>
      </c>
      <c r="C18" s="2" t="s">
        <v>29</v>
      </c>
      <c r="D18" s="2">
        <f>COUNTIFS(Sheet1!$C$2:$C$51,"normal",Sheet1!$J$2:$J$51,"i",Sheet1!$H$2:$H$51,"tidak")</f>
        <v>12</v>
      </c>
      <c r="E18" s="2">
        <f>COUNTIFS(Sheet1!$C$2:$C$51,"normal",Sheet1!$J$2:$J$51,"i",Sheet1!$H$2:$H$51,"tidak",Sheet1!$E$2:$E$51,"lebih")</f>
        <v>3</v>
      </c>
      <c r="F18" s="2">
        <f>COUNTIFS(Sheet1!$C$2:$C$51,"normal",Sheet1!$J$2:$J$51,"i",Sheet1!$H$2:$H$51,"tidak",Sheet1!$E$2:$E$51,"normal")</f>
        <v>7</v>
      </c>
      <c r="G18" s="2">
        <f>COUNTIFS(Sheet1!$C$2:$C$51,"normal",Sheet1!$J$2:$J$51,"i",Sheet1!$H$2:$H$51,"tidak",Sheet1!$E$2:$E$51,"kurang")</f>
        <v>2</v>
      </c>
      <c r="H18" s="2">
        <f t="shared" si="6"/>
        <v>1.3844315043406</v>
      </c>
      <c r="I18" s="4">
        <f>($H$2)-((D18/$D$3*H18)+(D19/$D$3*H19))</f>
        <v>-0.0863021839316233</v>
      </c>
      <c r="K18" s="2"/>
      <c r="L18" s="2" t="s">
        <v>51</v>
      </c>
      <c r="M18" s="2" t="s">
        <v>20</v>
      </c>
      <c r="N18" s="2">
        <f>COUNTIFS(Sheet1!$C$2:$C$51,"normal",Sheet1!$J$2:$J$51,"i",Sheet1!$H$2:$H$51,"bekerja",Sheet1!$I$2:$I$51,"x")</f>
        <v>16</v>
      </c>
      <c r="O18" s="2">
        <f>COUNTIFS(Sheet1!$C$2:$C$51,"normal",Sheet1!$J$2:$J$51,"i",Sheet1!$H$2:$H$51,"bekerja",Sheet1!$I$2:$I$51,"x",Sheet1!$E$2:$E$51,"lebih")</f>
        <v>2</v>
      </c>
      <c r="P18" s="2">
        <f>COUNTIFS(Sheet1!$C$2:$C$51,"normal",Sheet1!$J$2:$J$51,"i",Sheet1!$H$2:$H$51,"bekerja",Sheet1!$I$2:$I$51,"x",Sheet1!$E$2:$E$51,"normal")</f>
        <v>14</v>
      </c>
      <c r="Q18" s="2">
        <f>COUNTIFS(Sheet1!$C$2:$C$51,"normal",Sheet1!$J$2:$J$51,"i",Sheet1!$H$2:$H$51,"bekerja",Sheet1!$I$2:$I$51,"x",Sheet1!$E$2:$E$51,"kurang")</f>
        <v>0</v>
      </c>
      <c r="R18" s="2">
        <f>((-O18/N18)*IMLOG2(O18/N18)+(-P18/N18)*IMLOG2(P18/N18))</f>
        <v>0.543564443199597</v>
      </c>
      <c r="S18" s="4">
        <f>($R$2)-((N18/$N$3*R18)+(N19/$N$3*R19)+(N20/$N$3*R20))</f>
        <v>0.274069413700235</v>
      </c>
      <c r="T18" s="13"/>
      <c r="U18" s="2"/>
      <c r="V18" s="2" t="s">
        <v>51</v>
      </c>
      <c r="W18" s="2" t="s">
        <v>20</v>
      </c>
      <c r="X18" s="2">
        <f>COUNTIFS(Sheet1!$C$2:$C$51,"normal",Sheet1!$J$2:$J$51,"i",Sheet1!$H$2:$H$51,"tidak",Sheet1!$I$2:$I$51,"x")</f>
        <v>12</v>
      </c>
      <c r="Y18" s="2">
        <f>COUNTIFS(Sheet1!$C$2:$C$51,"normal",Sheet1!$J$2:$J$51,"i",Sheet1!$H$2:$H$51,"tidak",Sheet1!$I$2:$I$51,"x",Sheet1!$E$2:$E$51,"lebih")</f>
        <v>3</v>
      </c>
      <c r="Z18" s="2">
        <f>COUNTIFS(Sheet1!$C$2:$C$51,"normal",Sheet1!$J$2:$J$51,"i",Sheet1!$H$2:$H$51,"tidak",Sheet1!$I$2:$I$51,"x",Sheet1!$E$2:$E$51,"normal")</f>
        <v>7</v>
      </c>
      <c r="AA18" s="2">
        <f>COUNTIFS(Sheet1!$C$2:$C$51,"normal",Sheet1!$J$2:$J$51,"i",Sheet1!$H$2:$H$51,"tidak",Sheet1!$I$2:$I$51,"x",Sheet1!$E$2:$E$51,"kurang")</f>
        <v>2</v>
      </c>
      <c r="AB18" s="2">
        <f>((-Y18/X18)*IMLOG2(Y18/X18)+(-Z18/X18)*IMLOG2(Z18/X18)+(-AA18/X18)*IMLOG2(AA18/X18))</f>
        <v>1.3844315043406</v>
      </c>
      <c r="AC18" s="4">
        <f>($AB$2)-((X18/$X$3*AB18)+(X19/$X$3*AB19)+(X20/$X$3*AB20))</f>
        <v>-0.566797647440767</v>
      </c>
    </row>
    <row r="19" spans="1:29">
      <c r="A19" s="2"/>
      <c r="B19" s="2"/>
      <c r="C19" s="2" t="s">
        <v>19</v>
      </c>
      <c r="D19" s="2">
        <f>COUNTIFS(Sheet1!$C$2:$C$51,"normal",Sheet1!$J$2:$J$51,"i",Sheet1!$H$2:$H$51,"bekerja")</f>
        <v>16</v>
      </c>
      <c r="E19" s="2">
        <f>COUNTIFS(Sheet1!$C$2:$C$51,"normal",Sheet1!$J$2:$J$51,"i",Sheet1!$H$2:$H$51,"bekerja",Sheet1!$E$2:$E$51,"lebih")</f>
        <v>2</v>
      </c>
      <c r="F19" s="2">
        <f>COUNTIFS(Sheet1!$C$2:$C$51,"normal",Sheet1!$J$2:$J$51,"i",Sheet1!$H$2:$H$51,"bekerja",Sheet1!$E$2:$E$51,"normal")</f>
        <v>14</v>
      </c>
      <c r="G19" s="2">
        <f>COUNTIFS(Sheet1!$C$2:$C$51,"normal",Sheet1!$J$2:$J$51,"i",Sheet1!$H$2:$H$51,"bekerja",Sheet1!$E$2:$E$51,"kurang")</f>
        <v>0</v>
      </c>
      <c r="H19" s="2">
        <f>((-E19/D19)*IMLOG2(E19/D19)+(-F19/D19)*IMLOG2(F19/D19))</f>
        <v>0.543564443199597</v>
      </c>
      <c r="I19" s="5"/>
      <c r="K19" s="2"/>
      <c r="L19" s="2"/>
      <c r="M19" s="2" t="s">
        <v>52</v>
      </c>
      <c r="N19" s="2">
        <f>COUNTIFS(Sheet1!$C$2:$C$51,"normal",Sheet1!$J$2:$J$51,"i",Sheet1!$H$2:$H$51,"bekerja",Sheet1!$I$2:$I$51,"y")</f>
        <v>0</v>
      </c>
      <c r="O19" s="2">
        <f>COUNTIFS(Sheet1!$C$2:$C$51,"normal",Sheet1!$J$2:$J$51,"i",Sheet1!$H$2:$H$51,"bekerja",Sheet1!$I$2:$I$51,"y",Sheet1!$E$2:$E$51,"lebih")</f>
        <v>0</v>
      </c>
      <c r="P19" s="2">
        <f>COUNTIFS(Sheet1!$C$2:$C$51,"normal",Sheet1!$J$2:$J$51,"i",Sheet1!$H$2:$H$51,"bekerja",Sheet1!$I$2:$I$51,"y",Sheet1!$E$2:$E$51,"normal")</f>
        <v>0</v>
      </c>
      <c r="Q19" s="2">
        <f>COUNTIFS(Sheet1!$C$2:$C$51,"normal",Sheet1!$J$2:$J$51,"i",Sheet1!$H$2:$H$51,"bekerja",Sheet1!$I$2:$I$51,"y",Sheet1!$E$2:$E$51,"kurang")</f>
        <v>0</v>
      </c>
      <c r="R19" s="2">
        <v>0</v>
      </c>
      <c r="S19" s="6"/>
      <c r="T19" s="13"/>
      <c r="U19" s="2"/>
      <c r="V19" s="2"/>
      <c r="W19" s="2" t="s">
        <v>52</v>
      </c>
      <c r="X19" s="2">
        <f>COUNTIFS(Sheet1!$C$2:$C$51,"normal",Sheet1!$J$2:$J$51,"i",Sheet1!$H$2:$H$51,"tidak",Sheet1!$I$2:$I$51,"y")</f>
        <v>0</v>
      </c>
      <c r="Y19" s="2">
        <f>COUNTIFS(Sheet1!$C$2:$C$51,"normal",Sheet1!$J$2:$J$51,"i",Sheet1!$H$2:$H$51,"tidak",Sheet1!$I$2:$I$51,"y",Sheet1!$E$2:$E$51,"lebih")</f>
        <v>0</v>
      </c>
      <c r="Z19" s="2">
        <f>COUNTIFS(Sheet1!$C$2:$C$51,"normal",Sheet1!$J$2:$J$51,"i",Sheet1!$H$2:$H$51,"tidak",Sheet1!$I$2:$I$51,"y",Sheet1!$E$2:$E$51,"normal")</f>
        <v>0</v>
      </c>
      <c r="AA19" s="2">
        <f>COUNTIFS(Sheet1!$C$2:$C$51,"normal",Sheet1!$J$2:$J$51,"i",Sheet1!$I$2:$I$51,"y",Sheet1!$E$2:$E$51,"kurang")</f>
        <v>0</v>
      </c>
      <c r="AB19" s="2">
        <v>0</v>
      </c>
      <c r="AC19" s="6"/>
    </row>
    <row r="20" spans="1:29">
      <c r="A20" s="2"/>
      <c r="B20" s="2" t="s">
        <v>51</v>
      </c>
      <c r="C20" s="2" t="s">
        <v>20</v>
      </c>
      <c r="D20" s="2">
        <f>COUNTIFS(Sheet1!$C$2:$C$51,"normal",Sheet1!$J$2:$J$51,"i",Sheet1!$I$2:$I$51,"x")</f>
        <v>28</v>
      </c>
      <c r="E20" s="2">
        <f>COUNTIFS(Sheet1!$C$2:$C$51,"normal",Sheet1!$J$2:$J$51,"i",Sheet1!$I$2:$I$51,"x",Sheet1!$E$2:$E$51,"lebih")</f>
        <v>5</v>
      </c>
      <c r="F20" s="2">
        <f>COUNTIFS(Sheet1!$C$2:$C$51,"normal",Sheet1!$J$2:$J$51,"i",Sheet1!$I$2:$I$51,"x",Sheet1!$E$2:$E$51,"normal")</f>
        <v>21</v>
      </c>
      <c r="G20" s="2">
        <f>COUNTIFS(Sheet1!$C$2:$C$51,"normal",Sheet1!$J$2:$J$51,"i",Sheet1!$I$2:$I$51,"x",Sheet1!$E$2:$E$51,"kurang")</f>
        <v>2</v>
      </c>
      <c r="H20" s="2">
        <f t="shared" si="6"/>
        <v>1.02705826660079</v>
      </c>
      <c r="I20" s="4">
        <f>($H$2)-((D20/$D$3*H20)+(D21/$D$3*H21)+(D22/$D$3*H22))</f>
        <v>-0.209424409700959</v>
      </c>
      <c r="K20" s="2"/>
      <c r="L20" s="2"/>
      <c r="M20" s="2" t="s">
        <v>53</v>
      </c>
      <c r="N20" s="2">
        <f>COUNTIFS(Sheet1!$C$2:$C$51,"normal",Sheet1!$J$2:$J$51,"i",Sheet1!$H$2:$H$51,"bekerja",Sheet1!$I$2:$I$51,"z")</f>
        <v>0</v>
      </c>
      <c r="O20" s="2">
        <f>COUNTIFS(Sheet1!$C$2:$C$51,"normal",Sheet1!$J$2:$J$51,"i",Sheet1!$H$2:$H$51,"bekerja",Sheet1!$I$2:$I$51,"z",Sheet1!$E$2:$E$51,"lebih")</f>
        <v>0</v>
      </c>
      <c r="P20" s="2">
        <f>COUNTIFS(Sheet1!$C$2:$C$51,"normal",Sheet1!$J$2:$J$51,"i",Sheet1!$H$2:$H$51,"bekerja",Sheet1!$I$2:$I$51,"z",Sheet1!$E$2:$E$51,"normal")</f>
        <v>0</v>
      </c>
      <c r="Q20" s="2">
        <f>COUNTIFS(Sheet1!$C$2:$C$51,"normal",Sheet1!$J$2:$J$51,"i",Sheet1!$H$2:$H$51,"bekerja",Sheet1!$I$2:$I$51,"z",Sheet1!$E$2:$E$51,"kurang")</f>
        <v>0</v>
      </c>
      <c r="R20" s="2">
        <v>0</v>
      </c>
      <c r="S20" s="5"/>
      <c r="T20" s="13"/>
      <c r="U20" s="2"/>
      <c r="V20" s="2"/>
      <c r="W20" s="2" t="s">
        <v>53</v>
      </c>
      <c r="X20" s="2">
        <f>COUNTIFS(Sheet1!$C$2:$C$51,"normal",Sheet1!$J$2:$J$51,"i",Sheet1!$H$2:$H$51,"tidak",Sheet1!$I$2:$I$51,"z")</f>
        <v>0</v>
      </c>
      <c r="Y20" s="2">
        <f>COUNTIFS(Sheet1!$C$2:$C$51,"normal",Sheet1!$J$2:$J$51,"i",Sheet1!$H$2:$H$51,"tidak",Sheet1!$I$2:$I$51,"z",Sheet1!$E$2:$E$51,"lebih")</f>
        <v>0</v>
      </c>
      <c r="Z20" s="2">
        <f>COUNTIFS(Sheet1!$C$2:$C$51,"normal",Sheet1!$J$2:$J$51,"i",Sheet1!$H$2:$H$51,"tidak",Sheet1!$I$2:$I$51,"z",Sheet1!$E$2:$E$51,"normal")</f>
        <v>0</v>
      </c>
      <c r="AA20" s="2">
        <f>COUNTIFS(Sheet1!$C$2:$C$51,"normal",Sheet1!$J$2:$J$51,"i",Sheet1!$I$2:$I$51,"z",Sheet1!$E$2:$E$51,"kurang")</f>
        <v>0</v>
      </c>
      <c r="AB20" s="2">
        <v>0</v>
      </c>
      <c r="AC20" s="5"/>
    </row>
    <row r="21" spans="1:29">
      <c r="A21" s="2"/>
      <c r="B21" s="2"/>
      <c r="C21" s="2" t="s">
        <v>52</v>
      </c>
      <c r="D21" s="2">
        <f>COUNTIFS(Sheet1!$C$2:$C$51,"normal",Sheet1!$J$2:$J$51,"i",Sheet1!$I$2:$I$51,"y")</f>
        <v>0</v>
      </c>
      <c r="E21" s="2">
        <f>COUNTIFS(Sheet1!$C$2:$C$51,"normal",Sheet1!$J$2:$J$51,"i",Sheet1!$I$2:$I$51,"y",Sheet1!$E$2:$E$51,"lebih")</f>
        <v>0</v>
      </c>
      <c r="F21" s="2">
        <f>COUNTIFS(Sheet1!$C$2:$C$51,"normal",Sheet1!$J$2:$J$51,"i",Sheet1!$I$2:$I$51,"y",Sheet1!$E$2:$E$51,"normal")</f>
        <v>0</v>
      </c>
      <c r="G21" s="2">
        <f>COUNTIFS(Sheet1!$C$2:$C$51,"normal",Sheet1!$J$2:$J$51,"i",Sheet1!$I$2:$I$51,"y",Sheet1!$E$2:$E$51,"kurang")</f>
        <v>0</v>
      </c>
      <c r="H21" s="2">
        <v>0</v>
      </c>
      <c r="I21" s="6"/>
      <c r="K21" s="2"/>
      <c r="L21" s="4" t="s">
        <v>56</v>
      </c>
      <c r="M21" s="2" t="s">
        <v>30</v>
      </c>
      <c r="N21" s="2">
        <f>COUNTIFS(Sheet1!$C$2:$C$51,"normal",Sheet1!$J$2:$J$51,"i",Sheet1!$H$2:$H$51,"bekerja",Sheet1!$K$2:$K$51,"rendah")</f>
        <v>0</v>
      </c>
      <c r="O21" s="2">
        <f>COUNTIFS(Sheet1!$C$2:$C$51,"normal",Sheet1!$J$2:$J$51,"i",Sheet1!$H$2:$H$51,"bekerja",Sheet1!$K$2:$K$51,"rendah",Sheet1!$E$2:$E$51,"lebih")</f>
        <v>0</v>
      </c>
      <c r="P21" s="2">
        <f>COUNTIFS(Sheet1!$C$2:$C$51,"normal",Sheet1!$J$2:$J$51,"i",Sheet1!$H$2:$H$51,"bekerja",Sheet1!$K$2:$K$51,"rendah",Sheet1!$E$2:$E$51,"normal")</f>
        <v>0</v>
      </c>
      <c r="Q21" s="2">
        <f>COUNTIFS(Sheet1!$C$2:$C$51,"normal",Sheet1!$J$2:$J$51,"i",Sheet1!$H$2:$H$51,"bekerja",Sheet1!$K$2:$K$51,"rendah",Sheet1!$E$2:$E$51,"kurang")</f>
        <v>0</v>
      </c>
      <c r="R21" s="2">
        <v>0</v>
      </c>
      <c r="S21" s="4">
        <f>($R$2)-((N21/$N$3*R21)+(N22/$N$3*R22)+(N23/$N$3*R23))</f>
        <v>0.286531194506483</v>
      </c>
      <c r="T21" s="13"/>
      <c r="U21" s="2"/>
      <c r="V21" s="4" t="s">
        <v>56</v>
      </c>
      <c r="W21" s="2" t="s">
        <v>30</v>
      </c>
      <c r="X21" s="2">
        <f>COUNTIFS(Sheet1!$C$2:$C$51,"normal",Sheet1!$J$2:$J$51,"i",Sheet1!$H$2:$H$51,"tidak",Sheet1!$K$2:$K$51,"rendah")</f>
        <v>0</v>
      </c>
      <c r="Y21" s="2">
        <f>COUNTIFS(Sheet1!$C$2:$C$51,"normal",Sheet1!$J$2:$J$51,"i",Sheet1!$H$2:$H$51,"tidak",Sheet1!$K$2:$K$51,"rendah",Sheet1!$E$2:$E$51,"lebih")</f>
        <v>0</v>
      </c>
      <c r="Z21" s="2">
        <f>COUNTIFS(Sheet1!$C$2:$C$51,"normal",Sheet1!$J$2:$J$51,"i",Sheet1!$H$2:$H$51,"tidak",Sheet1!$K$2:$K$51,"rendah",Sheet1!$E$2:$E$51,"normal")</f>
        <v>0</v>
      </c>
      <c r="AA21" s="2">
        <f>COUNTIFS(Sheet1!$C$2:$C$51,"normal",Sheet1!$J$2:$J$51,"i",Sheet1!$H$2:$H$51,"tidak",Sheet1!$K$2:$K$51,"rendah",Sheet1!$E$2:$E$51,"kurang")</f>
        <v>0</v>
      </c>
      <c r="AB21" s="2">
        <v>0</v>
      </c>
      <c r="AC21" s="4">
        <f>($AB$2)-((X21/$X$3*AB21)+(X22/$X$3*AB22)+(X23/$X$3*AB23))</f>
        <v>-0.428584346632104</v>
      </c>
    </row>
    <row r="22" spans="1:29">
      <c r="A22" s="2"/>
      <c r="B22" s="2"/>
      <c r="C22" s="2" t="s">
        <v>53</v>
      </c>
      <c r="D22" s="2">
        <f>COUNTIFS(Sheet1!$C$2:$C$51,"normal",Sheet1!$J$2:$J$51,"i",Sheet1!$I$2:$I$51,"z")</f>
        <v>0</v>
      </c>
      <c r="E22" s="2">
        <f>COUNTIFS(Sheet1!$C$2:$C$51,"normal",Sheet1!$J$2:$J$51,"i",Sheet1!$I$2:$I$51,"z",Sheet1!$E$2:$E$51,"lebih")</f>
        <v>0</v>
      </c>
      <c r="F22" s="2">
        <f>COUNTIFS(Sheet1!$C$2:$C$51,"normal",Sheet1!$J$2:$J$51,"i",Sheet1!$I$2:$I$51,"z",Sheet1!$E$2:$E$51,"normal")</f>
        <v>0</v>
      </c>
      <c r="G22" s="2">
        <f>COUNTIFS(Sheet1!$C$2:$C$51,"normal",Sheet1!$J$2:$J$51,"i",Sheet1!$I$2:$I$51,"z",Sheet1!$E$2:$E$51,"kurang")</f>
        <v>0</v>
      </c>
      <c r="H22" s="2">
        <v>0</v>
      </c>
      <c r="I22" s="5"/>
      <c r="K22" s="2"/>
      <c r="L22" s="6"/>
      <c r="M22" s="2" t="s">
        <v>22</v>
      </c>
      <c r="N22" s="2">
        <f>COUNTIFS(Sheet1!$C$2:$C$51,"normal",Sheet1!$J$2:$J$51,"i",Sheet1!$H$2:$H$51,"bekerja",Sheet1!$K$2:$K$51,"menengah")</f>
        <v>15</v>
      </c>
      <c r="O22" s="2">
        <f>COUNTIFS(Sheet1!$C$2:$C$51,"normal",Sheet1!$J$2:$J$51,"i",Sheet1!$H$2:$H$51,"bekerja",Sheet1!$K$2:$K$51,"menengah",Sheet1!$E$2:$E$51,"lebih")</f>
        <v>2</v>
      </c>
      <c r="P22" s="2">
        <f>COUNTIFS(Sheet1!$C$2:$C$51,"normal",Sheet1!$J$2:$J$51,"i",Sheet1!$H$2:$H$51,"bekerja",Sheet1!$K$2:$K$51,"menengah",Sheet1!$E$2:$E$51,"normal")</f>
        <v>13</v>
      </c>
      <c r="Q22" s="2">
        <f>COUNTIFS(Sheet1!$C$2:$C$51,"normal",Sheet1!$J$2:$J$51,"i",Sheet1!$H$2:$H$51,"bekerja",Sheet1!$K$2:$K$51,"menengah",Sheet1!$E$2:$E$51,"kurang")</f>
        <v>0</v>
      </c>
      <c r="R22" s="2">
        <f>((-O22/N22)*IMLOG2(O22/N22)+(-P22/N22)*IMLOG2(P22/N22))</f>
        <v>0.566509506552905</v>
      </c>
      <c r="S22" s="6"/>
      <c r="T22" s="13"/>
      <c r="U22" s="2"/>
      <c r="V22" s="6"/>
      <c r="W22" s="2" t="s">
        <v>22</v>
      </c>
      <c r="X22" s="2">
        <f>COUNTIFS(Sheet1!$C$2:$C$51,"normal",Sheet1!$J$2:$J$51,"i",Sheet1!$H$2:$H$51,"tidak",Sheet1!$K$2:$K$51,"menengah")</f>
        <v>10</v>
      </c>
      <c r="Y22" s="2">
        <f>COUNTIFS(Sheet1!$C$2:$C$51,"normal",Sheet1!$J$2:$J$51,"i",Sheet1!$H$2:$H$51,"tidak",Sheet1!$K$2:$K$51,"menengah",Sheet1!$E$2:$E$51,"lebih")</f>
        <v>3</v>
      </c>
      <c r="Z22" s="2">
        <f>COUNTIFS(Sheet1!$C$2:$C$51,"normal",Sheet1!$J$2:$J$51,"i",Sheet1!$H$2:$H$51,"tidak",Sheet1!$K$2:$K$51,"menengah",Sheet1!$E$2:$E$51,"normal")</f>
        <v>6</v>
      </c>
      <c r="AA22" s="2">
        <f>COUNTIFS(Sheet1!$C$2:$C$51,"normal",Sheet1!$J$2:$J$51,"i",Sheet1!$H$2:$H$51,"tidak",Sheet1!$K$2:$K$51,"menengah",Sheet1!$E$2:$E$51,"kurang")</f>
        <v>1</v>
      </c>
      <c r="AB22" s="2">
        <f>((-Y22/X22)*IMLOG2(Y22/X22)+(-Z22/X22)*IMLOG2(Z22/X22)+(-AA22/X22)*IMLOG2(AA22/X22))</f>
        <v>1.29546184423832</v>
      </c>
      <c r="AC22" s="6"/>
    </row>
    <row r="23" spans="1:29">
      <c r="A23" s="2"/>
      <c r="B23" s="4" t="s">
        <v>56</v>
      </c>
      <c r="C23" s="2" t="s">
        <v>30</v>
      </c>
      <c r="D23" s="2">
        <f>COUNTIFS(Sheet1!$C$2:$C$51,"normal",Sheet1!$J$2:$J$51,"i",Sheet1!$K$2:$K$51,"rendah")</f>
        <v>0</v>
      </c>
      <c r="E23" s="2">
        <f>COUNTIFS(Sheet1!$C$2:$C$51,"normal",Sheet1!$J$2:$J$51,"i",Sheet1!$K$2:$K$51,"rendah",Sheet1!$E$2:$E$51,"lebih")</f>
        <v>0</v>
      </c>
      <c r="F23" s="2">
        <f>COUNTIFS(Sheet1!$C$2:$C$51,"normal",Sheet1!$J$2:$J$51,"i",Sheet1!$K$2:$K$51,"rendah",Sheet1!$E$2:$E$51,"normal")</f>
        <v>0</v>
      </c>
      <c r="G23" s="2">
        <f>COUNTIFS(Sheet1!$C$2:$C$51,"normal",Sheet1!$J$2:$J$51,"i",Sheet1!$K$2:$K$51,"rendah",Sheet1!$E$2:$E$51,"kurang")</f>
        <v>0</v>
      </c>
      <c r="H23" s="2">
        <v>0</v>
      </c>
      <c r="I23" s="4">
        <f>($H$2)-((D23/$D$3*H23)+(D24/$D$3*H24)+(D25/$D$3*H25))</f>
        <v>-0.129902893695406</v>
      </c>
      <c r="K23" s="2"/>
      <c r="L23" s="5"/>
      <c r="M23" s="2" t="s">
        <v>31</v>
      </c>
      <c r="N23" s="2">
        <f>COUNTIFS(Sheet1!$C$2:$C$51,"normal",Sheet1!$J$2:$J$51,"i",Sheet1!$H$2:$H$51,"bekerja",Sheet1!$K$2:$K$51,"tinggi")</f>
        <v>1</v>
      </c>
      <c r="O23" s="2">
        <f>COUNTIFS(Sheet1!$C$2:$C$51,"normal",Sheet1!$J$2:$J$51,"i",Sheet1!$H$2:$H$51,"bekerja",Sheet1!$K$2:$K$51,"tinggi",Sheet1!$E$2:$E$51,"lebih")</f>
        <v>0</v>
      </c>
      <c r="P23" s="2">
        <f>COUNTIFS(Sheet1!$C$2:$C$51,"normal",Sheet1!$J$2:$J$51,"i",Sheet1!$H$2:$H$51,"bekerja",Sheet1!$K$2:$K$51,"tinggi",Sheet1!$E$2:$E$51,"normal")</f>
        <v>1</v>
      </c>
      <c r="Q23" s="2">
        <f>COUNTIFS(Sheet1!$C$2:$C$51,"normal",Sheet1!$J$2:$J$51,"i",Sheet1!$H$2:$H$51,"bekerja",Sheet1!$K$2:$K$51,"tinggi",Sheet1!$E$2:$E$51,"kurang")</f>
        <v>0</v>
      </c>
      <c r="R23" s="2">
        <v>0</v>
      </c>
      <c r="S23" s="5"/>
      <c r="T23" s="13"/>
      <c r="U23" s="2"/>
      <c r="V23" s="5"/>
      <c r="W23" s="2" t="s">
        <v>31</v>
      </c>
      <c r="X23" s="2">
        <f>COUNTIFS(Sheet1!$C$2:$C$51,"normal",Sheet1!$J$2:$J$51,"i",Sheet1!$H$2:$H$51,"tidak",Sheet1!$K$2:$K$51,"tinggi")</f>
        <v>2</v>
      </c>
      <c r="Y23" s="2">
        <f>COUNTIFS(Sheet1!$C$2:$C$51,"normal",Sheet1!$J$2:$J$51,"i",Sheet1!$H$2:$H$51,"tidak",Sheet1!$K$2:$K$51,"tinggi",Sheet1!$E$2:$E$51,"lebih")</f>
        <v>0</v>
      </c>
      <c r="Z23" s="2">
        <f>COUNTIFS(Sheet1!$C$2:$C$51,"normal",Sheet1!$J$2:$J$51,"i",Sheet1!$H$2:$H$51,"tidak",Sheet1!$K$2:$K$51,"tinggi",Sheet1!$E$2:$E$51,"normal")</f>
        <v>1</v>
      </c>
      <c r="AA23" s="2">
        <f>COUNTIFS(Sheet1!$C$2:$C$51,"normal",Sheet1!$J$2:$J$51,"i",Sheet1!$H$2:$H$51,"tidak",Sheet1!$K$2:$K$51,"tinggi",Sheet1!$E$2:$E$51,"kurang")</f>
        <v>1</v>
      </c>
      <c r="AB23" s="2">
        <f>((-Z23/X23)*IMLOG2(Z23/X23)+(-AA23/X23)*IMLOG2(AA23/X23))</f>
        <v>1</v>
      </c>
      <c r="AC23" s="5"/>
    </row>
    <row r="24" spans="1:29">
      <c r="A24" s="2"/>
      <c r="B24" s="6"/>
      <c r="C24" s="2" t="s">
        <v>22</v>
      </c>
      <c r="D24" s="2">
        <f>COUNTIFS(Sheet1!$C$2:$C$51,"normal",Sheet1!$J$2:$J$51,"i",Sheet1!$K$2:$K$51,"menengah")</f>
        <v>25</v>
      </c>
      <c r="E24" s="2">
        <f>COUNTIFS(Sheet1!$C$2:$C$51,"normal",Sheet1!$J$2:$J$51,"i",Sheet1!$K$2:$K$51,"menengah",Sheet1!$E$2:$E$51,"lebih")</f>
        <v>5</v>
      </c>
      <c r="F24" s="2">
        <f>COUNTIFS(Sheet1!$C$2:$C$51,"normal",Sheet1!$J$2:$J$51,"i",Sheet1!$K$2:$K$51,"menengah",Sheet1!$E$2:$E$51,"normal")</f>
        <v>19</v>
      </c>
      <c r="G24" s="2">
        <f>COUNTIFS(Sheet1!$C$2:$C$51,"normal",Sheet1!$J$2:$J$51,"i",Sheet1!$K$2:$K$51,"menengah",Sheet1!$E$2:$E$51,"kurang")</f>
        <v>1</v>
      </c>
      <c r="H24" s="2">
        <f>((-E24/D24)*IMLOG2(E24/D24)+(-F24/D24)*IMLOG2(F24/D24)+(-G24/D24)*IMLOG2(G24/D24))</f>
        <v>0.951045660580126</v>
      </c>
      <c r="I24" s="6"/>
      <c r="K24" s="2"/>
      <c r="L24" s="2" t="s">
        <v>57</v>
      </c>
      <c r="M24" s="2" t="s">
        <v>29</v>
      </c>
      <c r="N24" s="2">
        <f>COUNTIFS(Sheet1!$C$2:$C$51,"normal",Sheet1!$J$2:$J$51,"i",Sheet1!$H$2:$H$51,"bekerja",Sheet1!$L$2:$L$51,"tidak")</f>
        <v>12</v>
      </c>
      <c r="O24" s="2">
        <f>COUNTIFS(Sheet1!$C$2:$C$51,"normal",Sheet1!$J$2:$J$51,"i",Sheet1!$H$2:$H$51,"bekerja",Sheet1!$L$2:$L$51,"tidak",Sheet1!$E$2:$E$51,"lebih")</f>
        <v>1</v>
      </c>
      <c r="P24" s="2">
        <f>COUNTIFS(Sheet1!$C$2:$C$51,"normal",Sheet1!$J$2:$J$51,"i",Sheet1!$H$2:$H$51,"bekerja",Sheet1!$L$2:$L$51,"tidak",Sheet1!$E$2:$E$51,"normal")</f>
        <v>11</v>
      </c>
      <c r="Q24" s="2">
        <f>COUNTIFS(Sheet1!$C$2:$C$51,"normal",Sheet1!$J$2:$J$51,"i",Sheet1!$H$2:$H$51,"bekerja",Sheet1!$L$2:$L$51,"tidak",Sheet1!$E$2:$E$51,"kurang")</f>
        <v>0</v>
      </c>
      <c r="R24" s="2">
        <f>((-O24/N24)*IMLOG2(O24/N24)+(-P24/N24)*IMLOG2(P24/N24))</f>
        <v>0.413816850303634</v>
      </c>
      <c r="S24" s="4">
        <f>($R$2)-((N24/$N$3*R24)+(N25/$N$3*R25))</f>
        <v>0.304451688057322</v>
      </c>
      <c r="T24" s="13"/>
      <c r="U24" s="2"/>
      <c r="V24" s="2" t="s">
        <v>57</v>
      </c>
      <c r="W24" s="2" t="s">
        <v>29</v>
      </c>
      <c r="X24" s="2">
        <f>COUNTIFS(Sheet1!$C$2:$C$51,"normal",Sheet1!$J$2:$J$51,"i",Sheet1!$H$2:$H$51,"tidak",Sheet1!$L$2:$L$51,"tidak")</f>
        <v>4</v>
      </c>
      <c r="Y24" s="2">
        <f>COUNTIFS(Sheet1!$C$2:$C$51,"normal",Sheet1!$J$2:$J$51,"i",Sheet1!$H$2:$H$51,"tidak",Sheet1!$L$2:$L$51,"tidak",Sheet1!$E$2:$E$51,"lebih")</f>
        <v>1</v>
      </c>
      <c r="Z24" s="2">
        <f>COUNTIFS(Sheet1!$C$2:$C$51,"normal",Sheet1!$J$2:$J$51,"i",Sheet1!$H$2:$H$51,"tidak",Sheet1!$L$2:$L$51,"tidak",Sheet1!$E$2:$E$51,"normal")</f>
        <v>1</v>
      </c>
      <c r="AA24" s="2">
        <f>COUNTIFS(Sheet1!$C$2:$C$51,"normal",Sheet1!$J$2:$J$51,"i",Sheet1!$H$2:$H$51,"tidak",Sheet1!$L$2:$L$51,"tidak",Sheet1!$E$2:$E$51,"kurang")</f>
        <v>2</v>
      </c>
      <c r="AB24" s="2">
        <f>((-Y24/X24)*IMLOG2(Y24/X24)+(-Z24/X24)*IMLOG2(Z24/X24)+(-AA24/X24)*IMLOG2(AA24/X24))</f>
        <v>1.5</v>
      </c>
      <c r="AC24" s="4">
        <f>($AB$2)-((X24/$X$3*AB24)+(X25/$X$3*AB25))</f>
        <v>-0.223218226072924</v>
      </c>
    </row>
    <row r="25" spans="1:29">
      <c r="A25" s="2"/>
      <c r="B25" s="5"/>
      <c r="C25" s="2" t="s">
        <v>31</v>
      </c>
      <c r="D25" s="2">
        <f>COUNTIFS(Sheet1!$C$2:$C$51,"normal",Sheet1!$J$2:$J$51,"i",Sheet1!$K$2:$K$51,"tinggi")</f>
        <v>3</v>
      </c>
      <c r="E25" s="2">
        <f>COUNTIFS(Sheet1!$C$2:$C$51,"normal",Sheet1!$J$2:$J$51,"i",Sheet1!$K$2:$K$51,"tinggi",Sheet1!$E$2:$E$51,"lebih")</f>
        <v>0</v>
      </c>
      <c r="F25" s="2">
        <f>COUNTIFS(Sheet1!$C$2:$C$51,"normal",Sheet1!$J$2:$J$51,"i",Sheet1!$K$2:$K$51,"tinggi",Sheet1!$E$2:$E$51,"normal")</f>
        <v>2</v>
      </c>
      <c r="G25" s="2">
        <f>COUNTIFS(Sheet1!$C$2:$C$51,"normal",Sheet1!$J$2:$J$51,"i",Sheet1!$K$2:$K$51,"tinggi",Sheet1!$E$2:$E$51,"kurang")</f>
        <v>1</v>
      </c>
      <c r="H25" s="2">
        <f>((-F25/D25)*IMLOG2(F25/D25)+(-G25/D25)*IMLOG2(G25/D25))</f>
        <v>0.918295834054491</v>
      </c>
      <c r="I25" s="5"/>
      <c r="K25" s="2"/>
      <c r="L25" s="2"/>
      <c r="M25" s="2" t="s">
        <v>23</v>
      </c>
      <c r="N25" s="2">
        <f>COUNTIFS(Sheet1!$C$2:$C$51,"normal",Sheet1!$J$2:$J$51,"i",Sheet1!$H$2:$H$51,"bekerja",Sheet1!$L$2:$L$51,"memiliki")</f>
        <v>4</v>
      </c>
      <c r="O25" s="2">
        <f>COUNTIFS(Sheet1!$C$2:$C$51,"normal",Sheet1!$J$2:$J$51,"i",Sheet1!$H$2:$H$51,"bekerja",Sheet1!$L$2:$L$51,"memiliki",Sheet1!$E$2:$E$51,"lebih")</f>
        <v>1</v>
      </c>
      <c r="P25" s="2">
        <f>COUNTIFS(Sheet1!$C$2:$C$51,"normal",Sheet1!$J$2:$J$51,"i",Sheet1!$H$2:$H$51,"bekerja",Sheet1!$L$2:$L$51,"memiliki",Sheet1!$E$2:$E$51,"normal")</f>
        <v>3</v>
      </c>
      <c r="Q25" s="2">
        <f>COUNTIFS(Sheet1!$C$2:$C$51,"normal",Sheet1!$J$2:$J$51,"i",Sheet1!$H$2:$H$51,"bekerja",Sheet1!$L$2:$L$51,"memiliki",Sheet1!$E$2:$E$51,"kurang")</f>
        <v>0</v>
      </c>
      <c r="R25" s="2">
        <f>((-O25/N25)*IMLOG2(O25/N25)+(-P25/N25)*IMLOG2(P25/N25))</f>
        <v>0.811278124459133</v>
      </c>
      <c r="S25" s="5"/>
      <c r="T25" s="13"/>
      <c r="U25" s="2"/>
      <c r="V25" s="2"/>
      <c r="W25" s="2" t="s">
        <v>23</v>
      </c>
      <c r="X25" s="2">
        <f>COUNTIFS(Sheet1!$C$2:$C$51,"normal",Sheet1!$J$2:$J$51,"i",Sheet1!$H$2:$H$51,"tidak",Sheet1!$L$2:$L$51,"memiliki")</f>
        <v>8</v>
      </c>
      <c r="Y25" s="2">
        <f>COUNTIFS(Sheet1!$C$2:$C$51,"normal",Sheet1!$J$2:$J$51,"i",Sheet1!$H$2:$H$51,"tidak",Sheet1!$L$2:$L$51,"memiliki",Sheet1!$E$2:$E$51,"lebih")</f>
        <v>2</v>
      </c>
      <c r="Z25" s="2">
        <f>COUNTIFS(Sheet1!$C$2:$C$51,"normal",Sheet1!$J$2:$J$51,"i",Sheet1!$H$2:$H$51,"tidak",Sheet1!$L$2:$L$51,"memiliki",Sheet1!$E$2:$E$51,"normal")</f>
        <v>6</v>
      </c>
      <c r="AA25" s="2">
        <f>COUNTIFS(Sheet1!$C$2:$C$51,"normal",Sheet1!$J$2:$J$51,"i",Sheet1!$H$2:$H$51,"tidak",Sheet1!$L$2:$L$51,"memiliki",Sheet1!$E$2:$E$51,"kurang")</f>
        <v>0</v>
      </c>
      <c r="AB25" s="2">
        <f>((-Y25/X25)*IMLOG2(Y25/X25)+(-Z25/X25)*IMLOG2(Z25/X25))</f>
        <v>0.811278124459133</v>
      </c>
      <c r="AC25" s="5"/>
    </row>
    <row r="26" spans="1:29">
      <c r="A26" s="2"/>
      <c r="B26" s="2" t="s">
        <v>57</v>
      </c>
      <c r="C26" s="2" t="s">
        <v>29</v>
      </c>
      <c r="D26" s="2">
        <f>COUNTIFS(Sheet1!$C$2:$C$51,"normal",Sheet1!$J$2:$J$51,"i",Sheet1!$L$2:$L$51,"tidak")</f>
        <v>16</v>
      </c>
      <c r="E26" s="2">
        <f>COUNTIFS(Sheet1!$C$2:$C$51,"normal",Sheet1!$J$2:$J$51,"i",Sheet1!$L$2:$L$51,"tidak",Sheet1!$E$2:$E$51,"lebih")</f>
        <v>2</v>
      </c>
      <c r="F26" s="2">
        <f>COUNTIFS(Sheet1!$C$2:$C$51,"normal",Sheet1!$J$2:$J$51,"i",Sheet1!$L$2:$L$51,"tidak",Sheet1!$E$2:$E$51,"normal")</f>
        <v>12</v>
      </c>
      <c r="G26" s="2">
        <f>COUNTIFS(Sheet1!$C$2:$C$51,"normal",Sheet1!$J$2:$J$51,"i",Sheet1!$L$2:$L$51,"tidak",Sheet1!$E$2:$E$51,"kurang")</f>
        <v>2</v>
      </c>
      <c r="H26" s="2">
        <f>((-E26/D26)*IMLOG2(E26/D26)+(-F26/D26)*IMLOG2(F26/D26)+(-G26/D26)*IMLOG2(G26/D26))</f>
        <v>1.06127812445913</v>
      </c>
      <c r="I26" s="4">
        <f>($H$2)-((D26/$D$3*H26)+(D27/$D$3*H27))</f>
        <v>-0.136501410416444</v>
      </c>
      <c r="K26" s="7"/>
      <c r="T26" s="13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2"/>
      <c r="B27" s="2"/>
      <c r="C27" s="2" t="s">
        <v>23</v>
      </c>
      <c r="D27" s="2">
        <f>COUNTIFS(Sheet1!$C$2:$C$51,"normal",Sheet1!$J$2:$J$51,"i",Sheet1!$L$2:$L$51,"memiliki")</f>
        <v>12</v>
      </c>
      <c r="E27" s="2">
        <f>COUNTIFS(Sheet1!$C$2:$C$51,"normal",Sheet1!$J$2:$J$51,"i",Sheet1!$L$2:$L$51,"memiliki",Sheet1!$E$2:$E$51,"lebih")</f>
        <v>3</v>
      </c>
      <c r="F27" s="2">
        <f>COUNTIFS(Sheet1!$C$2:$C$51,"normal",Sheet1!$J$2:$J$51,"i",Sheet1!$L$2:$L$51,"memiliki",Sheet1!$E$2:$E$51,"normal")</f>
        <v>9</v>
      </c>
      <c r="G27" s="2">
        <f>COUNTIFS(Sheet1!$C$2:$C$51,"normal",Sheet1!$J$2:$J$51,"i",Sheet1!$L$2:$L$51,"memiliki",Sheet1!$E$2:$E$51,"kurang")</f>
        <v>0</v>
      </c>
      <c r="H27" s="2">
        <f>((-E27/D27)*IMLOG2(E27/D27)+(-F27/D27)*IMLOG2(F27/D27))</f>
        <v>0.811278124459133</v>
      </c>
      <c r="I27" s="5"/>
      <c r="K27" s="7"/>
      <c r="L27" s="4" t="s">
        <v>50</v>
      </c>
      <c r="M27" s="2" t="s">
        <v>29</v>
      </c>
      <c r="N27" s="2">
        <f>COUNTIFS(Sheet1!$C$2:$C$51,"normal",Sheet1!$J$2:$J$51,"i",Sheet1!$H$2:$H$51,"tidak")</f>
        <v>12</v>
      </c>
      <c r="O27" s="2">
        <f>COUNTIFS(Sheet1!$C$2:$C$51,"normal",Sheet1!$J$2:$J$51,"i",Sheet1!$H$2:$H$51,"tidak",Sheet1!$E$2:$E$51,"lebih")</f>
        <v>3</v>
      </c>
      <c r="P27" s="2">
        <f>COUNTIFS(Sheet1!$C$2:$C$51,"normal",Sheet1!$J$2:$J$51,"i",Sheet1!$H$2:$H$51,"tidak",Sheet1!$E$2:$E$51,"normal")</f>
        <v>7</v>
      </c>
      <c r="Q27" s="2">
        <f>COUNTIFS(Sheet1!$C$2:$C$51,"normal",Sheet1!$J$2:$J$51,"i",Sheet1!$H$2:$H$51,"tidak",Sheet1!$E$2:$E$51,"kurang")</f>
        <v>2</v>
      </c>
      <c r="R27" s="2">
        <f>((-O27/N27)*IMLOG2(O27/N27)+(-P27/N27)*IMLOG2(P27/N27)+(-Q27/N27)*IMLOG2(Q27/N27))</f>
        <v>1.3844315043406</v>
      </c>
      <c r="S27" s="4">
        <f>($H$2)-((N27/$D$3*R27)+(N28/$D$3*R28))</f>
        <v>-0.0863021839316233</v>
      </c>
      <c r="T27" s="13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7"/>
      <c r="K28" s="7"/>
      <c r="L28" s="5"/>
      <c r="M28" s="2" t="s">
        <v>19</v>
      </c>
      <c r="N28" s="2">
        <f>COUNTIFS(Sheet1!$C$2:$C$51,"normal",Sheet1!$J$2:$J$51,"i",Sheet1!$H$2:$H$51,"bekerja")</f>
        <v>16</v>
      </c>
      <c r="O28" s="2">
        <f>COUNTIFS(Sheet1!$C$2:$C$51,"normal",Sheet1!$J$2:$J$51,"i",Sheet1!$H$2:$H$51,"bekerja",Sheet1!$E$2:$E$51,"lebih")</f>
        <v>2</v>
      </c>
      <c r="P28" s="2">
        <f>COUNTIFS(Sheet1!$C$2:$C$51,"normal",Sheet1!$J$2:$J$51,"i",Sheet1!$H$2:$H$51,"bekerja",Sheet1!$E$2:$E$51,"normal")</f>
        <v>14</v>
      </c>
      <c r="Q28" s="2">
        <f>COUNTIFS(Sheet1!$C$2:$C$51,"normal",Sheet1!$J$2:$J$51,"i",Sheet1!$H$2:$H$51,"bekerja",Sheet1!$E$2:$E$51,"kurang")</f>
        <v>0</v>
      </c>
      <c r="R28" s="2">
        <f>((-O28/N28)*IMLOG2(O28/N28)+(-P28/N28)*IMLOG2(P28/N28))</f>
        <v>0.543564443199597</v>
      </c>
      <c r="S28" s="5"/>
      <c r="T28" s="13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7"/>
      <c r="B29" s="2" t="s">
        <v>54</v>
      </c>
      <c r="C29" s="2" t="s">
        <v>21</v>
      </c>
      <c r="D29" s="2">
        <f>COUNTIFS(Sheet1!$C$2:$C$51,"normal",Sheet1!$J$2:$J$51,"i")</f>
        <v>28</v>
      </c>
      <c r="E29" s="2">
        <f>COUNTIFS(Sheet1!$C$2:$C$51,"normal",Sheet1!$J$2:$J$51,"i",Sheet1!$E$2:$E$51,"lebih")</f>
        <v>5</v>
      </c>
      <c r="F29" s="2">
        <f>COUNTIFS(Sheet1!$C$2:$C$51,"normal",Sheet1!$J$2:$J$51,"i",Sheet1!$E$2:$E$51,"normal")</f>
        <v>21</v>
      </c>
      <c r="G29" s="2">
        <f>COUNTIFS(Sheet1!$C$2:$C$51,"normal",Sheet1!$J$2:$J$51,"i",Sheet1!$E$2:$E$51,"kurang")</f>
        <v>2</v>
      </c>
      <c r="H29" s="2">
        <f>((-E29/D29)*IMLOG2(E29/D29)+(-F29/D29)*IMLOG2(F29/D29)+(-G29/D29)*IMLOG2(G29/D29))</f>
        <v>1.02705826660079</v>
      </c>
      <c r="I29" s="4">
        <f>($H$2)-((D29/$D$3*H29)+(D30/$D$3*H30)+(D31/$D$3*H31))</f>
        <v>-0.209424409700959</v>
      </c>
      <c r="K29" s="7"/>
      <c r="L29" s="7"/>
      <c r="M29" s="7"/>
      <c r="N29" s="7"/>
      <c r="O29" s="7"/>
      <c r="P29" s="7"/>
      <c r="Q29" s="7"/>
      <c r="R29" s="7"/>
      <c r="S29" s="7"/>
      <c r="T29" s="13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7"/>
      <c r="B30" s="2"/>
      <c r="C30" s="2" t="s">
        <v>28</v>
      </c>
      <c r="D30" s="2">
        <f>COUNTIFS(Sheet1!$C$2:$C$51,"normal",Sheet1!$J$2:$J$51,"ii")</f>
        <v>10</v>
      </c>
      <c r="E30" s="2">
        <f>COUNTIFS(Sheet1!$C$2:$C$51,"normal",Sheet1!$J$2:$J$51,"ii",Sheet1!$E$2:$E$51,"lebih")</f>
        <v>0</v>
      </c>
      <c r="F30" s="2">
        <f>COUNTIFS(Sheet1!$C$2:$C$51,"normal",Sheet1!$J$2:$J$51,"ii",Sheet1!$E$2:$E$51,"normal")</f>
        <v>10</v>
      </c>
      <c r="G30" s="2">
        <f>COUNTIFS(Sheet1!$C$2:$C$51,"normal",Sheet1!$J$2:$J$51,"ii",Sheet1!$E$2:$E$51,"kurang")</f>
        <v>0</v>
      </c>
      <c r="H30" s="2">
        <f>((-F30/D30)*IMLOG2(F30/D30))</f>
        <v>0</v>
      </c>
      <c r="I30" s="6"/>
      <c r="K30" s="7"/>
      <c r="L30" s="7"/>
      <c r="M30" s="7"/>
      <c r="N30" s="7"/>
      <c r="O30" s="7"/>
      <c r="P30" s="7"/>
      <c r="Q30" s="7"/>
      <c r="R30" s="7"/>
      <c r="S30" s="7"/>
      <c r="T30" s="13"/>
      <c r="U30" s="7"/>
      <c r="V30" s="7"/>
      <c r="W30" s="7"/>
      <c r="X30" s="7"/>
      <c r="Y30" s="7"/>
      <c r="Z30" s="7"/>
      <c r="AA30" s="7"/>
      <c r="AB30" s="7"/>
      <c r="AC30" s="7"/>
    </row>
    <row r="31" spans="1:9">
      <c r="A31" s="7"/>
      <c r="B31" s="2"/>
      <c r="C31" s="2" t="s">
        <v>55</v>
      </c>
      <c r="D31" s="2">
        <f>COUNTIFS(Sheet1!$C$2:$C$51,"normal",Sheet1!$J$2:$J$51,"iii")</f>
        <v>0</v>
      </c>
      <c r="E31" s="2">
        <f>COUNTIFS(Sheet1!$C$2:$C$51,"normal",Sheet1!$J$2:$J$51,"iii",Sheet1!$E$2:$E$51,"lebih")</f>
        <v>0</v>
      </c>
      <c r="F31" s="2">
        <f>COUNTIFS(Sheet1!$C$2:$C$51,"normal",Sheet1!$J$2:$J$51,"iii",Sheet1!$E$2:$E$51,"normal")</f>
        <v>0</v>
      </c>
      <c r="G31" s="2">
        <f>COUNTIFS(Sheet1!$C$2:$C$51,"normal",Sheet1!$J$2:$J$51,"iii",Sheet1!$E$2:$E$51,"kurang")</f>
        <v>0</v>
      </c>
      <c r="H31" s="2">
        <v>0</v>
      </c>
      <c r="I31" s="5"/>
    </row>
    <row r="32" spans="1:1">
      <c r="A32" s="7"/>
    </row>
  </sheetData>
  <mergeCells count="66">
    <mergeCell ref="B1:C1"/>
    <mergeCell ref="L1:M1"/>
    <mergeCell ref="V1:W1"/>
    <mergeCell ref="B2:C2"/>
    <mergeCell ref="L2:M2"/>
    <mergeCell ref="V2:W2"/>
    <mergeCell ref="B3:C3"/>
    <mergeCell ref="L3:M3"/>
    <mergeCell ref="V3:W3"/>
    <mergeCell ref="A3:A27"/>
    <mergeCell ref="B4:B5"/>
    <mergeCell ref="B6:B8"/>
    <mergeCell ref="B9:B11"/>
    <mergeCell ref="B12:B14"/>
    <mergeCell ref="B15:B17"/>
    <mergeCell ref="B18:B19"/>
    <mergeCell ref="B20:B22"/>
    <mergeCell ref="B23:B25"/>
    <mergeCell ref="B26:B27"/>
    <mergeCell ref="B29:B31"/>
    <mergeCell ref="I4:I5"/>
    <mergeCell ref="I6:I8"/>
    <mergeCell ref="I9:I11"/>
    <mergeCell ref="I12:I14"/>
    <mergeCell ref="I15:I17"/>
    <mergeCell ref="I18:I19"/>
    <mergeCell ref="I20:I22"/>
    <mergeCell ref="I23:I25"/>
    <mergeCell ref="I26:I27"/>
    <mergeCell ref="I29:I31"/>
    <mergeCell ref="K3:K25"/>
    <mergeCell ref="L4:L5"/>
    <mergeCell ref="L6:L8"/>
    <mergeCell ref="L9:L11"/>
    <mergeCell ref="L12:L14"/>
    <mergeCell ref="L15:L17"/>
    <mergeCell ref="L18:L20"/>
    <mergeCell ref="L21:L23"/>
    <mergeCell ref="L24:L25"/>
    <mergeCell ref="L27:L28"/>
    <mergeCell ref="S4:S5"/>
    <mergeCell ref="S6:S8"/>
    <mergeCell ref="S9:S11"/>
    <mergeCell ref="S12:S14"/>
    <mergeCell ref="S15:S17"/>
    <mergeCell ref="S18:S20"/>
    <mergeCell ref="S21:S23"/>
    <mergeCell ref="S24:S25"/>
    <mergeCell ref="S27:S28"/>
    <mergeCell ref="U3:U25"/>
    <mergeCell ref="V4:V5"/>
    <mergeCell ref="V6:V8"/>
    <mergeCell ref="V9:V11"/>
    <mergeCell ref="V12:V14"/>
    <mergeCell ref="V15:V17"/>
    <mergeCell ref="V18:V20"/>
    <mergeCell ref="V21:V23"/>
    <mergeCell ref="V24:V25"/>
    <mergeCell ref="AC4:AC5"/>
    <mergeCell ref="AC6:AC8"/>
    <mergeCell ref="AC9:AC11"/>
    <mergeCell ref="AC12:AC14"/>
    <mergeCell ref="AC15:AC17"/>
    <mergeCell ref="AC18:AC20"/>
    <mergeCell ref="AC21:AC23"/>
    <mergeCell ref="AC24:AC2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topLeftCell="A3" workbookViewId="0">
      <selection activeCell="A2" sqref="A2:A23"/>
    </sheetView>
  </sheetViews>
  <sheetFormatPr defaultColWidth="9" defaultRowHeight="15"/>
  <cols>
    <col min="1" max="1" width="17.7142857142857" customWidth="true"/>
    <col min="2" max="2" width="21.8571428571429" customWidth="true"/>
    <col min="3" max="3" width="11.7142857142857" customWidth="true"/>
    <col min="8" max="8" width="12.8571428571429"/>
    <col min="9" max="9" width="14"/>
    <col min="11" max="11" width="18" customWidth="true"/>
    <col min="12" max="12" width="18.5714285714286" customWidth="true"/>
    <col min="13" max="13" width="12.4285714285714" customWidth="true"/>
    <col min="18" max="18" width="12.8571428571429"/>
    <col min="19" max="19" width="14"/>
    <col min="21" max="21" width="25.5714285714286" customWidth="true"/>
    <col min="22" max="22" width="18.8571428571429" customWidth="true"/>
    <col min="23" max="23" width="14.7142857142857" customWidth="true"/>
    <col min="28" max="28" width="12.8571428571429"/>
    <col min="29" max="30" width="14"/>
  </cols>
  <sheetData>
    <row r="1" spans="1:29">
      <c r="A1" s="2" t="s">
        <v>37</v>
      </c>
      <c r="B1" s="2" t="s">
        <v>38</v>
      </c>
      <c r="C1" s="2"/>
      <c r="D1" s="2" t="s">
        <v>39</v>
      </c>
      <c r="E1" s="2" t="s">
        <v>40</v>
      </c>
      <c r="F1" s="2" t="s">
        <v>16</v>
      </c>
      <c r="G1" s="2" t="s">
        <v>36</v>
      </c>
      <c r="H1" s="2" t="s">
        <v>41</v>
      </c>
      <c r="I1" s="2" t="s">
        <v>42</v>
      </c>
      <c r="K1" s="4" t="s">
        <v>37</v>
      </c>
      <c r="L1" s="2" t="s">
        <v>38</v>
      </c>
      <c r="M1" s="2"/>
      <c r="N1" s="2" t="s">
        <v>39</v>
      </c>
      <c r="O1" s="2" t="s">
        <v>40</v>
      </c>
      <c r="P1" s="2" t="s">
        <v>16</v>
      </c>
      <c r="Q1" s="2" t="s">
        <v>36</v>
      </c>
      <c r="R1" s="2" t="s">
        <v>41</v>
      </c>
      <c r="S1" s="2" t="s">
        <v>42</v>
      </c>
      <c r="T1" s="13"/>
      <c r="U1" s="7"/>
      <c r="V1" s="7"/>
      <c r="W1" s="7"/>
      <c r="X1" s="7"/>
      <c r="Y1" s="7"/>
      <c r="Z1" s="7"/>
      <c r="AA1" s="7"/>
      <c r="AB1" s="7"/>
      <c r="AC1" s="7"/>
    </row>
    <row r="2" spans="1:29">
      <c r="A2" s="4" t="s">
        <v>69</v>
      </c>
      <c r="B2" s="18" t="s">
        <v>43</v>
      </c>
      <c r="C2" s="2"/>
      <c r="D2" s="2">
        <v>50</v>
      </c>
      <c r="E2" s="2">
        <f>COUNTIF(Sheet1!$E$2:$E$51,"lebih")</f>
        <v>7</v>
      </c>
      <c r="F2" s="2">
        <f>COUNTIF(Sheet1!$E$2:$E$51,"normal")</f>
        <v>41</v>
      </c>
      <c r="G2" s="2">
        <f>COUNTIF(Sheet1!$E$2:$E$51,"kurang")</f>
        <v>2</v>
      </c>
      <c r="H2" s="2">
        <f>((-E2/D2)*IMLOG2(E2/D2)+(-F2/D2)*IMLOG2(F2/D2)+(-G2/D2)*IMLOG2(G2/D2))</f>
        <v>0.817633856899831</v>
      </c>
      <c r="I2" s="2"/>
      <c r="K2" s="4" t="s">
        <v>70</v>
      </c>
      <c r="L2" s="18" t="s">
        <v>43</v>
      </c>
      <c r="M2" s="2"/>
      <c r="N2" s="2">
        <v>50</v>
      </c>
      <c r="O2" s="2">
        <f>COUNTIF(Sheet1!$E$2:$E$51,"lebih")</f>
        <v>7</v>
      </c>
      <c r="P2" s="2">
        <f>COUNTIF(Sheet1!$E$2:$E$51,"normal")</f>
        <v>41</v>
      </c>
      <c r="Q2" s="2">
        <f>COUNTIF(Sheet1!$E$2:$E$51,"kurang")</f>
        <v>2</v>
      </c>
      <c r="R2" s="2">
        <f>((-O2/N2)*IMLOG2(O2/N2)+(-P2/N2)*IMLOG2(P2/N2)+(-Q2/N2)*IMLOG2(Q2/N2))</f>
        <v>0.817633856899831</v>
      </c>
      <c r="S2" s="2"/>
      <c r="T2" s="13"/>
      <c r="U2" s="7"/>
      <c r="V2" s="7"/>
      <c r="W2" s="7"/>
      <c r="X2" s="7"/>
      <c r="Y2" s="7"/>
      <c r="Z2" s="7"/>
      <c r="AA2" s="7"/>
      <c r="AB2" s="7"/>
      <c r="AC2" s="7"/>
    </row>
    <row r="3" spans="1:29">
      <c r="A3" s="6"/>
      <c r="B3" s="18" t="s">
        <v>71</v>
      </c>
      <c r="C3" s="2"/>
      <c r="D3" s="2">
        <f>COUNTIFS(Sheet1!$C$2:$C$51,"normal",Sheet1!$J$2:$J$51,"i",Sheet1!$H$2:$H$51,"bekerja",Sheet1!$A$2:$A$51,"P")</f>
        <v>7</v>
      </c>
      <c r="E3" s="2">
        <f>COUNTIFS(Sheet1!$C$2:$C$51,"normal",Sheet1!$J$2:$J$51,"i",Sheet1!$H$2:$H$51,"bekerja",Sheet1!$A$2:$A$51,"P",Sheet1!$E$2:$E$51,"lebih")</f>
        <v>2</v>
      </c>
      <c r="F3" s="2">
        <v>5</v>
      </c>
      <c r="G3" s="2">
        <f>COUNTIFS(Sheet1!$C$2:$C$51,"normal",Sheet1!$J$2:$J$51,"i",Sheet1!$H$2:$H$51,"bekerja",Sheet1!$A$2:$A$51,"P",Sheet1!$E$2:$E$51,"KURANG")</f>
        <v>0</v>
      </c>
      <c r="H3" s="2">
        <f>((-E3/D3)*IMLOG2(E3/D3)+(-F3/D3)*IMLOG2(F3/D3))</f>
        <v>0.86312056856663</v>
      </c>
      <c r="I3" s="2"/>
      <c r="K3" s="6"/>
      <c r="L3" s="18" t="s">
        <v>72</v>
      </c>
      <c r="M3" s="2"/>
      <c r="N3" s="2">
        <f>COUNTIFS(Sheet1!$C$2:$C$51,"normal",Sheet1!$J$2:$J$51,"i",Sheet1!$H$2:$H$51,"bekerja",Sheet1!$A$2:$A$51,"P",Sheet1!$G$2:$G$51,"sedang")</f>
        <v>5</v>
      </c>
      <c r="O3" s="2">
        <f>COUNTIFS(Sheet1!$C$2:$C$51,"normal",Sheet1!$J$2:$J$51,"i",Sheet1!$H$2:$H$51,"bekerja",Sheet1!$A$2:$A$51,"P",Sheet1!$G$2:$G$51,"SEDANG",Sheet1!$E$2:$E$51,"lebih")</f>
        <v>2</v>
      </c>
      <c r="P3" s="2">
        <v>3</v>
      </c>
      <c r="Q3" s="2">
        <f>COUNTIFS(Sheet1!$C$2:$C$51,"normal",Sheet1!$J$2:$J$51,"i",Sheet1!$H$2:$H$51,"bekerja",Sheet1!$A$2:$A$51,"P",Sheet1!$G$2:$G$51,"SEDANG",Sheet1!$E$2:$E$51,"KURANG")</f>
        <v>0</v>
      </c>
      <c r="R3" s="2">
        <f t="shared" ref="R3:R8" si="0">((-O3/N3)*IMLOG2(O3/N3)+(-P3/N3)*IMLOG2(P3/N3))</f>
        <v>0.970950594454667</v>
      </c>
      <c r="S3" s="2"/>
      <c r="T3" s="13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6"/>
      <c r="B4" s="22" t="s">
        <v>45</v>
      </c>
      <c r="C4" s="2" t="s">
        <v>33</v>
      </c>
      <c r="D4" s="2">
        <f>COUNTIFS(Sheet1!$C$2:$C$51,"normal",Sheet1!$J$2:$J$51,"i",Sheet1!$H$2:$H$51,"bekerja",Sheet1!$A$2:$A$51,"P",Sheet1!$B$2:$B$51,"A")</f>
        <v>0</v>
      </c>
      <c r="E4" s="2">
        <f>COUNTIFS(Sheet1!$C$2:$C$51,"normal",Sheet1!$J$2:$J$51,"i",Sheet1!$H$2:$H$51,"bekerja",Sheet1!$A$2:$A$51,"P",Sheet1!$B$2:$B$51,"A",Sheet1!$E$2:$E$51,"lebih")</f>
        <v>0</v>
      </c>
      <c r="F4" s="2">
        <f>COUNTIFS(Sheet1!$C$2:$C$51,"normal",Sheet1!$J$2:$J$51,"i",Sheet1!$H$2:$H$51,"bekerja",Sheet1!$A$2:$A$51,"P",Sheet1!$B$2:$B$51,"A",Sheet1!$E$2:$E$51,"NORMAL")</f>
        <v>0</v>
      </c>
      <c r="G4" s="2">
        <f>COUNTIFS(Sheet1!$C$2:$C$51,"normal",Sheet1!$J$2:$J$51,"i",Sheet1!$H$2:$H$51,"bekerja",Sheet1!$A$2:$A$51,"P",Sheet1!$B$2:$B$51,"A",Sheet1!$E$2:$E$51,"KURANG")</f>
        <v>0</v>
      </c>
      <c r="H4" s="2">
        <v>0</v>
      </c>
      <c r="I4" s="4">
        <f>($H$2)-((D4/$D$3*H4)+(D5/$D$3*H5)+(D6/$D$3*H6))</f>
        <v>-0.0395090002430264</v>
      </c>
      <c r="K4" s="6"/>
      <c r="L4" s="22" t="s">
        <v>45</v>
      </c>
      <c r="M4" s="2" t="s">
        <v>33</v>
      </c>
      <c r="N4" s="2">
        <f>COUNTIFS(Sheet1!$C$2:$C$51,"normal",Sheet1!$J$2:$J$51,"i",Sheet1!$H$2:$H$51,"bekerja",Sheet1!$A$2:$A$51,"P",Sheet1!$G$2:$G$51,"sedang",Sheet1!$B$2:$B$51,"A")</f>
        <v>0</v>
      </c>
      <c r="O4" s="2">
        <f>COUNTIFS(Sheet1!$C$2:$C$51,"normal",Sheet1!$J$2:$J$51,"i",Sheet1!$H$2:$H$51,"bekerja",Sheet1!$A$2:$A$51,"P",Sheet1!$G$2:$G$51,"sedang",Sheet1!$B$2:$B$51,"A",Sheet1!$E$2:$E$51,"lebih")</f>
        <v>0</v>
      </c>
      <c r="P4" s="2">
        <f>COUNTIFS(Sheet1!$C$2:$C$51,"normal",Sheet1!$J$2:$J$51,"i",Sheet1!$H$2:$H$51,"bekerja",Sheet1!$A$2:$A$51,"P",Sheet1!$G$2:$G$51,"sedang",Sheet1!$B$2:$B$51,"A",Sheet1!$E$2:$E$51,"NORMAL")</f>
        <v>0</v>
      </c>
      <c r="Q4" s="2">
        <f>COUNTIFS(Sheet1!$C$2:$C$51,"normal",Sheet1!$J$2:$J$51,"i",Sheet1!$H$2:$H$51,"bekerja",Sheet1!$A$2:$A$51,"P",Sheet1!$G$2:$G$51,"sedang",Sheet1!$B$2:$B$51,"A",Sheet1!$E$2:$E$51,"KURANG")</f>
        <v>0</v>
      </c>
      <c r="R4" s="2">
        <v>0</v>
      </c>
      <c r="S4" s="4">
        <f>($R$2)-((N4/$N$3*R4)+(N5/$N$3*R5)+(N6/$N$3*R6))</f>
        <v>-0.133343643532863</v>
      </c>
      <c r="T4" s="13"/>
      <c r="U4" s="7"/>
      <c r="V4" s="7"/>
      <c r="W4" s="7"/>
      <c r="X4" s="7"/>
      <c r="Y4" s="7"/>
      <c r="Z4" s="7"/>
      <c r="AA4" s="7"/>
      <c r="AB4" s="7"/>
      <c r="AC4" s="7"/>
    </row>
    <row r="5" spans="1:29">
      <c r="A5" s="6"/>
      <c r="B5" s="24"/>
      <c r="C5" s="2" t="s">
        <v>13</v>
      </c>
      <c r="D5" s="2">
        <f>COUNTIFS(Sheet1!$C$2:$C$51,"normal",Sheet1!$J$2:$J$51,"i",Sheet1!$H$2:$H$51,"bekerja",Sheet1!$A$2:$A$51,"P",Sheet1!$B$2:$B$51,"B")</f>
        <v>4</v>
      </c>
      <c r="E5" s="2">
        <v>1</v>
      </c>
      <c r="F5" s="2">
        <f>COUNTIFS(Sheet1!$C$2:$C$51,"normal",Sheet1!$J$2:$J$51,"i",Sheet1!$H$2:$H$51,"bekerja",Sheet1!$A$2:$A$51,"P",Sheet1!$B$2:$B$51,"B",Sheet1!$E$2:$E$51,"NORMAL")</f>
        <v>3</v>
      </c>
      <c r="G5" s="2">
        <f>COUNTIFS(Sheet1!$C$2:$C$51,"normal",Sheet1!$J$2:$J$51,"i",Sheet1!$H$2:$H$51,"bekerja",Sheet1!$A$2:$A$51,"P",Sheet1!$B$2:$B$51,"B",Sheet1!$E$2:$E$51,"KURANG")</f>
        <v>0</v>
      </c>
      <c r="H5" s="2">
        <f>((-E5/D5)*IMLOG2(E5/D5)+(-F5/D5)*IMLOG2(F5/D5))</f>
        <v>0.811278124459133</v>
      </c>
      <c r="I5" s="6"/>
      <c r="K5" s="6"/>
      <c r="L5" s="24"/>
      <c r="M5" s="2" t="s">
        <v>13</v>
      </c>
      <c r="N5" s="2">
        <f>COUNTIFS(Sheet1!$C$2:$C$51,"normal",Sheet1!$J$2:$J$51,"i",Sheet1!$H$2:$H$51,"bekerja",Sheet1!$A$2:$A$51,"P",Sheet1!$G$2:$G$51,"sedang",Sheet1!$B$2:$B$51,"B")</f>
        <v>2</v>
      </c>
      <c r="O5" s="2">
        <f>COUNTIFS(Sheet1!$C$2:$C$51,"normal",Sheet1!$J$2:$J$51,"i",Sheet1!$H$2:$H$51,"bekerja",Sheet1!$A$2:$A$51,"P",Sheet1!$G$2:$G$51,"sedang",Sheet1!$B$2:$B$51,"B",Sheet1!$E$2:$E$51,"lebih")</f>
        <v>1</v>
      </c>
      <c r="P5" s="2">
        <f>COUNTIFS(Sheet1!$C$2:$C$51,"normal",Sheet1!$J$2:$J$51,"i",Sheet1!$H$2:$H$51,"bekerja",Sheet1!$A$2:$A$51,"P",Sheet1!$G$2:$G$51,"sedang",Sheet1!$B$2:$B$51,"B",Sheet1!$E$2:$E$51,"NORMAL")</f>
        <v>1</v>
      </c>
      <c r="Q5" s="2">
        <f>COUNTIFS(Sheet1!$C$2:$C$51,"normal",Sheet1!$J$2:$J$51,"i",Sheet1!$H$2:$H$51,"bekerja",Sheet1!$A$2:$A$51,"P",Sheet1!$G$2:$G$51,"sedang",Sheet1!$B$2:$B$51,"B",Sheet1!$E$2:$E$51,"KURANG")</f>
        <v>0</v>
      </c>
      <c r="R5" s="2">
        <f t="shared" si="0"/>
        <v>1</v>
      </c>
      <c r="S5" s="6"/>
      <c r="T5" s="13"/>
      <c r="U5" s="7"/>
      <c r="V5" s="7"/>
      <c r="W5" s="7"/>
      <c r="X5" s="7"/>
      <c r="Y5" s="7"/>
      <c r="Z5" s="7"/>
      <c r="AA5" s="7"/>
      <c r="AB5" s="7"/>
      <c r="AC5" s="7"/>
    </row>
    <row r="6" spans="1:29">
      <c r="A6" s="6"/>
      <c r="B6" s="23"/>
      <c r="C6" s="2" t="s">
        <v>32</v>
      </c>
      <c r="D6" s="2">
        <f>COUNTIFS(Sheet1!$C$2:$C$51,"normal",Sheet1!$J$2:$J$51,"i",Sheet1!$H$2:$H$51,"bekerja",Sheet1!$A$2:$A$51,"P",Sheet1!$B$2:$B$51,"C")</f>
        <v>3</v>
      </c>
      <c r="E6" s="2">
        <f>COUNTIFS(Sheet1!$C$2:$C$51,"normal",Sheet1!$J$2:$J$51,"i",Sheet1!$H$2:$H$51,"bekerja",Sheet1!$A$2:$A$51,"P",Sheet1!$B$2:$B$51,"C",Sheet1!$E$2:$E$51,"lebih")</f>
        <v>1</v>
      </c>
      <c r="F6" s="2">
        <f>COUNTIFS(Sheet1!$C$2:$C$51,"normal",Sheet1!$J$2:$J$51,"i",Sheet1!$H$2:$H$51,"bekerja",Sheet1!$A$2:$A$51,"P",Sheet1!$B$2:$B$51,"C",Sheet1!$E$2:$E$51,"NORMAL")</f>
        <v>2</v>
      </c>
      <c r="G6" s="2">
        <f>COUNTIFS(Sheet1!$C$2:$C$51,"normal",Sheet1!$J$2:$J$51,"i",Sheet1!$H$2:$H$51,"bekerja",Sheet1!$A$2:$A$51,"P",Sheet1!$B$2:$B$51,"C",Sheet1!$E$2:$E$51,"KURANG")</f>
        <v>0</v>
      </c>
      <c r="H6" s="2">
        <f>((-E6/D6)*IMLOG2(E6/D6)+(-F6/D6)*IMLOG2(F6/D6))</f>
        <v>0.918295834054491</v>
      </c>
      <c r="I6" s="5"/>
      <c r="K6" s="6"/>
      <c r="L6" s="23"/>
      <c r="M6" s="2" t="s">
        <v>32</v>
      </c>
      <c r="N6" s="2">
        <f>COUNTIFS(Sheet1!$C$2:$C$51,"normal",Sheet1!$J$2:$J$51,"i",Sheet1!$H$2:$H$51,"bekerja",Sheet1!$A$2:$A$51,"P",Sheet1!$G$2:$G$51,"sedang",Sheet1!$B$2:$B$51,"C")</f>
        <v>3</v>
      </c>
      <c r="O6" s="2">
        <f>COUNTIFS(Sheet1!$C$2:$C$51,"normal",Sheet1!$J$2:$J$51,"i",Sheet1!$H$2:$H$51,"bekerja",Sheet1!$A$2:$A$51,"P",Sheet1!$G$2:$G$51,"sedang",Sheet1!$B$2:$B$51,"C",Sheet1!$E$2:$E$51,"lebih")</f>
        <v>1</v>
      </c>
      <c r="P6" s="2">
        <f>COUNTIFS(Sheet1!$C$2:$C$51,"normal",Sheet1!$J$2:$J$51,"i",Sheet1!$H$2:$H$51,"bekerja",Sheet1!$A$2:$A$51,"P",Sheet1!$G$2:$G$51,"sedang",Sheet1!$B$2:$B$51,"C",Sheet1!$E$2:$E$51,"NORMAL")</f>
        <v>2</v>
      </c>
      <c r="Q6" s="2">
        <f>COUNTIFS(Sheet1!$C$2:$C$51,"normal",Sheet1!$J$2:$J$51,"i",Sheet1!$H$2:$H$51,"bekerja",Sheet1!$A$2:$A$51,"P",Sheet1!$G$2:$G$51,"sedang",Sheet1!$B$2:$B$51,"C",Sheet1!$E$2:$E$51,"KURANG")</f>
        <v>0</v>
      </c>
      <c r="R6" s="2">
        <f t="shared" si="0"/>
        <v>0.918295834054491</v>
      </c>
      <c r="S6" s="5"/>
      <c r="T6" s="13"/>
      <c r="U6" s="7"/>
      <c r="V6" s="7"/>
      <c r="W6" s="7"/>
      <c r="X6" s="7"/>
      <c r="Y6" s="7"/>
      <c r="Z6" s="7"/>
      <c r="AA6" s="7"/>
      <c r="AB6" s="7"/>
      <c r="AC6" s="7"/>
    </row>
    <row r="7" spans="1:29">
      <c r="A7" s="6"/>
      <c r="B7" s="18" t="s">
        <v>47</v>
      </c>
      <c r="C7" s="2" t="s">
        <v>15</v>
      </c>
      <c r="D7" s="2">
        <f>COUNTIFS(Sheet1!$C$2:$C$51,"normal",Sheet1!$J$2:$J$51,"i",Sheet1!$H$2:$H$51,"bekerja",Sheet1!$A$2:$A$51,"P",Sheet1!$D$2:$D$51,"pendek")</f>
        <v>2</v>
      </c>
      <c r="E7" s="2">
        <f>COUNTIFS(Sheet1!$C$2:$C$51,"normal",Sheet1!$J$2:$J$51,"i",Sheet1!$H$2:$H$51,"bekerja",Sheet1!$A$2:$A$51,"P",Sheet1!$D$2:$D$51,"pendek",Sheet1!$E$2:$E$51,"lebih")</f>
        <v>1</v>
      </c>
      <c r="F7" s="2">
        <f>COUNTIFS(Sheet1!$C$2:$C$51,"normal",Sheet1!$J$2:$J$51,"i",Sheet1!$H$2:$H$51,"bekerja",Sheet1!$A$2:$A$51,"P",Sheet1!$D$2:$D$51,"pendek",Sheet1!$E$2:$E$51,"NORMAL")</f>
        <v>1</v>
      </c>
      <c r="G7" s="2">
        <f>COUNTIFS(Sheet1!$C$2:$C$51,"normal",Sheet1!$J$2:$J$51,"i",Sheet1!$H$2:$H$51,"bekerja",Sheet1!$A$2:$A$51,"P",Sheet1!$D$2:$D$51,"pendek",Sheet1!$E$2:$E$51,"KURANG")</f>
        <v>0</v>
      </c>
      <c r="H7" s="2">
        <f>((-E7/D7)*IMLOG2(E7/D7)+(-F7/D7)*IMLOG2(F7/D7))</f>
        <v>1</v>
      </c>
      <c r="I7" s="4">
        <f>($H$2)-((D7/$D$3*H7)+(D8/$D$3*H8)+(D9/$D$3*H9))</f>
        <v>0.0683320714946124</v>
      </c>
      <c r="K7" s="6"/>
      <c r="L7" s="18" t="s">
        <v>47</v>
      </c>
      <c r="M7" s="2" t="s">
        <v>15</v>
      </c>
      <c r="N7" s="2">
        <f>COUNTIFS(Sheet1!$C$2:$C$51,"normal",Sheet1!$J$2:$J$51,"i",Sheet1!$H$2:$H$51,"bekerja",Sheet1!$A$2:$A$51,"P",Sheet1!$G$2:$G$51,"sedang",Sheet1!$D$2:$D$51,"pendek")</f>
        <v>1</v>
      </c>
      <c r="O7" s="2">
        <f>COUNTIFS(Sheet1!$C$2:$C$51,"normal",Sheet1!$J$2:$J$51,"i",Sheet1!$H$2:$H$51,"bekerja",Sheet1!$A$2:$A$51,"P",Sheet1!$G$2:$G$51,"sedang",Sheet1!$D$2:$D$51,"pendek",Sheet1!$E$2:$E$51,"lebih")</f>
        <v>1</v>
      </c>
      <c r="P7" s="2">
        <f>COUNTIFS(Sheet1!$C$2:$C$51,"normal",Sheet1!$J$2:$J$51,"i",Sheet1!$H$2:$H$51,"bekerja",Sheet1!$A$2:$A$51,"P",Sheet1!$G$2:$G$51,"sedang",Sheet1!$D$2:$D$51,"pendek",Sheet1!$E$2:$E$51,"NORMAL")</f>
        <v>0</v>
      </c>
      <c r="Q7" s="2">
        <f>COUNTIFS(Sheet1!$C$2:$C$51,"normal",Sheet1!$J$2:$J$51,"i",Sheet1!$H$2:$H$51,"bekerja",Sheet1!$A$2:$A$51,"P",Sheet1!$G$2:$G$51,"sedang",Sheet1!$D$2:$D$51,"pendek",Sheet1!$E$2:$E$51,"KURANG")</f>
        <v>0</v>
      </c>
      <c r="R7" s="2">
        <v>0</v>
      </c>
      <c r="S7" s="4">
        <f>($R$2)-((N7/$N$3*R7)+(N8/$N$3*R8)+(N9/$N$3*R9))</f>
        <v>0.168611357332525</v>
      </c>
      <c r="T7" s="13"/>
      <c r="U7" s="7"/>
      <c r="V7" s="7"/>
      <c r="W7" s="7"/>
      <c r="X7" s="7"/>
      <c r="Y7" s="7"/>
      <c r="Z7" s="7"/>
      <c r="AA7" s="7"/>
      <c r="AB7" s="7"/>
      <c r="AC7" s="7"/>
    </row>
    <row r="8" spans="1:29">
      <c r="A8" s="6"/>
      <c r="B8" s="18"/>
      <c r="C8" s="2" t="s">
        <v>16</v>
      </c>
      <c r="D8" s="2">
        <f>COUNTIFS(Sheet1!$C$2:$C$51,"normal",Sheet1!$J$2:$J$51,"i",Sheet1!$H$2:$H$51,"bekerja",Sheet1!$A$2:$A$51,"P",Sheet1!$D$2:$D$51,"normal")</f>
        <v>4</v>
      </c>
      <c r="E8" s="2">
        <f>COUNTIFS(Sheet1!$C$2:$C$51,"normal",Sheet1!$J$2:$J$51,"i",Sheet1!$H$2:$H$51,"bekerja",Sheet1!$A$2:$A$51,"P",Sheet1!$D$2:$D$51,"NORMAL",Sheet1!$E$2:$E$51,"lebih")</f>
        <v>1</v>
      </c>
      <c r="F8" s="2">
        <f>COUNTIFS(Sheet1!$C$2:$C$51,"normal",Sheet1!$J$2:$J$51,"i",Sheet1!$H$2:$H$51,"bekerja",Sheet1!$A$2:$A$51,"P",Sheet1!$D$2:$D$51,"NORMAL",Sheet1!$E$2:$E$51,"NORMAL")</f>
        <v>3</v>
      </c>
      <c r="G8" s="2">
        <f>COUNTIFS(Sheet1!$C$2:$C$51,"normal",Sheet1!$J$2:$J$51,"i",Sheet1!$H$2:$H$51,"bekerja",Sheet1!$A$2:$A$51,"P",Sheet1!$D$2:$D$51,"NORMAL",Sheet1!$E$2:$E$51,"KURANG")</f>
        <v>0</v>
      </c>
      <c r="H8" s="2">
        <f>((-E8/D8)*IMLOG2(E8/D8)+(-F8/D8)*IMLOG2(F8/D8))</f>
        <v>0.811278124459133</v>
      </c>
      <c r="I8" s="6"/>
      <c r="K8" s="6"/>
      <c r="L8" s="18"/>
      <c r="M8" s="2" t="s">
        <v>16</v>
      </c>
      <c r="N8" s="2">
        <f>COUNTIFS(Sheet1!$C$2:$C$51,"normal",Sheet1!$J$2:$J$51,"i",Sheet1!$H$2:$H$51,"bekerja",Sheet1!$A$2:$A$51,"P",Sheet1!$G$2:$G$51,"sedang",Sheet1!$D$2:$D$51,"normal")</f>
        <v>4</v>
      </c>
      <c r="O8" s="2">
        <f>COUNTIFS(Sheet1!$C$2:$C$51,"normal",Sheet1!$J$2:$J$51,"i",Sheet1!$H$2:$H$51,"bekerja",Sheet1!$A$2:$A$51,"P",Sheet1!$G$2:$G$51,"sedang",Sheet1!$D$2:$D$51,"NORMAL",Sheet1!$E$2:$E$51,"lebih")</f>
        <v>1</v>
      </c>
      <c r="P8" s="2">
        <f>COUNTIFS(Sheet1!$C$2:$C$51,"normal",Sheet1!$J$2:$J$51,"i",Sheet1!$H$2:$H$51,"bekerja",Sheet1!$A$2:$A$51,"P",Sheet1!$G$2:$G$51,"sedang",Sheet1!$D$2:$D$51,"NORMAL",Sheet1!$E$2:$E$51,"NORMAL")</f>
        <v>3</v>
      </c>
      <c r="Q8" s="2">
        <f>COUNTIFS(Sheet1!$C$2:$C$51,"normal",Sheet1!$J$2:$J$51,"i",Sheet1!$H$2:$H$51,"bekerja",Sheet1!$A$2:$A$51,"P",Sheet1!$G$2:$G$51,"sedang",Sheet1!$D$2:$D$51,"NORMAL",Sheet1!$E$2:$E$51,"KURANG")</f>
        <v>0</v>
      </c>
      <c r="R8" s="2">
        <f t="shared" si="0"/>
        <v>0.811278124459133</v>
      </c>
      <c r="S8" s="6"/>
      <c r="T8" s="13"/>
      <c r="U8" s="7"/>
      <c r="V8" s="7"/>
      <c r="W8" s="7"/>
      <c r="X8" s="7"/>
      <c r="Y8" s="7"/>
      <c r="Z8" s="7"/>
      <c r="AA8" s="7"/>
      <c r="AB8" s="7"/>
      <c r="AC8" s="7"/>
    </row>
    <row r="9" spans="1:29">
      <c r="A9" s="6"/>
      <c r="B9" s="18"/>
      <c r="C9" s="2" t="s">
        <v>31</v>
      </c>
      <c r="D9" s="2">
        <f>COUNTIFS(Sheet1!$C$2:$C$51,"normal",Sheet1!$J$2:$J$51,"i",Sheet1!$H$2:$H$51,"bekerja",Sheet1!$A$2:$A$51,"P",Sheet1!$D$2:$D$51,"tinggi")</f>
        <v>1</v>
      </c>
      <c r="E9" s="2">
        <f>COUNTIFS(Sheet1!$C$2:$C$51,"normal",Sheet1!$J$2:$J$51,"i",Sheet1!$H$2:$H$51,"bekerja",Sheet1!$A$2:$A$51,"P",Sheet1!$D$2:$D$51,"TINGGI",Sheet1!$E$2:$E$51,"lebih")</f>
        <v>0</v>
      </c>
      <c r="F9" s="2">
        <f>COUNTIFS(Sheet1!$C$2:$C$51,"normal",Sheet1!$J$2:$J$51,"i",Sheet1!$H$2:$H$51,"bekerja",Sheet1!$A$2:$A$51,"P",Sheet1!$D$2:$D$51,"TINGGI",Sheet1!$E$2:$E$51,"NORMAL")</f>
        <v>1</v>
      </c>
      <c r="G9" s="2">
        <f>COUNTIFS(Sheet1!$C$2:$C$51,"normal",Sheet1!$J$2:$J$51,"i",Sheet1!$H$2:$H$51,"bekerja",Sheet1!$A$2:$A$51,"P",Sheet1!$D$2:$D$51,"TINGGI",Sheet1!$E$2:$E$51,"KURANG")</f>
        <v>0</v>
      </c>
      <c r="H9" s="2">
        <v>0</v>
      </c>
      <c r="I9" s="5"/>
      <c r="K9" s="6"/>
      <c r="L9" s="18"/>
      <c r="M9" s="2" t="s">
        <v>31</v>
      </c>
      <c r="N9" s="2">
        <f>COUNTIFS(Sheet1!$C$2:$C$51,"normal",Sheet1!$J$2:$J$51,"i",Sheet1!$H$2:$H$51,"bekerja",Sheet1!$A$2:$A$51,"P",Sheet1!$G$2:$G$51,"sedang",Sheet1!$D$2:$D$51,"tinggi")</f>
        <v>0</v>
      </c>
      <c r="O9" s="2">
        <f>COUNTIFS(Sheet1!$C$2:$C$51,"normal",Sheet1!$J$2:$J$51,"i",Sheet1!$H$2:$H$51,"bekerja",Sheet1!$A$2:$A$51,"P",Sheet1!$G$2:$G$51,"sedang",Sheet1!$D$2:$D$51,"TINGGI",Sheet1!$E$2:$E$51,"lebih")</f>
        <v>0</v>
      </c>
      <c r="P9" s="2">
        <f>COUNTIFS(Sheet1!$C$2:$C$51,"normal",Sheet1!$J$2:$J$51,"i",Sheet1!$H$2:$H$51,"bekerja",Sheet1!$A$2:$A$51,"P",Sheet1!$G$2:$G$51,"sedang",Sheet1!$D$2:$D$51,"TINGGI",Sheet1!$E$2:$E$51,"NORMAL")</f>
        <v>0</v>
      </c>
      <c r="Q9" s="2">
        <f>COUNTIFS(Sheet1!$C$2:$C$51,"normal",Sheet1!$J$2:$J$51,"i",Sheet1!$H$2:$H$51,"bekerja",Sheet1!$A$2:$A$51,"P",Sheet1!$G$2:$G$51,"sedang",Sheet1!$D$2:$D$51,"TINGGI",Sheet1!$E$2:$E$51,"KURANG")</f>
        <v>0</v>
      </c>
      <c r="R9" s="2">
        <v>0</v>
      </c>
      <c r="S9" s="5"/>
      <c r="T9" s="13"/>
      <c r="U9" s="7"/>
      <c r="V9" s="7"/>
      <c r="W9" s="7"/>
      <c r="X9" s="7"/>
      <c r="Y9" s="7"/>
      <c r="Z9" s="7"/>
      <c r="AA9" s="7"/>
      <c r="AB9" s="7"/>
      <c r="AC9" s="7"/>
    </row>
    <row r="10" spans="1:29">
      <c r="A10" s="6"/>
      <c r="B10" s="18" t="s">
        <v>48</v>
      </c>
      <c r="C10" s="2" t="s">
        <v>17</v>
      </c>
      <c r="D10" s="2">
        <f>COUNTIFS(Sheet1!$C$2:$C$51,"normal",Sheet1!$J$2:$J$51,"i",Sheet1!$H$2:$H$51,"bekerja",Sheet1!$A$2:$A$51,"P",Sheet1!$F$2:$F$51,"formula")</f>
        <v>7</v>
      </c>
      <c r="E10" s="2">
        <f>COUNTIFS(Sheet1!$C$2:$C$51,"normal",Sheet1!$J$2:$J$51,"i",Sheet1!$H$2:$H$51,"bekerja",Sheet1!$A$2:$A$51,"P",Sheet1!$F$2:$F$51,"formula",Sheet1!$E$2:$E$51,"lebih")</f>
        <v>2</v>
      </c>
      <c r="F10" s="2">
        <f>COUNTIFS(Sheet1!$C$2:$C$51,"normal",Sheet1!$J$2:$J$51,"i",Sheet1!$H$2:$H$51,"bekerja",Sheet1!$A$2:$A$51,"P",Sheet1!$F$2:$F$51,"formula",Sheet1!$E$2:$E$51,"NORMAL")</f>
        <v>5</v>
      </c>
      <c r="G10" s="2">
        <f>COUNTIFS(Sheet1!$C$2:$C$51,"normal",Sheet1!$J$2:$J$51,"i",Sheet1!$H$2:$H$51,"bekerja",Sheet1!$A$2:$A$51,"P",Sheet1!$F$2:$F$51,"formula",Sheet1!$E$2:$E$51,"KURANG")</f>
        <v>0</v>
      </c>
      <c r="H10" s="2">
        <f>((-E10/D10)*IMLOG2(E10/D10)+(-F10/D10)*IMLOG2(F10/D10))</f>
        <v>0.86312056856663</v>
      </c>
      <c r="I10" s="4">
        <f>($H$2)-((D10/$D$3*H10)+(D11/$D$3*H11)+(D12/$D$3*H12))</f>
        <v>-0.0454867116667987</v>
      </c>
      <c r="K10" s="6"/>
      <c r="L10" s="18" t="s">
        <v>48</v>
      </c>
      <c r="M10" s="2" t="s">
        <v>17</v>
      </c>
      <c r="N10" s="2">
        <f>COUNTIFS(Sheet1!$C$2:$C$51,"normal",Sheet1!$J$2:$J$51,"i",Sheet1!$H$2:$H$51,"bekerja",Sheet1!$A$2:$A$51,"P",Sheet1!$G$2:$G$51,"sedang",Sheet1!$F$2:$F$51,"formula")</f>
        <v>5</v>
      </c>
      <c r="O10" s="2">
        <f>COUNTIFS(Sheet1!$C$2:$C$51,"normal",Sheet1!$J$2:$J$51,"i",Sheet1!$H$2:$H$51,"bekerja",Sheet1!$A$2:$A$51,"P",Sheet1!$G$2:$G$51,"sedang",Sheet1!$F$2:$F$51,"formula",Sheet1!$E$2:$E$51,"lebih")</f>
        <v>2</v>
      </c>
      <c r="P10" s="2">
        <f>COUNTIFS(Sheet1!$C$2:$C$51,"normal",Sheet1!$J$2:$J$51,"i",Sheet1!$H$2:$H$51,"bekerja",Sheet1!$A$2:$A$51,"P",Sheet1!$G$2:$G$51,"sedang",Sheet1!$F$2:$F$51,"formula",Sheet1!$E$2:$E$51,"NORMAL")</f>
        <v>3</v>
      </c>
      <c r="Q10" s="2">
        <f>COUNTIFS(Sheet1!$C$2:$C$51,"normal",Sheet1!$J$2:$J$51,"i",Sheet1!$H$2:$H$51,"bekerja",Sheet1!$A$2:$A$51,"P",Sheet1!$G$2:$G$51,"sedang",Sheet1!$F$2:$F$51,"formula",Sheet1!$E$2:$E$51,"KURANG")</f>
        <v>0</v>
      </c>
      <c r="R10" s="2">
        <f>((-O10/N10)*IMLOG2(O10/N10)+(-P10/N10)*IMLOG2(P10/N10))</f>
        <v>0.970950594454667</v>
      </c>
      <c r="S10" s="4">
        <f>($R$2)-((N10/$N$3*R10)+(N11/$N$3*R11)+(N12/$N$3*R12))</f>
        <v>-0.153316737554836</v>
      </c>
      <c r="T10" s="13"/>
      <c r="U10" s="7"/>
      <c r="V10" s="7"/>
      <c r="W10" s="7"/>
      <c r="X10" s="7"/>
      <c r="Y10" s="7"/>
      <c r="Z10" s="7"/>
      <c r="AA10" s="7"/>
      <c r="AB10" s="7"/>
      <c r="AC10" s="7"/>
    </row>
    <row r="11" spans="1:29">
      <c r="A11" s="6"/>
      <c r="B11" s="18"/>
      <c r="C11" s="2" t="s">
        <v>26</v>
      </c>
      <c r="D11" s="2">
        <f>COUNTIFS(Sheet1!$C$2:$C$51,"normal",Sheet1!$J$2:$J$51,"i",Sheet1!$H$2:$H$51,"bekerja",Sheet1!$A$2:$A$51,"P",Sheet1!$F$2:$F$51,"kombinasi")</f>
        <v>0</v>
      </c>
      <c r="E11" s="2">
        <f>COUNTIFS(Sheet1!$C$2:$C$51,"normal",Sheet1!$J$2:$J$51,"i",Sheet1!$H$2:$H$51,"bekerja",Sheet1!$A$2:$A$51,"P",Sheet1!$F$2:$F$51,"kombinasi",Sheet1!$E$2:$E$51,"lebih")</f>
        <v>0</v>
      </c>
      <c r="F11" s="2">
        <f>COUNTIFS(Sheet1!$C$2:$C$51,"normal",Sheet1!$J$2:$J$51,"i",Sheet1!$H$2:$H$51,"bekerja",Sheet1!$A$2:$A$51,"P",Sheet1!$F$2:$F$51,"KOMBINASI",Sheet1!$E$2:$E$51,"NORMAL")</f>
        <v>0</v>
      </c>
      <c r="G11" s="2">
        <f>COUNTIFS(Sheet1!$C$2:$C$51,"normal",Sheet1!$J$2:$J$51,"i",Sheet1!$H$2:$H$51,"bekerja",Sheet1!$A$2:$A$51,"P",Sheet1!$F$2:$F$51,"KOMBINASI",Sheet1!$E$2:$E$51,"KURANG")</f>
        <v>0</v>
      </c>
      <c r="H11" s="2">
        <v>0</v>
      </c>
      <c r="I11" s="6"/>
      <c r="K11" s="6"/>
      <c r="L11" s="18"/>
      <c r="M11" s="2" t="s">
        <v>26</v>
      </c>
      <c r="N11" s="2">
        <f>COUNTIFS(Sheet1!$C$2:$C$51,"normal",Sheet1!$J$2:$J$51,"i",Sheet1!$H$2:$H$51,"bekerja",Sheet1!$A$2:$A$51,"P",Sheet1!$G$2:$G$51,"sedang",Sheet1!$F$2:$F$51,"kombinasi")</f>
        <v>0</v>
      </c>
      <c r="O11" s="2">
        <f>COUNTIFS(Sheet1!$C$2:$C$51,"normal",Sheet1!$J$2:$J$51,"i",Sheet1!$H$2:$H$51,"bekerja",Sheet1!$A$2:$A$51,"P",Sheet1!$G$2:$G$51,"sedang",Sheet1!$F$2:$F$51,"kombinasi",Sheet1!$E$2:$E$51,"lebih")</f>
        <v>0</v>
      </c>
      <c r="P11" s="2">
        <f>COUNTIFS(Sheet1!$C$2:$C$51,"normal",Sheet1!$J$2:$J$51,"i",Sheet1!$H$2:$H$51,"bekerja",Sheet1!$A$2:$A$51,"P",Sheet1!$G$2:$G$51,"sedang",Sheet1!$F$2:$F$51,"KOMBINASI",Sheet1!$E$2:$E$51,"NORMAL")</f>
        <v>0</v>
      </c>
      <c r="Q11" s="2">
        <f>COUNTIFS(Sheet1!$C$2:$C$51,"normal",Sheet1!$J$2:$J$51,"i",Sheet1!$H$2:$H$51,"bekerja",Sheet1!$A$2:$A$51,"P",Sheet1!$G$2:$G$51,"sedang",Sheet1!$F$2:$F$51,"KOMBINASI",Sheet1!$E$2:$E$51,"KURANG")</f>
        <v>0</v>
      </c>
      <c r="R11" s="2">
        <v>0</v>
      </c>
      <c r="S11" s="6"/>
      <c r="T11" s="13"/>
      <c r="U11" s="7"/>
      <c r="V11" s="7"/>
      <c r="W11" s="7"/>
      <c r="X11" s="7"/>
      <c r="Y11" s="7"/>
      <c r="Z11" s="7"/>
      <c r="AA11" s="7"/>
      <c r="AB11" s="7"/>
      <c r="AC11" s="7"/>
    </row>
    <row r="12" spans="1:29">
      <c r="A12" s="6"/>
      <c r="B12" s="18"/>
      <c r="C12" s="2" t="s">
        <v>34</v>
      </c>
      <c r="D12" s="2">
        <f>COUNTIFS(Sheet1!$C$2:$C$51,"normal",Sheet1!$J$2:$J$51,"i",Sheet1!$H$2:$H$51,"bekerja",Sheet1!$A$2:$A$51,"P",Sheet1!$F$2:$F$51,"ASI")</f>
        <v>0</v>
      </c>
      <c r="E12" s="2">
        <f>COUNTIFS(Sheet1!$C$2:$C$51,"normal",Sheet1!$J$2:$J$51,"i",Sheet1!$H$2:$H$51,"bekerja",Sheet1!$A$2:$A$51,"P",Sheet1!$F$2:$F$51,"ASI",Sheet1!$E$2:$E$51,"lebih")</f>
        <v>0</v>
      </c>
      <c r="F12" s="2">
        <f>COUNTIFS(Sheet1!$C$2:$C$51,"normal",Sheet1!$J$2:$J$51,"i",Sheet1!$H$2:$H$51,"bekerja",Sheet1!$A$2:$A$51,"P",Sheet1!$F$2:$F$51,"ASI",Sheet1!$E$2:$E$51,"normal")</f>
        <v>0</v>
      </c>
      <c r="G12" s="2">
        <f>COUNTIFS(Sheet1!$C$2:$C$51,"normal",Sheet1!$J$2:$J$51,"i",Sheet1!$H$2:$H$51,"bekerja",Sheet1!$A$2:$A$51,"P",Sheet1!$F$2:$F$51,"asi",Sheet1!$E$2:$E$51,"KURANG")</f>
        <v>0</v>
      </c>
      <c r="H12" s="2">
        <v>0</v>
      </c>
      <c r="I12" s="5"/>
      <c r="K12" s="6"/>
      <c r="L12" s="18"/>
      <c r="M12" s="2" t="s">
        <v>34</v>
      </c>
      <c r="N12" s="2">
        <f>COUNTIFS(Sheet1!$C$2:$C$51,"normal",Sheet1!$J$2:$J$51,"i",Sheet1!$H$2:$H$51,"bekerja",Sheet1!$A$2:$A$51,"P",Sheet1!$G$2:$G$51,"sedang",Sheet1!$F$2:$F$51,"ASI")</f>
        <v>0</v>
      </c>
      <c r="O12" s="2">
        <f>COUNTIFS(Sheet1!$C$2:$C$51,"normal",Sheet1!$J$2:$J$51,"i",Sheet1!$H$2:$H$51,"bekerja",Sheet1!$A$2:$A$51,"P",Sheet1!$G$2:$G$51,"sedang",Sheet1!$F$2:$F$51,"ASI",Sheet1!$E$2:$E$51,"lebih")</f>
        <v>0</v>
      </c>
      <c r="P12" s="2">
        <f>COUNTIFS(Sheet1!$C$2:$C$51,"normal",Sheet1!$J$2:$J$51,"i",Sheet1!$H$2:$H$51,"bekerja",Sheet1!$A$2:$A$51,"P",Sheet1!$G$2:$G$51,"sedang",Sheet1!$F$2:$F$51,"ASI",Sheet1!$E$2:$E$51,"normal")</f>
        <v>0</v>
      </c>
      <c r="Q12" s="2">
        <f>COUNTIFS(Sheet1!$C$2:$C$51,"normal",Sheet1!$J$2:$J$51,"i",Sheet1!$H$2:$H$51,"bekerja",Sheet1!$A$2:$A$51,"P",Sheet1!$G$2:$G$51,"sedang",Sheet1!$F$2:$F$51,"asi",Sheet1!$E$2:$E$51,"KURANG")</f>
        <v>0</v>
      </c>
      <c r="R12" s="2">
        <v>0</v>
      </c>
      <c r="S12" s="5"/>
      <c r="T12" s="13"/>
      <c r="U12" s="7"/>
      <c r="V12" s="7"/>
      <c r="W12" s="7"/>
      <c r="X12" s="7"/>
      <c r="Y12" s="7"/>
      <c r="Z12" s="7"/>
      <c r="AA12" s="7"/>
      <c r="AB12" s="7"/>
      <c r="AC12" s="7"/>
    </row>
    <row r="13" spans="1:29">
      <c r="A13" s="6"/>
      <c r="B13" s="18" t="s">
        <v>49</v>
      </c>
      <c r="C13" s="2" t="s">
        <v>30</v>
      </c>
      <c r="D13" s="2">
        <f>COUNTIFS(Sheet1!$C$2:$C$51,"normal",Sheet1!$J$2:$J$51,"i",Sheet1!$H$2:$H$51,"bekerja",Sheet1!$A$2:$A$51,"P",Sheet1!$G$2:$G$51,"rendah")</f>
        <v>0</v>
      </c>
      <c r="E13" s="2">
        <f>COUNTIFS(Sheet1!$C$2:$C$51,"normal",Sheet1!$J$2:$J$51,"i",Sheet1!$H$2:$H$51,"bekerja",Sheet1!$A$2:$A$51,"P",Sheet1!$G$2:$G$51,"rendah",Sheet1!$E$2:$E$51,"lebih")</f>
        <v>0</v>
      </c>
      <c r="F13" s="2">
        <f>COUNTIFS(Sheet1!$C$2:$C$51,"normal",Sheet1!$J$2:$J$51,"i",Sheet1!$H$2:$H$51,"bekerja",Sheet1!$A$2:$A$51,"P",Sheet1!$G$2:$G$51,"rendah",Sheet1!$E$2:$E$51,"NORMAL")</f>
        <v>0</v>
      </c>
      <c r="G13" s="2">
        <f>COUNTIFS(Sheet1!$C$2:$C$51,"normal",Sheet1!$J$2:$J$51,"i",Sheet1!$H$2:$H$51,"bekerja",Sheet1!$A$2:$A$51,"P",Sheet1!$G$2:$G$51,"rendah",Sheet1!$E$2:$E$51,"KURANG")</f>
        <v>0</v>
      </c>
      <c r="H13" s="2">
        <v>0</v>
      </c>
      <c r="I13" s="4">
        <f>($H$2)-((D13/$D$3*H13)+(D14/$D$3*H14)+(D15/$D$3*H15))</f>
        <v>0.12409771800364</v>
      </c>
      <c r="K13" s="6"/>
      <c r="L13" s="18" t="s">
        <v>51</v>
      </c>
      <c r="M13" s="2" t="s">
        <v>20</v>
      </c>
      <c r="N13" s="2">
        <f>COUNTIFS(Sheet1!$C$2:$C$51,"normal",Sheet1!$J$2:$J$51,"i",Sheet1!$H$2:$H$51,"bekerja",Sheet1!$A$2:$A$51,"P",Sheet1!$G$2:$G$51,"sedang",Sheet1!$I$2:$I$51,"x")</f>
        <v>5</v>
      </c>
      <c r="O13" s="2">
        <f>COUNTIFS(Sheet1!$C$2:$C$51,"normal",Sheet1!$J$2:$J$51,"i",Sheet1!$H$2:$H$51,"bekerja",Sheet1!$A$2:$A$51,"P",Sheet1!$G$2:$G$51,"sedang",Sheet1!$I$2:$I$51,"x",Sheet1!$E$2:$E$51,"lebih")</f>
        <v>2</v>
      </c>
      <c r="P13" s="2">
        <f>COUNTIFS(Sheet1!$C$2:$C$51,"normal",Sheet1!$J$2:$J$51,"i",Sheet1!$H$2:$H$51,"bekerja",Sheet1!$A$2:$A$51,"P",Sheet1!$G$2:$G$51,"sedang",Sheet1!$I$2:$I$51,"x",Sheet1!$E$2:$E$51,"normal")</f>
        <v>3</v>
      </c>
      <c r="Q13" s="2">
        <f>COUNTIFS(Sheet1!$C$2:$C$51,"normal",Sheet1!$J$2:$J$51,"i",Sheet1!$H$2:$H$51,"bekerja",Sheet1!$A$2:$A$51,"P",Sheet1!$G$2:$G$51,"sedang",Sheet1!$I$2:$I$51,"x",Sheet1!$E$2:$E$51,"kurang")</f>
        <v>0</v>
      </c>
      <c r="R13" s="2">
        <f>((-O13/N13)*IMLOG2(O13/N13)+(-P13/N13)*IMLOG2(P13/N13))</f>
        <v>0.970950594454667</v>
      </c>
      <c r="S13" s="4">
        <f>($R$2)-((N13/$N$3*R13)+(N14/$N$3*R14)+(N15/$N$3*R15))</f>
        <v>-0.153316737554836</v>
      </c>
      <c r="T13" s="13"/>
      <c r="U13" s="7"/>
      <c r="V13" s="7"/>
      <c r="W13" s="7"/>
      <c r="X13" s="7"/>
      <c r="Y13" s="7"/>
      <c r="Z13" s="7"/>
      <c r="AA13" s="7"/>
      <c r="AB13" s="7"/>
      <c r="AC13" s="7"/>
    </row>
    <row r="14" spans="1:29">
      <c r="A14" s="6"/>
      <c r="B14" s="18"/>
      <c r="C14" s="2" t="s">
        <v>18</v>
      </c>
      <c r="D14" s="2">
        <f>COUNTIFS(Sheet1!$C$2:$C$51,"normal",Sheet1!$J$2:$J$51,"i",Sheet1!$H$2:$H$51,"bekerja",Sheet1!$A$2:$A$51,"P",Sheet1!$G$2:$G$51,"sedang")</f>
        <v>5</v>
      </c>
      <c r="E14" s="2">
        <f>COUNTIFS(Sheet1!$C$2:$C$51,"normal",Sheet1!$J$2:$J$51,"i",Sheet1!$H$2:$H$51,"bekerja",Sheet1!$A$2:$A$51,"P",Sheet1!$G$2:$G$51,"SEDANG",Sheet1!$E$2:$E$51,"lebih")</f>
        <v>2</v>
      </c>
      <c r="F14" s="2">
        <f>COUNTIFS(Sheet1!$C$2:$C$51,"normal",Sheet1!$J$2:$J$51,"i",Sheet1!$H$2:$H$51,"bekerja",Sheet1!$A$2:$A$51,"P",Sheet1!$G$2:$G$51,"SEDANG",Sheet1!$E$2:$E$51,"NORMAL")</f>
        <v>3</v>
      </c>
      <c r="G14" s="2">
        <f>COUNTIFS(Sheet1!$C$2:$C$51,"normal",Sheet1!$J$2:$J$51,"i",Sheet1!$H$2:$H$51,"bekerja",Sheet1!$A$2:$A$51,"P",Sheet1!$G$2:$G$51,"SEDANG",Sheet1!$E$2:$E$51,"KURANG")</f>
        <v>0</v>
      </c>
      <c r="H14" s="2">
        <f>((-E14/D14)*IMLOG2(E14/D14)+(-F14/D14)*IMLOG2(F14/D14))</f>
        <v>0.970950594454667</v>
      </c>
      <c r="I14" s="6"/>
      <c r="K14" s="6"/>
      <c r="L14" s="18"/>
      <c r="M14" s="2" t="s">
        <v>52</v>
      </c>
      <c r="N14" s="2">
        <f>COUNTIFS(Sheet1!$C$2:$C$51,"normal",Sheet1!$J$2:$J$51,"i",Sheet1!$H$2:$H$51,"bekerja",Sheet1!$A$2:$A$51,"P",Sheet1!$G$2:$G$51,"sedang",Sheet1!$I$2:$I$51,"y")</f>
        <v>0</v>
      </c>
      <c r="O14" s="2">
        <f>COUNTIFS(Sheet1!$C$2:$C$51,"normal",Sheet1!$J$2:$J$51,"i",Sheet1!$H$2:$H$51,"bekerja",Sheet1!$A$2:$A$51,"P",Sheet1!$G$2:$G$51,"sedang",Sheet1!$I$2:$I$51,"y",Sheet1!$E$2:$E$51,"lebih")</f>
        <v>0</v>
      </c>
      <c r="P14" s="2">
        <f>COUNTIFS(Sheet1!$C$2:$C$51,"normal",Sheet1!$J$2:$J$51,"i",Sheet1!$H$2:$H$51,"bekerja",Sheet1!$A$2:$A$51,"P",Sheet1!$G$2:$G$51,"sedang",Sheet1!$I$2:$I$51,"y",Sheet1!$E$2:$E$51,"normal")</f>
        <v>0</v>
      </c>
      <c r="Q14" s="2">
        <f>COUNTIFS(Sheet1!$C$2:$C$51,"normal",Sheet1!$J$2:$J$51,"i",Sheet1!$H$2:$H$51,"bekerja",Sheet1!$A$2:$A$51,"P",Sheet1!$G$2:$G$51,"sedang",Sheet1!$I$2:$I$51,"y",Sheet1!$E$2:$E$51,"kurang")</f>
        <v>0</v>
      </c>
      <c r="R14" s="2">
        <v>0</v>
      </c>
      <c r="S14" s="6"/>
      <c r="T14" s="13"/>
      <c r="U14" s="7"/>
      <c r="V14" s="7"/>
      <c r="W14" s="7"/>
      <c r="X14" s="7"/>
      <c r="Y14" s="7"/>
      <c r="Z14" s="7"/>
      <c r="AA14" s="7"/>
      <c r="AB14" s="7"/>
      <c r="AC14" s="7"/>
    </row>
    <row r="15" spans="1:29">
      <c r="A15" s="6"/>
      <c r="B15" s="18"/>
      <c r="C15" s="2" t="s">
        <v>31</v>
      </c>
      <c r="D15" s="2">
        <f>COUNTIFS(Sheet1!$C$2:$C$51,"normal",Sheet1!$J$2:$J$51,"i",Sheet1!$H$2:$H$51,"bekerja",Sheet1!$A$2:$A$51,"P",Sheet1!$G$2:$G$51,"tinggi")</f>
        <v>2</v>
      </c>
      <c r="E15" s="2">
        <f>COUNTIFS(Sheet1!$C$2:$C$51,"normal",Sheet1!$J$2:$J$51,"i",Sheet1!$H$2:$H$51,"bekerja",Sheet1!$A$2:$A$51,"P",Sheet1!$H$2:$H$51,"tidak",Sheet1!$G$2:$G$51,"TINGGI",Sheet1!$E$2:$E$51,"lebih")</f>
        <v>0</v>
      </c>
      <c r="F15" s="2">
        <f>COUNTIFS(Sheet1!$C$2:$C$51,"normal",Sheet1!$J$2:$J$51,"i",Sheet1!$H$2:$H$51,"bekerja",Sheet1!$A$2:$A$51,"P",Sheet1!$G$2:$G$51,"TINGGI",Sheet1!$E$2:$E$51,"NORMAL")</f>
        <v>2</v>
      </c>
      <c r="G15" s="2">
        <f>COUNTIFS(Sheet1!$C$2:$C$51,"normal",Sheet1!$J$2:$J$51,"i",Sheet1!$H$2:$H$51,"bekerja",Sheet1!$A$2:$A$51,"P",Sheet1!$G$2:$G$51,"TINGGI",Sheet1!$E$2:$E$51,"KURANG")</f>
        <v>0</v>
      </c>
      <c r="H15" s="2">
        <v>0</v>
      </c>
      <c r="I15" s="5"/>
      <c r="K15" s="6"/>
      <c r="L15" s="18"/>
      <c r="M15" s="2" t="s">
        <v>53</v>
      </c>
      <c r="N15" s="2">
        <f>COUNTIFS(Sheet1!$C$2:$C$51,"normal",Sheet1!$J$2:$J$51,"i",Sheet1!$H$2:$H$51,"bekerja",Sheet1!$A$2:$A$51,"P",Sheet1!$G$2:$G$51,"sedang",Sheet1!$I$2:$I$51,"z")</f>
        <v>0</v>
      </c>
      <c r="O15" s="2">
        <f>COUNTIFS(Sheet1!$C$2:$C$51,"normal",Sheet1!$J$2:$J$51,"i",Sheet1!$H$2:$H$51,"bekerja",Sheet1!$A$2:$A$51,"P",Sheet1!$G$2:$G$51,"sedang",Sheet1!$I$2:$I$51,"z",Sheet1!$E$2:$E$51,"lebih")</f>
        <v>0</v>
      </c>
      <c r="P15" s="2">
        <f>COUNTIFS(Sheet1!$C$2:$C$51,"normal",Sheet1!$J$2:$J$51,"i",Sheet1!$H$2:$H$51,"bekerja",Sheet1!$A$2:$A$51,"P",Sheet1!$G$2:$G$51,"sedang",Sheet1!$I$2:$I$51,"z",Sheet1!$E$2:$E$51,"normal")</f>
        <v>0</v>
      </c>
      <c r="Q15" s="2">
        <f>COUNTIFS(Sheet1!$C$2:$C$51,"normal",Sheet1!$J$2:$J$51,"i",Sheet1!$H$2:$H$51,"bekerja",Sheet1!$A$2:$A$51,"P",Sheet1!$G$2:$G$51,"sedang",Sheet1!$I$2:$I$51,"z",Sheet1!$E$2:$E$51,"kurang")</f>
        <v>0</v>
      </c>
      <c r="R15" s="2">
        <v>0</v>
      </c>
      <c r="S15" s="5"/>
      <c r="T15" s="13"/>
      <c r="U15" s="7"/>
      <c r="V15" s="7"/>
      <c r="W15" s="7"/>
      <c r="X15" s="7"/>
      <c r="Y15" s="7"/>
      <c r="Z15" s="7"/>
      <c r="AA15" s="7"/>
      <c r="AB15" s="7"/>
      <c r="AC15" s="7"/>
    </row>
    <row r="16" spans="1:29">
      <c r="A16" s="6"/>
      <c r="B16" s="18" t="s">
        <v>51</v>
      </c>
      <c r="C16" s="2" t="s">
        <v>20</v>
      </c>
      <c r="D16" s="2">
        <f>COUNTIFS(Sheet1!$C$2:$C$51,"normal",Sheet1!$J$2:$J$51,"i",Sheet1!$H$2:$H$51,"bekerja",Sheet1!$A$2:$A$51,"P",Sheet1!$I$2:$I$51,"x")</f>
        <v>7</v>
      </c>
      <c r="E16" s="2">
        <f>COUNTIFS(Sheet1!$C$2:$C$51,"normal",Sheet1!$J$2:$J$51,"i",Sheet1!$H$2:$H$51,"bekerja",Sheet1!$A$2:$A$51,"P",Sheet1!$I$2:$I$51,"x",Sheet1!$E$2:$E$51,"lebih")</f>
        <v>2</v>
      </c>
      <c r="F16" s="2">
        <f>COUNTIFS(Sheet1!$C$2:$C$51,"normal",Sheet1!$J$2:$J$51,"i",Sheet1!$H$2:$H$51,"bekerja",Sheet1!$A$2:$A$51,"P",Sheet1!$I$2:$I$51,"x",Sheet1!$E$2:$E$51,"normal")</f>
        <v>5</v>
      </c>
      <c r="G16" s="2">
        <f>COUNTIFS(Sheet1!$C$2:$C$51,"normal",Sheet1!$J$2:$J$51,"i",Sheet1!$H$2:$H$51,"bekerja",Sheet1!$A$2:$A$51,"P",Sheet1!$I$2:$I$51,"x",Sheet1!$E$2:$E$51,"kurang")</f>
        <v>0</v>
      </c>
      <c r="H16" s="2">
        <f>((-E16/D16)*IMLOG2(E16/D16)+(-F16/D16)*IMLOG2(F16/D16))</f>
        <v>0.86312056856663</v>
      </c>
      <c r="I16" s="4">
        <f>($H$2)-((D16/$D$3*H16)+(D17/$D$3*H17)+(D18/$D$3*H18))</f>
        <v>-0.0454867116667987</v>
      </c>
      <c r="K16" s="6"/>
      <c r="L16" s="22" t="s">
        <v>56</v>
      </c>
      <c r="M16" s="2" t="s">
        <v>30</v>
      </c>
      <c r="N16" s="2">
        <f>COUNTIFS(Sheet1!$C$2:$C$51,"normal",Sheet1!$J$2:$J$51,"i",Sheet1!$H$2:$H$51,"bekerja",Sheet1!$A$2:$A$51,"P",Sheet1!$G$2:$G$51,"sedang",Sheet1!$K$2:$K$51,"rendah")</f>
        <v>0</v>
      </c>
      <c r="O16" s="2">
        <f>COUNTIFS(Sheet1!$C$2:$C$51,"normal",Sheet1!$J$2:$J$51,"i",Sheet1!$H$2:$H$51,"bekerja",Sheet1!$A$2:$A$51,"P",Sheet1!$G$2:$G$51,"sedang",Sheet1!$K$2:$K$51,"rendah",Sheet1!$E$2:$E$51,"lebih")</f>
        <v>0</v>
      </c>
      <c r="P16" s="2">
        <f>COUNTIFS(Sheet1!$C$2:$C$51,"normal",Sheet1!$J$2:$J$51,"i",Sheet1!$H$2:$H$51,"bekerja",Sheet1!$A$2:$A$51,"P",Sheet1!$G$2:$G$51,"sedang",Sheet1!$K$2:$K$51,"rendah",Sheet1!$E$2:$E$51,"normal")</f>
        <v>0</v>
      </c>
      <c r="Q16" s="2">
        <f>COUNTIFS(Sheet1!$C$2:$C$51,"normal",Sheet1!$J$2:$J$51,"i",Sheet1!$H$2:$H$51,"bekerja",Sheet1!$A$2:$A$51,"P",Sheet1!$G$2:$G$51,"sedang",Sheet1!$K$2:$K$51,"rendah",Sheet1!$E$2:$E$51,"kurang")</f>
        <v>0</v>
      </c>
      <c r="R16" s="2">
        <v>0</v>
      </c>
      <c r="S16" s="4">
        <f>($R$2)-((N16/$N$3*R16)+(N17/$N$3*R17)+(N18/$N$3*R18))</f>
        <v>-0.153316737554836</v>
      </c>
      <c r="T16" s="13"/>
      <c r="U16" s="7"/>
      <c r="V16" s="7"/>
      <c r="W16" s="7"/>
      <c r="X16" s="7"/>
      <c r="Y16" s="7"/>
      <c r="Z16" s="7"/>
      <c r="AA16" s="7"/>
      <c r="AB16" s="7"/>
      <c r="AC16" s="7"/>
    </row>
    <row r="17" spans="1:29">
      <c r="A17" s="6"/>
      <c r="B17" s="18"/>
      <c r="C17" s="2" t="s">
        <v>52</v>
      </c>
      <c r="D17" s="2">
        <f>COUNTIFS(Sheet1!$C$2:$C$51,"normal",Sheet1!$J$2:$J$51,"i",Sheet1!$H$2:$H$51,"bekerja",Sheet1!$A$2:$A$51,"P",Sheet1!$I$2:$I$51,"y")</f>
        <v>0</v>
      </c>
      <c r="E17" s="2">
        <f>COUNTIFS(Sheet1!$C$2:$C$51,"normal",Sheet1!$J$2:$J$51,"i",Sheet1!$H$2:$H$51,"bekerja",Sheet1!$A$2:$A$51,"P",Sheet1!$I$2:$I$51,"y",Sheet1!$E$2:$E$51,"lebih")</f>
        <v>0</v>
      </c>
      <c r="F17" s="2">
        <f>COUNTIFS(Sheet1!$C$2:$C$51,"normal",Sheet1!$J$2:$J$51,"i",Sheet1!$H$2:$H$51,"bekerja",Sheet1!$A$2:$A$51,"P",Sheet1!$I$2:$I$51,"y",Sheet1!$E$2:$E$51,"normal")</f>
        <v>0</v>
      </c>
      <c r="G17" s="2">
        <f>COUNTIFS(Sheet1!$C$2:$C$51,"normal",Sheet1!$J$2:$J$51,"i",Sheet1!$H$2:$H$51,"bekerja",Sheet1!$A$2:$A$51,"P",Sheet1!$I$2:$I$51,"y",Sheet1!$E$2:$E$51,"kurang")</f>
        <v>0</v>
      </c>
      <c r="H17" s="2">
        <v>0</v>
      </c>
      <c r="I17" s="6"/>
      <c r="K17" s="6"/>
      <c r="L17" s="24"/>
      <c r="M17" s="2" t="s">
        <v>22</v>
      </c>
      <c r="N17" s="2">
        <f>COUNTIFS(Sheet1!$C$2:$C$51,"normal",Sheet1!$J$2:$J$51,"i",Sheet1!$H$2:$H$51,"bekerja",Sheet1!$A$2:$A$51,"P",Sheet1!$G$2:$G$51,"sedang",Sheet1!$K$2:$K$51,"menengah")</f>
        <v>5</v>
      </c>
      <c r="O17" s="2">
        <f>COUNTIFS(Sheet1!$C$2:$C$51,"normal",Sheet1!$J$2:$J$51,"i",Sheet1!$H$2:$H$51,"bekerja",Sheet1!$A$2:$A$51,"P",Sheet1!$G$2:$G$51,"sedang",Sheet1!$K$2:$K$51,"menengah",Sheet1!$E$2:$E$51,"lebih")</f>
        <v>2</v>
      </c>
      <c r="P17" s="2">
        <f>COUNTIFS(Sheet1!$C$2:$C$51,"normal",Sheet1!$J$2:$J$51,"i",Sheet1!$H$2:$H$51,"bekerja",Sheet1!$A$2:$A$51,"P",Sheet1!$G$2:$G$51,"sedang",Sheet1!$K$2:$K$51,"menengah",Sheet1!$E$2:$E$51,"normal")</f>
        <v>3</v>
      </c>
      <c r="Q17" s="2">
        <f>COUNTIFS(Sheet1!$C$2:$C$51,"normal",Sheet1!$J$2:$J$51,"i",Sheet1!$H$2:$H$51,"bekerja",Sheet1!$A$2:$A$51,"P",Sheet1!$G$2:$G$51,"sedang",Sheet1!$K$2:$K$51,"menengah",Sheet1!$E$2:$E$51,"kurang")</f>
        <v>0</v>
      </c>
      <c r="R17" s="2">
        <f t="shared" ref="R17:R20" si="1">((-O17/N17)*IMLOG2(O17/N17)+(-P17/N17)*IMLOG2(P17/N17))</f>
        <v>0.970950594454667</v>
      </c>
      <c r="S17" s="6"/>
      <c r="T17" s="13"/>
      <c r="U17" s="7"/>
      <c r="V17" s="7"/>
      <c r="W17" s="7"/>
      <c r="X17" s="7"/>
      <c r="Y17" s="7"/>
      <c r="Z17" s="7"/>
      <c r="AA17" s="7"/>
      <c r="AB17" s="7"/>
      <c r="AC17" s="7"/>
    </row>
    <row r="18" spans="1:29">
      <c r="A18" s="6"/>
      <c r="B18" s="18"/>
      <c r="C18" s="2" t="s">
        <v>53</v>
      </c>
      <c r="D18" s="2">
        <f>COUNTIFS(Sheet1!$C$2:$C$51,"normal",Sheet1!$J$2:$J$51,"i",Sheet1!$H$2:$H$51,"bekerja",Sheet1!$A$2:$A$51,"P",Sheet1!$I$2:$I$51,"z")</f>
        <v>0</v>
      </c>
      <c r="E18" s="2">
        <f>COUNTIFS(Sheet1!$C$2:$C$51,"normal",Sheet1!$J$2:$J$51,"i",Sheet1!$H$2:$H$51,"bekerja",Sheet1!$A$2:$A$51,"P",Sheet1!$I$2:$I$51,"z",Sheet1!$E$2:$E$51,"lebih")</f>
        <v>0</v>
      </c>
      <c r="F18" s="2">
        <f>COUNTIFS(Sheet1!$C$2:$C$51,"normal",Sheet1!$J$2:$J$51,"i",Sheet1!$H$2:$H$51,"bekerja",Sheet1!$A$2:$A$51,"P",Sheet1!$I$2:$I$51,"z",Sheet1!$E$2:$E$51,"normal")</f>
        <v>0</v>
      </c>
      <c r="G18" s="2">
        <f>COUNTIFS(Sheet1!$C$2:$C$51,"normal",Sheet1!$J$2:$J$51,"i",Sheet1!$H$2:$H$51,"bekerja",Sheet1!$A$2:$A$51,"P",Sheet1!$I$2:$I$51,"z",Sheet1!$E$2:$E$51,"kurang")</f>
        <v>0</v>
      </c>
      <c r="H18" s="2">
        <v>0</v>
      </c>
      <c r="I18" s="5"/>
      <c r="K18" s="6"/>
      <c r="L18" s="23"/>
      <c r="M18" s="2" t="s">
        <v>31</v>
      </c>
      <c r="N18" s="2">
        <f>COUNTIFS(Sheet1!$C$2:$C$51,"normal",Sheet1!$J$2:$J$51,"i",Sheet1!$H$2:$H$51,"bekerja",Sheet1!$A$2:$A$51,"P",Sheet1!$G$2:$G$51,"sedang",Sheet1!$K$2:$K$51,"tinggi")</f>
        <v>0</v>
      </c>
      <c r="O18" s="2">
        <f>COUNTIFS(Sheet1!$C$2:$C$51,"normal",Sheet1!$J$2:$J$51,"i",Sheet1!$H$2:$H$51,"bekerja",Sheet1!$A$2:$A$51,"P",Sheet1!$G$2:$G$51,"sedang",Sheet1!$K$2:$K$51,"tinggi",Sheet1!$E$2:$E$51,"lebih")</f>
        <v>0</v>
      </c>
      <c r="P18" s="2">
        <f>COUNTIFS(Sheet1!$C$2:$C$51,"normal",Sheet1!$J$2:$J$51,"i",Sheet1!$H$2:$H$51,"bekerja",Sheet1!$A$2:$A$51,"P",Sheet1!$G$2:$G$51,"sedang",Sheet1!$K$2:$K$51,"tinggi",Sheet1!$E$2:$E$51,"normal")</f>
        <v>0</v>
      </c>
      <c r="Q18" s="2">
        <f>COUNTIFS(Sheet1!$C$2:$C$51,"normal",Sheet1!$J$2:$J$51,"i",Sheet1!$H$2:$H$51,"bekerja",Sheet1!$A$2:$A$51,"P",Sheet1!$G$2:$G$51,"sedang",Sheet1!$K$2:$K$51,"tinggi",Sheet1!$E$2:$E$51,"kurang")</f>
        <v>0</v>
      </c>
      <c r="R18" s="2">
        <v>0</v>
      </c>
      <c r="S18" s="5"/>
      <c r="T18" s="13"/>
      <c r="U18" s="7"/>
      <c r="V18" s="7"/>
      <c r="W18" s="7"/>
      <c r="X18" s="7"/>
      <c r="Y18" s="7"/>
      <c r="Z18" s="7"/>
      <c r="AA18" s="7"/>
      <c r="AB18" s="7"/>
      <c r="AC18" s="7"/>
    </row>
    <row r="19" spans="1:29">
      <c r="A19" s="6"/>
      <c r="B19" s="22" t="s">
        <v>56</v>
      </c>
      <c r="C19" s="2" t="s">
        <v>30</v>
      </c>
      <c r="D19" s="2">
        <f>COUNTIFS(Sheet1!$C$2:$C$51,"normal",Sheet1!$J$2:$J$51,"i",Sheet1!$H$2:$H$51,"bekerja",Sheet1!$A$2:$A$51,"P",Sheet1!$K$2:$K$51,"rendah")</f>
        <v>0</v>
      </c>
      <c r="E19" s="2">
        <f>COUNTIFS(Sheet1!$C$2:$C$51,"normal",Sheet1!$J$2:$J$51,"i",Sheet1!$H$2:$H$51,"bekerja",Sheet1!$A$2:$A$51,"P",Sheet1!$K$2:$K$51,"rendah",Sheet1!$E$2:$E$51,"lebih")</f>
        <v>0</v>
      </c>
      <c r="F19" s="2">
        <f>COUNTIFS(Sheet1!$C$2:$C$51,"normal",Sheet1!$J$2:$J$51,"i",Sheet1!$H$2:$H$51,"bekerja",Sheet1!$A$2:$A$51,"P",Sheet1!$K$2:$K$51,"rendah",Sheet1!$E$2:$E$51,"normal")</f>
        <v>0</v>
      </c>
      <c r="G19" s="2">
        <f>COUNTIFS(Sheet1!$C$2:$C$51,"normal",Sheet1!$J$2:$J$51,"i",Sheet1!$H$2:$H$51,"bekerja",Sheet1!$A$2:$A$51,"P",Sheet1!$K$2:$K$51,"rendah",Sheet1!$E$2:$E$51,"kurang")</f>
        <v>0</v>
      </c>
      <c r="H19" s="2">
        <v>0</v>
      </c>
      <c r="I19" s="4">
        <f>($H$2)-((D19/$D$3*H19)+(D20/$D$3*H20)+(D21/$D$3*H21))</f>
        <v>0.0305231419959823</v>
      </c>
      <c r="K19" s="6"/>
      <c r="L19" s="18" t="s">
        <v>57</v>
      </c>
      <c r="M19" s="2" t="s">
        <v>29</v>
      </c>
      <c r="N19" s="2">
        <f>COUNTIFS(Sheet1!$C$2:$C$51,"normal",Sheet1!$J$2:$J$51,"i",Sheet1!$H$2:$H$51,"bekerja",Sheet1!$A$2:$A$51,"P",Sheet1!$G$2:$G$51,"sedang",Sheet1!$L$2:$L$51,"tidak")</f>
        <v>4</v>
      </c>
      <c r="O19" s="2">
        <f>COUNTIFS(Sheet1!$C$2:$C$51,"normal",Sheet1!$J$2:$J$51,"i",Sheet1!$H$2:$H$51,"bekerja",Sheet1!$A$2:$A$51,"P",Sheet1!$G$2:$G$51,"sedang",Sheet1!$L$2:$L$51,"tidak",Sheet1!$E$2:$E$51,"lebih")</f>
        <v>1</v>
      </c>
      <c r="P19" s="2">
        <f>COUNTIFS(Sheet1!$C$2:$C$51,"normal",Sheet1!$J$2:$J$51,"i",Sheet1!$H$2:$H$51,"bekerja",Sheet1!$A$2:$A$51,"P",Sheet1!$G$2:$G$51,"sedang",Sheet1!$L$2:$L$51,"tidak",Sheet1!$E$2:$E$51,"normal")</f>
        <v>3</v>
      </c>
      <c r="Q19" s="2">
        <f>COUNTIFS(Sheet1!$C$2:$C$51,"normal",Sheet1!$J$2:$J$51,"i",Sheet1!$H$2:$H$51,"bekerja",Sheet1!$A$2:$A$51,"P",Sheet1!$G$2:$G$51,"sedang",Sheet1!$L$2:$L$51,"tidak",Sheet1!$E$2:$E$51,"kurang")</f>
        <v>0</v>
      </c>
      <c r="R19" s="2">
        <f t="shared" si="1"/>
        <v>0.811278124459133</v>
      </c>
      <c r="S19" s="4">
        <f>($R$2)-((N19/$N$3*R19)+(N20/$N$3*R20))</f>
        <v>0.168611357332525</v>
      </c>
      <c r="T19" s="13"/>
      <c r="U19" s="7"/>
      <c r="V19" s="7"/>
      <c r="W19" s="7"/>
      <c r="X19" s="7"/>
      <c r="Y19" s="7"/>
      <c r="Z19" s="7"/>
      <c r="AA19" s="7"/>
      <c r="AB19" s="7"/>
      <c r="AC19" s="7"/>
    </row>
    <row r="20" spans="1:29">
      <c r="A20" s="6"/>
      <c r="B20" s="24"/>
      <c r="C20" s="2" t="s">
        <v>22</v>
      </c>
      <c r="D20" s="2">
        <f>COUNTIFS(Sheet1!$C$2:$C$51,"normal",Sheet1!$J$2:$J$51,"i",Sheet1!$H$2:$H$51,"bekerja",Sheet1!$A$2:$A$51,"P",Sheet1!$K$2:$K$51,"menengah")</f>
        <v>6</v>
      </c>
      <c r="E20" s="2">
        <f>COUNTIFS(Sheet1!$C$2:$C$51,"normal",Sheet1!$J$2:$J$51,"i",Sheet1!$H$2:$H$51,"bekerja",Sheet1!$A$2:$A$51,"P",Sheet1!$K$2:$K$51,"menengah",Sheet1!$E$2:$E$51,"lebih")</f>
        <v>2</v>
      </c>
      <c r="F20" s="2">
        <f>COUNTIFS(Sheet1!$C$2:$C$51,"normal",Sheet1!$J$2:$J$51,"i",Sheet1!$H$2:$H$51,"bekerja",Sheet1!$A$2:$A$51,"P",Sheet1!$K$2:$K$51,"menengah",Sheet1!$E$2:$E$51,"normal")</f>
        <v>4</v>
      </c>
      <c r="G20" s="2">
        <f>COUNTIFS(Sheet1!$C$2:$C$51,"normal",Sheet1!$J$2:$J$51,"i",Sheet1!$H$2:$H$51,"bekerja",Sheet1!$A$2:$A$51,"P",Sheet1!$K$2:$K$51,"menengah",Sheet1!$E$2:$E$51,"kurang")</f>
        <v>0</v>
      </c>
      <c r="H20" s="2">
        <f t="shared" ref="H20:H23" si="2">((-E20/D20)*IMLOG2(E20/D20)+(-F20/D20)*IMLOG2(F20/D20))</f>
        <v>0.918295834054491</v>
      </c>
      <c r="I20" s="6"/>
      <c r="K20" s="5"/>
      <c r="L20" s="18"/>
      <c r="M20" s="2" t="s">
        <v>23</v>
      </c>
      <c r="N20" s="2">
        <f>COUNTIFS(Sheet1!$C$2:$C$51,"normal",Sheet1!$J$2:$J$51,"i",Sheet1!$H$2:$H$51,"bekerja",Sheet1!$A$2:$A$51,"P",Sheet1!$G$2:$G$51,"sedang",Sheet1!$L$2:$L$51,"memiliki")</f>
        <v>1</v>
      </c>
      <c r="O20" s="2">
        <f>COUNTIFS(Sheet1!$C$2:$C$51,"normal",Sheet1!$J$2:$J$51,"i",Sheet1!$H$2:$H$51,"bekerja",Sheet1!$A$2:$A$51,"P",Sheet1!$G$2:$G$51,"sedang",Sheet1!$L$2:$L$51,"memiliki",Sheet1!$E$2:$E$51,"lebih")</f>
        <v>1</v>
      </c>
      <c r="P20" s="2">
        <f>COUNTIFS(Sheet1!$C$2:$C$51,"normal",Sheet1!$J$2:$J$51,"i",Sheet1!$H$2:$H$51,"bekerja",Sheet1!$A$2:$A$51,"P",Sheet1!$G$2:$G$51,"sedang",Sheet1!$L$2:$L$51,"memiliki",Sheet1!$E$2:$E$51,"normal")</f>
        <v>0</v>
      </c>
      <c r="Q20" s="2">
        <f>COUNTIFS(Sheet1!$C$2:$C$51,"normal",Sheet1!$J$2:$J$51,"i",Sheet1!$H$2:$H$51,"bekerja",Sheet1!$A$2:$A$51,"P",Sheet1!$G$2:$G$51,"sedang",Sheet1!$L$2:$L$51,"memiliki",Sheet1!$E$2:$E$51,"kurang")</f>
        <v>0</v>
      </c>
      <c r="R20" s="2">
        <v>0</v>
      </c>
      <c r="S20" s="5"/>
      <c r="T20" s="13"/>
      <c r="U20" s="7"/>
      <c r="V20" s="7"/>
      <c r="W20" s="7"/>
      <c r="X20" s="7"/>
      <c r="Y20" s="7"/>
      <c r="Z20" s="7"/>
      <c r="AA20" s="7"/>
      <c r="AB20" s="7"/>
      <c r="AC20" s="7"/>
    </row>
    <row r="21" spans="1:29">
      <c r="A21" s="6"/>
      <c r="B21" s="23"/>
      <c r="C21" s="2" t="s">
        <v>31</v>
      </c>
      <c r="D21" s="2">
        <f>COUNTIFS(Sheet1!$C$2:$C$51,"normal",Sheet1!$J$2:$J$51,"i",Sheet1!$H$2:$H$51,"bekerja",Sheet1!$A$2:$A$51,"P",Sheet1!$K$2:$K$51,"tinggi")</f>
        <v>1</v>
      </c>
      <c r="E21" s="2">
        <f>COUNTIFS(Sheet1!$C$2:$C$51,"normal",Sheet1!$J$2:$J$51,"i",Sheet1!$H$2:$H$51,"bekerja",Sheet1!$A$2:$A$51,"P",Sheet1!$K$2:$K$51,"tinggi",Sheet1!$E$2:$E$51,"lebih")</f>
        <v>0</v>
      </c>
      <c r="F21" s="2">
        <f>COUNTIFS(Sheet1!$C$2:$C$51,"normal",Sheet1!$J$2:$J$51,"i",Sheet1!$H$2:$H$51,"bekerja",Sheet1!$A$2:$A$51,"P",Sheet1!$K$2:$K$51,"tinggi",Sheet1!$E$2:$E$51,"normal")</f>
        <v>1</v>
      </c>
      <c r="G21" s="2">
        <f>COUNTIFS(Sheet1!$C$2:$C$51,"normal",Sheet1!$J$2:$J$51,"i",Sheet1!$H$2:$H$51,"bekerja",Sheet1!$A$2:$A$51,"P",Sheet1!$K$2:$K$51,"tinggi",Sheet1!$E$2:$E$51,"kurang")</f>
        <v>0</v>
      </c>
      <c r="H21" s="2">
        <v>0</v>
      </c>
      <c r="I21" s="5"/>
      <c r="K21" s="7"/>
      <c r="T21" s="13"/>
      <c r="U21" s="7"/>
      <c r="V21" s="7"/>
      <c r="W21" s="7"/>
      <c r="X21" s="7"/>
      <c r="Y21" s="7"/>
      <c r="Z21" s="7"/>
      <c r="AA21" s="7"/>
      <c r="AB21" s="7"/>
      <c r="AC21" s="7"/>
    </row>
    <row r="22" spans="1:29">
      <c r="A22" s="6"/>
      <c r="B22" s="18" t="s">
        <v>57</v>
      </c>
      <c r="C22" s="2" t="s">
        <v>29</v>
      </c>
      <c r="D22" s="2">
        <f>COUNTIFS(Sheet1!$C$2:$C$51,"normal",Sheet1!$J$2:$J$51,"i",Sheet1!$H$2:$H$51,"bekerja",Sheet1!$A$2:$A$51,"P",Sheet1!$L$2:$L$51,"tidak")</f>
        <v>5</v>
      </c>
      <c r="E22" s="2">
        <f>COUNTIFS(Sheet1!$C$2:$C$51,"normal",Sheet1!$J$2:$J$51,"i",Sheet1!$H$2:$H$51,"bekerja",Sheet1!$A$2:$A$51,"P",Sheet1!$L$2:$L$51,"tidak",Sheet1!$E$2:$E$51,"lebih")</f>
        <v>1</v>
      </c>
      <c r="F22" s="2">
        <f>COUNTIFS(Sheet1!$C$2:$C$51,"normal",Sheet1!$J$2:$J$51,"i",Sheet1!$H$2:$H$51,"bekerja",Sheet1!$A$2:$A$51,"P",Sheet1!$L$2:$L$51,"tidak",Sheet1!$E$2:$E$51,"normal")</f>
        <v>4</v>
      </c>
      <c r="G22" s="2">
        <f>COUNTIFS(Sheet1!$C$2:$C$51,"normal",Sheet1!$J$2:$J$51,"i",Sheet1!$H$2:$H$51,"bekerja",Sheet1!$A$2:$A$51,"P",Sheet1!$L$2:$L$51,"tidak",Sheet1!$E$2:$E$51,"kurang")</f>
        <v>0</v>
      </c>
      <c r="H22" s="2">
        <f t="shared" si="2"/>
        <v>0.721928094887362</v>
      </c>
      <c r="I22" s="4">
        <f>($H$2)-((D22/$D$3*H22)+(D23/$D$3*H23))</f>
        <v>0.0162566462660015</v>
      </c>
      <c r="K22" s="7"/>
      <c r="T22" s="13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5"/>
      <c r="B23" s="18"/>
      <c r="C23" s="2" t="s">
        <v>23</v>
      </c>
      <c r="D23" s="2">
        <f>COUNTIFS(Sheet1!$C$2:$C$51,"normal",Sheet1!$J$2:$J$51,"i",Sheet1!$H$2:$H$51,"bekerja",Sheet1!$A$2:$A$51,"P",Sheet1!$L$2:$L$51,"memiliki")</f>
        <v>2</v>
      </c>
      <c r="E23" s="2">
        <f>COUNTIFS(Sheet1!$C$2:$C$51,"normal",Sheet1!$J$2:$J$51,"i",Sheet1!$H$2:$H$51,"bekerja",Sheet1!$A$2:$A$51,"P",Sheet1!$L$2:$L$51,"memiliki",Sheet1!$E$2:$E$51,"lebih")</f>
        <v>1</v>
      </c>
      <c r="F23" s="2">
        <f>COUNTIFS(Sheet1!$C$2:$C$51,"normal",Sheet1!$J$2:$J$51,"i",Sheet1!$H$2:$H$51,"bekerja",Sheet1!$A$2:$A$51,"P",Sheet1!$L$2:$L$51,"memiliki",Sheet1!$E$2:$E$51,"normal")</f>
        <v>1</v>
      </c>
      <c r="G23" s="2">
        <f>COUNTIFS(Sheet1!$C$2:$C$51,"normal",Sheet1!$J$2:$J$51,"i",Sheet1!$H$2:$H$51,"bekerja",Sheet1!$A$2:$A$51,"P",Sheet1!$L$2:$L$51,"memiliki",Sheet1!$E$2:$E$51,"kurang")</f>
        <v>0</v>
      </c>
      <c r="H23" s="2">
        <f t="shared" si="2"/>
        <v>1</v>
      </c>
      <c r="I23" s="5"/>
      <c r="K23" s="7"/>
      <c r="T23" s="13"/>
      <c r="U23" s="7"/>
      <c r="V23" s="7"/>
      <c r="W23" s="7"/>
      <c r="X23" s="7"/>
      <c r="Y23" s="7"/>
      <c r="Z23" s="7"/>
      <c r="AA23" s="7"/>
      <c r="AB23" s="7"/>
      <c r="AC23" s="7"/>
    </row>
    <row r="24" spans="1:29">
      <c r="A24" s="7"/>
      <c r="T24" s="13"/>
      <c r="U24" s="7"/>
      <c r="V24" s="7"/>
      <c r="W24" s="7"/>
      <c r="X24" s="7"/>
      <c r="Y24" s="7"/>
      <c r="Z24" s="7"/>
      <c r="AA24" s="7"/>
      <c r="AB24" s="7"/>
      <c r="AC24" s="7"/>
    </row>
    <row r="25" spans="1:29">
      <c r="A25" s="7"/>
      <c r="L25" s="2" t="s">
        <v>49</v>
      </c>
      <c r="M25" s="2" t="s">
        <v>30</v>
      </c>
      <c r="N25" s="2">
        <f>COUNTIFS(Sheet1!$C$2:$C$51,"normal",Sheet1!$J$2:$J$51,"i",Sheet1!$H$2:$H$51,"bekerja",Sheet1!$A$2:$A$51,"P",Sheet1!$G$2:$G$51,"rendah")</f>
        <v>0</v>
      </c>
      <c r="O25" s="2">
        <f>COUNTIFS(Sheet1!$C$2:$C$51,"normal",Sheet1!$J$2:$J$51,"i",Sheet1!$H$2:$H$51,"bekerja",Sheet1!$A$2:$A$51,"P",Sheet1!$G$2:$G$51,"rendah",Sheet1!$E$2:$E$51,"lebih")</f>
        <v>0</v>
      </c>
      <c r="P25" s="2">
        <f>COUNTIFS(Sheet1!$C$2:$C$51,"normal",Sheet1!$J$2:$J$51,"i",Sheet1!$H$2:$H$51,"bekerja",Sheet1!$A$2:$A$51,"P",Sheet1!$G$2:$G$51,"rendah",Sheet1!$E$2:$E$51,"NORMAL")</f>
        <v>0</v>
      </c>
      <c r="Q25" s="2">
        <f>COUNTIFS(Sheet1!$C$2:$C$51,"normal",Sheet1!$J$2:$J$51,"i",Sheet1!$H$2:$H$51,"bekerja",Sheet1!$A$2:$A$51,"P",Sheet1!$G$2:$G$51,"rendah",Sheet1!$E$2:$E$51,"KURANG")</f>
        <v>0</v>
      </c>
      <c r="R25" s="2">
        <v>0</v>
      </c>
      <c r="S25" s="2">
        <f>($H$2)-((N25/$D$3*R25)+(N26/$D$3*R26)+(N27/$D$3*R27))</f>
        <v>0.12409771800364</v>
      </c>
      <c r="T25" s="13"/>
      <c r="U25" s="7"/>
      <c r="V25" s="7"/>
      <c r="W25" s="7"/>
      <c r="X25" s="7"/>
      <c r="Y25" s="7"/>
      <c r="Z25" s="7"/>
      <c r="AA25" s="7"/>
      <c r="AB25" s="7"/>
      <c r="AC25" s="7"/>
    </row>
    <row r="26" spans="1:29">
      <c r="A26" s="7"/>
      <c r="B26" s="7"/>
      <c r="C26" s="7"/>
      <c r="D26" s="7"/>
      <c r="E26" s="7"/>
      <c r="F26" s="7"/>
      <c r="G26" s="7"/>
      <c r="H26" s="7"/>
      <c r="I26" s="7"/>
      <c r="K26" s="7"/>
      <c r="L26" s="2"/>
      <c r="M26" s="2" t="s">
        <v>18</v>
      </c>
      <c r="N26" s="2">
        <f>COUNTIFS(Sheet1!$C$2:$C$51,"normal",Sheet1!$J$2:$J$51,"i",Sheet1!$H$2:$H$51,"bekerja",Sheet1!$A$2:$A$51,"P",Sheet1!$G$2:$G$51,"sedang")</f>
        <v>5</v>
      </c>
      <c r="O26" s="2">
        <f>COUNTIFS(Sheet1!$C$2:$C$51,"normal",Sheet1!$J$2:$J$51,"i",Sheet1!$H$2:$H$51,"bekerja",Sheet1!$A$2:$A$51,"P",Sheet1!$G$2:$G$51,"SEDANG",Sheet1!$E$2:$E$51,"lebih")</f>
        <v>2</v>
      </c>
      <c r="P26" s="2">
        <f>COUNTIFS(Sheet1!$C$2:$C$51,"normal",Sheet1!$J$2:$J$51,"i",Sheet1!$H$2:$H$51,"bekerja",Sheet1!$A$2:$A$51,"P",Sheet1!$G$2:$G$51,"SEDANG",Sheet1!$E$2:$E$51,"NORMAL")</f>
        <v>3</v>
      </c>
      <c r="Q26" s="2">
        <f>COUNTIFS(Sheet1!$C$2:$C$51,"normal",Sheet1!$J$2:$J$51,"i",Sheet1!$H$2:$H$51,"bekerja",Sheet1!$A$2:$A$51,"P",Sheet1!$G$2:$G$51,"SEDANG",Sheet1!$E$2:$E$51,"KURANG")</f>
        <v>0</v>
      </c>
      <c r="R26" s="2">
        <f>((-O26/N26)*IMLOG2(O26/N26)+(-P26/N26)*IMLOG2(P26/N26))</f>
        <v>0.970950594454667</v>
      </c>
      <c r="S26" s="2"/>
      <c r="T26" s="13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7"/>
      <c r="B27" s="4" t="s">
        <v>44</v>
      </c>
      <c r="C27" s="2" t="s">
        <v>24</v>
      </c>
      <c r="D27" s="2">
        <f>COUNTIFS(Sheet1!$C$2:$C$51,"normal",Sheet1!$J$2:$J$51,"i",Sheet1!$H$2:$H$51,"bekerja",Sheet1!$A$2:$A$51,"L")</f>
        <v>9</v>
      </c>
      <c r="E27" s="2">
        <f>COUNTIFS(Sheet1!$C$2:$C$51,"normal",Sheet1!$J$2:$J$51,"i",Sheet1!$H$2:$H$51,"bekerja",Sheet1!$A$2:$A$51,"L",Sheet1!$E$2:$E$51,"lebih")</f>
        <v>0</v>
      </c>
      <c r="F27" s="2">
        <f>COUNTIFS(Sheet1!$C$2:$C$51,"normal",Sheet1!$J$2:$J$51,"i",Sheet1!$H$2:$H$51,"bekerja",Sheet1!$A$2:$A$51,"L",Sheet1!$E$2:$E$51,"NORMAL")</f>
        <v>9</v>
      </c>
      <c r="G27" s="2">
        <f>COUNTIFS(Sheet1!$C$2:$C$51,"normal",Sheet1!$J$2:$J$51,"i",Sheet1!$H$2:$H$51,"bekerja",Sheet1!$A$2:$A$51,"L",Sheet1!$E$2:$E$51,"KURANG")</f>
        <v>0</v>
      </c>
      <c r="H27" s="2">
        <v>0</v>
      </c>
      <c r="I27" s="4">
        <f>($H$2)-((D27/$D$3*H27)+(D28/$D$3*H28))</f>
        <v>-0.0454867116667987</v>
      </c>
      <c r="K27" s="7"/>
      <c r="L27" s="2"/>
      <c r="M27" s="2" t="s">
        <v>31</v>
      </c>
      <c r="N27" s="2">
        <f>COUNTIFS(Sheet1!$C$2:$C$51,"normal",Sheet1!$J$2:$J$51,"i",Sheet1!$H$2:$H$51,"bekerja",Sheet1!$A$2:$A$51,"P",Sheet1!$G$2:$G$51,"tinggi")</f>
        <v>2</v>
      </c>
      <c r="O27" s="2">
        <f>COUNTIFS(Sheet1!$C$2:$C$51,"normal",Sheet1!$J$2:$J$51,"i",Sheet1!$H$2:$H$51,"bekerja",Sheet1!$A$2:$A$51,"P",Sheet1!$H$2:$H$51,"tidak",Sheet1!$G$2:$G$51,"TINGGI",Sheet1!$E$2:$E$51,"lebih")</f>
        <v>0</v>
      </c>
      <c r="P27" s="2">
        <f>COUNTIFS(Sheet1!$C$2:$C$51,"normal",Sheet1!$J$2:$J$51,"i",Sheet1!$H$2:$H$51,"bekerja",Sheet1!$A$2:$A$51,"P",Sheet1!$G$2:$G$51,"TINGGI",Sheet1!$E$2:$E$51,"NORMAL")</f>
        <v>2</v>
      </c>
      <c r="Q27" s="2">
        <f>COUNTIFS(Sheet1!$C$2:$C$51,"normal",Sheet1!$J$2:$J$51,"i",Sheet1!$H$2:$H$51,"bekerja",Sheet1!$A$2:$A$51,"P",Sheet1!$G$2:$G$51,"TINGGI",Sheet1!$E$2:$E$51,"KURANG")</f>
        <v>0</v>
      </c>
      <c r="R27" s="2">
        <v>0</v>
      </c>
      <c r="S27" s="2"/>
      <c r="T27" s="13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7"/>
      <c r="B28" s="5"/>
      <c r="C28" s="2" t="s">
        <v>12</v>
      </c>
      <c r="D28" s="2">
        <f>COUNTIFS(Sheet1!$C$2:$C$51,"normal",Sheet1!$J$2:$J$51,"i",Sheet1!$H$2:$H$51,"bekerja",Sheet1!$A$2:$A$51,"P")</f>
        <v>7</v>
      </c>
      <c r="E28" s="2">
        <f>COUNTIFS(Sheet1!$C$2:$C$51,"normal",Sheet1!$J$2:$J$51,"i",Sheet1!$H$2:$H$51,"bekerja",Sheet1!$A$2:$A$51,"P",Sheet1!$E$2:$E$51,"lebih")</f>
        <v>2</v>
      </c>
      <c r="F28" s="2">
        <f>COUNTIFS(Sheet1!$C$2:$C$51,"normal",Sheet1!$J$2:$J$51,"i",Sheet1!$H$2:$H$51,"bekerja",Sheet1!$A$2:$A$51,"P",Sheet1!$E$2:$E$51,"NORMAL")</f>
        <v>5</v>
      </c>
      <c r="G28" s="2">
        <f>COUNTIFS(Sheet1!$C$2:$C$51,"normal",Sheet1!$J$2:$J$51,"i",Sheet1!$H$2:$H$51,"bekerja",Sheet1!$A$2:$A$51,"P",Sheet1!$E$2:$E$51,"KURANG")</f>
        <v>0</v>
      </c>
      <c r="H28" s="2">
        <f>((-E28/D28)*IMLOG2(E28/D28)+(-F28/D28)*IMLOG2(F28/D28))</f>
        <v>0.86312056856663</v>
      </c>
      <c r="I28" s="5"/>
      <c r="K28" s="7"/>
      <c r="L28" s="7"/>
      <c r="M28" s="7"/>
      <c r="N28" s="7"/>
      <c r="O28" s="7"/>
      <c r="P28" s="7"/>
      <c r="Q28" s="7"/>
      <c r="R28" s="7"/>
      <c r="S28" s="7"/>
      <c r="T28" s="13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13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13"/>
      <c r="U30" s="7"/>
      <c r="V30" s="7"/>
      <c r="W30" s="7"/>
      <c r="X30" s="7"/>
      <c r="Y30" s="7"/>
      <c r="Z30" s="7"/>
      <c r="AA30" s="7"/>
      <c r="AB30" s="7"/>
      <c r="AC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1">
      <c r="A32" s="7"/>
    </row>
  </sheetData>
  <mergeCells count="38">
    <mergeCell ref="B1:C1"/>
    <mergeCell ref="L1:M1"/>
    <mergeCell ref="B2:C2"/>
    <mergeCell ref="L2:M2"/>
    <mergeCell ref="B3:C3"/>
    <mergeCell ref="L3:M3"/>
    <mergeCell ref="A2:A23"/>
    <mergeCell ref="B4:B6"/>
    <mergeCell ref="B7:B9"/>
    <mergeCell ref="B10:B12"/>
    <mergeCell ref="B13:B15"/>
    <mergeCell ref="B16:B18"/>
    <mergeCell ref="B19:B21"/>
    <mergeCell ref="B22:B23"/>
    <mergeCell ref="B27:B28"/>
    <mergeCell ref="I4:I6"/>
    <mergeCell ref="I7:I9"/>
    <mergeCell ref="I10:I12"/>
    <mergeCell ref="I13:I15"/>
    <mergeCell ref="I16:I18"/>
    <mergeCell ref="I19:I21"/>
    <mergeCell ref="I22:I23"/>
    <mergeCell ref="I27:I28"/>
    <mergeCell ref="K2:K20"/>
    <mergeCell ref="L4:L6"/>
    <mergeCell ref="L7:L9"/>
    <mergeCell ref="L10:L12"/>
    <mergeCell ref="L13:L15"/>
    <mergeCell ref="L16:L18"/>
    <mergeCell ref="L19:L20"/>
    <mergeCell ref="L25:L27"/>
    <mergeCell ref="S4:S6"/>
    <mergeCell ref="S7:S9"/>
    <mergeCell ref="S10:S12"/>
    <mergeCell ref="S13:S15"/>
    <mergeCell ref="S16:S18"/>
    <mergeCell ref="S19:S20"/>
    <mergeCell ref="S25:S27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"/>
  <sheetViews>
    <sheetView topLeftCell="F1" workbookViewId="0">
      <selection activeCell="AS13" sqref="AS13"/>
    </sheetView>
  </sheetViews>
  <sheetFormatPr defaultColWidth="9" defaultRowHeight="15"/>
  <cols>
    <col min="1" max="1" width="17.7142857142857" customWidth="true"/>
    <col min="2" max="2" width="21.8571428571429" customWidth="true"/>
    <col min="3" max="3" width="11.7142857142857" customWidth="true"/>
    <col min="8" max="8" width="12.8571428571429"/>
    <col min="9" max="9" width="14"/>
    <col min="11" max="11" width="18" customWidth="true"/>
    <col min="12" max="12" width="18.5714285714286" customWidth="true"/>
    <col min="13" max="13" width="12.4285714285714" customWidth="true"/>
    <col min="18" max="18" width="12.8571428571429"/>
    <col min="19" max="19" width="14"/>
    <col min="21" max="21" width="25.5714285714286" customWidth="true"/>
    <col min="22" max="22" width="18.8571428571429" customWidth="true"/>
    <col min="23" max="23" width="14.7142857142857" customWidth="true"/>
    <col min="28" max="28" width="12.8571428571429"/>
    <col min="29" max="30" width="14"/>
    <col min="31" max="31" width="19" customWidth="true"/>
    <col min="32" max="32" width="18.5714285714286" customWidth="true"/>
    <col min="37" max="37" width="12.8571428571429"/>
    <col min="38" max="39" width="14"/>
    <col min="41" max="41" width="18.2857142857143" customWidth="true"/>
    <col min="42" max="42" width="20.5714285714286" customWidth="true"/>
    <col min="48" max="48" width="12.8571428571429"/>
    <col min="49" max="49" width="14"/>
  </cols>
  <sheetData>
    <row r="1" spans="1:49">
      <c r="A1" s="4" t="s">
        <v>37</v>
      </c>
      <c r="B1" s="2" t="s">
        <v>38</v>
      </c>
      <c r="C1" s="2"/>
      <c r="D1" s="2" t="s">
        <v>39</v>
      </c>
      <c r="E1" s="2" t="s">
        <v>40</v>
      </c>
      <c r="F1" s="2" t="s">
        <v>16</v>
      </c>
      <c r="G1" s="2" t="s">
        <v>36</v>
      </c>
      <c r="H1" s="2" t="s">
        <v>41</v>
      </c>
      <c r="I1" s="2" t="s">
        <v>42</v>
      </c>
      <c r="K1" s="4" t="s">
        <v>37</v>
      </c>
      <c r="L1" s="2" t="s">
        <v>38</v>
      </c>
      <c r="M1" s="2"/>
      <c r="N1" s="2" t="s">
        <v>39</v>
      </c>
      <c r="O1" s="2" t="s">
        <v>40</v>
      </c>
      <c r="P1" s="2" t="s">
        <v>16</v>
      </c>
      <c r="Q1" s="2" t="s">
        <v>36</v>
      </c>
      <c r="R1" s="2" t="s">
        <v>41</v>
      </c>
      <c r="S1" s="2" t="s">
        <v>42</v>
      </c>
      <c r="T1" s="13"/>
      <c r="U1" s="4" t="s">
        <v>37</v>
      </c>
      <c r="V1" s="2" t="s">
        <v>38</v>
      </c>
      <c r="W1" s="2"/>
      <c r="X1" s="2" t="s">
        <v>39</v>
      </c>
      <c r="Y1" s="2" t="s">
        <v>40</v>
      </c>
      <c r="Z1" s="2" t="s">
        <v>16</v>
      </c>
      <c r="AA1" s="2" t="s">
        <v>36</v>
      </c>
      <c r="AB1" s="2" t="s">
        <v>41</v>
      </c>
      <c r="AC1" s="2" t="s">
        <v>42</v>
      </c>
      <c r="AE1" s="4" t="s">
        <v>37</v>
      </c>
      <c r="AF1" s="2" t="s">
        <v>38</v>
      </c>
      <c r="AG1" s="2"/>
      <c r="AH1" s="2" t="s">
        <v>39</v>
      </c>
      <c r="AI1" s="2" t="s">
        <v>40</v>
      </c>
      <c r="AJ1" s="2" t="s">
        <v>16</v>
      </c>
      <c r="AK1" s="2" t="s">
        <v>36</v>
      </c>
      <c r="AL1" s="2" t="s">
        <v>41</v>
      </c>
      <c r="AM1" s="2" t="s">
        <v>42</v>
      </c>
      <c r="AO1" s="4" t="s">
        <v>37</v>
      </c>
      <c r="AP1" s="2" t="s">
        <v>38</v>
      </c>
      <c r="AQ1" s="2"/>
      <c r="AR1" s="2" t="s">
        <v>39</v>
      </c>
      <c r="AS1" s="2" t="s">
        <v>40</v>
      </c>
      <c r="AT1" s="2" t="s">
        <v>16</v>
      </c>
      <c r="AU1" s="2" t="s">
        <v>36</v>
      </c>
      <c r="AV1" s="2" t="s">
        <v>41</v>
      </c>
      <c r="AW1" s="2" t="s">
        <v>42</v>
      </c>
    </row>
    <row r="2" spans="1:49">
      <c r="A2" s="2" t="s">
        <v>73</v>
      </c>
      <c r="B2" s="18" t="s">
        <v>43</v>
      </c>
      <c r="C2" s="2"/>
      <c r="D2" s="2">
        <v>50</v>
      </c>
      <c r="E2" s="2">
        <f>COUNTIF(Sheet1!$E$2:$E$51,"lebih")</f>
        <v>7</v>
      </c>
      <c r="F2" s="2">
        <f>COUNTIF(Sheet1!$E$2:$E$51,"normal")</f>
        <v>41</v>
      </c>
      <c r="G2" s="2">
        <f>COUNTIF(Sheet1!$E$2:$E$51,"kurang")</f>
        <v>2</v>
      </c>
      <c r="H2" s="2">
        <f>((-E2/D2)*IMLOG2(E2/D2)+(-F2/D2)*IMLOG2(F2/D2)+(-G2/D2)*IMLOG2(G2/D2))</f>
        <v>0.817633856899831</v>
      </c>
      <c r="I2" s="2"/>
      <c r="K2" s="2" t="s">
        <v>74</v>
      </c>
      <c r="L2" s="18" t="s">
        <v>43</v>
      </c>
      <c r="M2" s="2"/>
      <c r="N2" s="2">
        <v>50</v>
      </c>
      <c r="O2" s="2">
        <f>COUNTIF(Sheet1!$E$2:$E$51,"lebih")</f>
        <v>7</v>
      </c>
      <c r="P2" s="2">
        <f>COUNTIF(Sheet1!$E$2:$E$51,"normal")</f>
        <v>41</v>
      </c>
      <c r="Q2" s="2">
        <f>COUNTIF(Sheet1!$E$2:$E$51,"kurang")</f>
        <v>2</v>
      </c>
      <c r="R2" s="2">
        <f>((-O2/N2)*IMLOG2(O2/N2)+(-P2/N2)*IMLOG2(P2/N2)+(-Q2/N2)*IMLOG2(Q2/N2))</f>
        <v>0.817633856899831</v>
      </c>
      <c r="S2" s="2"/>
      <c r="T2" s="13"/>
      <c r="U2" s="3" t="s">
        <v>75</v>
      </c>
      <c r="V2" s="18" t="s">
        <v>43</v>
      </c>
      <c r="W2" s="2"/>
      <c r="X2" s="2">
        <v>50</v>
      </c>
      <c r="Y2" s="2">
        <f>COUNTIF(Sheet1!$E$2:$E$51,"lebih")</f>
        <v>7</v>
      </c>
      <c r="Z2" s="2">
        <f>COUNTIF(Sheet1!$E$2:$E$51,"normal")</f>
        <v>41</v>
      </c>
      <c r="AA2" s="2">
        <f>COUNTIF(Sheet1!$E$2:$E$51,"kurang")</f>
        <v>2</v>
      </c>
      <c r="AB2" s="2">
        <f>((-Y2/X2)*IMLOG2(Y2/X2)+(-Z2/X2)*IMLOG2(Z2/X2)+(-AA2/X2)*IMLOG2(AA2/X2))</f>
        <v>0.817633856899831</v>
      </c>
      <c r="AC2" s="2"/>
      <c r="AE2" s="3" t="s">
        <v>76</v>
      </c>
      <c r="AF2" s="18" t="s">
        <v>43</v>
      </c>
      <c r="AG2" s="2"/>
      <c r="AH2" s="2">
        <v>50</v>
      </c>
      <c r="AI2" s="2">
        <f>COUNTIF(Sheet1!$E$2:$E$51,"lebih")</f>
        <v>7</v>
      </c>
      <c r="AJ2" s="2">
        <f>COUNTIF(Sheet1!$E$2:$E$51,"normal")</f>
        <v>41</v>
      </c>
      <c r="AK2" s="2">
        <f>COUNTIF(Sheet1!$E$2:$E$51,"kurang")</f>
        <v>2</v>
      </c>
      <c r="AL2" s="2">
        <f>((-AI2/AH2)*IMLOG2(AI2/AH2)+(-AJ2/AH2)*IMLOG2(AJ2/AH2)+(-AK2/AH2)*IMLOG2(AK2/AH2))</f>
        <v>0.817633856899831</v>
      </c>
      <c r="AM2" s="2"/>
      <c r="AO2" s="3" t="s">
        <v>77</v>
      </c>
      <c r="AP2" s="2" t="s">
        <v>43</v>
      </c>
      <c r="AQ2" s="2"/>
      <c r="AR2" s="2">
        <v>50</v>
      </c>
      <c r="AS2" s="2">
        <f>COUNTIF(Sheet1!$E$2:$E$51,"lebih")</f>
        <v>7</v>
      </c>
      <c r="AT2" s="2">
        <f>COUNTIF(Sheet1!$E$2:$E$51,"normal")</f>
        <v>41</v>
      </c>
      <c r="AU2" s="2">
        <f>COUNTIF(Sheet1!$E$2:$E$51,"kurang")</f>
        <v>2</v>
      </c>
      <c r="AV2" s="2">
        <f>((-AS2/AR2)*IMLOG2(AS2/AR2)+(-AT2/AR2)*IMLOG2(AT2/AR2)+(-AU2/AR2)*IMLOG2(AU2/AR2))</f>
        <v>0.817633856899831</v>
      </c>
      <c r="AW2" s="2"/>
    </row>
    <row r="3" spans="1:49">
      <c r="A3" s="2"/>
      <c r="B3" s="18" t="s">
        <v>78</v>
      </c>
      <c r="C3" s="2"/>
      <c r="D3" s="2">
        <f>COUNTIFS(Sheet1!$C$2:$C$51,"normal",Sheet1!$J$2:$J$51,"i",Sheet1!$H$2:$H$51,"bekerja",Sheet1!$A$2:$A$51,"P",Sheet1!$G$2:$G$51,"sedang",Sheet1!$D$2:$D$51,"normal")</f>
        <v>4</v>
      </c>
      <c r="E3" s="2">
        <f>COUNTIFS(Sheet1!$C$2:$C$51,"normal",Sheet1!$J$2:$J$51,"i",Sheet1!$H$2:$H$51,"bekerja",Sheet1!$A$2:$A$51,"P",Sheet1!$G$2:$G$51,"sedang",Sheet1!$D$2:$D$51,"NORMAL",Sheet1!$E$2:$E$51,"lebih")</f>
        <v>1</v>
      </c>
      <c r="F3" s="2">
        <f>COUNTIFS(Sheet1!$C$2:$C$51,"normal",Sheet1!$J$2:$J$51,"i",Sheet1!$H$2:$H$51,"bekerja",Sheet1!$A$2:$A$51,"P",Sheet1!$G$2:$G$51,"sedang",Sheet1!$D$2:$D$51,"NORMAL",Sheet1!$E$2:$E$51,"NORMAL")</f>
        <v>3</v>
      </c>
      <c r="G3" s="2">
        <f>COUNTIFS(Sheet1!$C$2:$C$51,"normal",Sheet1!$J$2:$J$51,"i",Sheet1!$H$2:$H$51,"bekerja",Sheet1!$A$2:$A$51,"P",Sheet1!$G$2:$G$51,"sedang",Sheet1!$D$2:$D$51,"NORMAL",Sheet1!$E$2:$E$51,"KURANG")</f>
        <v>0</v>
      </c>
      <c r="H3" s="2">
        <f t="shared" ref="H3:H7" si="0">((-E3/D3)*IMLOG2(E3/D3)+(-F3/D3)*IMLOG2(F3/D3))</f>
        <v>0.811278124459133</v>
      </c>
      <c r="I3" s="2"/>
      <c r="K3" s="2"/>
      <c r="L3" s="18" t="s">
        <v>79</v>
      </c>
      <c r="M3" s="2"/>
      <c r="N3" s="2">
        <f>COUNTIFS(Sheet1!$C$2:$C$51,"normal",Sheet1!$J$2:$J$51,"i",Sheet1!$H$2:$H$51,"bekerja",Sheet1!$A$2:$A$51,"P",Sheet1!$G$2:$G$51,"sedang",Sheet1!$D$2:$D$51,"normal",Sheet1!$B$2:$B$51,"C")</f>
        <v>3</v>
      </c>
      <c r="O3" s="2">
        <f>COUNTIFS(Sheet1!$C$2:$C$51,"normal",Sheet1!$J$2:$J$51,"i",Sheet1!$H$2:$H$51,"bekerja",Sheet1!$A$2:$A$51,"P",Sheet1!$G$2:$G$51,"sedang",Sheet1!$D$2:$D$51,"normal",Sheet1!$B$2:$B$51,"C",Sheet1!$E$2:$E$51,"lebih")</f>
        <v>1</v>
      </c>
      <c r="P3" s="2">
        <f>COUNTIFS(Sheet1!$C$2:$C$51,"normal",Sheet1!$J$2:$J$51,"i",Sheet1!$H$2:$H$51,"bekerja",Sheet1!$A$2:$A$51,"P",Sheet1!$G$2:$G$51,"sedang",Sheet1!$D$2:$D$51,"normal",Sheet1!$B$2:$B$51,"C",Sheet1!$B$2:$B$51,"C",Sheet1!$E$2:$E$51,"NORMAL")</f>
        <v>2</v>
      </c>
      <c r="Q3" s="2">
        <f>COUNTIFS(Sheet1!$C$2:$C$51,"normal",Sheet1!$J$2:$J$51,"i",Sheet1!$H$2:$H$51,"bekerja",Sheet1!$A$2:$A$51,"P",Sheet1!$G$2:$G$51,"sedang",Sheet1!$D$2:$D$51,"normal",Sheet1!$B$2:$B$51,"C",Sheet1!$E$2:$E$51,"KURANG")</f>
        <v>0</v>
      </c>
      <c r="R3" s="2">
        <f>((-O3/N3)*IMLOG2(O3/N3)+(-P3/N3)*IMLOG2(P3/N3))</f>
        <v>0.918295834054491</v>
      </c>
      <c r="S3" s="2"/>
      <c r="T3" s="13"/>
      <c r="U3" s="3"/>
      <c r="V3" s="18" t="s">
        <v>80</v>
      </c>
      <c r="W3" s="2"/>
      <c r="X3" s="2">
        <f>COUNTIFS(Sheet1!$C$2:$C$51,"normal",Sheet1!$J$2:$J$51,"i",Sheet1!$H$2:$H$51,"bekerja",Sheet1!$A$2:$A$51,"P",Sheet1!$G$2:$G$51,"sedang",Sheet1!$D$2:$D$51,"normal",Sheet1!$B$2:$B$51,"C",Sheet1!$F$2:$F$51,"formula")</f>
        <v>3</v>
      </c>
      <c r="Y3" s="2">
        <f>COUNTIFS(Sheet1!$C$2:$C$51,"normal",Sheet1!$J$2:$J$51,"i",Sheet1!$H$2:$H$51,"bekerja",Sheet1!$A$2:$A$51,"P",Sheet1!$G$2:$G$51,"sedang",Sheet1!$D$2:$D$51,"normal",Sheet1!$B$2:$B$51,"C",Sheet1!$F$2:$F$51,"formula",Sheet1!$E$2:$E$51,"lebih")</f>
        <v>1</v>
      </c>
      <c r="Z3" s="2">
        <f>COUNTIFS(Sheet1!$C$2:$C$51,"normal",Sheet1!$J$2:$J$51,"i",Sheet1!$H$2:$H$51,"bekerja",Sheet1!$A$2:$A$51,"P",Sheet1!$G$2:$G$51,"sedang",Sheet1!$D$2:$D$51,"normal",Sheet1!$B$2:$B$51,"C",Sheet1!$F$2:$F$51,"formula",Sheet1!$E$2:$E$51,"NORMAL")</f>
        <v>2</v>
      </c>
      <c r="AA3" s="2">
        <v>0</v>
      </c>
      <c r="AB3" s="2">
        <f>((-Y3/X3)*IMLOG2(Y3/X3)+(-Z3/X3)*IMLOG2(Z3/X3))</f>
        <v>0.918295834054491</v>
      </c>
      <c r="AC3" s="2"/>
      <c r="AE3" s="3"/>
      <c r="AF3" s="18" t="s">
        <v>81</v>
      </c>
      <c r="AG3" s="2"/>
      <c r="AH3" s="2">
        <f>COUNTIFS(Sheet1!$C$2:$C$51,"normal",Sheet1!$J$2:$J$51,"i",Sheet1!$H$2:$H$51,"bekerja",Sheet1!$A$2:$A$51,"P",Sheet1!$G$2:$G$51,"sedang",Sheet1!$D$2:$D$51,"normal",Sheet1!$B$2:$B$51,"C",Sheet1!$I$2:$I$51,"x",Sheet1!$F$2:$F$51,"formula")</f>
        <v>3</v>
      </c>
      <c r="AI3" s="2">
        <f>COUNTIFS(Sheet1!$C$2:$C$51,"normal",Sheet1!$J$2:$J$51,"i",Sheet1!$H$2:$H$51,"bekerja",Sheet1!$A$2:$A$51,"P",Sheet1!$G$2:$G$51,"sedang",Sheet1!$D$2:$D$51,"normal",Sheet1!$B$2:$B$51,"C",Sheet1!$I$2:$I$51,"x",Sheet1!$F$2:$F$51,"formula",Sheet1!$E$2:$E$51,"lebih")</f>
        <v>1</v>
      </c>
      <c r="AJ3" s="2">
        <f>COUNTIFS(Sheet1!$C$2:$C$51,"normal",Sheet1!$J$2:$J$51,"i",Sheet1!$H$2:$H$51,"bekerja",Sheet1!$A$2:$A$51,"P",Sheet1!$G$2:$G$51,"sedang",Sheet1!$D$2:$D$51,"normal",Sheet1!$B$2:$B$51,"C",Sheet1!$I$2:$I$51,"x",Sheet1!$F$2:$F$51,"formula",Sheet1!$E$2:$E$51,"normal")</f>
        <v>2</v>
      </c>
      <c r="AK3" s="2">
        <f>COUNTIFS(Sheet1!$C$2:$C$51,"normal",Sheet1!$J$2:$J$51,"i",Sheet1!$H$2:$H$51,"bekerja",Sheet1!$A$2:$A$51,"P",Sheet1!$G$2:$G$51,"sedang",Sheet1!$D$2:$D$51,"normal",Sheet1!$B$2:$B$51,"C",Sheet1!$I$2:$I$51,"x",Sheet1!$F$2:$F$51,"formula",Sheet1!$E$2:$E$51,"kurang")</f>
        <v>0</v>
      </c>
      <c r="AL3" s="2">
        <f>((-AI3/AH3)*IMLOG2(AI3/AH3)+(-AJ3/AH3)*IMLOG2(AJ3/AH3))</f>
        <v>0.918295834054491</v>
      </c>
      <c r="AM3" s="2"/>
      <c r="AO3" s="3"/>
      <c r="AP3" s="2" t="s">
        <v>82</v>
      </c>
      <c r="AQ3" s="2"/>
      <c r="AR3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COUNTIFS(Sheet1!$C$2:$C$51,"normal",Sheet1!$J$2:$J$51,"i",Sheet1!$H$2:$H$51,"bekerja",Sheet1!$A$2:$A$51,"P",Sheet1!$G$2:$G$51,"sedang",Sheet1!$D$2:$D$51,"normal",Sheet1!$B$2:$B$51,"C",Sheet1!$K$2:$K$51,"menengah",Sheet1!$F$2:$F$51,"formula",Sheet1!$I$2:$I$51,"x")</f>
        <v>3</v>
      </c>
      <c r="AS3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,Sheet1!$E$2:$E$51,"lebih")</f>
        <v>1</v>
      </c>
      <c r="AT3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,Sheet1!$E$2:$E$51,"normal")</f>
        <v>2</v>
      </c>
      <c r="AU3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,Sheet1!$E$2:$E$51,"kurang")</f>
        <v>0</v>
      </c>
      <c r="AV3" s="2">
        <f>((-AS3/AR3)*IMLOG2(AS3/AR3)+(-AT3/AR3)*IMLOG2(AT3/AR3))</f>
        <v>0.918295834054491</v>
      </c>
      <c r="AW3" s="2"/>
    </row>
    <row r="4" spans="1:49">
      <c r="A4" s="2"/>
      <c r="B4" s="22" t="s">
        <v>45</v>
      </c>
      <c r="C4" s="2" t="s">
        <v>33</v>
      </c>
      <c r="D4" s="2">
        <f>COUNTIFS(Sheet1!$C$2:$C$51,"normal",Sheet1!$J$2:$J$51,"i",Sheet1!$H$2:$H$51,"bekerja",Sheet1!$A$2:$A$51,"P",Sheet1!$G$2:$G$51,"sedang",Sheet1!$D$2:$D$51,"normal",Sheet1!$B$2:$B$51,"A")</f>
        <v>0</v>
      </c>
      <c r="E4" s="2">
        <v>0</v>
      </c>
      <c r="F4" s="2">
        <f>COUNTIFS(Sheet1!$C$2:$C$51,"normal",Sheet1!$J$2:$J$51,"i",Sheet1!$H$2:$H$51,"bekerja",Sheet1!$A$2:$A$51,"P",Sheet1!$G$2:$G$51,"sedang",Sheet1!$D$2:$D$51,"normal",Sheet1!$B$2:$B$51,"A",Sheet1!$E$2:$E$51,"NORMAL")</f>
        <v>0</v>
      </c>
      <c r="G4" s="2">
        <f>COUNTIFS(Sheet1!$C$2:$C$51,"normal",Sheet1!$J$2:$J$51,"i",Sheet1!$H$2:$H$51,"bekerja",Sheet1!$A$2:$A$51,"P",Sheet1!$G$2:$G$51,"sedang",Sheet1!$D$2:$D$51,"normal",Sheet1!$B$2:$B$51,"A",Sheet1!$E$2:$E$51,"KURANG")</f>
        <v>0</v>
      </c>
      <c r="H4" s="2">
        <v>0</v>
      </c>
      <c r="I4" s="4">
        <f>($H$2)-((D4/$D$3*H4)+(D5/$D$3*H5)+(D6/$D$3*H6))</f>
        <v>0.128911981358963</v>
      </c>
      <c r="K4" s="2"/>
      <c r="L4" s="18" t="s">
        <v>48</v>
      </c>
      <c r="M4" s="2" t="s">
        <v>17</v>
      </c>
      <c r="N4" s="2">
        <f>COUNTIFS(Sheet1!$C$2:$C$51,"normal",Sheet1!$J$2:$J$51,"i",Sheet1!$H$2:$H$51,"bekerja",Sheet1!$A$2:$A$51,"P",Sheet1!$G$2:$G$51,"sedang",Sheet1!$D$2:$D$51,"normal",Sheet1!$B$2:$B$51,"C",Sheet1!$F$2:$F$51,"formula")</f>
        <v>3</v>
      </c>
      <c r="O4" s="2">
        <f>COUNTIFS(Sheet1!$C$2:$C$51,"normal",Sheet1!$J$2:$J$51,"i",Sheet1!$H$2:$H$51,"bekerja",Sheet1!$A$2:$A$51,"P",Sheet1!$G$2:$G$51,"sedang",Sheet1!$D$2:$D$51,"normal",Sheet1!$B$2:$B$51,"C",Sheet1!$F$2:$F$51,"formula",Sheet1!$E$2:$E$51,"lebih")</f>
        <v>1</v>
      </c>
      <c r="P4" s="2">
        <f>COUNTIFS(Sheet1!$C$2:$C$51,"normal",Sheet1!$J$2:$J$51,"i",Sheet1!$H$2:$H$51,"bekerja",Sheet1!$A$2:$A$51,"P",Sheet1!$G$2:$G$51,"sedang",Sheet1!$D$2:$D$51,"normal",Sheet1!$B$2:$B$51,"C",Sheet1!$F$2:$F$51,"formula",Sheet1!$E$2:$E$51,"NORMAL")</f>
        <v>2</v>
      </c>
      <c r="Q4" s="2">
        <v>0</v>
      </c>
      <c r="R4" s="2">
        <f>((-O4/N4)*IMLOG2(O4/N4)+(-P4/N4)*IMLOG2(P4/N4))</f>
        <v>0.918295834054491</v>
      </c>
      <c r="S4" s="4">
        <f>($H$2)-((N4/$D$3*R4)+(N5/$D$3*R5)+(N6/$D$3*R6))</f>
        <v>0.128911981358963</v>
      </c>
      <c r="T4" s="13"/>
      <c r="U4" s="3"/>
      <c r="V4" s="18" t="s">
        <v>51</v>
      </c>
      <c r="W4" s="2" t="s">
        <v>20</v>
      </c>
      <c r="X4" s="2">
        <f>COUNTIFS(Sheet1!$C$2:$C$51,"normal",Sheet1!$J$2:$J$51,"i",Sheet1!$H$2:$H$51,"bekerja",Sheet1!$A$2:$A$51,"P",Sheet1!$G$2:$G$51,"sedang",Sheet1!$D$2:$D$51,"normal",Sheet1!$B$2:$B$51,"C",Sheet1!$I$2:$I$51,"x",Sheet1!$F$2:$F$51,"formula")</f>
        <v>3</v>
      </c>
      <c r="Y4" s="2">
        <f>COUNTIFS(Sheet1!$C$2:$C$51,"normal",Sheet1!$J$2:$J$51,"i",Sheet1!$H$2:$H$51,"bekerja",Sheet1!$A$2:$A$51,"P",Sheet1!$G$2:$G$51,"sedang",Sheet1!$D$2:$D$51,"normal",Sheet1!$B$2:$B$51,"C",Sheet1!$I$2:$I$51,"x",Sheet1!$F$2:$F$51,"formula",Sheet1!$E$2:$E$51,"lebih")</f>
        <v>1</v>
      </c>
      <c r="Z4" s="2">
        <f>COUNTIFS(Sheet1!$C$2:$C$51,"normal",Sheet1!$J$2:$J$51,"i",Sheet1!$H$2:$H$51,"bekerja",Sheet1!$A$2:$A$51,"P",Sheet1!$G$2:$G$51,"sedang",Sheet1!$D$2:$D$51,"normal",Sheet1!$B$2:$B$51,"C",Sheet1!$I$2:$I$51,"x",Sheet1!$F$2:$F$51,"formula",Sheet1!$E$2:$E$51,"normal")</f>
        <v>2</v>
      </c>
      <c r="AA4" s="2">
        <f>COUNTIFS(Sheet1!$C$2:$C$51,"normal",Sheet1!$J$2:$J$51,"i",Sheet1!$H$2:$H$51,"bekerja",Sheet1!$A$2:$A$51,"P",Sheet1!$G$2:$G$51,"sedang",Sheet1!$D$2:$D$51,"normal",Sheet1!$B$2:$B$51,"C",Sheet1!$I$2:$I$51,"x",Sheet1!$F$2:$F$51,"formula",Sheet1!$E$2:$E$51,"kurang")</f>
        <v>0</v>
      </c>
      <c r="AB4" s="2">
        <f>((-Y4/X4)*IMLOG2(Y4/X4)+(-Z4/X4)*IMLOG2(Z4/X4))</f>
        <v>0.918295834054491</v>
      </c>
      <c r="AC4" s="4">
        <f>($AB$2)-((X4/$X$3*AB4)+(X5/$X$3*AB5)+(X6/$X$3*AB6))</f>
        <v>-0.100661977154659</v>
      </c>
      <c r="AE4" s="3"/>
      <c r="AF4" s="19" t="s">
        <v>56</v>
      </c>
      <c r="AG4" s="2" t="s">
        <v>30</v>
      </c>
      <c r="AH4" s="2">
        <f>COUNTIFS(Sheet1!$C$2:$C$51,"normal",Sheet1!$J$2:$J$51,"i",Sheet1!$H$2:$H$51,"bekerja",Sheet1!$A$2:$A$51,"P",Sheet1!$G$2:$G$51,"sedang",Sheet1!$D$2:$D$51,"normal",Sheet1!$B$2:$B$51,"C",Sheet1!$K$2:$K$51,"rendah",Sheet1!$F$2:$F$51,"formula",Sheet1!$I$2:$I$51,"x")</f>
        <v>0</v>
      </c>
      <c r="AI4" s="2">
        <f>COUNTIFS(Sheet1!$C$2:$C$51,"normal",Sheet1!$J$2:$J$51,"i",Sheet1!$H$2:$H$51,"bekerja",Sheet1!$A$2:$A$51,"P",Sheet1!$G$2:$G$51,"sedang",Sheet1!$D$2:$D$51,"normal",Sheet1!$B$2:$B$51,"C",Sheet1!$K$2:$K$51,"rendah",Sheet1!$F$2:$F$51,"formula",Sheet1!$I$2:$I$51,"x",Sheet1!$E$2:$E$51,"lebih")</f>
        <v>0</v>
      </c>
      <c r="AJ4" s="2">
        <f>COUNTIFS(Sheet1!$C$2:$C$51,"normal",Sheet1!$J$2:$J$51,"i",Sheet1!$H$2:$H$51,"bekerja",Sheet1!$A$2:$A$51,"P",Sheet1!$G$2:$G$51,"sedang",Sheet1!$D$2:$D$51,"normal",Sheet1!$B$2:$B$51,"C",Sheet1!$K$2:$K$51,"rendah",Sheet1!$F$2:$F$51,"formula",Sheet1!$I$2:$I$51,"x",Sheet1!$E$2:$E$51,"normal")</f>
        <v>0</v>
      </c>
      <c r="AK4" s="2">
        <f>COUNTIFS(Sheet1!$C$2:$C$51,"normal",Sheet1!$J$2:$J$51,"i",Sheet1!$H$2:$H$51,"bekerja",Sheet1!$A$2:$A$51,"P",Sheet1!$G$2:$G$51,"sedang",Sheet1!$D$2:$D$51,"normal",Sheet1!$B$2:$B$51,"C",Sheet1!$K$2:$K$51,"rendah",Sheet1!$F$2:$F$51,"formula",Sheet1!$I$2:$I$51,"x",Sheet1!$E$2:$E$51,"kurang")</f>
        <v>0</v>
      </c>
      <c r="AL4" s="2">
        <v>0</v>
      </c>
      <c r="AM4" s="4">
        <f>($AL$2)-((AH4/$AH$3*AL4)+(AH5/$AH$3*AL5)+(AH6/$AH$3*AL6))</f>
        <v>-0.100661977154659</v>
      </c>
      <c r="AO4" s="3"/>
      <c r="AP4" s="2" t="s">
        <v>57</v>
      </c>
      <c r="AQ4" s="2" t="s">
        <v>29</v>
      </c>
      <c r="AR4" s="2">
        <f>COUNTIFS(Sheet1!$C$2:$C$51,"normal",Sheet1!$J$2:$J$51,"i",Sheet1!$H$2:$H$51,"bekerja",Sheet1!$A$2:$A$51,"P",Sheet1!$G$2:$G$51,"sedang",Sheet1!$D$2:$D$51,"normal",Sheet1!$B$2:$B$51,"C",Sheet1!$L$2:$L$51,"tidak",Sheet1!$F$2:$F$51,"formula",Sheet1!$I$2:$I$51,"x",Sheet1!$K$2:$K$51,"menengah")</f>
        <v>3</v>
      </c>
      <c r="AS4" s="2">
        <f>COUNTIFS(Sheet1!$C$2:$C$51,"normal",Sheet1!$J$2:$J$51,"i",Sheet1!$H$2:$H$51,"bekerja",Sheet1!$A$2:$A$51,"P",Sheet1!$G$2:$G$51,"sedang",Sheet1!$D$2:$D$51,"normal",Sheet1!$B$2:$B$51,"C",Sheet1!$D$2:$D$51,"normal",Sheet1!$L$2:$L$51,"tidak",Sheet1!$F$2:$F$51,"formula",Sheet1!$I$2:$I$51,"x",Sheet1!$K$2:$K$51,"menengah",Sheet1!$E$2:$E$51,"lebih")</f>
        <v>1</v>
      </c>
      <c r="AT4" s="2">
        <f>COUNTIFS(Sheet1!$C$2:$C$51,"normal",Sheet1!$J$2:$J$51,"i",Sheet1!$H$2:$H$51,"bekerja",Sheet1!$A$2:$A$51,"P",Sheet1!$G$2:$G$51,"sedang",Sheet1!$D$2:$D$51,"normal",Sheet1!$B$2:$B$51,"C",Sheet1!$L$2:$L$51,"tidak",Sheet1!$F$2:$F$51,"formula",Sheet1!$I$2:$I$51,"x",Sheet1!$K$2:$K$51,"menengah",Sheet1!$E$2:$E$51,"normal")</f>
        <v>2</v>
      </c>
      <c r="AU4" s="2">
        <f>COUNTIFS(Sheet1!$C$2:$C$51,"normal",Sheet1!$J$2:$J$51,"i",Sheet1!$H$2:$H$51,"bekerja",Sheet1!$A$2:$A$51,"P",Sheet1!$G$2:$G$51,"sedang",Sheet1!$D$2:$D$51,"normal",Sheet1!$B$2:$B$51,"C",Sheet1!$L$2:$L$51,"tidak",Sheet1!$F$2:$F$51,"formula",Sheet1!$I$2:$I$51,"x",Sheet1!$K$2:$K$51,"menengah",Sheet1!$E$2:$E$51,"kurang")</f>
        <v>0</v>
      </c>
      <c r="AV4" s="2">
        <f>((-AS4/AR4)*IMLOG2(AS4/AR4)+(-AT4/AR4)*IMLOG2(AT4/AR4))</f>
        <v>0.918295834054491</v>
      </c>
      <c r="AW4" s="4">
        <f>($AV$2)-((AR4/$AR$3*AV4)+(AR5/$AR$3*AV5))</f>
        <v>-0.100661977154659</v>
      </c>
    </row>
    <row r="5" spans="1:49">
      <c r="A5" s="2"/>
      <c r="B5" s="24"/>
      <c r="C5" s="2" t="s">
        <v>13</v>
      </c>
      <c r="D5" s="2">
        <f>COUNTIFS(Sheet1!$C$2:$C$51,"normal",Sheet1!$J$2:$J$51,"i",Sheet1!$H$2:$H$51,"bekerja",Sheet1!$A$2:$A$51,"P",Sheet1!$G$2:$G$51,"sedang",Sheet1!$D$2:$D$51,"normal",Sheet1!$B$2:$B$51,"B")</f>
        <v>1</v>
      </c>
      <c r="E5" s="2">
        <f>COUNTIFS(Sheet1!$C$2:$C$51,"normal",Sheet1!$J$2:$J$51,"i",Sheet1!$H$2:$H$51,"bekerja",Sheet1!$A$2:$A$51,"P",Sheet1!$G$2:$G$51,"sedang",Sheet1!$D$2:$D$51,"normal",Sheet1!$B$2:$B$51,"B",Sheet1!$E$2:$E$51,"lebih")</f>
        <v>0</v>
      </c>
      <c r="F5" s="2">
        <f>COUNTIFS(Sheet1!$C$2:$C$51,"normal",Sheet1!$J$2:$J$51,"i",Sheet1!$H$2:$H$51,"bekerja",Sheet1!$A$2:$A$51,"P",Sheet1!$G$2:$G$51,"sedang",Sheet1!$D$2:$D$51,"normal",Sheet1!$B$2:$B$51,"B",Sheet1!$E$2:$E$51,"NORMAL")</f>
        <v>1</v>
      </c>
      <c r="G5" s="2">
        <f>COUNTIFS(Sheet1!$C$2:$C$51,"normal",Sheet1!$J$2:$J$51,"i",Sheet1!$H$2:$H$51,"bekerja",Sheet1!$A$2:$A$51,"P",Sheet1!$G$2:$G$51,"sedang",Sheet1!$D$2:$D$51,"normal",Sheet1!$B$2:$B$51,"B",Sheet1!$E$2:$E$51,"KURANG")</f>
        <v>0</v>
      </c>
      <c r="H5" s="2">
        <v>0</v>
      </c>
      <c r="I5" s="6"/>
      <c r="K5" s="2"/>
      <c r="L5" s="18"/>
      <c r="M5" s="2" t="s">
        <v>26</v>
      </c>
      <c r="N5" s="2">
        <f>COUNTIFS(Sheet1!$C$2:$C$51,"normal",Sheet1!$J$2:$J$51,"i",Sheet1!$H$2:$H$51,"bekerja",Sheet1!$A$2:$A$51,"P",Sheet1!$G$2:$G$51,"sedang",Sheet1!$D$2:$D$51,"normal",Sheet1!$B$2:$B$51,"C",Sheet1!$F$2:$F$51,"kombinasi")</f>
        <v>0</v>
      </c>
      <c r="O5" s="2">
        <f>COUNTIFS(Sheet1!$C$2:$C$51,"normal",Sheet1!$J$2:$J$51,"i",Sheet1!$H$2:$H$51,"bekerja",Sheet1!$A$2:$A$51,"P",Sheet1!$G$2:$G$51,"sedang",Sheet1!$D$2:$D$51,"normal",Sheet1!$B$2:$B$51,"C",Sheet1!$F$2:$F$51,"kombinasi",Sheet1!$E$2:$E$51,"lebih")</f>
        <v>0</v>
      </c>
      <c r="P5" s="2">
        <f>COUNTIFS(Sheet1!$C$2:$C$51,"normal",Sheet1!$J$2:$J$51,"i",Sheet1!$H$2:$H$51,"bekerja",Sheet1!$A$2:$A$51,"P",Sheet1!$G$2:$G$51,"sedang",Sheet1!$D$2:$D$51,"normal",Sheet1!$B$2:$B$51,"C",Sheet1!$F$2:$F$51,"KOMBINASI",Sheet1!$E$2:$E$51,"NORMAL")</f>
        <v>0</v>
      </c>
      <c r="Q5" s="2">
        <f>COUNTIFS(Sheet1!$C$2:$C$51,"normal",Sheet1!$J$2:$J$51,"i",Sheet1!$H$2:$H$51,"bekerja",Sheet1!$A$2:$A$51,"P",Sheet1!$G$2:$G$51,"sedang",Sheet1!$D$2:$D$51,"normal",Sheet1!$B$2:$B$51,"C",Sheet1!$F$2:$F$51,"KOMBINASI",Sheet1!$E$2:$E$51,"KURANG")</f>
        <v>0</v>
      </c>
      <c r="R5" s="2">
        <v>0</v>
      </c>
      <c r="S5" s="6"/>
      <c r="T5" s="13"/>
      <c r="U5" s="3"/>
      <c r="V5" s="18"/>
      <c r="W5" s="2" t="s">
        <v>52</v>
      </c>
      <c r="X5" s="2">
        <f>COUNTIFS(Sheet1!$C$2:$C$51,"normal",Sheet1!$J$2:$J$51,"i",Sheet1!$H$2:$H$51,"bekerja",Sheet1!$A$2:$A$51,"P",Sheet1!$G$2:$G$51,"sedang",Sheet1!$D$2:$D$51,"normal",Sheet1!$B$2:$B$51,"C",Sheet1!$I$2:$I$51,"y",Sheet1!$F$2:$F$51,"formula")</f>
        <v>0</v>
      </c>
      <c r="Y5" s="2">
        <f>COUNTIFS(Sheet1!$C$2:$C$51,"normal",Sheet1!$J$2:$J$51,"i",Sheet1!$H$2:$H$51,"bekerja",Sheet1!$A$2:$A$51,"P",Sheet1!$G$2:$G$51,"sedang",Sheet1!$D$2:$D$51,"normal",Sheet1!$B$2:$B$51,"C",Sheet1!$I$2:$I$51,"y",Sheet1!$F$2:$F$51,"formula",Sheet1!$E$2:$E$51,"lebih")</f>
        <v>0</v>
      </c>
      <c r="Z5" s="2">
        <f>COUNTIFS(Sheet1!$C$2:$C$51,"normal",Sheet1!$J$2:$J$51,"i",Sheet1!$H$2:$H$51,"bekerja",Sheet1!$A$2:$A$51,"P",Sheet1!$G$2:$G$51,"sedang",Sheet1!$D$2:$D$51,"normal",Sheet1!$B$2:$B$51,"C",Sheet1!$I$2:$I$51,"y",Sheet1!$F$2:$F$51,"formula",Sheet1!$E$2:$E$51,"normal")</f>
        <v>0</v>
      </c>
      <c r="AA5" s="2">
        <f>COUNTIFS(Sheet1!$C$2:$C$51,"normal",Sheet1!$J$2:$J$51,"i",Sheet1!$H$2:$H$51,"bekerja",Sheet1!$A$2:$A$51,"P",Sheet1!$G$2:$G$51,"sedang",Sheet1!$D$2:$D$51,"normal",Sheet1!$B$2:$B$51,"C",Sheet1!$I$2:$I$51,"y",Sheet1!$F$2:$F$51,"formula",Sheet1!$E$2:$E$51,"kurang")</f>
        <v>0</v>
      </c>
      <c r="AB5" s="2">
        <v>0</v>
      </c>
      <c r="AC5" s="6"/>
      <c r="AE5" s="3"/>
      <c r="AF5" s="20"/>
      <c r="AG5" s="2" t="s">
        <v>22</v>
      </c>
      <c r="AH5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COUNTIFS(Sheet1!$C$2:$C$51,"normal",Sheet1!$J$2:$J$51,"i",Sheet1!$H$2:$H$51,"bekerja",Sheet1!$A$2:$A$51,"P",Sheet1!$G$2:$G$51,"sedang",Sheet1!$D$2:$D$51,"normal",Sheet1!$B$2:$B$51,"C",Sheet1!$K$2:$K$51,"menengah",Sheet1!$F$2:$F$51,"formula",Sheet1!$I$2:$I$51,"x")</f>
        <v>3</v>
      </c>
      <c r="AI5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,Sheet1!$E$2:$E$51,"lebih")</f>
        <v>1</v>
      </c>
      <c r="AJ5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,Sheet1!$E$2:$E$51,"normal")</f>
        <v>2</v>
      </c>
      <c r="AK5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,Sheet1!$E$2:$E$51,"kurang")</f>
        <v>0</v>
      </c>
      <c r="AL5" s="2">
        <f>((-AI5/AH5)*IMLOG2(AI5/AH5)+(-AJ5/AH5)*IMLOG2(AJ5/AH5))</f>
        <v>0.918295834054491</v>
      </c>
      <c r="AM5" s="6"/>
      <c r="AO5" s="3"/>
      <c r="AP5" s="2"/>
      <c r="AQ5" s="2" t="s">
        <v>23</v>
      </c>
      <c r="AR5" s="2">
        <f>COUNTIFS(Sheet1!$C$2:$C$51,"normal",Sheet1!$J$2:$J$51,"i",Sheet1!$H$2:$H$51,"bekerja",Sheet1!$A$2:$A$51,"P",Sheet1!$G$2:$G$51,"sedang",Sheet1!$D$2:$D$51,"normal",Sheet1!$B$2:$B$51,"C",Sheet1!$L$2:$L$51,"memiliki",Sheet1!$F$2:$F$51,"formula",Sheet1!$I$2:$I$51,"x",Sheet1!$K$2:$K$51,"menengah")</f>
        <v>0</v>
      </c>
      <c r="AS5" s="2">
        <f>COUNTIFS(Sheet1!$C$2:$C$51,"normal",Sheet1!$J$2:$J$51,"i",Sheet1!$H$2:$H$51,"bekerja",Sheet1!$A$2:$A$51,"P",Sheet1!$G$2:$G$51,"sedang",Sheet1!$D$2:$D$51,"normal",Sheet1!$B$2:$B$51,"C",Sheet1!$D$2:$D$51,"normal",Sheet1!$L$2:$L$51,"memiliki",Sheet1!$F$2:$F$51,"formula",Sheet1!$I$2:$I$51,"x",Sheet1!$K$2:$K$51,"menengah",Sheet1!$E$2:$E$51,"lebih")</f>
        <v>0</v>
      </c>
      <c r="AT5" s="2">
        <f>COUNTIFS(Sheet1!$C$2:$C$51,"normal",Sheet1!$J$2:$J$51,"i",Sheet1!$H$2:$H$51,"bekerja",Sheet1!$A$2:$A$51,"P",Sheet1!$G$2:$G$51,"sedang",Sheet1!$D$2:$D$51,"normal",Sheet1!$B$2:$B$51,"C",Sheet1!$L$2:$L$51,"memiliki",Sheet1!$F$2:$F$51,"formula",Sheet1!$I$2:$I$51,"x",Sheet1!$K$2:$K$51,"menengah",Sheet1!$E$2:$E$51,"normal")</f>
        <v>0</v>
      </c>
      <c r="AU5" s="2">
        <f>COUNTIFS(Sheet1!$C$2:$C$51,"normal",Sheet1!$J$2:$J$51,"i",Sheet1!$H$2:$H$51,"bekerja",Sheet1!$A$2:$A$51,"P",Sheet1!$G$2:$G$51,"sedang",Sheet1!$D$2:$D$51,"normal",Sheet1!$B$2:$B$51,"C",Sheet1!$L$2:$L$51,"memiliki",Sheet1!$F$2:$F$51,"formula",Sheet1!$I$2:$I$51,"x",Sheet1!$K$2:$K$51,"menengah",Sheet1!$E$2:$E$51,"kurang")</f>
        <v>0</v>
      </c>
      <c r="AV5" s="2">
        <v>0</v>
      </c>
      <c r="AW5" s="5"/>
    </row>
    <row r="6" spans="1:41">
      <c r="A6" s="2"/>
      <c r="B6" s="23"/>
      <c r="C6" s="2" t="s">
        <v>32</v>
      </c>
      <c r="D6" s="2">
        <f>COUNTIFS(Sheet1!$C$2:$C$51,"normal",Sheet1!$J$2:$J$51,"i",Sheet1!$H$2:$H$51,"bekerja",Sheet1!$A$2:$A$51,"P",Sheet1!$G$2:$G$51,"sedang",Sheet1!$D$2:$D$51,"normal",Sheet1!$B$2:$B$51,"C")</f>
        <v>3</v>
      </c>
      <c r="E6" s="2">
        <f>COUNTIFS(Sheet1!$C$2:$C$51,"normal",Sheet1!$J$2:$J$51,"i",Sheet1!$H$2:$H$51,"bekerja",Sheet1!$A$2:$A$51,"P",Sheet1!$G$2:$G$51,"sedang",Sheet1!$D$2:$D$51,"normal",Sheet1!$B$2:$B$51,"C",Sheet1!$E$2:$E$51,"lebih")</f>
        <v>1</v>
      </c>
      <c r="F6" s="2">
        <f>COUNTIFS(Sheet1!$C$2:$C$51,"normal",Sheet1!$J$2:$J$51,"i",Sheet1!$H$2:$H$51,"bekerja",Sheet1!$A$2:$A$51,"P",Sheet1!$G$2:$G$51,"sedang",Sheet1!$D$2:$D$51,"normal",Sheet1!$B$2:$B$51,"C",Sheet1!$E$2:$E$51,"NORMAL")</f>
        <v>2</v>
      </c>
      <c r="G6" s="2">
        <f>COUNTIFS(Sheet1!$C$2:$C$51,"normal",Sheet1!$J$2:$J$51,"i",Sheet1!$H$2:$H$51,"bekerja",Sheet1!$A$2:$A$51,"P",Sheet1!$G$2:$G$51,"sedang",Sheet1!$D$2:$D$51,"normal",Sheet1!$B$2:$B$51,"C",Sheet1!$E$2:$E$51,"KURANG")</f>
        <v>0</v>
      </c>
      <c r="H6" s="2">
        <f t="shared" si="0"/>
        <v>0.918295834054491</v>
      </c>
      <c r="I6" s="5"/>
      <c r="K6" s="2"/>
      <c r="L6" s="18"/>
      <c r="M6" s="2" t="s">
        <v>34</v>
      </c>
      <c r="N6" s="2">
        <f>COUNTIFS(Sheet1!$C$2:$C$51,"normal",Sheet1!$J$2:$J$51,"i",Sheet1!$H$2:$H$51,"bekerja",Sheet1!$A$2:$A$51,"P",Sheet1!$G$2:$G$51,"sedang",Sheet1!$D$2:$D$51,"normal",Sheet1!$B$2:$B$51,"C",Sheet1!$F$2:$F$51,"ASI")</f>
        <v>0</v>
      </c>
      <c r="O6" s="2">
        <f>COUNTIFS(Sheet1!$C$2:$C$51,"normal",Sheet1!$J$2:$J$51,"i",Sheet1!$H$2:$H$51,"bekerja",Sheet1!$A$2:$A$51,"P",Sheet1!$G$2:$G$51,"sedang",Sheet1!$D$2:$D$51,"normal",Sheet1!$B$2:$B$51,"C",Sheet1!$F$2:$F$51,"ASI",Sheet1!$E$2:$E$51,"lebih")</f>
        <v>0</v>
      </c>
      <c r="P6" s="2">
        <f>COUNTIFS(Sheet1!$C$2:$C$51,"normal",Sheet1!$J$2:$J$51,"i",Sheet1!$H$2:$H$51,"bekerja",Sheet1!$A$2:$A$51,"P",Sheet1!$G$2:$G$51,"sedang",Sheet1!$D$2:$D$51,"normal",Sheet1!$B$2:$B$51,"C",Sheet1!$F$2:$F$51,"ASI",Sheet1!$E$2:$E$51,"normal")</f>
        <v>0</v>
      </c>
      <c r="Q6" s="2">
        <f>COUNTIFS(Sheet1!$C$2:$C$51,"normal",Sheet1!$J$2:$J$51,"i",Sheet1!$H$2:$H$51,"bekerja",Sheet1!$A$2:$A$51,"P",Sheet1!$G$2:$G$51,"sedang",Sheet1!$D$2:$D$51,"normal",Sheet1!$B$2:$B$51,"C",Sheet1!$F$2:$F$51,"asi",Sheet1!$E$2:$E$51,"KURANG")</f>
        <v>0</v>
      </c>
      <c r="R6" s="2">
        <v>0</v>
      </c>
      <c r="S6" s="5"/>
      <c r="T6" s="13"/>
      <c r="U6" s="3"/>
      <c r="V6" s="18"/>
      <c r="W6" s="2" t="s">
        <v>53</v>
      </c>
      <c r="X6" s="2">
        <f>COUNTIFS(Sheet1!$C$2:$C$51,"normal",Sheet1!$J$2:$J$51,"i",Sheet1!$H$2:$H$51,"bekerja",Sheet1!$A$2:$A$51,"P",Sheet1!$G$2:$G$51,"sedang",Sheet1!$D$2:$D$51,"normal",Sheet1!$B$2:$B$51,"C",Sheet1!$I$2:$I$51,"z",Sheet1!$F$2:$F$51,"formula")</f>
        <v>0</v>
      </c>
      <c r="Y6" s="2">
        <f>COUNTIFS(Sheet1!$C$2:$C$51,"normal",Sheet1!$J$2:$J$51,"i",Sheet1!$H$2:$H$51,"bekerja",Sheet1!$A$2:$A$51,"P",Sheet1!$G$2:$G$51,"sedang",Sheet1!$D$2:$D$51,"normal",Sheet1!$B$2:$B$51,"C",Sheet1!$I$2:$I$51,"z",Sheet1!$F$2:$F$51,"formula",Sheet1!$E$2:$E$51,"lebih")</f>
        <v>0</v>
      </c>
      <c r="Z6" s="2">
        <f>COUNTIFS(Sheet1!$C$2:$C$51,"normal",Sheet1!$J$2:$J$51,"i",Sheet1!$H$2:$H$51,"bekerja",Sheet1!$A$2:$A$51,"P",Sheet1!$G$2:$G$51,"sedang",Sheet1!$D$2:$D$51,"normal",Sheet1!$B$2:$B$51,"C",Sheet1!$I$2:$I$51,"z",Sheet1!$F$2:$F$51,"formula",Sheet1!$E$2:$E$51,"normal")</f>
        <v>0</v>
      </c>
      <c r="AA6" s="2">
        <f>COUNTIFS(Sheet1!$C$2:$C$51,"normal",Sheet1!$J$2:$J$51,"i",Sheet1!$H$2:$H$51,"bekerja",Sheet1!$A$2:$A$51,"P",Sheet1!$G$2:$G$51,"sedang",Sheet1!$D$2:$D$51,"normal",Sheet1!$B$2:$B$51,"C",Sheet1!$I$2:$I$51,"z",Sheet1!$F$2:$F$51,"formula",Sheet1!$E$2:$E$51,"kurang")</f>
        <v>0</v>
      </c>
      <c r="AB6" s="2">
        <v>0</v>
      </c>
      <c r="AC6" s="5"/>
      <c r="AE6" s="3"/>
      <c r="AF6" s="21"/>
      <c r="AG6" s="2" t="s">
        <v>31</v>
      </c>
      <c r="AH6" s="2">
        <f>COUNTIFS(Sheet1!$C$2:$C$51,"normal",Sheet1!$J$2:$J$51,"i",Sheet1!$H$2:$H$51,"bekerja",Sheet1!$A$2:$A$51,"P",Sheet1!$G$2:$G$51,"sedang",Sheet1!$D$2:$D$51,"normal",Sheet1!$B$2:$B$51,"C",Sheet1!$K$2:$K$51,"tinggi",Sheet1!$F$2:$F$51,"formula",Sheet1!$I$2:$I$51,"x")</f>
        <v>0</v>
      </c>
      <c r="AI6" s="2">
        <f>COUNTIFS(Sheet1!$C$2:$C$51,"normal",Sheet1!$J$2:$J$51,"i",Sheet1!$H$2:$H$51,"bekerja",Sheet1!$A$2:$A$51,"P",Sheet1!$G$2:$G$51,"sedang",Sheet1!$D$2:$D$51,"normal",Sheet1!$B$2:$B$51,"C",Sheet1!$D$2:$D$51,"normal",Sheet1!$K$2:$K$51,"tinggi",Sheet1!$F$2:$F$51,"formula",Sheet1!$I$2:$I$51,"x",Sheet1!$E$2:$E$51,"lebih")</f>
        <v>0</v>
      </c>
      <c r="AJ6" s="2">
        <f>COUNTIFS(Sheet1!$C$2:$C$51,"normal",Sheet1!$J$2:$J$51,"i",Sheet1!$H$2:$H$51,"bekerja",Sheet1!$A$2:$A$51,"P",Sheet1!$G$2:$G$51,"sedang",Sheet1!$D$2:$D$51,"normal",Sheet1!$B$2:$B$51,"C",Sheet1!$K$2:$K$51,"tinggi",Sheet1!$F$2:$F$51,"formula",Sheet1!$I$2:$I$51,"x",Sheet1!$E$2:$E$51,"normal")</f>
        <v>0</v>
      </c>
      <c r="AK6" s="2">
        <f>COUNTIFS(Sheet1!$C$2:$C$51,"normal",Sheet1!$J$2:$J$51,"i",Sheet1!$H$2:$H$51,"bekerja",Sheet1!$A$2:$A$51,"P",Sheet1!$G$2:$G$51,"sedang",Sheet1!$D$2:$D$51,"normal",Sheet1!$B$2:$B$51,"C",Sheet1!$K$2:$K$51,"tinggi",Sheet1!$F$2:$F$51,"formula",Sheet1!$I$2:$I$51,"x",Sheet1!$E$2:$E$51,"kurang")</f>
        <v>0</v>
      </c>
      <c r="AL6" s="2">
        <v>0</v>
      </c>
      <c r="AM6" s="5"/>
      <c r="AO6" s="8"/>
    </row>
    <row r="7" spans="1:41">
      <c r="A7" s="2"/>
      <c r="B7" s="18" t="s">
        <v>48</v>
      </c>
      <c r="C7" s="2" t="s">
        <v>17</v>
      </c>
      <c r="D7" s="2">
        <f>COUNTIFS(Sheet1!$C$2:$C$51,"normal",Sheet1!$J$2:$J$51,"i",Sheet1!$H$2:$H$51,"bekerja",Sheet1!$A$2:$A$51,"P",Sheet1!$G$2:$G$51,"sedang",Sheet1!$D$2:$D$51,"normal",Sheet1!$F$2:$F$51,"formula")</f>
        <v>4</v>
      </c>
      <c r="E7" s="2">
        <f>COUNTIFS(Sheet1!$C$2:$C$51,"normal",Sheet1!$J$2:$J$51,"i",Sheet1!$H$2:$H$51,"bekerja",Sheet1!$A$2:$A$51,"P",Sheet1!$G$2:$G$51,"sedang",Sheet1!$D$2:$D$51,"normal",Sheet1!$F$2:$F$51,"formula",Sheet1!$E$2:$E$51,"lebih")</f>
        <v>1</v>
      </c>
      <c r="F7" s="2">
        <f>COUNTIFS(Sheet1!$C$2:$C$51,"normal",Sheet1!$J$2:$J$51,"i",Sheet1!$H$2:$H$51,"bekerja",Sheet1!$A$2:$A$51,"P",Sheet1!$G$2:$G$51,"sedang",Sheet1!$D$2:$D$51,"normal",Sheet1!$F$2:$F$51,"formula",Sheet1!$E$2:$E$51,"NORMAL")</f>
        <v>3</v>
      </c>
      <c r="G7" s="2">
        <f>COUNTIFS(Sheet1!$C$2:$C$51,"normal",Sheet1!$J$2:$J$51,"i",Sheet1!$H$2:$H$51,"bekerja",Sheet1!$A$2:$A$51,"P",Sheet1!$G$2:$G$51,"sedang",Sheet1!$D$2:$D$51,"normal",Sheet1!$F$2:$F$51,"formula",Sheet1!$E$2:$E$51,"KURANG")</f>
        <v>0</v>
      </c>
      <c r="H7" s="2">
        <f t="shared" si="0"/>
        <v>0.811278124459133</v>
      </c>
      <c r="I7" s="4">
        <f>($H$2)-((D7/$D$3*H7)+(D8/$D$3*H8)+(D9/$D$3*H9))</f>
        <v>0.00635573244069831</v>
      </c>
      <c r="K7" s="2"/>
      <c r="L7" s="18" t="s">
        <v>51</v>
      </c>
      <c r="M7" s="2" t="s">
        <v>20</v>
      </c>
      <c r="N7" s="2">
        <f>COUNTIFS(Sheet1!$C$2:$C$51,"normal",Sheet1!$J$2:$J$51,"i",Sheet1!$H$2:$H$51,"bekerja",Sheet1!$A$2:$A$51,"P",Sheet1!$G$2:$G$51,"sedang",Sheet1!$D$2:$D$51,"normal",Sheet1!$B$2:$B$51,"C",Sheet1!$I$2:$I$51,"x")</f>
        <v>3</v>
      </c>
      <c r="O7" s="2">
        <f>COUNTIFS(Sheet1!$C$2:$C$51,"normal",Sheet1!$J$2:$J$51,"i",Sheet1!$H$2:$H$51,"bekerja",Sheet1!$A$2:$A$51,"P",Sheet1!$G$2:$G$51,"sedang",Sheet1!$D$2:$D$51,"normal",Sheet1!$B$2:$B$51,"C",Sheet1!$I$2:$I$51,"x",Sheet1!$E$2:$E$51,"lebih")</f>
        <v>1</v>
      </c>
      <c r="P7" s="2">
        <f>COUNTIFS(Sheet1!$C$2:$C$51,"normal",Sheet1!$J$2:$J$51,"i",Sheet1!$H$2:$H$51,"bekerja",Sheet1!$A$2:$A$51,"P",Sheet1!$G$2:$G$51,"sedang",Sheet1!$D$2:$D$51,"normal",Sheet1!$B$2:$B$51,"C",Sheet1!$I$2:$I$51,"x",Sheet1!$E$2:$E$51,"normal")</f>
        <v>2</v>
      </c>
      <c r="Q7" s="2">
        <f>COUNTIFS(Sheet1!$C$2:$C$51,"normal",Sheet1!$J$2:$J$51,"i",Sheet1!$H$2:$H$51,"bekerja",Sheet1!$A$2:$A$51,"P",Sheet1!$G$2:$G$51,"sedang",Sheet1!$D$2:$D$51,"normal",Sheet1!$B$2:$B$51,"C",Sheet1!$I$2:$I$51,"x",Sheet1!$E$2:$E$51,"kurang")</f>
        <v>0</v>
      </c>
      <c r="R7" s="2">
        <f>((-O7/N7)*IMLOG2(O7/N7)+(-P7/N7)*IMLOG2(P7/N7))</f>
        <v>0.918295834054491</v>
      </c>
      <c r="S7" s="4">
        <f>($H$2)-((N7/$D$3*R7)+(N8/$D$3*R8)+(N9/$D$3*R9))</f>
        <v>0.128911981358963</v>
      </c>
      <c r="T7" s="13"/>
      <c r="U7" s="3"/>
      <c r="V7" s="19" t="s">
        <v>56</v>
      </c>
      <c r="W7" s="2" t="s">
        <v>30</v>
      </c>
      <c r="X7" s="2">
        <f>COUNTIFS(Sheet1!$C$2:$C$51,"normal",Sheet1!$J$2:$J$51,"i",Sheet1!$H$2:$H$51,"bekerja",Sheet1!$A$2:$A$51,"P",Sheet1!$G$2:$G$51,"sedang",Sheet1!$D$2:$D$51,"normal",Sheet1!$B$2:$B$51,"C",Sheet1!$K$2:$K$51,"rendah",Sheet1!$F$2:$F$51,"formula")</f>
        <v>0</v>
      </c>
      <c r="Y7" s="2">
        <f>COUNTIFS(Sheet1!$C$2:$C$51,"normal",Sheet1!$J$2:$J$51,"i",Sheet1!$H$2:$H$51,"bekerja",Sheet1!$A$2:$A$51,"P",Sheet1!$G$2:$G$51,"sedang",Sheet1!$D$2:$D$51,"normal",Sheet1!$B$2:$B$51,"C",Sheet1!$K$2:$K$51,"rendah",Sheet1!$F$2:$F$51,"formula",Sheet1!$E$2:$E$51,"lebih")</f>
        <v>0</v>
      </c>
      <c r="Z7" s="2">
        <f>COUNTIFS(Sheet1!$C$2:$C$51,"normal",Sheet1!$J$2:$J$51,"i",Sheet1!$H$2:$H$51,"bekerja",Sheet1!$A$2:$A$51,"P",Sheet1!$G$2:$G$51,"sedang",Sheet1!$D$2:$D$51,"normal",Sheet1!$B$2:$B$51,"C",Sheet1!$K$2:$K$51,"rendah",Sheet1!$F$2:$F$51,"formula",Sheet1!$E$2:$E$51,"normal")</f>
        <v>0</v>
      </c>
      <c r="AA7" s="2">
        <f>COUNTIFS(Sheet1!$C$2:$C$51,"normal",Sheet1!$J$2:$J$51,"i",Sheet1!$H$2:$H$51,"bekerja",Sheet1!$A$2:$A$51,"P",Sheet1!$G$2:$G$51,"sedang",Sheet1!$D$2:$D$51,"normal",Sheet1!$B$2:$B$51,"C",Sheet1!$K$2:$K$51,"rendah",Sheet1!$F$2:$F$51,"formula",Sheet1!$E$2:$E$51,"kurang")</f>
        <v>0</v>
      </c>
      <c r="AB7" s="2">
        <v>0</v>
      </c>
      <c r="AC7" s="4">
        <f>($AB$2)-((X7/$X$3*AB7)+(X8/$X$3*AB8)+(X9/$X$3*AB9))</f>
        <v>-0.100661977154659</v>
      </c>
      <c r="AE7" s="3"/>
      <c r="AF7" s="18" t="s">
        <v>57</v>
      </c>
      <c r="AG7" s="2" t="s">
        <v>29</v>
      </c>
      <c r="AH7" s="2">
        <f>COUNTIFS(Sheet1!$C$2:$C$51,"normal",Sheet1!$J$2:$J$51,"i",Sheet1!$H$2:$H$51,"bekerja",Sheet1!$A$2:$A$51,"P",Sheet1!$G$2:$G$51,"sedang",Sheet1!$D$2:$D$51,"normal",Sheet1!$B$2:$B$51,"C",Sheet1!$L$2:$L$51,"tidak",Sheet1!$F$2:$F$51,"formula",Sheet1!$I$2:$I$51,"x")</f>
        <v>3</v>
      </c>
      <c r="AI7" s="2">
        <f>COUNTIFS(Sheet1!$C$2:$C$51,"normal",Sheet1!$J$2:$J$51,"i",Sheet1!$H$2:$H$51,"bekerja",Sheet1!$A$2:$A$51,"P",Sheet1!$G$2:$G$51,"sedang",Sheet1!$D$2:$D$51,"normal",Sheet1!$B$2:$B$51,"C",Sheet1!$D$2:$D$51,"normal",Sheet1!$L$2:$L$51,"tidak",Sheet1!$F$2:$F$51,"formula",Sheet1!$I$2:$I$51,"x",Sheet1!$E$2:$E$51,"lebih")</f>
        <v>1</v>
      </c>
      <c r="AJ7" s="2">
        <f>COUNTIFS(Sheet1!$C$2:$C$51,"normal",Sheet1!$J$2:$J$51,"i",Sheet1!$H$2:$H$51,"bekerja",Sheet1!$A$2:$A$51,"P",Sheet1!$G$2:$G$51,"sedang",Sheet1!$D$2:$D$51,"normal",Sheet1!$B$2:$B$51,"C",Sheet1!$L$2:$L$51,"tidak",Sheet1!$F$2:$F$51,"formula",Sheet1!$I$2:$I$51,"x",Sheet1!$E$2:$E$51,"normal")</f>
        <v>2</v>
      </c>
      <c r="AK7" s="2">
        <f>COUNTIFS(Sheet1!$C$2:$C$51,"normal",Sheet1!$J$2:$J$51,"i",Sheet1!$H$2:$H$51,"bekerja",Sheet1!$A$2:$A$51,"P",Sheet1!$G$2:$G$51,"sedang",Sheet1!$D$2:$D$51,"normal",Sheet1!$B$2:$B$51,"C",Sheet1!$L$2:$L$51,"tidak",Sheet1!$F$2:$F$51,"formula",Sheet1!$I$2:$I$51,"x",Sheet1!$E$2:$E$51,"kurang")</f>
        <v>0</v>
      </c>
      <c r="AL7" s="2">
        <f>((-AI7/AH7)*IMLOG2(AI7/AH7)+(-AJ7/AH7)*IMLOG2(AJ7/AH7))</f>
        <v>0.918295834054491</v>
      </c>
      <c r="AM7" s="4">
        <f>($AL$2)-((AH7/$AH$3*AL7)+(AH8/$AH$3*AL8))</f>
        <v>-0.100661977154659</v>
      </c>
      <c r="AO7" s="8"/>
    </row>
    <row r="8" spans="1:41">
      <c r="A8" s="2"/>
      <c r="B8" s="18"/>
      <c r="C8" s="2" t="s">
        <v>26</v>
      </c>
      <c r="D8" s="2">
        <f>COUNTIFS(Sheet1!$C$2:$C$51,"normal",Sheet1!$J$2:$J$51,"i",Sheet1!$H$2:$H$51,"bekerja",Sheet1!$A$2:$A$51,"P",Sheet1!$G$2:$G$51,"sedang",Sheet1!$D$2:$D$51,"normal",Sheet1!$F$2:$F$51,"kombinasi")</f>
        <v>0</v>
      </c>
      <c r="E8" s="2">
        <f>COUNTIFS(Sheet1!$C$2:$C$51,"normal",Sheet1!$J$2:$J$51,"i",Sheet1!$H$2:$H$51,"bekerja",Sheet1!$A$2:$A$51,"P",Sheet1!$G$2:$G$51,"sedang",Sheet1!$D$2:$D$51,"normal",Sheet1!$F$2:$F$51,"kombinasi",Sheet1!$E$2:$E$51,"lebih")</f>
        <v>0</v>
      </c>
      <c r="F8" s="2">
        <f>COUNTIFS(Sheet1!$C$2:$C$51,"normal",Sheet1!$J$2:$J$51,"i",Sheet1!$H$2:$H$51,"bekerja",Sheet1!$A$2:$A$51,"P",Sheet1!$G$2:$G$51,"sedang",Sheet1!$D$2:$D$51,"normal",Sheet1!$F$2:$F$51,"KOMBINASI",Sheet1!$E$2:$E$51,"NORMAL")</f>
        <v>0</v>
      </c>
      <c r="G8" s="2">
        <f>COUNTIFS(Sheet1!$C$2:$C$51,"normal",Sheet1!$J$2:$J$51,"i",Sheet1!$H$2:$H$51,"bekerja",Sheet1!$A$2:$A$51,"P",Sheet1!$G$2:$G$51,"sedang",Sheet1!$D$2:$D$51,"normal",Sheet1!$F$2:$F$51,"KOMBINASI",Sheet1!$E$2:$E$51,"KURANG")</f>
        <v>0</v>
      </c>
      <c r="H8" s="2">
        <v>0</v>
      </c>
      <c r="I8" s="6"/>
      <c r="K8" s="2"/>
      <c r="L8" s="18"/>
      <c r="M8" s="2" t="s">
        <v>52</v>
      </c>
      <c r="N8" s="2">
        <f>COUNTIFS(Sheet1!$C$2:$C$51,"normal",Sheet1!$J$2:$J$51,"i",Sheet1!$H$2:$H$51,"bekerja",Sheet1!$A$2:$A$51,"P",Sheet1!$G$2:$G$51,"sedang",Sheet1!$D$2:$D$51,"normal",Sheet1!$B$2:$B$51,"C",Sheet1!$I$2:$I$51,"y")</f>
        <v>0</v>
      </c>
      <c r="O8" s="2">
        <f>COUNTIFS(Sheet1!$C$2:$C$51,"normal",Sheet1!$J$2:$J$51,"i",Sheet1!$H$2:$H$51,"bekerja",Sheet1!$A$2:$A$51,"P",Sheet1!$G$2:$G$51,"sedang",Sheet1!$D$2:$D$51,"normal",Sheet1!$B$2:$B$51,"C",Sheet1!$I$2:$I$51,"y",Sheet1!$E$2:$E$51,"lebih")</f>
        <v>0</v>
      </c>
      <c r="P8" s="2">
        <f>COUNTIFS(Sheet1!$C$2:$C$51,"normal",Sheet1!$J$2:$J$51,"i",Sheet1!$H$2:$H$51,"bekerja",Sheet1!$A$2:$A$51,"P",Sheet1!$G$2:$G$51,"sedang",Sheet1!$D$2:$D$51,"normal",Sheet1!$B$2:$B$51,"C",Sheet1!$I$2:$I$51,"y",Sheet1!$E$2:$E$51,"normal")</f>
        <v>0</v>
      </c>
      <c r="Q8" s="2">
        <f>COUNTIFS(Sheet1!$C$2:$C$51,"normal",Sheet1!$J$2:$J$51,"i",Sheet1!$H$2:$H$51,"bekerja",Sheet1!$A$2:$A$51,"P",Sheet1!$G$2:$G$51,"sedang",Sheet1!$D$2:$D$51,"normal",Sheet1!$B$2:$B$51,"C",Sheet1!$I$2:$I$51,"y",Sheet1!$E$2:$E$51,"kurang")</f>
        <v>0</v>
      </c>
      <c r="R8" s="2">
        <v>0</v>
      </c>
      <c r="S8" s="6"/>
      <c r="T8" s="13"/>
      <c r="U8" s="3"/>
      <c r="V8" s="20"/>
      <c r="W8" s="2" t="s">
        <v>22</v>
      </c>
      <c r="X8" s="2">
        <f>COUNTIFS(Sheet1!$C$2:$C$51,"normal",Sheet1!$J$2:$J$51,"i",Sheet1!$H$2:$H$51,"bekerja",Sheet1!$A$2:$A$51,"P",Sheet1!$G$2:$G$51,"sedang",Sheet1!$D$2:$D$51,"normal",Sheet1!$B$2:$B$51,"C",Sheet1!$K$2:$K$51,"menengah",Sheet1!$F$2:$F$51,"formula")</f>
        <v>3</v>
      </c>
      <c r="Y8" s="2">
        <f>COUNTIFS(Sheet1!$C$2:$C$51,"normal",Sheet1!$J$2:$J$51,"i",Sheet1!$H$2:$H$51,"bekerja",Sheet1!$A$2:$A$51,"P",Sheet1!$G$2:$G$51,"sedang",Sheet1!$D$2:$D$51,"normal",Sheet1!$B$2:$B$51,"C",Sheet1!$K$2:$K$51,"menengah",Sheet1!$F$2:$F$51,"formula",Sheet1!$E$2:$E$51,"lebih")</f>
        <v>1</v>
      </c>
      <c r="Z8" s="2">
        <f>COUNTIFS(Sheet1!$C$2:$C$51,"normal",Sheet1!$J$2:$J$51,"i",Sheet1!$H$2:$H$51,"bekerja",Sheet1!$A$2:$A$51,"P",Sheet1!$G$2:$G$51,"sedang",Sheet1!$D$2:$D$51,"normal",Sheet1!$B$2:$B$51,"C",Sheet1!$K$2:$K$51,"menengah",Sheet1!$F$2:$F$51,"formula",Sheet1!$E$2:$E$51,"normal")</f>
        <v>2</v>
      </c>
      <c r="AA8" s="2">
        <f>COUNTIFS(Sheet1!$C$2:$C$51,"normal",Sheet1!$J$2:$J$51,"i",Sheet1!$H$2:$H$51,"bekerja",Sheet1!$A$2:$A$51,"P",Sheet1!$G$2:$G$51,"sedang",Sheet1!$D$2:$D$51,"normal",Sheet1!$B$2:$B$51,"C",Sheet1!$K$2:$K$51,"menengah",Sheet1!$F$2:$F$51,"formula",Sheet1!$E$2:$E$51,"kurang")</f>
        <v>0</v>
      </c>
      <c r="AB8" s="2">
        <f>((-Y8/X8)*IMLOG2(Y8/X8)+(-Z8/X8)*IMLOG2(Z8/X8))</f>
        <v>0.918295834054491</v>
      </c>
      <c r="AC8" s="6"/>
      <c r="AE8" s="3"/>
      <c r="AF8" s="18"/>
      <c r="AG8" s="2" t="s">
        <v>23</v>
      </c>
      <c r="AH8" s="2">
        <f>COUNTIFS(Sheet1!$C$2:$C$51,"normal",Sheet1!$J$2:$J$51,"i",Sheet1!$H$2:$H$51,"bekerja",Sheet1!$A$2:$A$51,"P",Sheet1!$G$2:$G$51,"sedang",Sheet1!$D$2:$D$51,"normal",Sheet1!$B$2:$B$51,"C",Sheet1!$L$2:$L$51,"memiliki",Sheet1!$F$2:$F$51,"formula",Sheet1!$I$2:$I$51,"x")</f>
        <v>0</v>
      </c>
      <c r="AI8" s="2">
        <f>COUNTIFS(Sheet1!$C$2:$C$51,"normal",Sheet1!$J$2:$J$51,"i",Sheet1!$H$2:$H$51,"bekerja",Sheet1!$A$2:$A$51,"P",Sheet1!$G$2:$G$51,"sedang",Sheet1!$D$2:$D$51,"normal",Sheet1!$B$2:$B$51,"C",Sheet1!$D$2:$D$51,"normal",Sheet1!$L$2:$L$51,"memiliki",Sheet1!$F$2:$F$51,"formula",Sheet1!$I$2:$I$51,"x",Sheet1!$E$2:$E$51,"lebih")</f>
        <v>0</v>
      </c>
      <c r="AJ8" s="2">
        <f>COUNTIFS(Sheet1!$C$2:$C$51,"normal",Sheet1!$J$2:$J$51,"i",Sheet1!$H$2:$H$51,"bekerja",Sheet1!$A$2:$A$51,"P",Sheet1!$G$2:$G$51,"sedang",Sheet1!$D$2:$D$51,"normal",Sheet1!$B$2:$B$51,"C",Sheet1!$L$2:$L$51,"memiliki",Sheet1!$F$2:$F$51,"formula",Sheet1!$I$2:$I$51,"x",Sheet1!$E$2:$E$51,"normal")</f>
        <v>0</v>
      </c>
      <c r="AK8" s="2">
        <f>COUNTIFS(Sheet1!$C$2:$C$51,"normal",Sheet1!$J$2:$J$51,"i",Sheet1!$H$2:$H$51,"bekerja",Sheet1!$A$2:$A$51,"P",Sheet1!$G$2:$G$51,"sedang",Sheet1!$D$2:$D$51,"normal",Sheet1!$B$2:$B$51,"C",Sheet1!$L$2:$L$51,"memiliki",Sheet1!$F$2:$F$51,"formula",Sheet1!$I$2:$I$51,"x",Sheet1!$E$2:$E$51,"kurang")</f>
        <v>0</v>
      </c>
      <c r="AL8" s="2">
        <v>0</v>
      </c>
      <c r="AM8" s="5"/>
      <c r="AO8" s="8"/>
    </row>
    <row r="9" spans="1:31">
      <c r="A9" s="2"/>
      <c r="B9" s="18"/>
      <c r="C9" s="2" t="s">
        <v>34</v>
      </c>
      <c r="D9" s="2">
        <f>COUNTIFS(Sheet1!$C$2:$C$51,"normal",Sheet1!$J$2:$J$51,"i",Sheet1!$H$2:$H$51,"bekerja",Sheet1!$A$2:$A$51,"P",Sheet1!$G$2:$G$51,"sedang",Sheet1!$D$2:$D$51,"normal",Sheet1!$F$2:$F$51,"ASI")</f>
        <v>0</v>
      </c>
      <c r="E9" s="2">
        <f>COUNTIFS(Sheet1!$C$2:$C$51,"normal",Sheet1!$J$2:$J$51,"i",Sheet1!$H$2:$H$51,"bekerja",Sheet1!$A$2:$A$51,"P",Sheet1!$G$2:$G$51,"sedang",Sheet1!$D$2:$D$51,"normal",Sheet1!$F$2:$F$51,"ASI",Sheet1!$E$2:$E$51,"lebih")</f>
        <v>0</v>
      </c>
      <c r="F9" s="2">
        <f>COUNTIFS(Sheet1!$C$2:$C$51,"normal",Sheet1!$J$2:$J$51,"i",Sheet1!$H$2:$H$51,"bekerja",Sheet1!$A$2:$A$51,"P",Sheet1!$G$2:$G$51,"sedang",Sheet1!$D$2:$D$51,"normal",Sheet1!$F$2:$F$51,"ASI",Sheet1!$E$2:$E$51,"normal")</f>
        <v>0</v>
      </c>
      <c r="G9" s="2">
        <f>COUNTIFS(Sheet1!$C$2:$C$51,"normal",Sheet1!$J$2:$J$51,"i",Sheet1!$H$2:$H$51,"bekerja",Sheet1!$A$2:$A$51,"P",Sheet1!$G$2:$G$51,"sedang",Sheet1!$D$2:$D$51,"normal",Sheet1!$F$2:$F$51,"asi",Sheet1!$E$2:$E$51,"KURANG")</f>
        <v>0</v>
      </c>
      <c r="H9" s="2">
        <v>0</v>
      </c>
      <c r="I9" s="5"/>
      <c r="K9" s="2"/>
      <c r="L9" s="18"/>
      <c r="M9" s="2" t="s">
        <v>53</v>
      </c>
      <c r="N9" s="2">
        <f>COUNTIFS(Sheet1!$C$2:$C$51,"normal",Sheet1!$J$2:$J$51,"i",Sheet1!$H$2:$H$51,"bekerja",Sheet1!$A$2:$A$51,"P",Sheet1!$G$2:$G$51,"sedang",Sheet1!$D$2:$D$51,"normal",Sheet1!$B$2:$B$51,"C",Sheet1!$I$2:$I$51,"z")</f>
        <v>0</v>
      </c>
      <c r="O9" s="2">
        <f>COUNTIFS(Sheet1!$C$2:$C$51,"normal",Sheet1!$J$2:$J$51,"i",Sheet1!$H$2:$H$51,"bekerja",Sheet1!$A$2:$A$51,"P",Sheet1!$G$2:$G$51,"sedang",Sheet1!$D$2:$D$51,"normal",Sheet1!$B$2:$B$51,"C",Sheet1!$I$2:$I$51,"z",Sheet1!$E$2:$E$51,"lebih")</f>
        <v>0</v>
      </c>
      <c r="P9" s="2">
        <f>COUNTIFS(Sheet1!$C$2:$C$51,"normal",Sheet1!$J$2:$J$51,"i",Sheet1!$H$2:$H$51,"bekerja",Sheet1!$A$2:$A$51,"P",Sheet1!$G$2:$G$51,"sedang",Sheet1!$D$2:$D$51,"normal",Sheet1!$B$2:$B$51,"C",Sheet1!$I$2:$I$51,"z",Sheet1!$E$2:$E$51,"normal")</f>
        <v>0</v>
      </c>
      <c r="Q9" s="2">
        <f>COUNTIFS(Sheet1!$C$2:$C$51,"normal",Sheet1!$J$2:$J$51,"i",Sheet1!$H$2:$H$51,"bekerja",Sheet1!$A$2:$A$51,"P",Sheet1!$G$2:$G$51,"sedang",Sheet1!$D$2:$D$51,"normal",Sheet1!$B$2:$B$51,"C",Sheet1!$I$2:$I$51,"z",Sheet1!$E$2:$E$51,"kurang")</f>
        <v>0</v>
      </c>
      <c r="R9" s="2">
        <v>0</v>
      </c>
      <c r="S9" s="5"/>
      <c r="T9" s="13"/>
      <c r="U9" s="3"/>
      <c r="V9" s="21"/>
      <c r="W9" s="2" t="s">
        <v>31</v>
      </c>
      <c r="X9" s="2">
        <f>COUNTIFS(Sheet1!$C$2:$C$51,"normal",Sheet1!$J$2:$J$51,"i",Sheet1!$H$2:$H$51,"bekerja",Sheet1!$A$2:$A$51,"P",Sheet1!$G$2:$G$51,"sedang",Sheet1!$D$2:$D$51,"normal",Sheet1!$B$2:$B$51,"C",Sheet1!$K$2:$K$51,"tinggi",Sheet1!$F$2:$F$51,"formula")</f>
        <v>0</v>
      </c>
      <c r="Y9" s="2">
        <f>COUNTIFS(Sheet1!$C$2:$C$51,"normal",Sheet1!$J$2:$J$51,"i",Sheet1!$H$2:$H$51,"bekerja",Sheet1!$A$2:$A$51,"P",Sheet1!$G$2:$G$51,"sedang",Sheet1!$D$2:$D$51,"normal",Sheet1!$B$2:$B$51,"C",Sheet1!$D$2:$D$51,"normal",Sheet1!$K$2:$K$51,"tinggi",Sheet1!$F$2:$F$51,"formula",Sheet1!$E$2:$E$51,"lebih")</f>
        <v>0</v>
      </c>
      <c r="Z9" s="2">
        <f>COUNTIFS(Sheet1!$C$2:$C$51,"normal",Sheet1!$J$2:$J$51,"i",Sheet1!$H$2:$H$51,"bekerja",Sheet1!$A$2:$A$51,"P",Sheet1!$G$2:$G$51,"sedang",Sheet1!$D$2:$D$51,"normal",Sheet1!$B$2:$B$51,"C",Sheet1!$K$2:$K$51,"tinggi",Sheet1!$F$2:$F$51,"formula",Sheet1!$E$2:$E$51,"normal")</f>
        <v>0</v>
      </c>
      <c r="AA9" s="2">
        <f>COUNTIFS(Sheet1!$C$2:$C$51,"normal",Sheet1!$J$2:$J$51,"i",Sheet1!$H$2:$H$51,"bekerja",Sheet1!$A$2:$A$51,"P",Sheet1!$G$2:$G$51,"sedang",Sheet1!$D$2:$D$51,"normal",Sheet1!$B$2:$B$51,"C",Sheet1!$K$2:$K$51,"tinggi",Sheet1!$F$2:$F$51,"formula",Sheet1!$E$2:$E$51,"kurang")</f>
        <v>0</v>
      </c>
      <c r="AB9" s="2">
        <v>0</v>
      </c>
      <c r="AC9" s="5"/>
      <c r="AE9" s="8"/>
    </row>
    <row r="10" spans="1:31">
      <c r="A10" s="2"/>
      <c r="B10" s="18" t="s">
        <v>51</v>
      </c>
      <c r="C10" s="2" t="s">
        <v>20</v>
      </c>
      <c r="D10" s="2">
        <f>COUNTIFS(Sheet1!$C$2:$C$51,"normal",Sheet1!$J$2:$J$51,"i",Sheet1!$H$2:$H$51,"bekerja",Sheet1!$A$2:$A$51,"P",Sheet1!$G$2:$G$51,"sedang",Sheet1!$D$2:$D$51,"normal",Sheet1!$I$2:$I$51,"x")</f>
        <v>4</v>
      </c>
      <c r="E10" s="2">
        <f>COUNTIFS(Sheet1!$C$2:$C$51,"normal",Sheet1!$J$2:$J$51,"i",Sheet1!$H$2:$H$51,"bekerja",Sheet1!$A$2:$A$51,"P",Sheet1!$G$2:$G$51,"sedang",Sheet1!$D$2:$D$51,"normal",Sheet1!$I$2:$I$51,"x",Sheet1!$E$2:$E$51,"lebih")</f>
        <v>1</v>
      </c>
      <c r="F10" s="2">
        <f>COUNTIFS(Sheet1!$C$2:$C$51,"normal",Sheet1!$J$2:$J$51,"i",Sheet1!$H$2:$H$51,"bekerja",Sheet1!$A$2:$A$51,"P",Sheet1!$G$2:$G$51,"sedang",Sheet1!$D$2:$D$51,"normal",Sheet1!$I$2:$I$51,"x",Sheet1!$E$2:$E$51,"normal")</f>
        <v>3</v>
      </c>
      <c r="G10" s="2">
        <f>COUNTIFS(Sheet1!$C$2:$C$51,"normal",Sheet1!$J$2:$J$51,"i",Sheet1!$H$2:$H$51,"bekerja",Sheet1!$A$2:$A$51,"P",Sheet1!$G$2:$G$51,"sedang",Sheet1!$D$2:$D$51,"normal",Sheet1!$I$2:$I$51,"x",Sheet1!$E$2:$E$51,"kurang")</f>
        <v>0</v>
      </c>
      <c r="H10" s="2">
        <f>((-E10/D10)*IMLOG2(E10/D10)+(-F10/D10)*IMLOG2(F10/D10))</f>
        <v>0.811278124459133</v>
      </c>
      <c r="I10" s="4">
        <f>($H$2)-((D10/$D$3*H10)+(D11/$D$3*H11)+(D12/$D$3*H12))</f>
        <v>0.00635573244069831</v>
      </c>
      <c r="K10" s="2"/>
      <c r="L10" s="22" t="s">
        <v>56</v>
      </c>
      <c r="M10" s="2" t="s">
        <v>30</v>
      </c>
      <c r="N10" s="2">
        <f>COUNTIFS(Sheet1!$C$2:$C$51,"normal",Sheet1!$J$2:$J$51,"i",Sheet1!$H$2:$H$51,"bekerja",Sheet1!$A$2:$A$51,"P",Sheet1!$G$2:$G$51,"sedang",Sheet1!$D$2:$D$51,"normal",Sheet1!$B$2:$B$51,"C",Sheet1!$K$2:$K$51,"rendah")</f>
        <v>0</v>
      </c>
      <c r="O10" s="2">
        <f>COUNTIFS(Sheet1!$C$2:$C$51,"normal",Sheet1!$J$2:$J$51,"i",Sheet1!$H$2:$H$51,"bekerja",Sheet1!$A$2:$A$51,"P",Sheet1!$G$2:$G$51,"sedang",Sheet1!$D$2:$D$51,"normal",Sheet1!$B$2:$B$51,"C",Sheet1!$K$2:$K$51,"rendah",Sheet1!$E$2:$E$51,"lebih")</f>
        <v>0</v>
      </c>
      <c r="P10" s="2">
        <f>COUNTIFS(Sheet1!$C$2:$C$51,"normal",Sheet1!$J$2:$J$51,"i",Sheet1!$H$2:$H$51,"bekerja",Sheet1!$A$2:$A$51,"P",Sheet1!$G$2:$G$51,"sedang",Sheet1!$D$2:$D$51,"normal",Sheet1!$B$2:$B$51,"C",Sheet1!$K$2:$K$51,"rendah",Sheet1!$E$2:$E$51,"normal")</f>
        <v>0</v>
      </c>
      <c r="Q10" s="2">
        <f>COUNTIFS(Sheet1!$C$2:$C$51,"normal",Sheet1!$J$2:$J$51,"i",Sheet1!$H$2:$H$51,"bekerja",Sheet1!$A$2:$A$51,"P",Sheet1!$G$2:$G$51,"sedang",Sheet1!$D$2:$D$51,"normal",Sheet1!$B$2:$B$51,"C",Sheet1!$K$2:$K$51,"rendah",Sheet1!$E$2:$E$51,"kurang")</f>
        <v>0</v>
      </c>
      <c r="R10" s="2">
        <v>0</v>
      </c>
      <c r="S10" s="4">
        <f>($H$2)-((N10/$D$3*R10)+(N11/$D$3*R11)+(N12/$D$3*R12))</f>
        <v>0.128911981358963</v>
      </c>
      <c r="T10" s="13"/>
      <c r="U10" s="3"/>
      <c r="V10" s="18" t="s">
        <v>57</v>
      </c>
      <c r="W10" s="2" t="s">
        <v>29</v>
      </c>
      <c r="X10" s="2">
        <f>COUNTIFS(Sheet1!$C$2:$C$51,"normal",Sheet1!$J$2:$J$51,"i",Sheet1!$H$2:$H$51,"bekerja",Sheet1!$A$2:$A$51,"P",Sheet1!$G$2:$G$51,"sedang",Sheet1!$D$2:$D$51,"normal",Sheet1!$B$2:$B$51,"C",Sheet1!$L$2:$L$51,"tidak",Sheet1!$F$2:$F$51,"formula")</f>
        <v>3</v>
      </c>
      <c r="Y10" s="2">
        <f>COUNTIFS(Sheet1!$C$2:$C$51,"normal",Sheet1!$J$2:$J$51,"i",Sheet1!$H$2:$H$51,"bekerja",Sheet1!$A$2:$A$51,"P",Sheet1!$G$2:$G$51,"sedang",Sheet1!$D$2:$D$51,"normal",Sheet1!$B$2:$B$51,"C",Sheet1!$D$2:$D$51,"normal",Sheet1!$L$2:$L$51,"tidak",Sheet1!$F$2:$F$51,"formula",Sheet1!$E$2:$E$51,"lebih")</f>
        <v>1</v>
      </c>
      <c r="Z10" s="2">
        <f>COUNTIFS(Sheet1!$C$2:$C$51,"normal",Sheet1!$J$2:$J$51,"i",Sheet1!$H$2:$H$51,"bekerja",Sheet1!$A$2:$A$51,"P",Sheet1!$G$2:$G$51,"sedang",Sheet1!$D$2:$D$51,"normal",Sheet1!$B$2:$B$51,"C",Sheet1!$L$2:$L$51,"tidak",Sheet1!$F$2:$F$51,"formula",Sheet1!$E$2:$E$51,"normal")</f>
        <v>2</v>
      </c>
      <c r="AA10" s="2">
        <f>COUNTIFS(Sheet1!$C$2:$C$51,"normal",Sheet1!$J$2:$J$51,"i",Sheet1!$H$2:$H$51,"bekerja",Sheet1!$A$2:$A$51,"P",Sheet1!$G$2:$G$51,"sedang",Sheet1!$D$2:$D$51,"normal",Sheet1!$B$2:$B$51,"C",Sheet1!$L$2:$L$51,"tidak",Sheet1!$F$2:$F$51,"formula",Sheet1!$E$2:$E$51,"kurang")</f>
        <v>0</v>
      </c>
      <c r="AB10" s="2">
        <f>((-Y10/X10)*IMLOG2(Y10/X10)+(-Z10/X10)*IMLOG2(Z10/X10))</f>
        <v>0.918295834054491</v>
      </c>
      <c r="AC10" s="4">
        <f>($AB$2)-((X10/$X$3*AB10)+(X11/$X$3*AB11))</f>
        <v>-0.100661977154659</v>
      </c>
      <c r="AE10" s="8"/>
    </row>
    <row r="11" spans="1:31">
      <c r="A11" s="2"/>
      <c r="B11" s="18"/>
      <c r="C11" s="2" t="s">
        <v>52</v>
      </c>
      <c r="D11" s="2">
        <f>COUNTIFS(Sheet1!$C$2:$C$51,"normal",Sheet1!$J$2:$J$51,"i",Sheet1!$H$2:$H$51,"bekerja",Sheet1!$A$2:$A$51,"P",Sheet1!$G$2:$G$51,"sedang",Sheet1!$D$2:$D$51,"normal",Sheet1!$I$2:$I$51,"y")</f>
        <v>0</v>
      </c>
      <c r="E11" s="2">
        <f>COUNTIFS(Sheet1!$C$2:$C$51,"normal",Sheet1!$J$2:$J$51,"i",Sheet1!$H$2:$H$51,"bekerja",Sheet1!$A$2:$A$51,"P",Sheet1!$G$2:$G$51,"sedang",Sheet1!$D$2:$D$51,"normal",Sheet1!$I$2:$I$51,"y",Sheet1!$E$2:$E$51,"lebih")</f>
        <v>0</v>
      </c>
      <c r="F11" s="2">
        <f>COUNTIFS(Sheet1!$C$2:$C$51,"normal",Sheet1!$J$2:$J$51,"i",Sheet1!$H$2:$H$51,"bekerja",Sheet1!$A$2:$A$51,"P",Sheet1!$G$2:$G$51,"sedang",Sheet1!$D$2:$D$51,"normal",Sheet1!$I$2:$I$51,"y",Sheet1!$E$2:$E$51,"normal")</f>
        <v>0</v>
      </c>
      <c r="G11" s="2">
        <f>COUNTIFS(Sheet1!$C$2:$C$51,"normal",Sheet1!$J$2:$J$51,"i",Sheet1!$H$2:$H$51,"bekerja",Sheet1!$A$2:$A$51,"P",Sheet1!$G$2:$G$51,"sedang",Sheet1!$D$2:$D$51,"normal",Sheet1!$I$2:$I$51,"y",Sheet1!$E$2:$E$51,"kurang")</f>
        <v>0</v>
      </c>
      <c r="H11" s="2">
        <v>0</v>
      </c>
      <c r="I11" s="6"/>
      <c r="K11" s="2"/>
      <c r="L11" s="24"/>
      <c r="M11" s="2" t="s">
        <v>22</v>
      </c>
      <c r="N11" s="2">
        <f>COUNTIFS(Sheet1!$C$2:$C$51,"normal",Sheet1!$J$2:$J$51,"i",Sheet1!$H$2:$H$51,"bekerja",Sheet1!$A$2:$A$51,"P",Sheet1!$G$2:$G$51,"sedang",Sheet1!$D$2:$D$51,"normal",Sheet1!$B$2:$B$51,"C",Sheet1!$K$2:$K$51,"menengah")</f>
        <v>3</v>
      </c>
      <c r="O11" s="2">
        <f>COUNTIFS(Sheet1!$C$2:$C$51,"normal",Sheet1!$J$2:$J$51,"i",Sheet1!$H$2:$H$51,"bekerja",Sheet1!$A$2:$A$51,"P",Sheet1!$G$2:$G$51,"sedang",Sheet1!$D$2:$D$51,"normal",Sheet1!$B$2:$B$51,"C",Sheet1!$K$2:$K$51,"menengah",Sheet1!$E$2:$E$51,"lebih")</f>
        <v>1</v>
      </c>
      <c r="P11" s="2">
        <f>COUNTIFS(Sheet1!$C$2:$C$51,"normal",Sheet1!$J$2:$J$51,"i",Sheet1!$H$2:$H$51,"bekerja",Sheet1!$A$2:$A$51,"P",Sheet1!$G$2:$G$51,"sedang",Sheet1!$D$2:$D$51,"normal",Sheet1!$B$2:$B$51,"C",Sheet1!$K$2:$K$51,"menengah",Sheet1!$E$2:$E$51,"normal")</f>
        <v>2</v>
      </c>
      <c r="Q11" s="2">
        <f>COUNTIFS(Sheet1!$C$2:$C$51,"normal",Sheet1!$J$2:$J$51,"i",Sheet1!$H$2:$H$51,"bekerja",Sheet1!$A$2:$A$51,"P",Sheet1!$G$2:$G$51,"sedang",Sheet1!$D$2:$D$51,"normal",Sheet1!$B$2:$B$51,"C",Sheet1!$K$2:$K$51,"menengah",Sheet1!$E$2:$E$51,"kurang")</f>
        <v>0</v>
      </c>
      <c r="R11" s="2">
        <f>((-O11/N11)*IMLOG2(O11/N11)+(-P11/N11)*IMLOG2(P11/N11))</f>
        <v>0.918295834054491</v>
      </c>
      <c r="S11" s="6"/>
      <c r="T11" s="13"/>
      <c r="U11" s="3"/>
      <c r="V11" s="18"/>
      <c r="W11" s="2" t="s">
        <v>23</v>
      </c>
      <c r="X11" s="2">
        <f>COUNTIFS(Sheet1!$C$2:$C$51,"normal",Sheet1!$J$2:$J$51,"i",Sheet1!$H$2:$H$51,"bekerja",Sheet1!$A$2:$A$51,"P",Sheet1!$G$2:$G$51,"sedang",Sheet1!$D$2:$D$51,"normal",Sheet1!$B$2:$B$51,"C",Sheet1!$L$2:$L$51,"memiliki",Sheet1!$F$2:$F$51,"formula")</f>
        <v>0</v>
      </c>
      <c r="Y11" s="2">
        <f>COUNTIFS(Sheet1!$C$2:$C$51,"normal",Sheet1!$J$2:$J$51,"i",Sheet1!$H$2:$H$51,"bekerja",Sheet1!$A$2:$A$51,"P",Sheet1!$G$2:$G$51,"sedang",Sheet1!$D$2:$D$51,"normal",Sheet1!$B$2:$B$51,"C",Sheet1!$D$2:$D$51,"normal",Sheet1!$L$2:$L$51,"memiliki",Sheet1!$F$2:$F$51,"formula",Sheet1!$E$2:$E$51,"lebih")</f>
        <v>0</v>
      </c>
      <c r="Z11" s="2">
        <f>COUNTIFS(Sheet1!$C$2:$C$51,"normal",Sheet1!$J$2:$J$51,"i",Sheet1!$H$2:$H$51,"bekerja",Sheet1!$A$2:$A$51,"P",Sheet1!$G$2:$G$51,"sedang",Sheet1!$D$2:$D$51,"normal",Sheet1!$B$2:$B$51,"C",Sheet1!$L$2:$L$51,"memiliki",Sheet1!$F$2:$F$51,"formula",Sheet1!$E$2:$E$51,"normal")</f>
        <v>0</v>
      </c>
      <c r="AA11" s="2">
        <f>COUNTIFS(Sheet1!$C$2:$C$51,"normal",Sheet1!$J$2:$J$51,"i",Sheet1!$H$2:$H$51,"bekerja",Sheet1!$A$2:$A$51,"P",Sheet1!$G$2:$G$51,"sedang",Sheet1!$D$2:$D$51,"normal",Sheet1!$B$2:$B$51,"C",Sheet1!$L$2:$L$51,"memiliki",Sheet1!$F$2:$F$51,"formula",Sheet1!$E$2:$E$51,"kurang")</f>
        <v>0</v>
      </c>
      <c r="AB11" s="2">
        <v>0</v>
      </c>
      <c r="AC11" s="5"/>
      <c r="AE11" s="8"/>
    </row>
    <row r="12" spans="1:21">
      <c r="A12" s="2"/>
      <c r="B12" s="18"/>
      <c r="C12" s="2" t="s">
        <v>53</v>
      </c>
      <c r="D12" s="2">
        <f>COUNTIFS(Sheet1!$C$2:$C$51,"normal",Sheet1!$J$2:$J$51,"i",Sheet1!$H$2:$H$51,"bekerja",Sheet1!$A$2:$A$51,"P",Sheet1!$G$2:$G$51,"sedang",Sheet1!$D$2:$D$51,"normal",Sheet1!$I$2:$I$51,"z")</f>
        <v>0</v>
      </c>
      <c r="E12" s="2">
        <f>COUNTIFS(Sheet1!$C$2:$C$51,"normal",Sheet1!$J$2:$J$51,"i",Sheet1!$H$2:$H$51,"bekerja",Sheet1!$A$2:$A$51,"P",Sheet1!$G$2:$G$51,"sedang",Sheet1!$D$2:$D$51,"normal",Sheet1!$I$2:$I$51,"z",Sheet1!$E$2:$E$51,"lebih")</f>
        <v>0</v>
      </c>
      <c r="F12" s="2">
        <f>COUNTIFS(Sheet1!$C$2:$C$51,"normal",Sheet1!$J$2:$J$51,"i",Sheet1!$H$2:$H$51,"bekerja",Sheet1!$A$2:$A$51,"P",Sheet1!$G$2:$G$51,"sedang",Sheet1!$D$2:$D$51,"normal",Sheet1!$I$2:$I$51,"z",Sheet1!$E$2:$E$51,"normal")</f>
        <v>0</v>
      </c>
      <c r="G12" s="2">
        <f>COUNTIFS(Sheet1!$C$2:$C$51,"normal",Sheet1!$J$2:$J$51,"i",Sheet1!$H$2:$H$51,"bekerja",Sheet1!$A$2:$A$51,"P",Sheet1!$G$2:$G$51,"sedang",Sheet1!$D$2:$D$51,"normal",Sheet1!$I$2:$I$51,"z",Sheet1!$E$2:$E$51,"kurang")</f>
        <v>0</v>
      </c>
      <c r="H12" s="2">
        <v>0</v>
      </c>
      <c r="I12" s="5"/>
      <c r="K12" s="2"/>
      <c r="L12" s="23"/>
      <c r="M12" s="2" t="s">
        <v>31</v>
      </c>
      <c r="N12" s="2">
        <f>COUNTIFS(Sheet1!$C$2:$C$51,"normal",Sheet1!$J$2:$J$51,"i",Sheet1!$H$2:$H$51,"bekerja",Sheet1!$A$2:$A$51,"P",Sheet1!$G$2:$G$51,"sedang",Sheet1!$D$2:$D$51,"normal",Sheet1!$B$2:$B$51,"C",Sheet1!$K$2:$K$51,"tinggi")</f>
        <v>0</v>
      </c>
      <c r="O12" s="2">
        <f>COUNTIFS(Sheet1!$C$2:$C$51,"normal",Sheet1!$J$2:$J$51,"i",Sheet1!$H$2:$H$51,"bekerja",Sheet1!$A$2:$A$51,"P",Sheet1!$G$2:$G$51,"sedang",Sheet1!$D$2:$D$51,"normal",Sheet1!$B$2:$B$51,"C",Sheet1!$D$2:$D$51,"normal",Sheet1!$K$2:$K$51,"tinggi",Sheet1!$E$2:$E$51,"lebih")</f>
        <v>0</v>
      </c>
      <c r="P12" s="2">
        <f>COUNTIFS(Sheet1!$C$2:$C$51,"normal",Sheet1!$J$2:$J$51,"i",Sheet1!$H$2:$H$51,"bekerja",Sheet1!$A$2:$A$51,"P",Sheet1!$G$2:$G$51,"sedang",Sheet1!$D$2:$D$51,"normal",Sheet1!$B$2:$B$51,"C",Sheet1!$K$2:$K$51,"tinggi",Sheet1!$E$2:$E$51,"normal")</f>
        <v>0</v>
      </c>
      <c r="Q12" s="2">
        <f>COUNTIFS(Sheet1!$C$2:$C$51,"normal",Sheet1!$J$2:$J$51,"i",Sheet1!$H$2:$H$51,"bekerja",Sheet1!$A$2:$A$51,"P",Sheet1!$G$2:$G$51,"sedang",Sheet1!$D$2:$D$51,"normal",Sheet1!$B$2:$B$51,"C",Sheet1!$K$2:$K$51,"tinggi",Sheet1!$E$2:$E$51,"kurang")</f>
        <v>0</v>
      </c>
      <c r="R12" s="2">
        <v>0</v>
      </c>
      <c r="S12" s="5"/>
      <c r="T12" s="13"/>
      <c r="U12" s="7"/>
    </row>
    <row r="13" spans="1:21">
      <c r="A13" s="2"/>
      <c r="B13" s="22" t="s">
        <v>56</v>
      </c>
      <c r="C13" s="2" t="s">
        <v>30</v>
      </c>
      <c r="D13" s="2">
        <f>COUNTIFS(Sheet1!$C$2:$C$51,"normal",Sheet1!$J$2:$J$51,"i",Sheet1!$H$2:$H$51,"bekerja",Sheet1!$A$2:$A$51,"P",Sheet1!$G$2:$G$51,"sedang",Sheet1!$D$2:$D$51,"normal",Sheet1!$K$2:$K$51,"rendah")</f>
        <v>0</v>
      </c>
      <c r="E13" s="2">
        <f>COUNTIFS(Sheet1!$C$2:$C$51,"normal",Sheet1!$J$2:$J$51,"i",Sheet1!$H$2:$H$51,"bekerja",Sheet1!$A$2:$A$51,"P",Sheet1!$G$2:$G$51,"sedang",Sheet1!$D$2:$D$51,"normal",Sheet1!$K$2:$K$51,"rendah",Sheet1!$E$2:$E$51,"lebih")</f>
        <v>0</v>
      </c>
      <c r="F13" s="2">
        <f>COUNTIFS(Sheet1!$C$2:$C$51,"normal",Sheet1!$J$2:$J$51,"i",Sheet1!$H$2:$H$51,"bekerja",Sheet1!$A$2:$A$51,"P",Sheet1!$G$2:$G$51,"sedang",Sheet1!$D$2:$D$51,"normal",Sheet1!$K$2:$K$51,"rendah",Sheet1!$E$2:$E$51,"normal")</f>
        <v>0</v>
      </c>
      <c r="G13" s="2">
        <f>COUNTIFS(Sheet1!$C$2:$C$51,"normal",Sheet1!$J$2:$J$51,"i",Sheet1!$H$2:$H$51,"bekerja",Sheet1!$A$2:$A$51,"P",Sheet1!$G$2:$G$51,"sedang",Sheet1!$D$2:$D$51,"normal",Sheet1!$K$2:$K$51,"rendah",Sheet1!$E$2:$E$51,"kurang")</f>
        <v>0</v>
      </c>
      <c r="H13" s="2">
        <v>0</v>
      </c>
      <c r="I13" s="4">
        <f>($H$2)-((D13/$D$3*H13)+(D14/$D$3*H14)+(D15/$D$3*H15))</f>
        <v>0.00635573244069831</v>
      </c>
      <c r="K13" s="2"/>
      <c r="L13" s="18" t="s">
        <v>57</v>
      </c>
      <c r="M13" s="2" t="s">
        <v>29</v>
      </c>
      <c r="N13" s="2">
        <f>COUNTIFS(Sheet1!$C$2:$C$51,"normal",Sheet1!$J$2:$J$51,"i",Sheet1!$H$2:$H$51,"bekerja",Sheet1!$A$2:$A$51,"P",Sheet1!$G$2:$G$51,"sedang",Sheet1!$D$2:$D$51,"normal",Sheet1!$B$2:$B$51,"C",Sheet1!$L$2:$L$51,"tidak")</f>
        <v>3</v>
      </c>
      <c r="O13" s="2">
        <f>COUNTIFS(Sheet1!$C$2:$C$51,"normal",Sheet1!$J$2:$J$51,"i",Sheet1!$H$2:$H$51,"bekerja",Sheet1!$A$2:$A$51,"P",Sheet1!$G$2:$G$51,"sedang",Sheet1!$D$2:$D$51,"normal",Sheet1!$B$2:$B$51,"C",Sheet1!$D$2:$D$51,"normal",Sheet1!$L$2:$L$51,"tidak",Sheet1!$E$2:$E$51,"lebih")</f>
        <v>1</v>
      </c>
      <c r="P13" s="2">
        <f>COUNTIFS(Sheet1!$C$2:$C$51,"normal",Sheet1!$J$2:$J$51,"i",Sheet1!$H$2:$H$51,"bekerja",Sheet1!$A$2:$A$51,"P",Sheet1!$G$2:$G$51,"sedang",Sheet1!$D$2:$D$51,"normal",Sheet1!$B$2:$B$51,"C",Sheet1!$L$2:$L$51,"tidak",Sheet1!$E$2:$E$51,"normal")</f>
        <v>2</v>
      </c>
      <c r="Q13" s="2">
        <f>COUNTIFS(Sheet1!$C$2:$C$51,"normal",Sheet1!$J$2:$J$51,"i",Sheet1!$H$2:$H$51,"bekerja",Sheet1!$A$2:$A$51,"P",Sheet1!$G$2:$G$51,"sedang",Sheet1!$D$2:$D$51,"normal",Sheet1!$B$2:$B$51,"C",Sheet1!$L$2:$L$51,"tidak",Sheet1!$E$2:$E$51,"kurang")</f>
        <v>0</v>
      </c>
      <c r="R13" s="2">
        <f>((-O13/N13)*IMLOG2(O13/N13)+(-P13/N13)*IMLOG2(P13/N13))</f>
        <v>0.918295834054491</v>
      </c>
      <c r="S13" s="4">
        <f>($H$2)-((N13/$D$3*R13)+(N14/$D$3*R14))</f>
        <v>0.128911981358963</v>
      </c>
      <c r="T13" s="13"/>
      <c r="U13" s="7"/>
    </row>
    <row r="14" spans="1:21">
      <c r="A14" s="2"/>
      <c r="B14" s="24"/>
      <c r="C14" s="2" t="s">
        <v>22</v>
      </c>
      <c r="D14" s="2">
        <f>COUNTIFS(Sheet1!$C$2:$C$51,"normal",Sheet1!$J$2:$J$51,"i",Sheet1!$H$2:$H$51,"bekerja",Sheet1!$A$2:$A$51,"P",Sheet1!$G$2:$G$51,"sedang",Sheet1!$D$2:$D$51,"normal",Sheet1!$K$2:$K$51,"menengah")</f>
        <v>4</v>
      </c>
      <c r="E14" s="2">
        <f>COUNTIFS(Sheet1!$C$2:$C$51,"normal",Sheet1!$J$2:$J$51,"i",Sheet1!$H$2:$H$51,"bekerja",Sheet1!$A$2:$A$51,"P",Sheet1!$G$2:$G$51,"sedang",Sheet1!$D$2:$D$51,"normal",Sheet1!$K$2:$K$51,"menengah",Sheet1!$E$2:$E$51,"lebih")</f>
        <v>1</v>
      </c>
      <c r="F14" s="2">
        <f>COUNTIFS(Sheet1!$C$2:$C$51,"normal",Sheet1!$J$2:$J$51,"i",Sheet1!$H$2:$H$51,"bekerja",Sheet1!$A$2:$A$51,"P",Sheet1!$G$2:$G$51,"sedang",Sheet1!$D$2:$D$51,"normal",Sheet1!$K$2:$K$51,"menengah",Sheet1!$E$2:$E$51,"normal")</f>
        <v>3</v>
      </c>
      <c r="G14" s="2">
        <f>COUNTIFS(Sheet1!$C$2:$C$51,"normal",Sheet1!$J$2:$J$51,"i",Sheet1!$H$2:$H$51,"bekerja",Sheet1!$A$2:$A$51,"P",Sheet1!$G$2:$G$51,"sedang",Sheet1!$D$2:$D$51,"normal",Sheet1!$K$2:$K$51,"menengah",Sheet1!$E$2:$E$51,"kurang")</f>
        <v>0</v>
      </c>
      <c r="H14" s="2">
        <f>((-E14/D14)*IMLOG2(E14/D14)+(-F14/D14)*IMLOG2(F14/D14))</f>
        <v>0.811278124459133</v>
      </c>
      <c r="I14" s="6"/>
      <c r="K14" s="2"/>
      <c r="L14" s="18"/>
      <c r="M14" s="2" t="s">
        <v>23</v>
      </c>
      <c r="N14" s="2">
        <f>COUNTIFS(Sheet1!$C$2:$C$51,"normal",Sheet1!$J$2:$J$51,"i",Sheet1!$H$2:$H$51,"bekerja",Sheet1!$A$2:$A$51,"P",Sheet1!$G$2:$G$51,"sedang",Sheet1!$D$2:$D$51,"normal",Sheet1!$B$2:$B$51,"C",Sheet1!$L$2:$L$51,"memiliki")</f>
        <v>0</v>
      </c>
      <c r="O14" s="2">
        <f>COUNTIFS(Sheet1!$C$2:$C$51,"normal",Sheet1!$J$2:$J$51,"i",Sheet1!$H$2:$H$51,"bekerja",Sheet1!$A$2:$A$51,"P",Sheet1!$G$2:$G$51,"sedang",Sheet1!$D$2:$D$51,"normal",Sheet1!$B$2:$B$51,"C",Sheet1!$D$2:$D$51,"normal",Sheet1!$L$2:$L$51,"memiliki",Sheet1!$E$2:$E$51,"lebih")</f>
        <v>0</v>
      </c>
      <c r="P14" s="2">
        <f>COUNTIFS(Sheet1!$C$2:$C$51,"normal",Sheet1!$J$2:$J$51,"i",Sheet1!$H$2:$H$51,"bekerja",Sheet1!$A$2:$A$51,"P",Sheet1!$G$2:$G$51,"sedang",Sheet1!$D$2:$D$51,"normal",Sheet1!$B$2:$B$51,"C",Sheet1!$L$2:$L$51,"memiliki",Sheet1!$E$2:$E$51,"normal")</f>
        <v>0</v>
      </c>
      <c r="Q14" s="2">
        <f>COUNTIFS(Sheet1!$C$2:$C$51,"normal",Sheet1!$J$2:$J$51,"i",Sheet1!$H$2:$H$51,"bekerja",Sheet1!$A$2:$A$51,"P",Sheet1!$G$2:$G$51,"sedang",Sheet1!$D$2:$D$51,"normal",Sheet1!$B$2:$B$51,"C",Sheet1!$L$2:$L$51,"memiliki",Sheet1!$E$2:$E$51,"kurang")</f>
        <v>0</v>
      </c>
      <c r="R14" s="2">
        <v>0</v>
      </c>
      <c r="S14" s="5"/>
      <c r="T14" s="13"/>
      <c r="U14" s="7"/>
    </row>
    <row r="15" spans="1:29">
      <c r="A15" s="2"/>
      <c r="B15" s="23"/>
      <c r="C15" s="2" t="s">
        <v>31</v>
      </c>
      <c r="D15" s="2">
        <f>COUNTIFS(Sheet1!$C$2:$C$51,"normal",Sheet1!$J$2:$J$51,"i",Sheet1!$H$2:$H$51,"bekerja",Sheet1!$A$2:$A$51,"P",Sheet1!$G$2:$G$51,"sedang",Sheet1!$D$2:$D$51,"normal",Sheet1!$K$2:$K$51,"tinggi")</f>
        <v>0</v>
      </c>
      <c r="E15" s="2">
        <f>COUNTIFS(Sheet1!$C$2:$C$51,"normal",Sheet1!$J$2:$J$51,"i",Sheet1!$H$2:$H$51,"bekerja",Sheet1!$A$2:$A$51,"P",Sheet1!$G$2:$G$51,"sedang",Sheet1!$D$2:$D$51,"normal",Sheet1!$D$2:$D$51,"normal",Sheet1!$K$2:$K$51,"tinggi",Sheet1!$E$2:$E$51,"lebih")</f>
        <v>0</v>
      </c>
      <c r="F15" s="2">
        <f>COUNTIFS(Sheet1!$C$2:$C$51,"normal",Sheet1!$J$2:$J$51,"i",Sheet1!$H$2:$H$51,"bekerja",Sheet1!$A$2:$A$51,"P",Sheet1!$G$2:$G$51,"sedang",Sheet1!$D$2:$D$51,"normal",Sheet1!$K$2:$K$51,"tinggi",Sheet1!$E$2:$E$51,"normal")</f>
        <v>0</v>
      </c>
      <c r="G15" s="2">
        <f>COUNTIFS(Sheet1!$C$2:$C$51,"normal",Sheet1!$J$2:$J$51,"i",Sheet1!$H$2:$H$51,"bekerja",Sheet1!$A$2:$A$51,"P",Sheet1!$G$2:$G$51,"sedang",Sheet1!$D$2:$D$51,"normal",Sheet1!$K$2:$K$51,"tinggi",Sheet1!$E$2:$E$51,"kurang")</f>
        <v>0</v>
      </c>
      <c r="H15" s="2">
        <v>0</v>
      </c>
      <c r="I15" s="5"/>
      <c r="K15" s="7"/>
      <c r="T15" s="13"/>
      <c r="U15" s="7"/>
      <c r="V15" s="7"/>
      <c r="W15" s="7"/>
      <c r="X15" s="7"/>
      <c r="Y15" s="7"/>
      <c r="Z15" s="7"/>
      <c r="AA15" s="7"/>
      <c r="AB15" s="7"/>
      <c r="AC15" s="7"/>
    </row>
    <row r="16" spans="1:29">
      <c r="A16" s="2"/>
      <c r="B16" s="18" t="s">
        <v>57</v>
      </c>
      <c r="C16" s="2" t="s">
        <v>29</v>
      </c>
      <c r="D16" s="2">
        <f>COUNTIFS(Sheet1!$C$2:$C$51,"normal",Sheet1!$J$2:$J$51,"i",Sheet1!$H$2:$H$51,"bekerja",Sheet1!$A$2:$A$51,"P",Sheet1!$G$2:$G$51,"sedang",Sheet1!$D$2:$D$51,"normal",Sheet1!$L$2:$L$51,"tidak")</f>
        <v>4</v>
      </c>
      <c r="E16" s="2">
        <f>COUNTIFS(Sheet1!$C$2:$C$51,"normal",Sheet1!$J$2:$J$51,"i",Sheet1!$H$2:$H$51,"bekerja",Sheet1!$A$2:$A$51,"P",Sheet1!$G$2:$G$51,"sedang",Sheet1!$D$2:$D$51,"normal",Sheet1!$D$2:$D$51,"normal",Sheet1!$L$2:$L$51,"tidak",Sheet1!$E$2:$E$51,"lebih")</f>
        <v>1</v>
      </c>
      <c r="F16" s="2">
        <f>COUNTIFS(Sheet1!$C$2:$C$51,"normal",Sheet1!$J$2:$J$51,"i",Sheet1!$H$2:$H$51,"bekerja",Sheet1!$A$2:$A$51,"P",Sheet1!$G$2:$G$51,"sedang",Sheet1!$D$2:$D$51,"normal",Sheet1!$L$2:$L$51,"tidak",Sheet1!$E$2:$E$51,"normal")</f>
        <v>3</v>
      </c>
      <c r="G16" s="2">
        <f>COUNTIFS(Sheet1!$C$2:$C$51,"normal",Sheet1!$J$2:$J$51,"i",Sheet1!$H$2:$H$51,"bekerja",Sheet1!$A$2:$A$51,"P",Sheet1!$G$2:$G$51,"sedang",Sheet1!$D$2:$D$51,"normal",Sheet1!$L$2:$L$51,"tidak",Sheet1!$E$2:$E$51,"kurang")</f>
        <v>0</v>
      </c>
      <c r="H16" s="2">
        <f>((-E16/D16)*IMLOG2(E16/D16)+(-F16/D16)*IMLOG2(F16/D16))</f>
        <v>0.811278124459133</v>
      </c>
      <c r="I16" s="4">
        <f>($H$2)-((D16/$D$3*H16)+(D17/$D$3*H17))</f>
        <v>0.00635573244069831</v>
      </c>
      <c r="K16" s="7"/>
      <c r="T16" s="13"/>
      <c r="U16" s="7"/>
      <c r="V16" s="7"/>
      <c r="W16" s="7"/>
      <c r="X16" s="7"/>
      <c r="Y16" s="7"/>
      <c r="Z16" s="7"/>
      <c r="AA16" s="7"/>
      <c r="AB16" s="7"/>
      <c r="AC16" s="7"/>
    </row>
    <row r="17" spans="1:29">
      <c r="A17" s="2"/>
      <c r="B17" s="18"/>
      <c r="C17" s="2" t="s">
        <v>23</v>
      </c>
      <c r="D17" s="2">
        <f>COUNTIFS(Sheet1!$C$2:$C$51,"normal",Sheet1!$J$2:$J$51,"i",Sheet1!$H$2:$H$51,"bekerja",Sheet1!$A$2:$A$51,"P",Sheet1!$G$2:$G$51,"sedang",Sheet1!$D$2:$D$51,"normal",Sheet1!$L$2:$L$51,"memiliki")</f>
        <v>0</v>
      </c>
      <c r="E17" s="2">
        <f>COUNTIFS(Sheet1!$C$2:$C$51,"normal",Sheet1!$J$2:$J$51,"i",Sheet1!$H$2:$H$51,"bekerja",Sheet1!$A$2:$A$51,"P",Sheet1!$G$2:$G$51,"sedang",Sheet1!$D$2:$D$51,"normal",Sheet1!$D$2:$D$51,"normal",Sheet1!$L$2:$L$51,"memiliki",Sheet1!$E$2:$E$51,"lebih")</f>
        <v>0</v>
      </c>
      <c r="F17" s="2">
        <f>COUNTIFS(Sheet1!$C$2:$C$51,"normal",Sheet1!$J$2:$J$51,"i",Sheet1!$H$2:$H$51,"bekerja",Sheet1!$A$2:$A$51,"P",Sheet1!$G$2:$G$51,"sedang",Sheet1!$D$2:$D$51,"normal",Sheet1!$L$2:$L$51,"memiliki",Sheet1!$E$2:$E$51,"normal")</f>
        <v>0</v>
      </c>
      <c r="G17" s="2">
        <f>COUNTIFS(Sheet1!$C$2:$C$51,"normal",Sheet1!$J$2:$J$51,"i",Sheet1!$H$2:$H$51,"bekerja",Sheet1!$A$2:$A$51,"P",Sheet1!$G$2:$G$51,"sedang",Sheet1!$D$2:$D$51,"normal",Sheet1!$L$2:$L$51,"memiliki",Sheet1!$E$2:$E$51,"kurang")</f>
        <v>0</v>
      </c>
      <c r="H17" s="2">
        <v>0</v>
      </c>
      <c r="I17" s="5"/>
      <c r="K17" s="7"/>
      <c r="T17" s="13"/>
      <c r="U17" s="7"/>
      <c r="V17" s="7"/>
      <c r="W17" s="7"/>
      <c r="X17" s="7"/>
      <c r="Y17" s="7"/>
      <c r="Z17" s="7"/>
      <c r="AA17" s="7"/>
      <c r="AB17" s="7"/>
      <c r="AC17" s="7"/>
    </row>
    <row r="18" spans="1:29">
      <c r="A18" s="7"/>
      <c r="T18" s="13"/>
      <c r="U18" s="7"/>
      <c r="V18" s="7"/>
      <c r="W18" s="7"/>
      <c r="X18" s="7"/>
      <c r="Y18" s="7"/>
      <c r="Z18" s="7"/>
      <c r="AA18" s="7"/>
      <c r="AB18" s="7"/>
      <c r="AC18" s="7"/>
    </row>
    <row r="19" spans="1:49">
      <c r="A19" s="7"/>
      <c r="B19" s="2" t="s">
        <v>47</v>
      </c>
      <c r="C19" s="2" t="s">
        <v>15</v>
      </c>
      <c r="D19" s="2">
        <f>COUNTIFS(Sheet1!$C$2:$C$51,"normal",Sheet1!$J$2:$J$51,"i",Sheet1!$H$2:$H$51,"bekerja",Sheet1!$A$2:$A$51,"P",Sheet1!$G$2:$G$51,"sedang",Sheet1!$D$2:$D$51,"pendek")</f>
        <v>1</v>
      </c>
      <c r="E19" s="2">
        <f>COUNTIFS(Sheet1!$C$2:$C$51,"normal",Sheet1!$J$2:$J$51,"i",Sheet1!$H$2:$H$51,"bekerja",Sheet1!$A$2:$A$51,"P",Sheet1!$G$2:$G$51,"sedang",Sheet1!$D$2:$D$51,"pendek",Sheet1!$E$2:$E$51,"lebih")</f>
        <v>1</v>
      </c>
      <c r="F19" s="2">
        <f>COUNTIFS(Sheet1!$C$2:$C$51,"normal",Sheet1!$J$2:$J$51,"i",Sheet1!$H$2:$H$51,"bekerja",Sheet1!$A$2:$A$51,"P",Sheet1!$G$2:$G$51,"sedang",Sheet1!$D$2:$D$51,"pendek",Sheet1!$E$2:$E$51,"NORMAL")</f>
        <v>0</v>
      </c>
      <c r="G19" s="2">
        <f>COUNTIFS(Sheet1!$C$2:$C$51,"normal",Sheet1!$J$2:$J$51,"i",Sheet1!$H$2:$H$51,"bekerja",Sheet1!$A$2:$A$51,"P",Sheet1!$G$2:$G$51,"sedang",Sheet1!$D$2:$D$51,"pendek",Sheet1!$E$2:$E$51,"KURANG")</f>
        <v>0</v>
      </c>
      <c r="H19" s="2">
        <v>0</v>
      </c>
      <c r="I19" s="4">
        <f>($H$2)-((D19/$D$3*H19)+(D20/$D$3*H20)+(D21/$D$3*H21))</f>
        <v>0.00635573244069809</v>
      </c>
      <c r="L19" s="2" t="s">
        <v>45</v>
      </c>
      <c r="M19" s="2" t="s">
        <v>33</v>
      </c>
      <c r="N19" s="2">
        <f>COUNTIFS(Sheet1!$C$2:$C$51,"normal",Sheet1!$J$2:$J$51,"i",Sheet1!$H$2:$H$51,"bekerja",Sheet1!$A$2:$A$51,"P",Sheet1!$G$2:$G$51,"sedang",Sheet1!$D$2:$D$51,"normal",Sheet1!$B$2:$B$51,"A")</f>
        <v>0</v>
      </c>
      <c r="O19" s="2">
        <f>COUNTIFS(Sheet1!$C$2:$C$51,"normal",Sheet1!$J$2:$J$51,"i",Sheet1!$H$2:$H$51,"bekerja",Sheet1!$A$2:$A$51,"P",Sheet1!$G$2:$G$51,"sedang",Sheet1!$D$2:$D$51,"normal",Sheet1!$B$2:$B$51,"A",Sheet1!$E$2:$E$51,"lebih")</f>
        <v>0</v>
      </c>
      <c r="P19" s="2">
        <f>COUNTIFS(Sheet1!$C$2:$C$51,"normal",Sheet1!$J$2:$J$51,"i",Sheet1!$H$2:$H$51,"bekerja",Sheet1!$A$2:$A$51,"P",Sheet1!$G$2:$G$51,"sedang",Sheet1!$D$2:$D$51,"normal",Sheet1!$B$2:$B$51,"A",Sheet1!$E$2:$E$51,"NORMAL")</f>
        <v>0</v>
      </c>
      <c r="Q19" s="2">
        <f>COUNTIFS(Sheet1!$C$2:$C$51,"normal",Sheet1!$J$2:$J$51,"i",Sheet1!$H$2:$H$51,"bekerja",Sheet1!$A$2:$A$51,"P",Sheet1!$G$2:$G$51,"sedang",Sheet1!$D$2:$D$51,"normal",Sheet1!$B$2:$B$51,"A",Sheet1!$E$2:$E$51,"KURANG")</f>
        <v>0</v>
      </c>
      <c r="R19" s="2">
        <v>0</v>
      </c>
      <c r="S19" s="4">
        <f>($H$2)-((N19/$D$3*R19)+(N20/$D$3*R20)+(N21/$D$3*R21))</f>
        <v>0.128911981358963</v>
      </c>
      <c r="T19" s="13"/>
      <c r="U19" s="7"/>
      <c r="V19" s="2" t="s">
        <v>48</v>
      </c>
      <c r="W19" s="2" t="s">
        <v>17</v>
      </c>
      <c r="X19" s="2">
        <f>COUNTIFS(Sheet1!$C$2:$C$51,"normal",Sheet1!$J$2:$J$51,"i",Sheet1!$H$2:$H$51,"bekerja",Sheet1!$A$2:$A$51,"P",Sheet1!$G$2:$G$51,"sedang",Sheet1!$D$2:$D$51,"normal",Sheet1!$B$2:$B$51,"C",Sheet1!$F$2:$F$51,"formula")</f>
        <v>3</v>
      </c>
      <c r="Y19" s="2">
        <f>COUNTIFS(Sheet1!$C$2:$C$51,"normal",Sheet1!$J$2:$J$51,"i",Sheet1!$H$2:$H$51,"bekerja",Sheet1!$A$2:$A$51,"P",Sheet1!$G$2:$G$51,"sedang",Sheet1!$D$2:$D$51,"normal",Sheet1!$B$2:$B$51,"C",Sheet1!$F$2:$F$51,"formula",Sheet1!$E$2:$E$51,"lebih")</f>
        <v>1</v>
      </c>
      <c r="Z19" s="2">
        <f>COUNTIFS(Sheet1!$C$2:$C$51,"normal",Sheet1!$J$2:$J$51,"i",Sheet1!$H$2:$H$51,"bekerja",Sheet1!$A$2:$A$51,"P",Sheet1!$G$2:$G$51,"sedang",Sheet1!$D$2:$D$51,"normal",Sheet1!$B$2:$B$51,"C",Sheet1!$F$2:$F$51,"formula",Sheet1!$E$2:$E$51,"NORMAL")</f>
        <v>2</v>
      </c>
      <c r="AA19" s="2">
        <v>0</v>
      </c>
      <c r="AB19" s="2">
        <f>((-Y19/X19)*IMLOG2(Y19/X19)+(-Z19/X19)*IMLOG2(Z19/X19))</f>
        <v>0.918295834054491</v>
      </c>
      <c r="AC19" s="4">
        <f>($H$2)-((X19/$D$3*AB19)+(X20/$D$3*AB20)+(X21/$D$3*AB21))</f>
        <v>0.128911981358963</v>
      </c>
      <c r="AE19" s="2" t="s">
        <v>51</v>
      </c>
      <c r="AF19" s="2" t="s">
        <v>20</v>
      </c>
      <c r="AG19" s="2">
        <f>COUNTIFS(Sheet1!$C$2:$C$51,"normal",Sheet1!$J$2:$J$51,"i",Sheet1!$H$2:$H$51,"bekerja",Sheet1!$A$2:$A$51,"P",Sheet1!$G$2:$G$51,"sedang",Sheet1!$D$2:$D$51,"normal",Sheet1!$B$2:$B$51,"C",Sheet1!$I$2:$I$51,"x",Sheet1!$F$2:$F$51,"formula")</f>
        <v>3</v>
      </c>
      <c r="AH19" s="2">
        <f>COUNTIFS(Sheet1!$C$2:$C$51,"normal",Sheet1!$J$2:$J$51,"i",Sheet1!$H$2:$H$51,"bekerja",Sheet1!$A$2:$A$51,"P",Sheet1!$G$2:$G$51,"sedang",Sheet1!$D$2:$D$51,"normal",Sheet1!$B$2:$B$51,"C",Sheet1!$I$2:$I$51,"x",Sheet1!$F$2:$F$51,"formula",Sheet1!$E$2:$E$51,"lebih")</f>
        <v>1</v>
      </c>
      <c r="AI19" s="2">
        <f>COUNTIFS(Sheet1!$C$2:$C$51,"normal",Sheet1!$J$2:$J$51,"i",Sheet1!$H$2:$H$51,"bekerja",Sheet1!$A$2:$A$51,"P",Sheet1!$G$2:$G$51,"sedang",Sheet1!$D$2:$D$51,"normal",Sheet1!$B$2:$B$51,"C",Sheet1!$I$2:$I$51,"x",Sheet1!$F$2:$F$51,"formula",Sheet1!$E$2:$E$51,"normal")</f>
        <v>2</v>
      </c>
      <c r="AJ19" s="2">
        <f>COUNTIFS(Sheet1!$C$2:$C$51,"normal",Sheet1!$J$2:$J$51,"i",Sheet1!$H$2:$H$51,"bekerja",Sheet1!$A$2:$A$51,"P",Sheet1!$G$2:$G$51,"sedang",Sheet1!$D$2:$D$51,"normal",Sheet1!$B$2:$B$51,"C",Sheet1!$I$2:$I$51,"x",Sheet1!$F$2:$F$51,"formula",Sheet1!$E$2:$E$51,"kurang")</f>
        <v>0</v>
      </c>
      <c r="AK19" s="2">
        <f>((-AH19/AG19)*IMLOG2(AH19/AG19)+(-AI19/AG19)*IMLOG2(AI19/AG19))</f>
        <v>0.918295834054491</v>
      </c>
      <c r="AL19" s="4">
        <f>($AB$2)-((AG19/$X$3*AK19)+(AG20/$X$3*AK20)+(AG21/$X$3*AK21))</f>
        <v>-0.100661977154659</v>
      </c>
      <c r="AP19" s="3" t="s">
        <v>56</v>
      </c>
      <c r="AQ19" s="2" t="s">
        <v>30</v>
      </c>
      <c r="AR19" s="2">
        <f>COUNTIFS(Sheet1!$C$2:$C$51,"normal",Sheet1!$J$2:$J$51,"i",Sheet1!$H$2:$H$51,"bekerja",Sheet1!$A$2:$A$51,"P",Sheet1!$G$2:$G$51,"sedang",Sheet1!$D$2:$D$51,"normal",Sheet1!$B$2:$B$51,"C",Sheet1!$K$2:$K$51,"rendah",Sheet1!$F$2:$F$51,"formula",Sheet1!$I$2:$I$51,"x")</f>
        <v>0</v>
      </c>
      <c r="AS19" s="2">
        <f>COUNTIFS(Sheet1!$C$2:$C$51,"normal",Sheet1!$J$2:$J$51,"i",Sheet1!$H$2:$H$51,"bekerja",Sheet1!$A$2:$A$51,"P",Sheet1!$G$2:$G$51,"sedang",Sheet1!$D$2:$D$51,"normal",Sheet1!$B$2:$B$51,"C",Sheet1!$K$2:$K$51,"rendah",Sheet1!$F$2:$F$51,"formula",Sheet1!$I$2:$I$51,"x",Sheet1!$E$2:$E$51,"lebih")</f>
        <v>0</v>
      </c>
      <c r="AT19" s="2">
        <f>COUNTIFS(Sheet1!$C$2:$C$51,"normal",Sheet1!$J$2:$J$51,"i",Sheet1!$H$2:$H$51,"bekerja",Sheet1!$A$2:$A$51,"P",Sheet1!$G$2:$G$51,"sedang",Sheet1!$D$2:$D$51,"normal",Sheet1!$B$2:$B$51,"C",Sheet1!$K$2:$K$51,"rendah",Sheet1!$F$2:$F$51,"formula",Sheet1!$I$2:$I$51,"x",Sheet1!$E$2:$E$51,"normal")</f>
        <v>0</v>
      </c>
      <c r="AU19" s="2">
        <f>COUNTIFS(Sheet1!$C$2:$C$51,"normal",Sheet1!$J$2:$J$51,"i",Sheet1!$H$2:$H$51,"bekerja",Sheet1!$A$2:$A$51,"P",Sheet1!$G$2:$G$51,"sedang",Sheet1!$D$2:$D$51,"normal",Sheet1!$B$2:$B$51,"C",Sheet1!$K$2:$K$51,"rendah",Sheet1!$F$2:$F$51,"formula",Sheet1!$I$2:$I$51,"x",Sheet1!$E$2:$E$51,"kurang")</f>
        <v>0</v>
      </c>
      <c r="AV19" s="2">
        <v>0</v>
      </c>
      <c r="AW19" s="4">
        <f>($AL$2)-((AR19/$AH$3*AV19)+(AR20/$AH$3*AV20)+(AR21/$AH$3*AV21))</f>
        <v>-0.100661977154659</v>
      </c>
    </row>
    <row r="20" spans="1:49">
      <c r="A20" s="7"/>
      <c r="B20" s="2"/>
      <c r="C20" s="2" t="s">
        <v>16</v>
      </c>
      <c r="D20" s="2">
        <f>COUNTIFS(Sheet1!$C$2:$C$51,"normal",Sheet1!$J$2:$J$51,"i",Sheet1!$H$2:$H$51,"bekerja",Sheet1!$A$2:$A$51,"P",Sheet1!$G$2:$G$51,"sedang",Sheet1!$D$2:$D$51,"normal")</f>
        <v>4</v>
      </c>
      <c r="E20" s="2">
        <f>COUNTIFS(Sheet1!$C$2:$C$51,"normal",Sheet1!$J$2:$J$51,"i",Sheet1!$H$2:$H$51,"bekerja",Sheet1!$A$2:$A$51,"P",Sheet1!$G$2:$G$51,"sedang",Sheet1!$D$2:$D$51,"NORMAL",Sheet1!$E$2:$E$51,"lebih")</f>
        <v>1</v>
      </c>
      <c r="F20" s="2">
        <f>COUNTIFS(Sheet1!$C$2:$C$51,"normal",Sheet1!$J$2:$J$51,"i",Sheet1!$H$2:$H$51,"bekerja",Sheet1!$A$2:$A$51,"P",Sheet1!$G$2:$G$51,"sedang",Sheet1!$D$2:$D$51,"NORMAL",Sheet1!$E$2:$E$51,"NORMAL")</f>
        <v>3</v>
      </c>
      <c r="G20" s="2">
        <f>COUNTIFS(Sheet1!$C$2:$C$51,"normal",Sheet1!$J$2:$J$51,"i",Sheet1!$H$2:$H$51,"bekerja",Sheet1!$A$2:$A$51,"P",Sheet1!$G$2:$G$51,"sedang",Sheet1!$D$2:$D$51,"NORMAL",Sheet1!$E$2:$E$51,"KURANG")</f>
        <v>0</v>
      </c>
      <c r="H20" s="2">
        <f>((-E20/D20)*IMLOG2(E20/D20)+(-F20/D20)*IMLOG2(F20/D20))</f>
        <v>0.811278124459133</v>
      </c>
      <c r="I20" s="6"/>
      <c r="L20" s="2"/>
      <c r="M20" s="2" t="s">
        <v>13</v>
      </c>
      <c r="N20" s="2">
        <f>COUNTIFS(Sheet1!$C$2:$C$51,"normal",Sheet1!$J$2:$J$51,"i",Sheet1!$H$2:$H$51,"bekerja",Sheet1!$A$2:$A$51,"P",Sheet1!$G$2:$G$51,"sedang",Sheet1!$D$2:$D$51,"normal",Sheet1!$B$2:$B$51,"B")</f>
        <v>1</v>
      </c>
      <c r="O20" s="2">
        <f>COUNTIFS(Sheet1!$C$2:$C$51,"normal",Sheet1!$J$2:$J$51,"i",Sheet1!$H$2:$H$51,"bekerja",Sheet1!$A$2:$A$51,"P",Sheet1!$G$2:$G$51,"sedang",Sheet1!$D$2:$D$51,"normal",Sheet1!$B$2:$B$51,"B",Sheet1!$E$2:$E$51,"lebih")</f>
        <v>0</v>
      </c>
      <c r="P20" s="2">
        <f>COUNTIFS(Sheet1!$C$2:$C$51,"normal",Sheet1!$J$2:$J$51,"i",Sheet1!$H$2:$H$51,"bekerja",Sheet1!$A$2:$A$51,"P",Sheet1!$G$2:$G$51,"sedang",Sheet1!$D$2:$D$51,"normal",Sheet1!$B$2:$B$51,"B",Sheet1!$E$2:$E$51,"NORMAL")</f>
        <v>1</v>
      </c>
      <c r="Q20" s="2">
        <f>COUNTIFS(Sheet1!$C$2:$C$51,"normal",Sheet1!$J$2:$J$51,"i",Sheet1!$H$2:$H$51,"bekerja",Sheet1!$A$2:$A$51,"P",Sheet1!$G$2:$G$51,"sedang",Sheet1!$D$2:$D$51,"normal",Sheet1!$B$2:$B$51,"B",Sheet1!$E$2:$E$51,"KURANG")</f>
        <v>0</v>
      </c>
      <c r="R20" s="2">
        <v>0</v>
      </c>
      <c r="S20" s="6"/>
      <c r="T20" s="13"/>
      <c r="U20" s="7"/>
      <c r="V20" s="2"/>
      <c r="W20" s="2" t="s">
        <v>26</v>
      </c>
      <c r="X20" s="2">
        <f>COUNTIFS(Sheet1!$C$2:$C$51,"normal",Sheet1!$J$2:$J$51,"i",Sheet1!$H$2:$H$51,"bekerja",Sheet1!$A$2:$A$51,"P",Sheet1!$G$2:$G$51,"sedang",Sheet1!$D$2:$D$51,"normal",Sheet1!$B$2:$B$51,"C",Sheet1!$F$2:$F$51,"kombinasi")</f>
        <v>0</v>
      </c>
      <c r="Y20" s="2">
        <f>COUNTIFS(Sheet1!$C$2:$C$51,"normal",Sheet1!$J$2:$J$51,"i",Sheet1!$H$2:$H$51,"bekerja",Sheet1!$A$2:$A$51,"P",Sheet1!$G$2:$G$51,"sedang",Sheet1!$D$2:$D$51,"normal",Sheet1!$B$2:$B$51,"C",Sheet1!$F$2:$F$51,"kombinasi",Sheet1!$E$2:$E$51,"lebih")</f>
        <v>0</v>
      </c>
      <c r="Z20" s="2">
        <f>COUNTIFS(Sheet1!$C$2:$C$51,"normal",Sheet1!$J$2:$J$51,"i",Sheet1!$H$2:$H$51,"bekerja",Sheet1!$A$2:$A$51,"P",Sheet1!$G$2:$G$51,"sedang",Sheet1!$D$2:$D$51,"normal",Sheet1!$B$2:$B$51,"C",Sheet1!$F$2:$F$51,"KOMBINASI",Sheet1!$E$2:$E$51,"NORMAL")</f>
        <v>0</v>
      </c>
      <c r="AA20" s="2">
        <f>COUNTIFS(Sheet1!$C$2:$C$51,"normal",Sheet1!$J$2:$J$51,"i",Sheet1!$H$2:$H$51,"bekerja",Sheet1!$A$2:$A$51,"P",Sheet1!$G$2:$G$51,"sedang",Sheet1!$D$2:$D$51,"normal",Sheet1!$B$2:$B$51,"C",Sheet1!$F$2:$F$51,"KOMBINASI",Sheet1!$E$2:$E$51,"KURANG")</f>
        <v>0</v>
      </c>
      <c r="AB20" s="2">
        <v>0</v>
      </c>
      <c r="AC20" s="6"/>
      <c r="AE20" s="2"/>
      <c r="AF20" s="2" t="s">
        <v>52</v>
      </c>
      <c r="AG20" s="2">
        <f>COUNTIFS(Sheet1!$C$2:$C$51,"normal",Sheet1!$J$2:$J$51,"i",Sheet1!$H$2:$H$51,"bekerja",Sheet1!$A$2:$A$51,"P",Sheet1!$G$2:$G$51,"sedang",Sheet1!$D$2:$D$51,"normal",Sheet1!$B$2:$B$51,"C",Sheet1!$I$2:$I$51,"y",Sheet1!$F$2:$F$51,"formula")</f>
        <v>0</v>
      </c>
      <c r="AH20" s="2">
        <f>COUNTIFS(Sheet1!$C$2:$C$51,"normal",Sheet1!$J$2:$J$51,"i",Sheet1!$H$2:$H$51,"bekerja",Sheet1!$A$2:$A$51,"P",Sheet1!$G$2:$G$51,"sedang",Sheet1!$D$2:$D$51,"normal",Sheet1!$B$2:$B$51,"C",Sheet1!$I$2:$I$51,"y",Sheet1!$F$2:$F$51,"formula",Sheet1!$E$2:$E$51,"lebih")</f>
        <v>0</v>
      </c>
      <c r="AI20" s="2">
        <f>COUNTIFS(Sheet1!$C$2:$C$51,"normal",Sheet1!$J$2:$J$51,"i",Sheet1!$H$2:$H$51,"bekerja",Sheet1!$A$2:$A$51,"P",Sheet1!$G$2:$G$51,"sedang",Sheet1!$D$2:$D$51,"normal",Sheet1!$B$2:$B$51,"C",Sheet1!$I$2:$I$51,"y",Sheet1!$F$2:$F$51,"formula",Sheet1!$E$2:$E$51,"normal")</f>
        <v>0</v>
      </c>
      <c r="AJ20" s="2">
        <f>COUNTIFS(Sheet1!$C$2:$C$51,"normal",Sheet1!$J$2:$J$51,"i",Sheet1!$H$2:$H$51,"bekerja",Sheet1!$A$2:$A$51,"P",Sheet1!$G$2:$G$51,"sedang",Sheet1!$D$2:$D$51,"normal",Sheet1!$B$2:$B$51,"C",Sheet1!$I$2:$I$51,"y",Sheet1!$F$2:$F$51,"formula",Sheet1!$E$2:$E$51,"kurang")</f>
        <v>0</v>
      </c>
      <c r="AK20" s="2">
        <v>0</v>
      </c>
      <c r="AL20" s="6"/>
      <c r="AP20" s="3"/>
      <c r="AQ20" s="2" t="s">
        <v>22</v>
      </c>
      <c r="AR20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COUNTIFS(Sheet1!$C$2:$C$51,"normal",Sheet1!$J$2:$J$51,"i",Sheet1!$H$2:$H$51,"bekerja",Sheet1!$A$2:$A$51,"P",Sheet1!$G$2:$G$51,"sedang",Sheet1!$D$2:$D$51,"normal",Sheet1!$B$2:$B$51,"C",Sheet1!$K$2:$K$51,"menengah",Sheet1!$F$2:$F$51,"formula",Sheet1!$I$2:$I$51,"x")</f>
        <v>3</v>
      </c>
      <c r="AS20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,Sheet1!$E$2:$E$51,"lebih")</f>
        <v>1</v>
      </c>
      <c r="AT20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,Sheet1!$E$2:$E$51,"normal")</f>
        <v>2</v>
      </c>
      <c r="AU20" s="2">
        <f>COUNTIFS(Sheet1!$C$2:$C$51,"normal",Sheet1!$J$2:$J$51,"i",Sheet1!$H$2:$H$51,"bekerja",Sheet1!$A$2:$A$51,"P",Sheet1!$G$2:$G$51,"sedang",Sheet1!$D$2:$D$51,"normal",Sheet1!$B$2:$B$51,"C",Sheet1!$K$2:$K$51,"menengah",Sheet1!$F$2:$F$51,"formula",Sheet1!$I$2:$I$51,"x",Sheet1!$E$2:$E$51,"kurang")</f>
        <v>0</v>
      </c>
      <c r="AV20" s="2">
        <f>((-AS20/AR20)*IMLOG2(AS20/AR20)+(-AT20/AR20)*IMLOG2(AT20/AR20))</f>
        <v>0.918295834054491</v>
      </c>
      <c r="AW20" s="6"/>
    </row>
    <row r="21" spans="1:49">
      <c r="A21" s="7"/>
      <c r="B21" s="2"/>
      <c r="C21" s="2" t="s">
        <v>31</v>
      </c>
      <c r="D21" s="2">
        <f>COUNTIFS(Sheet1!$C$2:$C$51,"normal",Sheet1!$J$2:$J$51,"i",Sheet1!$H$2:$H$51,"bekerja",Sheet1!$A$2:$A$51,"P",Sheet1!$G$2:$G$51,"sedang",Sheet1!$D$2:$D$51,"tinggi")</f>
        <v>0</v>
      </c>
      <c r="E21" s="2">
        <f>COUNTIFS(Sheet1!$C$2:$C$51,"normal",Sheet1!$J$2:$J$51,"i",Sheet1!$H$2:$H$51,"bekerja",Sheet1!$A$2:$A$51,"P",Sheet1!$G$2:$G$51,"sedang",Sheet1!$D$2:$D$51,"TINGGI",Sheet1!$E$2:$E$51,"lebih")</f>
        <v>0</v>
      </c>
      <c r="F21" s="2">
        <f>COUNTIFS(Sheet1!$C$2:$C$51,"normal",Sheet1!$J$2:$J$51,"i",Sheet1!$H$2:$H$51,"bekerja",Sheet1!$A$2:$A$51,"P",Sheet1!$G$2:$G$51,"sedang",Sheet1!$D$2:$D$51,"TINGGI",Sheet1!$E$2:$E$51,"NORMAL")</f>
        <v>0</v>
      </c>
      <c r="G21" s="2">
        <f>COUNTIFS(Sheet1!$C$2:$C$51,"normal",Sheet1!$J$2:$J$51,"i",Sheet1!$H$2:$H$51,"bekerja",Sheet1!$A$2:$A$51,"P",Sheet1!$G$2:$G$51,"sedang",Sheet1!$D$2:$D$51,"TINGGI",Sheet1!$E$2:$E$51,"KURANG")</f>
        <v>0</v>
      </c>
      <c r="H21" s="2">
        <v>0</v>
      </c>
      <c r="I21" s="5"/>
      <c r="K21" s="7"/>
      <c r="L21" s="2"/>
      <c r="M21" s="2" t="s">
        <v>32</v>
      </c>
      <c r="N21" s="2">
        <f>COUNTIFS(Sheet1!$C$2:$C$51,"normal",Sheet1!$J$2:$J$51,"i",Sheet1!$H$2:$H$51,"bekerja",Sheet1!$A$2:$A$51,"P",Sheet1!$G$2:$G$51,"sedang",Sheet1!$D$2:$D$51,"normal",Sheet1!$B$2:$B$51,"C")</f>
        <v>3</v>
      </c>
      <c r="O21" s="2">
        <f>COUNTIFS(Sheet1!$C$2:$C$51,"normal",Sheet1!$J$2:$J$51,"i",Sheet1!$H$2:$H$51,"bekerja",Sheet1!$A$2:$A$51,"P",Sheet1!$G$2:$G$51,"sedang",Sheet1!$D$2:$D$51,"normal",Sheet1!$B$2:$B$51,"C",Sheet1!$E$2:$E$51,"lebih")</f>
        <v>1</v>
      </c>
      <c r="P21" s="2">
        <f>COUNTIFS(Sheet1!$C$2:$C$51,"normal",Sheet1!$J$2:$J$51,"i",Sheet1!$H$2:$H$51,"bekerja",Sheet1!$A$2:$A$51,"P",Sheet1!$G$2:$G$51,"sedang",Sheet1!$D$2:$D$51,"normal",Sheet1!$B$2:$B$51,"C",Sheet1!$E$2:$E$51,"NORMAL")</f>
        <v>2</v>
      </c>
      <c r="Q21" s="2">
        <f>COUNTIFS(Sheet1!$C$2:$C$51,"normal",Sheet1!$J$2:$J$51,"i",Sheet1!$H$2:$H$51,"bekerja",Sheet1!$A$2:$A$51,"P",Sheet1!$G$2:$G$51,"sedang",Sheet1!$D$2:$D$51,"normal",Sheet1!$B$2:$B$51,"C",Sheet1!$E$2:$E$51,"KURANG")</f>
        <v>0</v>
      </c>
      <c r="R21" s="2">
        <f>((-O21/N21)*IMLOG2(O21/N21)+(-P21/N21)*IMLOG2(P21/N21))</f>
        <v>0.918295834054491</v>
      </c>
      <c r="S21" s="5"/>
      <c r="T21" s="13"/>
      <c r="U21" s="7"/>
      <c r="V21" s="2"/>
      <c r="W21" s="2" t="s">
        <v>34</v>
      </c>
      <c r="X21" s="2">
        <f>COUNTIFS(Sheet1!$C$2:$C$51,"normal",Sheet1!$J$2:$J$51,"i",Sheet1!$H$2:$H$51,"bekerja",Sheet1!$A$2:$A$51,"P",Sheet1!$G$2:$G$51,"sedang",Sheet1!$D$2:$D$51,"normal",Sheet1!$B$2:$B$51,"C",Sheet1!$F$2:$F$51,"ASI")</f>
        <v>0</v>
      </c>
      <c r="Y21" s="2">
        <f>COUNTIFS(Sheet1!$C$2:$C$51,"normal",Sheet1!$J$2:$J$51,"i",Sheet1!$H$2:$H$51,"bekerja",Sheet1!$A$2:$A$51,"P",Sheet1!$G$2:$G$51,"sedang",Sheet1!$D$2:$D$51,"normal",Sheet1!$B$2:$B$51,"C",Sheet1!$F$2:$F$51,"ASI",Sheet1!$E$2:$E$51,"lebih")</f>
        <v>0</v>
      </c>
      <c r="Z21" s="2">
        <f>COUNTIFS(Sheet1!$C$2:$C$51,"normal",Sheet1!$J$2:$J$51,"i",Sheet1!$H$2:$H$51,"bekerja",Sheet1!$A$2:$A$51,"P",Sheet1!$G$2:$G$51,"sedang",Sheet1!$D$2:$D$51,"normal",Sheet1!$B$2:$B$51,"C",Sheet1!$F$2:$F$51,"ASI",Sheet1!$E$2:$E$51,"normal")</f>
        <v>0</v>
      </c>
      <c r="AA21" s="2">
        <f>COUNTIFS(Sheet1!$C$2:$C$51,"normal",Sheet1!$J$2:$J$51,"i",Sheet1!$H$2:$H$51,"bekerja",Sheet1!$A$2:$A$51,"P",Sheet1!$G$2:$G$51,"sedang",Sheet1!$D$2:$D$51,"normal",Sheet1!$B$2:$B$51,"C",Sheet1!$F$2:$F$51,"asi",Sheet1!$E$2:$E$51,"KURANG")</f>
        <v>0</v>
      </c>
      <c r="AB21" s="2">
        <v>0</v>
      </c>
      <c r="AC21" s="5"/>
      <c r="AE21" s="2"/>
      <c r="AF21" s="2" t="s">
        <v>53</v>
      </c>
      <c r="AG21" s="2">
        <f>COUNTIFS(Sheet1!$C$2:$C$51,"normal",Sheet1!$J$2:$J$51,"i",Sheet1!$H$2:$H$51,"bekerja",Sheet1!$A$2:$A$51,"P",Sheet1!$G$2:$G$51,"sedang",Sheet1!$D$2:$D$51,"normal",Sheet1!$B$2:$B$51,"C",Sheet1!$I$2:$I$51,"z",Sheet1!$F$2:$F$51,"formula")</f>
        <v>0</v>
      </c>
      <c r="AH21" s="2">
        <f>COUNTIFS(Sheet1!$C$2:$C$51,"normal",Sheet1!$J$2:$J$51,"i",Sheet1!$H$2:$H$51,"bekerja",Sheet1!$A$2:$A$51,"P",Sheet1!$G$2:$G$51,"sedang",Sheet1!$D$2:$D$51,"normal",Sheet1!$B$2:$B$51,"C",Sheet1!$I$2:$I$51,"z",Sheet1!$F$2:$F$51,"formula",Sheet1!$E$2:$E$51,"lebih")</f>
        <v>0</v>
      </c>
      <c r="AI21" s="2">
        <f>COUNTIFS(Sheet1!$C$2:$C$51,"normal",Sheet1!$J$2:$J$51,"i",Sheet1!$H$2:$H$51,"bekerja",Sheet1!$A$2:$A$51,"P",Sheet1!$G$2:$G$51,"sedang",Sheet1!$D$2:$D$51,"normal",Sheet1!$B$2:$B$51,"C",Sheet1!$I$2:$I$51,"z",Sheet1!$F$2:$F$51,"formula",Sheet1!$E$2:$E$51,"normal")</f>
        <v>0</v>
      </c>
      <c r="AJ21" s="2">
        <f>COUNTIFS(Sheet1!$C$2:$C$51,"normal",Sheet1!$J$2:$J$51,"i",Sheet1!$H$2:$H$51,"bekerja",Sheet1!$A$2:$A$51,"P",Sheet1!$G$2:$G$51,"sedang",Sheet1!$D$2:$D$51,"normal",Sheet1!$B$2:$B$51,"C",Sheet1!$I$2:$I$51,"z",Sheet1!$F$2:$F$51,"formula",Sheet1!$E$2:$E$51,"kurang")</f>
        <v>0</v>
      </c>
      <c r="AK21" s="2">
        <v>0</v>
      </c>
      <c r="AL21" s="5"/>
      <c r="AP21" s="3"/>
      <c r="AQ21" s="2" t="s">
        <v>31</v>
      </c>
      <c r="AR21" s="2">
        <f>COUNTIFS(Sheet1!$C$2:$C$51,"normal",Sheet1!$J$2:$J$51,"i",Sheet1!$H$2:$H$51,"bekerja",Sheet1!$A$2:$A$51,"P",Sheet1!$G$2:$G$51,"sedang",Sheet1!$D$2:$D$51,"normal",Sheet1!$B$2:$B$51,"C",Sheet1!$K$2:$K$51,"tinggi",Sheet1!$F$2:$F$51,"formula",Sheet1!$I$2:$I$51,"x")</f>
        <v>0</v>
      </c>
      <c r="AS21" s="2">
        <f>COUNTIFS(Sheet1!$C$2:$C$51,"normal",Sheet1!$J$2:$J$51,"i",Sheet1!$H$2:$H$51,"bekerja",Sheet1!$A$2:$A$51,"P",Sheet1!$G$2:$G$51,"sedang",Sheet1!$D$2:$D$51,"normal",Sheet1!$B$2:$B$51,"C",Sheet1!$D$2:$D$51,"normal",Sheet1!$K$2:$K$51,"tinggi",Sheet1!$F$2:$F$51,"formula",Sheet1!$I$2:$I$51,"x",Sheet1!$E$2:$E$51,"lebih")</f>
        <v>0</v>
      </c>
      <c r="AT21" s="2">
        <f>COUNTIFS(Sheet1!$C$2:$C$51,"normal",Sheet1!$J$2:$J$51,"i",Sheet1!$H$2:$H$51,"bekerja",Sheet1!$A$2:$A$51,"P",Sheet1!$G$2:$G$51,"sedang",Sheet1!$D$2:$D$51,"normal",Sheet1!$B$2:$B$51,"C",Sheet1!$K$2:$K$51,"tinggi",Sheet1!$F$2:$F$51,"formula",Sheet1!$I$2:$I$51,"x",Sheet1!$E$2:$E$51,"normal")</f>
        <v>0</v>
      </c>
      <c r="AU21" s="2">
        <f>COUNTIFS(Sheet1!$C$2:$C$51,"normal",Sheet1!$J$2:$J$51,"i",Sheet1!$H$2:$H$51,"bekerja",Sheet1!$A$2:$A$51,"P",Sheet1!$G$2:$G$51,"sedang",Sheet1!$D$2:$D$51,"normal",Sheet1!$B$2:$B$51,"C",Sheet1!$K$2:$K$51,"tinggi",Sheet1!$F$2:$F$51,"formula",Sheet1!$I$2:$I$51,"x",Sheet1!$E$2:$E$51,"kurang")</f>
        <v>0</v>
      </c>
      <c r="AV21" s="2">
        <v>0</v>
      </c>
      <c r="AW21" s="5"/>
    </row>
    <row r="22" spans="1:29">
      <c r="A22" s="7"/>
      <c r="K22" s="7"/>
      <c r="T22" s="13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7"/>
      <c r="K23" s="7"/>
      <c r="T23" s="13"/>
      <c r="U23" s="7"/>
      <c r="V23" s="7"/>
      <c r="W23" s="7"/>
      <c r="X23" s="7"/>
      <c r="Y23" s="7"/>
      <c r="Z23" s="7"/>
      <c r="AA23" s="7"/>
      <c r="AB23" s="7"/>
      <c r="AC23" s="7"/>
    </row>
    <row r="24" spans="1:29">
      <c r="A24" s="7"/>
      <c r="T24" s="13"/>
      <c r="U24" s="7"/>
      <c r="V24" s="7"/>
      <c r="W24" s="7"/>
      <c r="X24" s="7"/>
      <c r="Y24" s="7"/>
      <c r="Z24" s="7"/>
      <c r="AA24" s="7"/>
      <c r="AB24" s="7"/>
      <c r="AC24" s="7"/>
    </row>
    <row r="25" spans="1:29">
      <c r="A25" s="7"/>
      <c r="B25" s="13"/>
      <c r="C25" s="13"/>
      <c r="D25" s="13"/>
      <c r="E25" s="13"/>
      <c r="F25" s="13"/>
      <c r="G25" s="13"/>
      <c r="H25" s="13"/>
      <c r="I25" s="13"/>
      <c r="L25" s="7"/>
      <c r="M25" s="7"/>
      <c r="N25" s="7"/>
      <c r="O25" s="7"/>
      <c r="P25" s="7"/>
      <c r="Q25" s="7"/>
      <c r="R25" s="7"/>
      <c r="S25" s="7"/>
      <c r="T25" s="13"/>
      <c r="U25" s="7"/>
      <c r="V25" s="7"/>
      <c r="W25" s="7"/>
      <c r="X25" s="7"/>
      <c r="Y25" s="7"/>
      <c r="Z25" s="7"/>
      <c r="AA25" s="7"/>
      <c r="AB25" s="7"/>
      <c r="AC25" s="7"/>
    </row>
    <row r="26" spans="1:29">
      <c r="A26" s="7"/>
      <c r="B26" s="7"/>
      <c r="C26" s="7"/>
      <c r="D26" s="7"/>
      <c r="E26" s="7"/>
      <c r="F26" s="7"/>
      <c r="G26" s="7"/>
      <c r="H26" s="7"/>
      <c r="I26" s="7"/>
      <c r="K26" s="7"/>
      <c r="L26" s="7"/>
      <c r="M26" s="7"/>
      <c r="N26" s="7"/>
      <c r="O26" s="7"/>
      <c r="P26" s="7"/>
      <c r="Q26" s="7"/>
      <c r="R26" s="7"/>
      <c r="S26" s="7"/>
      <c r="T26" s="13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7"/>
      <c r="B27" s="7"/>
      <c r="C27" s="7"/>
      <c r="D27" s="7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7"/>
      <c r="R27" s="7"/>
      <c r="S27" s="7"/>
      <c r="T27" s="13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13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13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13"/>
      <c r="U30" s="7"/>
      <c r="V30" s="7"/>
      <c r="W30" s="7"/>
      <c r="X30" s="7"/>
      <c r="Y30" s="7"/>
      <c r="Z30" s="7"/>
      <c r="AA30" s="7"/>
      <c r="AB30" s="7"/>
      <c r="AC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1">
      <c r="A32" s="7"/>
    </row>
  </sheetData>
  <mergeCells count="60">
    <mergeCell ref="B1:C1"/>
    <mergeCell ref="L1:M1"/>
    <mergeCell ref="V1:W1"/>
    <mergeCell ref="AF1:AG1"/>
    <mergeCell ref="AP1:AQ1"/>
    <mergeCell ref="B2:C2"/>
    <mergeCell ref="L2:M2"/>
    <mergeCell ref="V2:W2"/>
    <mergeCell ref="AF2:AG2"/>
    <mergeCell ref="AP2:AQ2"/>
    <mergeCell ref="B3:C3"/>
    <mergeCell ref="L3:M3"/>
    <mergeCell ref="V3:W3"/>
    <mergeCell ref="AF3:AG3"/>
    <mergeCell ref="AP3:AQ3"/>
    <mergeCell ref="A2:A17"/>
    <mergeCell ref="B4:B6"/>
    <mergeCell ref="B7:B9"/>
    <mergeCell ref="B10:B12"/>
    <mergeCell ref="B13:B15"/>
    <mergeCell ref="B16:B17"/>
    <mergeCell ref="B19:B21"/>
    <mergeCell ref="I4:I6"/>
    <mergeCell ref="I7:I9"/>
    <mergeCell ref="I10:I12"/>
    <mergeCell ref="I13:I15"/>
    <mergeCell ref="I16:I17"/>
    <mergeCell ref="I19:I21"/>
    <mergeCell ref="K2:K14"/>
    <mergeCell ref="L4:L6"/>
    <mergeCell ref="L7:L9"/>
    <mergeCell ref="L10:L12"/>
    <mergeCell ref="L13:L14"/>
    <mergeCell ref="L19:L21"/>
    <mergeCell ref="S4:S6"/>
    <mergeCell ref="S7:S9"/>
    <mergeCell ref="S10:S12"/>
    <mergeCell ref="S13:S14"/>
    <mergeCell ref="S19:S21"/>
    <mergeCell ref="U2:U11"/>
    <mergeCell ref="V4:V6"/>
    <mergeCell ref="V7:V9"/>
    <mergeCell ref="V10:V11"/>
    <mergeCell ref="V19:V21"/>
    <mergeCell ref="AC4:AC6"/>
    <mergeCell ref="AC7:AC9"/>
    <mergeCell ref="AC10:AC11"/>
    <mergeCell ref="AC19:AC21"/>
    <mergeCell ref="AE2:AE8"/>
    <mergeCell ref="AE19:AE21"/>
    <mergeCell ref="AF4:AF6"/>
    <mergeCell ref="AF7:AF8"/>
    <mergeCell ref="AL19:AL21"/>
    <mergeCell ref="AM4:AM6"/>
    <mergeCell ref="AM7:AM8"/>
    <mergeCell ref="AO2:AO5"/>
    <mergeCell ref="AP4:AP5"/>
    <mergeCell ref="AP19:AP21"/>
    <mergeCell ref="AW4:AW5"/>
    <mergeCell ref="AW19:AW2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2"/>
  <sheetViews>
    <sheetView topLeftCell="A5" workbookViewId="0">
      <selection activeCell="A3" sqref="A3:A23"/>
    </sheetView>
  </sheetViews>
  <sheetFormatPr defaultColWidth="9" defaultRowHeight="15"/>
  <cols>
    <col min="1" max="1" width="17.7142857142857" customWidth="true"/>
    <col min="2" max="2" width="21.8571428571429" customWidth="true"/>
    <col min="3" max="3" width="11.7142857142857" customWidth="true"/>
    <col min="8" max="8" width="12.8571428571429"/>
    <col min="9" max="9" width="14"/>
    <col min="11" max="11" width="18" customWidth="true"/>
    <col min="12" max="12" width="18.5714285714286" customWidth="true"/>
    <col min="13" max="13" width="12.4285714285714" customWidth="true"/>
    <col min="17" max="18" width="12.8571428571429"/>
    <col min="19" max="19" width="14"/>
    <col min="21" max="21" width="25.5714285714286" customWidth="true"/>
    <col min="22" max="22" width="18.8571428571429" customWidth="true"/>
    <col min="23" max="23" width="14.7142857142857" customWidth="true"/>
    <col min="28" max="28" width="12.8571428571429"/>
    <col min="29" max="30" width="14"/>
  </cols>
  <sheetData>
    <row r="1" spans="1:29">
      <c r="A1" s="2" t="s">
        <v>37</v>
      </c>
      <c r="B1" s="2" t="s">
        <v>38</v>
      </c>
      <c r="C1" s="2"/>
      <c r="D1" s="2" t="s">
        <v>39</v>
      </c>
      <c r="E1" s="2" t="s">
        <v>40</v>
      </c>
      <c r="F1" s="2" t="s">
        <v>16</v>
      </c>
      <c r="G1" s="2" t="s">
        <v>36</v>
      </c>
      <c r="H1" s="2" t="s">
        <v>41</v>
      </c>
      <c r="I1" s="2" t="s">
        <v>42</v>
      </c>
      <c r="K1" s="2" t="s">
        <v>37</v>
      </c>
      <c r="L1" s="2" t="s">
        <v>38</v>
      </c>
      <c r="M1" s="2"/>
      <c r="N1" s="2" t="s">
        <v>39</v>
      </c>
      <c r="O1" s="2" t="s">
        <v>40</v>
      </c>
      <c r="P1" s="2" t="s">
        <v>16</v>
      </c>
      <c r="Q1" s="2" t="s">
        <v>36</v>
      </c>
      <c r="R1" s="2" t="s">
        <v>41</v>
      </c>
      <c r="S1" s="2" t="s">
        <v>42</v>
      </c>
      <c r="T1" s="13"/>
      <c r="U1" s="4" t="s">
        <v>37</v>
      </c>
      <c r="V1" s="2" t="s">
        <v>38</v>
      </c>
      <c r="W1" s="2"/>
      <c r="X1" s="2" t="s">
        <v>39</v>
      </c>
      <c r="Y1" s="2" t="s">
        <v>40</v>
      </c>
      <c r="Z1" s="2" t="s">
        <v>16</v>
      </c>
      <c r="AA1" s="2" t="s">
        <v>36</v>
      </c>
      <c r="AB1" s="2" t="s">
        <v>41</v>
      </c>
      <c r="AC1" s="2" t="s">
        <v>42</v>
      </c>
    </row>
    <row r="2" spans="1:29">
      <c r="A2" s="2"/>
      <c r="B2" s="2" t="s">
        <v>43</v>
      </c>
      <c r="C2" s="2"/>
      <c r="D2" s="2">
        <v>50</v>
      </c>
      <c r="E2" s="2">
        <f>COUNTIF(Sheet1!$E$2:$E$51,"lebih")</f>
        <v>7</v>
      </c>
      <c r="F2" s="2">
        <f>COUNTIF(Sheet1!$E$2:$E$51,"normal")</f>
        <v>41</v>
      </c>
      <c r="G2" s="2">
        <f>COUNTIF(Sheet1!$E$2:$E$51,"kurang")</f>
        <v>2</v>
      </c>
      <c r="H2" s="2">
        <f>((-E2/D2)*IMLOG2(E2/D2)+(-F2/D2)*IMLOG2(F2/D2)+(-G2/D2)*IMLOG2(G2/D2))</f>
        <v>0.817633856899831</v>
      </c>
      <c r="I2" s="2"/>
      <c r="K2" s="3" t="s">
        <v>83</v>
      </c>
      <c r="L2" s="2" t="s">
        <v>43</v>
      </c>
      <c r="M2" s="2"/>
      <c r="N2" s="2">
        <v>50</v>
      </c>
      <c r="O2" s="2">
        <f>COUNTIF(Sheet1!$E$2:$E$51,"lebih")</f>
        <v>7</v>
      </c>
      <c r="P2" s="2">
        <f>COUNTIF(Sheet1!$E$2:$E$51,"normal")</f>
        <v>41</v>
      </c>
      <c r="Q2" s="2">
        <f>COUNTIF(Sheet1!$E$2:$E$51,"kurang")</f>
        <v>2</v>
      </c>
      <c r="R2" s="2">
        <f>((-O2/N2)*IMLOG2(O2/N2)+(-P2/N2)*IMLOG2(P2/N2)+(-Q2/N2)*IMLOG2(Q2/N2))</f>
        <v>0.817633856899831</v>
      </c>
      <c r="S2" s="2"/>
      <c r="T2" s="13"/>
      <c r="U2" s="3" t="s">
        <v>84</v>
      </c>
      <c r="V2" s="18" t="s">
        <v>43</v>
      </c>
      <c r="W2" s="2"/>
      <c r="X2" s="2">
        <v>50</v>
      </c>
      <c r="Y2" s="2">
        <f>COUNTIF(Sheet1!$E$2:$E$51,"lebih")</f>
        <v>7</v>
      </c>
      <c r="Z2" s="2">
        <f>COUNTIF(Sheet1!$E$2:$E$51,"normal")</f>
        <v>41</v>
      </c>
      <c r="AA2" s="2">
        <f>COUNTIF(Sheet1!$E$2:$E$51,"kurang")</f>
        <v>2</v>
      </c>
      <c r="AB2" s="2">
        <f>((-Y2/X2)*IMLOG2(Y2/X2)+(-Z2/X2)*IMLOG2(Z2/X2)+(-AA2/X2)*IMLOG2(AA2/X2))</f>
        <v>0.817633856899831</v>
      </c>
      <c r="AC2" s="2"/>
    </row>
    <row r="3" spans="1:29">
      <c r="A3" s="3" t="s">
        <v>85</v>
      </c>
      <c r="B3" s="2" t="s">
        <v>86</v>
      </c>
      <c r="C3" s="2"/>
      <c r="D3" s="2">
        <f>COUNTIFS(Sheet1!$C$2:$C$51,"normal",Sheet1!$J$2:$J$51,"i",Sheet1!$H$2:$H$51,"tidak",Sheet1!$L$2:$L$51,"memiliki")</f>
        <v>8</v>
      </c>
      <c r="E3" s="2">
        <f>COUNTIFS(Sheet1!$C$2:$C$51,"normal",Sheet1!$J$2:$J$51,"i",Sheet1!$H$2:$H$51,"tidak",Sheet1!$L$2:$L$51,"memiliki",Sheet1!$E$2:$E$51,"lebih")</f>
        <v>2</v>
      </c>
      <c r="F3" s="2">
        <f>COUNTIFS(Sheet1!$C$2:$C$51,"normal",Sheet1!$J$2:$J$51,"i",Sheet1!$H$2:$H$51,"tidak",Sheet1!$L$2:$L$51,"memiliki",Sheet1!$E$2:$E$51,"normal")</f>
        <v>6</v>
      </c>
      <c r="G3" s="2">
        <f>COUNTIFS(Sheet1!$C$2:$C$51,"normal",Sheet1!$J$2:$J$51,"i",Sheet1!$H$2:$H$51,"tidak",Sheet1!$L$2:$L$51,"memiliki",Sheet1!$E$2:$E$51,"kurang")</f>
        <v>0</v>
      </c>
      <c r="H3" s="2">
        <f>((-E3/D3)*IMLOG2(E3/D3)+(-F3/D3)*IMLOG2(F3/D3))</f>
        <v>0.811278124459133</v>
      </c>
      <c r="I3" s="2"/>
      <c r="K3" s="3"/>
      <c r="L3" s="2" t="s">
        <v>87</v>
      </c>
      <c r="M3" s="2"/>
      <c r="N3" s="2">
        <f>COUNTIFS(Sheet1!$C$2:$C$51,"normal",Sheet1!$J$2:$J$51,"i",Sheet1!$H$2:$H$51,"tidak",Sheet1!$L$2:$L$51,"MEMILIKI",Sheet1!$B$2:$B$51,"A")</f>
        <v>3</v>
      </c>
      <c r="O3" s="2">
        <f>COUNTIFS(Sheet1!$C$2:$C$51,"normal",Sheet1!$J$2:$J$51,"i",Sheet1!$H$2:$H$51,"tidak",Sheet1!$L$2:$L$51,"MEMILIKI",Sheet1!$B$2:$B$51,"A",Sheet1!$E$2:$E$51,"lebih")</f>
        <v>1</v>
      </c>
      <c r="P3" s="2">
        <f>COUNTIFS(Sheet1!$C$2:$C$51,"normal",Sheet1!$J$2:$J$51,"i",Sheet1!$H$2:$H$51,"tidak",Sheet1!$L$2:$L$51,"MEMILIKI",Sheet1!$B$2:$B$51,"A",Sheet1!$E$2:$E$51,"NORMAL")</f>
        <v>2</v>
      </c>
      <c r="Q3" s="2">
        <f>COUNTIFS(Sheet1!$C$2:$C$51,"normal",Sheet1!$J$2:$J$51,"i",Sheet1!$H$2:$H$51,"tidak",Sheet1!$L$2:$L$51,"MEMILIKI",Sheet1!$B$2:$B$51,"A",Sheet1!$E$2:$E$51,"KURANG")</f>
        <v>0</v>
      </c>
      <c r="R3" s="2">
        <f>((-O3/N3)*IMLOG2(O3/N3)+(-P3/N3)*IMLOG2(P3/N3))</f>
        <v>0.918295834054491</v>
      </c>
      <c r="S3" s="2"/>
      <c r="T3" s="13"/>
      <c r="U3" s="3"/>
      <c r="V3" s="18" t="s">
        <v>88</v>
      </c>
      <c r="W3" s="2"/>
      <c r="X3" s="2">
        <f>COUNTIFS(Sheet1!$C$2:$C$51,"normal",Sheet1!$J$2:$J$51,"i",Sheet1!$H$2:$H$51,"tidak",Sheet1!$L$2:$L$51,"MEMILIKI",Sheet1!$D$2:$D$51,"NORMAL",Sheet1!$B$2:$B$51,"A")</f>
        <v>2</v>
      </c>
      <c r="Y3" s="2">
        <f>COUNTIFS(Sheet1!$C$2:$C$51,"normal",Sheet1!$J$2:$J$51,"i",Sheet1!$H$2:$H$51,"tidak",Sheet1!$L$2:$L$51,"MEMILIKI",Sheet1!$B$2:$B$51,"A",Sheet1!$D$2:$D$51,"NORMAL",Sheet1!$E$2:$E$51,"lebih")</f>
        <v>1</v>
      </c>
      <c r="Z3" s="2">
        <f>COUNTIFS(Sheet1!$C$2:$C$51,"normal",Sheet1!$J$2:$J$51,"i",Sheet1!$H$2:$H$51,"tidak",Sheet1!$L$2:$L$51,"MEMILIKI",Sheet1!$D$2:$D$51,"NORMAL",Sheet1!$B$2:$B$51,"A",Sheet1!$E$2:$E$51,"NORMAL")</f>
        <v>1</v>
      </c>
      <c r="AA3" s="2">
        <f>COUNTIFS(Sheet1!$C$2:$C$51,"normal",Sheet1!$J$2:$J$51,"i",Sheet1!$H$2:$H$51,"tidak",Sheet1!$L$2:$L$51,"MEMILIKI",Sheet1!$D$2:$D$51,"NORMAL",Sheet1!$B$2:$B$51,"A",Sheet1!$E$2:$E$51,"KURANG")</f>
        <v>0</v>
      </c>
      <c r="AB3" s="2">
        <f t="shared" ref="AB3:AB7" si="0">((-Y3/X3)*IMLOG2(Y3/X3)+(-Z3/X3)*IMLOG2(Z3/X3))</f>
        <v>1</v>
      </c>
      <c r="AC3" s="2"/>
    </row>
    <row r="4" spans="1:29">
      <c r="A4" s="3"/>
      <c r="B4" s="4" t="s">
        <v>44</v>
      </c>
      <c r="C4" s="2" t="s">
        <v>24</v>
      </c>
      <c r="D4" s="2">
        <f>COUNTIFS(Sheet1!$C$2:$C$51,"normal",Sheet1!$J$2:$J$51,"i",Sheet1!$H$2:$H$51,"tidak",Sheet1!$L$2:$L$51,"MEMILIKI",Sheet1!$A$2:$A$51,"L")</f>
        <v>4</v>
      </c>
      <c r="E4" s="2">
        <f>COUNTIFS(Sheet1!$C$2:$C$51,"normal",Sheet1!$J$2:$J$51,"i",Sheet1!$H$2:$H$51,"tidak",Sheet1!$L$2:$L$51,"MEMILIKI",Sheet1!$A$2:$A$51,"L",Sheet1!$E$2:$E$51,"lebih")</f>
        <v>1</v>
      </c>
      <c r="F4" s="2">
        <f>COUNTIFS(Sheet1!$C$2:$C$51,"normal",Sheet1!$J$2:$J$51,"i",Sheet1!$H$2:$H$51,"tidak",Sheet1!$L$2:$L$51,"MEMILIKI",Sheet1!$A$2:$A$51,"L",Sheet1!$E$2:$E$51,"NORMAL")</f>
        <v>3</v>
      </c>
      <c r="G4" s="2">
        <f>COUNTIFS(Sheet1!$C$2:$C$51,"normal",Sheet1!$J$2:$J$51,"i",Sheet1!$H$2:$H$51,"tidak",Sheet1!$L$2:$L$51,"MEMILIKI",Sheet1!$A$2:$A$51,"L",Sheet1!$E$2:$E$51,"KURANG")</f>
        <v>0</v>
      </c>
      <c r="H4" s="2">
        <f t="shared" ref="H4:H9" si="1">((-E4/D4)*IMLOG2(E4/D4)+(-F4/D4)*IMLOG2(F4/D4))</f>
        <v>0.811278124459133</v>
      </c>
      <c r="I4" s="4">
        <f>($H$2)-((D4/$D$3*H4)+(D5/$D$3*H5))</f>
        <v>0.00635573244069831</v>
      </c>
      <c r="K4" s="3"/>
      <c r="L4" s="4" t="s">
        <v>44</v>
      </c>
      <c r="M4" s="2" t="s">
        <v>24</v>
      </c>
      <c r="N4" s="2">
        <f>COUNTIFS(Sheet1!$C$2:$C$51,"normal",Sheet1!$J$2:$J$51,"i",Sheet1!$H$2:$H$51,"tidak",Sheet1!$L$2:$L$51,"MEMILIKI",Sheet1!$B$2:$B$51,"A",Sheet1!$A$2:$A$51,"L")</f>
        <v>3</v>
      </c>
      <c r="O4" s="2">
        <f>COUNTIFS(Sheet1!$C$2:$C$51,"normal",Sheet1!$J$2:$J$51,"i",Sheet1!$H$2:$H$51,"tidak",Sheet1!$L$2:$L$51,"MEMILIKI",Sheet1!$B$2:$B$51,"A",Sheet1!$A$2:$A$51,"L",Sheet1!$E$2:$E$51,"lebih")</f>
        <v>1</v>
      </c>
      <c r="P4" s="2">
        <f>COUNTIFS(Sheet1!$C$2:$C$51,"normal",Sheet1!$J$2:$J$51,"i",Sheet1!$H$2:$H$51,"tidak",Sheet1!$L$2:$L$51,"MEMILIKI",Sheet1!$B$2:$B$51,"A",Sheet1!$A$2:$A$51,"L",Sheet1!$E$2:$E$51,"NORMAL")</f>
        <v>2</v>
      </c>
      <c r="Q4" s="2">
        <f>COUNTIFS(Sheet1!$C$2:$C$51,"normal",Sheet1!$J$2:$J$51,"i",Sheet1!$H$2:$H$51,"tidak",Sheet1!$L$2:$L$51,"MEMILIKI",Sheet1!$B$2:$B$51,"A",Sheet1!$A$2:$A$51,"L",Sheet1!$E$2:$E$51,"KURANG")</f>
        <v>0</v>
      </c>
      <c r="R4" s="2">
        <f>((-O4/N4)*IMLOG2(O4/N4)+(-P4/N4)*IMLOG2(P4/N4))</f>
        <v>0.918295834054491</v>
      </c>
      <c r="S4" s="4">
        <f>($R$2)-((N4/$N$3*R4)+(N5/$N$3*R5))</f>
        <v>-0.100661977154659</v>
      </c>
      <c r="T4" s="13"/>
      <c r="U4" s="3"/>
      <c r="V4" s="22" t="s">
        <v>44</v>
      </c>
      <c r="W4" s="2" t="s">
        <v>24</v>
      </c>
      <c r="X4" s="2">
        <f>COUNTIFS(Sheet1!$C$2:$C$51,"normal",Sheet1!$J$2:$J$51,"i",Sheet1!$H$2:$H$51,"tidak",Sheet1!$L$2:$L$51,"MEMILIKI",Sheet1!$B$2:$B$51,"A",Sheet1!$A$2:$A$51,"L",Sheet1!$D$2:$D$51,"NORMAL")</f>
        <v>2</v>
      </c>
      <c r="Y4" s="2">
        <f>COUNTIFS(Sheet1!$C$2:$C$51,"normal",Sheet1!$J$2:$J$51,"i",Sheet1!$H$2:$H$51,"tidak",Sheet1!$L$2:$L$51,"MEMILIKI",Sheet1!$B$2:$B$51,"A",Sheet1!$A$2:$A$51,"L",Sheet1!$E$2:$E$51,"lebih",Sheet1!$D$2:$D$51,"NORMAL")</f>
        <v>1</v>
      </c>
      <c r="Z4" s="2">
        <f>COUNTIFS(Sheet1!$C$2:$C$51,"normal",Sheet1!$J$2:$J$51,"i",Sheet1!$H$2:$H$51,"tidak",Sheet1!$L$2:$L$51,"MEMILIKI",Sheet1!$B$2:$B$51,"A",Sheet1!$A$2:$A$51,"L",Sheet1!$E$2:$E$51,"NORMAL",Sheet1!$D$2:$D$51,"NORMAL")</f>
        <v>1</v>
      </c>
      <c r="AA4" s="2">
        <f>COUNTIFS(Sheet1!$C$2:$C$51,"normal",Sheet1!$J$2:$J$51,"i",Sheet1!$H$2:$H$51,"tidak",Sheet1!$L$2:$L$51,"MEMILIKI",Sheet1!$B$2:$B$51,"A",Sheet1!$A$2:$A$51,"L",Sheet1!$E$2:$E$51,"KURANG",Sheet1!$D$2:$D$51,"NORMAL")</f>
        <v>0</v>
      </c>
      <c r="AB4" s="2">
        <f t="shared" si="0"/>
        <v>1</v>
      </c>
      <c r="AC4" s="4">
        <f>($AB$2)-((X4/$X$3*AB4)+(X5/$X$3*AB5))</f>
        <v>-0.182366143100169</v>
      </c>
    </row>
    <row r="5" spans="1:29">
      <c r="A5" s="3"/>
      <c r="B5" s="5"/>
      <c r="C5" s="2" t="s">
        <v>12</v>
      </c>
      <c r="D5" s="2">
        <f>COUNTIFS(Sheet1!$C$2:$C$51,"normal",Sheet1!$J$2:$J$51,"i",Sheet1!$H$2:$H$51,"tidak",Sheet1!$L$2:$L$51,"MEMILIKI",Sheet1!$A$2:$A$51,"P")</f>
        <v>4</v>
      </c>
      <c r="E5" s="2">
        <f>COUNTIFS(Sheet1!$C$2:$C$51,"normal",Sheet1!$J$2:$J$51,"i",Sheet1!$H$2:$H$51,"tidak",Sheet1!$L$2:$L$51,"MEMILIKI",Sheet1!$A$2:$A$51,"P",Sheet1!$E$2:$E$51,"lebih")</f>
        <v>1</v>
      </c>
      <c r="F5" s="2">
        <f>COUNTIFS(Sheet1!$C$2:$C$51,"normal",Sheet1!$J$2:$J$51,"i",Sheet1!$H$2:$H$51,"tidak",Sheet1!$L$2:$L$51,"MEMILIKI",Sheet1!$A$2:$A$51,"P",Sheet1!$E$2:$E$51,"NORMAL")</f>
        <v>3</v>
      </c>
      <c r="G5" s="2">
        <f>COUNTIFS(Sheet1!$C$2:$C$51,"normal",Sheet1!$J$2:$J$51,"i",Sheet1!$H$2:$H$51,"tidak",Sheet1!$L$2:$L$51,"MEMILIKI",Sheet1!$A$2:$A$51,"P",Sheet1!$E$2:$E$51,"KURANG")</f>
        <v>0</v>
      </c>
      <c r="H5" s="2">
        <f t="shared" si="1"/>
        <v>0.811278124459133</v>
      </c>
      <c r="I5" s="5"/>
      <c r="K5" s="3"/>
      <c r="L5" s="5"/>
      <c r="M5" s="2" t="s">
        <v>12</v>
      </c>
      <c r="N5" s="2">
        <f>COUNTIFS(Sheet1!$C$2:$C$51,"normal",Sheet1!$J$2:$J$51,"i",Sheet1!$H$2:$H$51,"tidak",Sheet1!$L$2:$L$51,"MEMILIKI",Sheet1!$B$2:$B$51,"A",Sheet1!$A$2:$A$51,"P")</f>
        <v>0</v>
      </c>
      <c r="O5" s="2">
        <f>COUNTIFS(Sheet1!$C$2:$C$51,"normal",Sheet1!$J$2:$J$51,"i",Sheet1!$H$2:$H$51,"tidak",Sheet1!$L$2:$L$51,"MEMILIKI",Sheet1!$B$2:$B$51,"A",Sheet1!$A$2:$A$51,"P",Sheet1!$E$2:$E$51,"lebih")</f>
        <v>0</v>
      </c>
      <c r="P5" s="2">
        <f>COUNTIFS(Sheet1!$C$2:$C$51,"normal",Sheet1!$J$2:$J$51,"i",Sheet1!$H$2:$H$51,"tidak",Sheet1!$L$2:$L$51,"MEMILIKI",Sheet1!$B$2:$B$51,"A",Sheet1!$A$2:$A$51,"P",Sheet1!$E$2:$E$51,"NORMAL")</f>
        <v>0</v>
      </c>
      <c r="Q5" s="2">
        <f>COUNTIFS(Sheet1!$C$2:$C$51,"normal",Sheet1!$J$2:$J$51,"i",Sheet1!$H$2:$H$51,"tidak",Sheet1!$L$2:$L$51,"MEMILIKI",Sheet1!$B$2:$B$51,"A",Sheet1!$A$2:$A$51,"P",Sheet1!$E$2:$E$51,"KURANG")</f>
        <v>0</v>
      </c>
      <c r="R5" s="2">
        <v>0</v>
      </c>
      <c r="S5" s="5"/>
      <c r="T5" s="13"/>
      <c r="U5" s="3"/>
      <c r="V5" s="23"/>
      <c r="W5" s="2" t="s">
        <v>12</v>
      </c>
      <c r="X5" s="2">
        <f>COUNTIFS(Sheet1!$C$2:$C$51,"normal",Sheet1!$J$2:$J$51,"i",Sheet1!$H$2:$H$51,"tidak",Sheet1!$L$2:$L$51,"MEMILIKI",Sheet1!$B$2:$B$51,"A",Sheet1!$A$2:$A$51,"P",Sheet1!$D$2:$D$51,"NORMAL")</f>
        <v>0</v>
      </c>
      <c r="Y5" s="2">
        <f>COUNTIFS(Sheet1!$C$2:$C$51,"normal",Sheet1!$J$2:$J$51,"i",Sheet1!$H$2:$H$51,"tidak",Sheet1!$L$2:$L$51,"MEMILIKI",Sheet1!$B$2:$B$51,"A",Sheet1!$A$2:$A$51,"P",Sheet1!$E$2:$E$51,"lebih",Sheet1!$D$2:$D$51,"NORMAL")</f>
        <v>0</v>
      </c>
      <c r="Z5" s="2">
        <f>COUNTIFS(Sheet1!$C$2:$C$51,"normal",Sheet1!$J$2:$J$51,"i",Sheet1!$H$2:$H$51,"tidak",Sheet1!$L$2:$L$51,"MEMILIKI",Sheet1!$B$2:$B$51,"A",Sheet1!$A$2:$A$51,"P",Sheet1!$E$2:$E$51,"NORMAL",Sheet1!$D$2:$D$51,"NORMAL")</f>
        <v>0</v>
      </c>
      <c r="AA5" s="2">
        <f>COUNTIFS(Sheet1!$C$2:$C$51,"normal",Sheet1!$J$2:$J$51,"i",Sheet1!$H$2:$H$51,"tidak",Sheet1!$L$2:$L$51,"MEMILIKI",Sheet1!$B$2:$B$51,"A",Sheet1!$A$2:$A$51,"P",Sheet1!$E$2:$E$51,"KURANG",Sheet1!$D$2:$D$51,"NORMAL")</f>
        <v>0</v>
      </c>
      <c r="AB5" s="2">
        <v>0</v>
      </c>
      <c r="AC5" s="5"/>
    </row>
    <row r="6" spans="1:29">
      <c r="A6" s="3"/>
      <c r="B6" s="4" t="s">
        <v>45</v>
      </c>
      <c r="C6" s="2" t="s">
        <v>33</v>
      </c>
      <c r="D6" s="2">
        <f>COUNTIFS(Sheet1!$C$2:$C$51,"normal",Sheet1!$J$2:$J$51,"i",Sheet1!$H$2:$H$51,"tidak",Sheet1!$L$2:$L$51,"MEMILIKI",Sheet1!$B$2:$B$51,"A")</f>
        <v>3</v>
      </c>
      <c r="E6" s="2">
        <f>COUNTIFS(Sheet1!$C$2:$C$51,"normal",Sheet1!$J$2:$J$51,"i",Sheet1!$H$2:$H$51,"tidak",Sheet1!$L$2:$L$51,"MEMILIKI",Sheet1!$B$2:$B$51,"A",Sheet1!$E$2:$E$51,"lebih")</f>
        <v>1</v>
      </c>
      <c r="F6" s="2">
        <f>COUNTIFS(Sheet1!$C$2:$C$51,"normal",Sheet1!$J$2:$J$51,"i",Sheet1!$H$2:$H$51,"tidak",Sheet1!$L$2:$L$51,"MEMILIKI",Sheet1!$B$2:$B$51,"A",Sheet1!$E$2:$E$51,"NORMAL")</f>
        <v>2</v>
      </c>
      <c r="G6" s="2">
        <f>COUNTIFS(Sheet1!$C$2:$C$51,"normal",Sheet1!$J$2:$J$51,"i",Sheet1!$H$2:$H$51,"tidak",Sheet1!$L$2:$L$51,"MEMILIKI",Sheet1!$B$2:$B$51,"A",Sheet1!$E$2:$E$51,"KURANG")</f>
        <v>0</v>
      </c>
      <c r="H6" s="2">
        <f t="shared" si="1"/>
        <v>0.918295834054491</v>
      </c>
      <c r="I6" s="4">
        <f>($H$2)-((D6/$D$3*H6)+(D7/$D$3*H7)+(D8/$D$3*H8))</f>
        <v>0.223272919129397</v>
      </c>
      <c r="K6" s="3"/>
      <c r="L6" s="2" t="s">
        <v>47</v>
      </c>
      <c r="M6" s="2" t="s">
        <v>15</v>
      </c>
      <c r="N6" s="2">
        <f>COUNTIFS(Sheet1!$C$2:$C$51,"normal",Sheet1!$J$2:$J$51,"i",Sheet1!$H$2:$H$51,"tidak",Sheet1!$L$2:$L$51,"MEMILIKI",Sheet1!$D$2:$D$51,"pendek",Sheet1!$B$2:$B$51,"A")</f>
        <v>1</v>
      </c>
      <c r="O6" s="2">
        <f>COUNTIFS(Sheet1!$C$2:$C$51,"normal",Sheet1!$J$2:$J$51,"i",Sheet1!$H$2:$H$51,"tidak",Sheet1!$L$2:$L$51,"MEMILIKI",Sheet1!$D$2:$D$51,"pendek",Sheet1!$B$2:$B$51,"A",Sheet1!$E$2:$E$51,"lebih")</f>
        <v>0</v>
      </c>
      <c r="P6" s="2">
        <f>COUNTIFS(Sheet1!$C$2:$C$51,"normal",Sheet1!$J$2:$J$51,"i",Sheet1!$H$2:$H$51,"tidak",Sheet1!$L$2:$L$51,"MEMILIKI",Sheet1!$D$2:$D$51,"pendek",Sheet1!$B$2:$B$51,"A",Sheet1!$E$2:$E$51,"NORMAL")</f>
        <v>1</v>
      </c>
      <c r="Q6" s="2">
        <f>COUNTIFS(Sheet1!$C$2:$C$51,"normal",Sheet1!$J$2:$J$51,"i",Sheet1!$H$2:$H$51,"tidak",Sheet1!$L$2:$L$51,"MEMILIKI",Sheet1!$D$2:$D$51,"pendek",Sheet1!$B$2:$B$51,"A",Sheet1!$E$2:$E$51,"KURANG")</f>
        <v>0</v>
      </c>
      <c r="R6" s="2">
        <v>0</v>
      </c>
      <c r="S6" s="4">
        <f>($R$2)-((N6/$N$3*R6)+(N7/$N$3*R7)+(N8/$N$3*R8))</f>
        <v>0.150967190233165</v>
      </c>
      <c r="T6" s="13"/>
      <c r="U6" s="3"/>
      <c r="V6" s="18" t="s">
        <v>48</v>
      </c>
      <c r="W6" s="2" t="s">
        <v>17</v>
      </c>
      <c r="X6" s="2">
        <f>COUNTIFS(Sheet1!$C$2:$C$51,"normal",Sheet1!$J$2:$J$51,"i",Sheet1!$H$2:$H$51,"tidak",Sheet1!$F$2:$F$51,"formula",Sheet1!$L$2:$L$51,"memiliki",Sheet1!$B$2:$B$51,"A",Sheet1!$D$2:$D$51,"NORMAL")</f>
        <v>0</v>
      </c>
      <c r="Y6" s="2">
        <f>COUNTIFS(Sheet1!$C$2:$C$51,"normal",Sheet1!$J$2:$J$51,"i",Sheet1!$H$2:$H$51,"tidak",Sheet1!$F$2:$F$51,"formula",Sheet1!$L$2:$L$51,"memiliki",Sheet1!$B$2:$B$51,"A",Sheet1!$E$2:$E$51,"lebih",Sheet1!$D$2:$D$51,"NORMAL")</f>
        <v>0</v>
      </c>
      <c r="Z6" s="2">
        <f>COUNTIFS(Sheet1!$C$2:$C$51,"normal",Sheet1!$J$2:$J$51,"i",Sheet1!$H$2:$H$51,"tidak",Sheet1!$F$2:$F$51,"formula",Sheet1!$L$2:$L$51,"memiliki",Sheet1!$B$2:$B$51,"A",Sheet1!$E$2:$E$51,"NORMAL",Sheet1!$D$2:$D$51,"NORMAL")</f>
        <v>0</v>
      </c>
      <c r="AA6" s="2">
        <f>COUNTIFS(Sheet1!$C$2:$C$51,"normal",Sheet1!$J$2:$J$51,"i",Sheet1!$H$2:$H$51,"tidak",Sheet1!$F$2:$F$51,"formula",Sheet1!$L$2:$L$51,"memiliki",Sheet1!$B$2:$B$51,"A",Sheet1!$E$2:$E$51,"KURANG",Sheet1!$D$2:$D$51,"NORMAL")</f>
        <v>0</v>
      </c>
      <c r="AB6" s="2">
        <v>0</v>
      </c>
      <c r="AC6" s="4">
        <f>($AB$2)-((X6/$X$3*AB6)+(X7/$X$3*AB7)+(X8/$X$3*AB8))</f>
        <v>-0.182366143100169</v>
      </c>
    </row>
    <row r="7" spans="1:29">
      <c r="A7" s="3"/>
      <c r="B7" s="6"/>
      <c r="C7" s="2" t="s">
        <v>13</v>
      </c>
      <c r="D7" s="2">
        <f>COUNTIFS(Sheet1!$C$2:$C$51,"normal",Sheet1!$J$2:$J$51,"i",Sheet1!$H$2:$H$51,"tidak",Sheet1!$L$2:$L$51,"MEMILIKI",Sheet1!$B$2:$B$51,"B")</f>
        <v>2</v>
      </c>
      <c r="E7" s="2">
        <f>COUNTIFS(Sheet1!$C$2:$C$51,"normal",Sheet1!$J$2:$J$51,"i",Sheet1!$H$2:$H$51,"tidak",Sheet1!$L$2:$L$51,"MEMILIKI",Sheet1!$B$2:$B$51,"B",Sheet1!$E$2:$E$51,"lebih")</f>
        <v>1</v>
      </c>
      <c r="F7" s="2">
        <f>COUNTIFS(Sheet1!$C$2:$C$51,"normal",Sheet1!$J$2:$J$51,"i",Sheet1!$H$2:$H$51,"tidak",Sheet1!$L$2:$L$51,"MEMILIKI",Sheet1!$B$2:$B$51,"B",Sheet1!$E$2:$E$51,"NORMAL")</f>
        <v>1</v>
      </c>
      <c r="G7" s="2">
        <f>COUNTIFS(Sheet1!$C$2:$C$51,"normal",Sheet1!$J$2:$J$51,"i",Sheet1!$H$2:$H$51,"tidak",Sheet1!$L$2:$L$51,"MEMILIKI",Sheet1!$B$2:$B$51,"B",Sheet1!$E$2:$E$51,"KURANG")</f>
        <v>0</v>
      </c>
      <c r="H7" s="2">
        <f t="shared" si="1"/>
        <v>1</v>
      </c>
      <c r="I7" s="6"/>
      <c r="K7" s="3"/>
      <c r="L7" s="2"/>
      <c r="M7" s="2" t="s">
        <v>16</v>
      </c>
      <c r="N7" s="2">
        <f>COUNTIFS(Sheet1!$C$2:$C$51,"normal",Sheet1!$J$2:$J$51,"i",Sheet1!$H$2:$H$51,"tidak",Sheet1!$L$2:$L$51,"MEMILIKI",Sheet1!$D$2:$D$51,"NORMAL",Sheet1!$B$2:$B$51,"A")</f>
        <v>2</v>
      </c>
      <c r="O7" s="2">
        <f>COUNTIFS(Sheet1!$C$2:$C$51,"normal",Sheet1!$J$2:$J$51,"i",Sheet1!$H$2:$H$51,"tidak",Sheet1!$L$2:$L$51,"MEMILIKI",Sheet1!$B$2:$B$51,"A",Sheet1!$D$2:$D$51,"NORMAL",Sheet1!$E$2:$E$51,"lebih")</f>
        <v>1</v>
      </c>
      <c r="P7" s="2">
        <f>COUNTIFS(Sheet1!$C$2:$C$51,"normal",Sheet1!$J$2:$J$51,"i",Sheet1!$H$2:$H$51,"tidak",Sheet1!$L$2:$L$51,"MEMILIKI",Sheet1!$D$2:$D$51,"NORMAL",Sheet1!$B$2:$B$51,"A",Sheet1!$E$2:$E$51,"NORMAL")</f>
        <v>1</v>
      </c>
      <c r="Q7" s="2">
        <f>COUNTIFS(Sheet1!$C$2:$C$51,"normal",Sheet1!$J$2:$J$51,"i",Sheet1!$H$2:$H$51,"tidak",Sheet1!$L$2:$L$51,"MEMILIKI",Sheet1!$D$2:$D$51,"NORMAL",Sheet1!$B$2:$B$51,"A",Sheet1!$E$2:$E$51,"KURANG")</f>
        <v>0</v>
      </c>
      <c r="R7" s="2">
        <f t="shared" ref="R6:R10" si="2">((-O7/N7)*IMLOG2(O7/N7)+(-P7/N7)*IMLOG2(P7/N7))</f>
        <v>1</v>
      </c>
      <c r="S7" s="6"/>
      <c r="T7" s="13"/>
      <c r="U7" s="3"/>
      <c r="V7" s="18"/>
      <c r="W7" s="2" t="s">
        <v>26</v>
      </c>
      <c r="X7" s="2">
        <f>COUNTIFS(Sheet1!$C$2:$C$51,"normal",Sheet1!$J$2:$J$51,"i",Sheet1!$H$2:$H$51,"tidak",Sheet1!$F$2:$F$51,"kombinasi",Sheet1!$L$2:$L$51,"memiliki",Sheet1!$B$2:$B$51,"A",Sheet1!$D$2:$D$51,"NORMAL")</f>
        <v>2</v>
      </c>
      <c r="Y7" s="2">
        <f>COUNTIFS(Sheet1!$C$2:$C$51,"normal",Sheet1!$J$2:$J$51,"i",Sheet1!$H$2:$H$51,"tidak",Sheet1!$F$2:$F$51,"kombinasi",Sheet1!$L$2:$L$51,"memiliki",Sheet1!$B$2:$B$51,"A",Sheet1!$E$2:$E$51,"lebih",Sheet1!$D$2:$D$51,"NORMAL")</f>
        <v>1</v>
      </c>
      <c r="Z7" s="2">
        <f>COUNTIFS(Sheet1!$C$2:$C$51,"normal",Sheet1!$J$2:$J$51,"i",Sheet1!$H$2:$H$51,"tidak",Sheet1!$F$2:$F$51,"KOMBINASI",Sheet1!$L$2:$L$51,"memiliki",Sheet1!$B$2:$B$51,"A",Sheet1!$E$2:$E$51,"NORMAL",Sheet1!$D$2:$D$51,"NORMAL")</f>
        <v>1</v>
      </c>
      <c r="AA7" s="2">
        <f>COUNTIFS(Sheet1!$C$2:$C$51,"normal",Sheet1!$J$2:$J$51,"i",Sheet1!$H$2:$H$51,"tidak",Sheet1!$F$2:$F$51,"KOMBINASI",Sheet1!$L$2:$L$51,"memiliki",Sheet1!$B$2:$B$51,"A",Sheet1!$E$2:$E$51,"KURANG",Sheet1!$D$2:$D$51,"NORMAL")</f>
        <v>0</v>
      </c>
      <c r="AB7" s="2">
        <f t="shared" si="0"/>
        <v>1</v>
      </c>
      <c r="AC7" s="6"/>
    </row>
    <row r="8" spans="1:29">
      <c r="A8" s="3"/>
      <c r="B8" s="5"/>
      <c r="C8" s="2" t="s">
        <v>32</v>
      </c>
      <c r="D8" s="2">
        <f>COUNTIFS(Sheet1!$C$2:$C$51,"normal",Sheet1!$J$2:$J$51,"i",Sheet1!$H$2:$H$51,"tidak",Sheet1!$L$2:$L$51,"MEMILIKI",Sheet1!$B$2:$B$51,"C")</f>
        <v>3</v>
      </c>
      <c r="E8" s="2">
        <f>COUNTIFS(Sheet1!$C$2:$C$51,"normal",Sheet1!$J$2:$J$51,"i",Sheet1!$H$2:$H$51,"tidak",Sheet1!$L$2:$L$51,"MEMILIKI",Sheet1!$B$2:$B$51,"C",Sheet1!$E$2:$E$51,"lebih")</f>
        <v>0</v>
      </c>
      <c r="F8" s="2">
        <f>COUNTIFS(Sheet1!$C$2:$C$51,"normal",Sheet1!$J$2:$J$51,"i",Sheet1!$H$2:$H$51,"tidak",Sheet1!$L$2:$L$51,"MEMILIKI",Sheet1!$B$2:$B$51,"C",Sheet1!$E$2:$E$51,"NORMAL")</f>
        <v>3</v>
      </c>
      <c r="G8" s="2">
        <f>COUNTIFS(Sheet1!$C$2:$C$51,"normal",Sheet1!$J$2:$J$51,"i",Sheet1!$H$2:$H$51,"tidak",Sheet1!$L$2:$L$51,"MEMILIKI",Sheet1!$B$2:$B$51,"C",Sheet1!$E$2:$E$51,"KURANG")</f>
        <v>0</v>
      </c>
      <c r="H8" s="2">
        <v>0</v>
      </c>
      <c r="I8" s="5"/>
      <c r="K8" s="3"/>
      <c r="L8" s="2"/>
      <c r="M8" s="2" t="s">
        <v>31</v>
      </c>
      <c r="N8" s="2">
        <f>COUNTIFS(Sheet1!$C$2:$C$51,"normal",Sheet1!$J$2:$J$51,"i",Sheet1!$H$2:$H$51,"tidak",Sheet1!$L$2:$L$51,"MEMILIKI",Sheet1!$D$2:$D$51,"tinggi",Sheet1!$B$2:$B$51,"A")</f>
        <v>0</v>
      </c>
      <c r="O8" s="2">
        <v>0</v>
      </c>
      <c r="P8" s="2">
        <f>COUNTIFS(Sheet1!$C$2:$C$51,"normal",Sheet1!$J$2:$J$51,"i",Sheet1!$H$2:$H$51,"tidak",Sheet1!$L$2:$L$51,"MEMILIKI",Sheet1!$D$2:$D$51,"TINGGI",Sheet1!$E$2:$E$51,"NORMAL")</f>
        <v>0</v>
      </c>
      <c r="Q8" s="2">
        <f>COUNTIFS(Sheet1!$C$2:$C$51,"normal",Sheet1!$J$2:$J$51,"i",Sheet1!$H$2:$H$51,"tidak",Sheet1!$L$2:$L$51,"MEMILIKI",Sheet1!$D$2:$D$51,"TINGGI",Sheet1!$B$2:$B$51,"A",Sheet1!$E$2:$E$51,"KURANG")</f>
        <v>0</v>
      </c>
      <c r="R8" s="2">
        <v>0</v>
      </c>
      <c r="S8" s="5"/>
      <c r="T8" s="13"/>
      <c r="U8" s="3"/>
      <c r="V8" s="18"/>
      <c r="W8" s="2" t="s">
        <v>34</v>
      </c>
      <c r="X8" s="2">
        <f>COUNTIFS(Sheet1!$C$2:$C$51,"normal",Sheet1!$J$2:$J$51,"i",Sheet1!$H$2:$H$51,"tidak",Sheet1!$F$2:$F$51,"ASI",Sheet1!$L$2:$L$51,"memiliki",Sheet1!$B$2:$B$51,"A",Sheet1!$D$2:$D$51,"NORMAL")</f>
        <v>0</v>
      </c>
      <c r="Y8" s="2">
        <f>COUNTIFS(Sheet1!$C$2:$C$51,"normal",Sheet1!$J$2:$J$51,"i",Sheet1!$H$2:$H$51,"tidak",Sheet1!$F$2:$F$51,"ASI",Sheet1!$L$2:$L$51,"memiliki",Sheet1!$B$2:$B$51,"A",Sheet1!$E$2:$E$51,"lebih",Sheet1!$D$2:$D$51,"NORMAL")</f>
        <v>0</v>
      </c>
      <c r="Z8" s="2">
        <f>COUNTIFS(Sheet1!$C$2:$C$51,"normal",Sheet1!$J$2:$J$51,"i",Sheet1!$H$2:$H$51,"tidak",Sheet1!$F$2:$F$51,"ASI",Sheet1!$L$2:$L$51,"memiliki",Sheet1!$B$2:$B$51,"A",Sheet1!$E$2:$E$51,"normal",Sheet1!$D$2:$D$51,"NORMAL")</f>
        <v>0</v>
      </c>
      <c r="AA8" s="2">
        <f>COUNTIFS(Sheet1!$C$2:$C$51,"normal",Sheet1!$J$2:$J$51,"i",Sheet1!$H$2:$H$51,"tidak",Sheet1!$F$2:$F$51,"ASI",Sheet1!$L$2:$L$51,"memiliki",Sheet1!$B$2:$B$51,"A",Sheet1!$E$2:$E$51,"KURANG",Sheet1!$D$2:$D$51,"NORMAL")</f>
        <v>0</v>
      </c>
      <c r="AB8" s="2">
        <v>0</v>
      </c>
      <c r="AC8" s="5"/>
    </row>
    <row r="9" spans="1:29">
      <c r="A9" s="3"/>
      <c r="B9" s="2" t="s">
        <v>47</v>
      </c>
      <c r="C9" s="2" t="s">
        <v>15</v>
      </c>
      <c r="D9" s="2">
        <f>COUNTIFS(Sheet1!$C$2:$C$51,"normal",Sheet1!$J$2:$J$51,"i",Sheet1!$H$2:$H$51,"tidak",Sheet1!$L$2:$L$51,"MEMILIKI",Sheet1!$D$2:$D$51,"pendek")</f>
        <v>3</v>
      </c>
      <c r="E9" s="2">
        <f>COUNTIFS(Sheet1!$C$2:$C$51,"normal",Sheet1!$J$2:$J$51,"i",Sheet1!$H$2:$H$51,"tidak",Sheet1!$L$2:$L$51,"MEMILIKI",Sheet1!$D$2:$D$51,"pendek",Sheet1!$E$2:$E$51,"lebih")</f>
        <v>1</v>
      </c>
      <c r="F9" s="2">
        <f>COUNTIFS(Sheet1!$C$2:$C$51,"normal",Sheet1!$J$2:$J$51,"i",Sheet1!$H$2:$H$51,"tidak",Sheet1!$L$2:$L$51,"MEMILIKI",Sheet1!$D$2:$D$51,"pendek",Sheet1!$E$2:$E$51,"NORMAL")</f>
        <v>2</v>
      </c>
      <c r="G9" s="2">
        <f>COUNTIFS(Sheet1!$C$2:$C$51,"normal",Sheet1!$J$2:$J$51,"i",Sheet1!$H$2:$H$51,"tidak",Sheet1!$L$2:$L$51,"MEMILIKI",Sheet1!$D$2:$D$51,"pendek",Sheet1!$E$2:$E$51,"KURANG")</f>
        <v>0</v>
      </c>
      <c r="H9" s="2">
        <f t="shared" si="1"/>
        <v>0.918295834054491</v>
      </c>
      <c r="I9" s="4">
        <f>($H$2)-((D9/$D$3*H9)+(D10/$D$3*H10)+(D11/$D$3*H11))</f>
        <v>0.0220678598247962</v>
      </c>
      <c r="K9" s="3"/>
      <c r="L9" s="2" t="s">
        <v>48</v>
      </c>
      <c r="M9" s="2" t="s">
        <v>17</v>
      </c>
      <c r="N9" s="2">
        <f>COUNTIFS(Sheet1!$C$2:$C$51,"normal",Sheet1!$J$2:$J$51,"i",Sheet1!$H$2:$H$51,"tidak",Sheet1!$F$2:$F$51,"formula",Sheet1!$L$2:$L$51,"memiliki",Sheet1!$B$2:$B$51,"A")</f>
        <v>0</v>
      </c>
      <c r="O9" s="2">
        <f>COUNTIFS(Sheet1!$C$2:$C$51,"normal",Sheet1!$J$2:$J$51,"i",Sheet1!$H$2:$H$51,"tidak",Sheet1!$F$2:$F$51,"formula",Sheet1!$L$2:$L$51,"memiliki",Sheet1!$B$2:$B$51,"A",Sheet1!$E$2:$E$51,"lebih")</f>
        <v>0</v>
      </c>
      <c r="P9" s="2">
        <f>COUNTIFS(Sheet1!$C$2:$C$51,"normal",Sheet1!$J$2:$J$51,"i",Sheet1!$H$2:$H$51,"tidak",Sheet1!$F$2:$F$51,"formula",Sheet1!$L$2:$L$51,"memiliki",Sheet1!$B$2:$B$51,"A",Sheet1!$E$2:$E$51,"NORMAL")</f>
        <v>0</v>
      </c>
      <c r="Q9" s="2">
        <f>COUNTIFS(Sheet1!$C$2:$C$51,"normal",Sheet1!$J$2:$J$51,"i",Sheet1!$H$2:$H$51,"tidak",Sheet1!$F$2:$F$51,"formula",Sheet1!$L$2:$L$51,"memiliki",Sheet1!$B$2:$B$51,"A",Sheet1!$E$2:$E$51,"KURANG")</f>
        <v>0</v>
      </c>
      <c r="R9" s="2">
        <v>0</v>
      </c>
      <c r="S9" s="4">
        <f>($R$2)-((N9/$N$3*R9)+(N10/$N$3*R10)+(N11/$N$3*R11))</f>
        <v>0.150967190233165</v>
      </c>
      <c r="T9" s="13"/>
      <c r="U9" s="3"/>
      <c r="V9" s="18" t="s">
        <v>49</v>
      </c>
      <c r="W9" s="2" t="s">
        <v>30</v>
      </c>
      <c r="X9" s="2">
        <f>COUNTIFS(Sheet1!$C$2:$C$51,"normal",Sheet1!$J$2:$J$51,"i",Sheet1!$H$2:$H$51,"tidak",Sheet1!$H$2:$H$51,"tidak",Sheet1!$G$2:$G$51,"rendah",Sheet1!$L$2:$L$51,"memiliki",Sheet1!$B$2:$B$51,"A",Sheet1!$D$2:$D$51,"NORMAL")</f>
        <v>0</v>
      </c>
      <c r="Y9" s="2">
        <f>COUNTIFS(Sheet1!$C$2:$C$51,"normal",Sheet1!$J$2:$J$51,"i",Sheet1!$H$2:$H$51,"tidak",Sheet1!$G$2:$G$51,"rendah",Sheet1!$L$2:$L$51,"memiliki",Sheet1!$B$2:$B$51,"A",Sheet1!$E$2:$E$51,"lebih",Sheet1!$D$2:$D$51,"NORMAL")</f>
        <v>0</v>
      </c>
      <c r="Z9" s="2">
        <f>COUNTIFS(Sheet1!$C$2:$C$51,"normal",Sheet1!$J$2:$J$51,"i",Sheet1!$H$2:$H$51,"tidak",Sheet1!$H$2:$H$51,"tidak",Sheet1!$G$2:$G$51,"rendah",Sheet1!$L$2:$L$51,"memiliki",Sheet1!$B$2:$B$51,"A",Sheet1!$E$2:$E$51,"NORMAL",Sheet1!$D$2:$D$51,"NORMAL")</f>
        <v>0</v>
      </c>
      <c r="AA9" s="2">
        <f>COUNTIFS(Sheet1!$C$2:$C$51,"normal",Sheet1!$J$2:$J$51,"i",Sheet1!$H$2:$H$51,"tidak",Sheet1!$G$2:$G$51,"rendah",Sheet1!$L$2:$L$51,"memiliki",Sheet1!$B$2:$B$51,"A",Sheet1!$E$2:$E$51,"KURANG",Sheet1!$D$2:$D$51,"NORMAL")</f>
        <v>0</v>
      </c>
      <c r="AB9" s="2">
        <v>0</v>
      </c>
      <c r="AC9" s="4">
        <f>($AB$2)-((X9/$X$3*AB9)+(X10/$X$3*AB10)+(X11/$X$3*AB11))</f>
        <v>-0.182366143100169</v>
      </c>
    </row>
    <row r="10" spans="1:29">
      <c r="A10" s="3"/>
      <c r="B10" s="2"/>
      <c r="C10" s="2" t="s">
        <v>16</v>
      </c>
      <c r="D10" s="2">
        <f>COUNTIFS(Sheet1!$C$2:$C$51,"normal",Sheet1!$J$2:$J$51,"i",Sheet1!$H$2:$H$51,"tidak",Sheet1!$L$2:$L$51,"MEMILIKI",Sheet1!$D$2:$D$51,"NORMAL")</f>
        <v>5</v>
      </c>
      <c r="E10" s="2">
        <f>COUNTIFS(Sheet1!$C$2:$C$51,"normal",Sheet1!$J$2:$J$51,"i",Sheet1!$H$2:$H$51,"tidak",Sheet1!$L$2:$L$51,"MEMILIKI",Sheet1!$D$2:$D$51,"NORMAL",Sheet1!$E$2:$E$51,"lebih")</f>
        <v>1</v>
      </c>
      <c r="F10" s="2">
        <f>COUNTIFS(Sheet1!$C$2:$C$51,"normal",Sheet1!$J$2:$J$51,"i",Sheet1!$H$2:$H$51,"tidak",Sheet1!$L$2:$L$51,"MEMILIKI",Sheet1!$D$2:$D$51,"NORMAL",Sheet1!$E$2:$E$51,"NORMAL")</f>
        <v>4</v>
      </c>
      <c r="G10" s="2">
        <f>COUNTIFS(Sheet1!$C$2:$C$51,"normal",Sheet1!$J$2:$J$51,"i",Sheet1!$H$2:$H$51,"tidak",Sheet1!$L$2:$L$51,"MEMILIKI",Sheet1!$D$2:$D$51,"NORMAL",Sheet1!$E$2:$E$51,"KURANG")</f>
        <v>0</v>
      </c>
      <c r="H10" s="2">
        <f>((-E10/D10)*IMLOG2(E10/D10)+(-F10/D10)*IMLOG2(F10/D10))</f>
        <v>0.721928094887362</v>
      </c>
      <c r="I10" s="6"/>
      <c r="K10" s="3"/>
      <c r="L10" s="2"/>
      <c r="M10" s="2" t="s">
        <v>26</v>
      </c>
      <c r="N10" s="2">
        <f>COUNTIFS(Sheet1!$C$2:$C$51,"normal",Sheet1!$J$2:$J$51,"i",Sheet1!$H$2:$H$51,"tidak",Sheet1!$F$2:$F$51,"kombinasi",Sheet1!$L$2:$L$51,"memiliki",Sheet1!$B$2:$B$51,"A")</f>
        <v>2</v>
      </c>
      <c r="O10" s="2">
        <f>COUNTIFS(Sheet1!$C$2:$C$51,"normal",Sheet1!$J$2:$J$51,"i",Sheet1!$H$2:$H$51,"tidak",Sheet1!$F$2:$F$51,"kombinasi",Sheet1!$L$2:$L$51,"memiliki",Sheet1!$B$2:$B$51,"A",Sheet1!$E$2:$E$51,"lebih")</f>
        <v>1</v>
      </c>
      <c r="P10" s="2">
        <f>COUNTIFS(Sheet1!$C$2:$C$51,"normal",Sheet1!$J$2:$J$51,"i",Sheet1!$H$2:$H$51,"tidak",Sheet1!$F$2:$F$51,"KOMBINASI",Sheet1!$L$2:$L$51,"memiliki",Sheet1!$B$2:$B$51,"A",Sheet1!$E$2:$E$51,"NORMAL")</f>
        <v>1</v>
      </c>
      <c r="Q10" s="2">
        <f>COUNTIFS(Sheet1!$C$2:$C$51,"normal",Sheet1!$J$2:$J$51,"i",Sheet1!$H$2:$H$51,"tidak",Sheet1!$F$2:$F$51,"KOMBINASI",Sheet1!$L$2:$L$51,"memiliki",Sheet1!$B$2:$B$51,"A",Sheet1!$E$2:$E$51,"KURANG")</f>
        <v>0</v>
      </c>
      <c r="R10" s="2">
        <f t="shared" si="2"/>
        <v>1</v>
      </c>
      <c r="S10" s="6"/>
      <c r="T10" s="13"/>
      <c r="U10" s="3"/>
      <c r="V10" s="18"/>
      <c r="W10" s="2" t="s">
        <v>18</v>
      </c>
      <c r="X10" s="2">
        <f>COUNTIFS(Sheet1!$C$2:$C$51,"normal",Sheet1!$J$2:$J$51,"i",Sheet1!$H$2:$H$51,"tidak",Sheet1!$H$2:$H$51,"tidak",Sheet1!$G$2:$G$51,"sedang",Sheet1!$L$2:$L$51,"memiliki",Sheet1!$B$2:$B$51,"A",Sheet1!$D$2:$D$51,"NORMAL")</f>
        <v>2</v>
      </c>
      <c r="Y10" s="2">
        <f>COUNTIFS(Sheet1!$C$2:$C$51,"normal",Sheet1!$J$2:$J$51,"i",Sheet1!$H$2:$H$51,"tidak",Sheet1!$H$2:$H$51,"tidak",Sheet1!$G$2:$G$51,"SEDANG",Sheet1!$L$2:$L$51,"memiliki",Sheet1!$B$2:$B$51,"A",Sheet1!$E$2:$E$51,"lebih",Sheet1!$D$2:$D$51,"NORMAL")</f>
        <v>1</v>
      </c>
      <c r="Z10" s="2">
        <f>COUNTIFS(Sheet1!$C$2:$C$51,"normal",Sheet1!$J$2:$J$51,"i",Sheet1!$H$2:$H$51,"tidak",Sheet1!$G$2:$G$51,"SEDANG",Sheet1!$L$2:$L$51,"memiliki",Sheet1!$B$2:$B$51,"A",Sheet1!$E$2:$E$51,"NORMAL",Sheet1!$D$2:$D$51,"NORMAL")</f>
        <v>1</v>
      </c>
      <c r="AA10" s="2">
        <f>COUNTIFS(Sheet1!$C$2:$C$51,"normal",Sheet1!$J$2:$J$51,"i",Sheet1!$H$2:$H$51,"tidak",Sheet1!$G$2:$G$51,"SEDANG",Sheet1!$L$2:$L$51,"memiliki",Sheet1!$B$2:$B$51,"A",Sheet1!$E$2:$E$51,"KURANG",Sheet1!$D$2:$D$51,"NORMAL")</f>
        <v>0</v>
      </c>
      <c r="AB10" s="2">
        <f>((-Y10/X10)*IMLOG2(Y10/X10)+(-Z10/X10)*IMLOG2(Z10/X10))</f>
        <v>1</v>
      </c>
      <c r="AC10" s="6"/>
    </row>
    <row r="11" spans="1:29">
      <c r="A11" s="3"/>
      <c r="B11" s="2"/>
      <c r="C11" s="2" t="s">
        <v>31</v>
      </c>
      <c r="D11" s="2">
        <f>COUNTIFS(Sheet1!$C$2:$C$51,"normal",Sheet1!$J$2:$J$51,"i",Sheet1!$H$2:$H$51,"tidak",Sheet1!$L$2:$L$51,"MEMILIKI",Sheet1!$D$2:$D$51,"tinggi")</f>
        <v>0</v>
      </c>
      <c r="E11" s="2">
        <v>0</v>
      </c>
      <c r="F11" s="2">
        <f>COUNTIFS(Sheet1!$C$2:$C$51,"normal",Sheet1!$J$2:$J$51,"i",Sheet1!$H$2:$H$51,"tidak",Sheet1!$L$2:$L$51,"MEMILIKI",Sheet1!$D$2:$D$51,"TINGGI",Sheet1!$E$2:$E$51,"NORMAL")</f>
        <v>0</v>
      </c>
      <c r="G11" s="2">
        <f>COUNTIFS(Sheet1!$C$2:$C$51,"normal",Sheet1!$J$2:$J$51,"i",Sheet1!$H$2:$H$51,"tidak",Sheet1!$L$2:$L$51,"MEMILIKI",Sheet1!$D$2:$D$51,"TINGGI",Sheet1!$E$2:$E$51,"KURANG")</f>
        <v>0</v>
      </c>
      <c r="H11" s="2">
        <v>0</v>
      </c>
      <c r="I11" s="5"/>
      <c r="K11" s="3"/>
      <c r="L11" s="2"/>
      <c r="M11" s="2" t="s">
        <v>34</v>
      </c>
      <c r="N11" s="2">
        <f>COUNTIFS(Sheet1!$C$2:$C$51,"normal",Sheet1!$J$2:$J$51,"i",Sheet1!$H$2:$H$51,"tidak",Sheet1!$F$2:$F$51,"ASI",Sheet1!$L$2:$L$51,"memiliki",Sheet1!$B$2:$B$51,"A")</f>
        <v>1</v>
      </c>
      <c r="O11" s="2">
        <f>COUNTIFS(Sheet1!$C$2:$C$51,"normal",Sheet1!$J$2:$J$51,"i",Sheet1!$H$2:$H$51,"tidak",Sheet1!$F$2:$F$51,"ASI",Sheet1!$L$2:$L$51,"memiliki",Sheet1!$B$2:$B$51,"A",Sheet1!$E$2:$E$51,"lebih")</f>
        <v>0</v>
      </c>
      <c r="P11" s="2">
        <f>COUNTIFS(Sheet1!$C$2:$C$51,"normal",Sheet1!$J$2:$J$51,"i",Sheet1!$H$2:$H$51,"tidak",Sheet1!$F$2:$F$51,"ASI",Sheet1!$L$2:$L$51,"memiliki",Sheet1!$B$2:$B$51,"A",Sheet1!$E$2:$E$51,"normal")</f>
        <v>1</v>
      </c>
      <c r="Q11" s="2">
        <f>COUNTIFS(Sheet1!$C$2:$C$51,"normal",Sheet1!$J$2:$J$51,"i",Sheet1!$H$2:$H$51,"tidak",Sheet1!$F$2:$F$51,"ASI",Sheet1!$L$2:$L$51,"memiliki",Sheet1!$B$2:$B$51,"A",Sheet1!$E$2:$E$51,"KURANG")</f>
        <v>0</v>
      </c>
      <c r="R11" s="2">
        <f>((-P11/N11)*IMLOG2(P11/N11))</f>
        <v>0</v>
      </c>
      <c r="S11" s="5"/>
      <c r="T11" s="13"/>
      <c r="U11" s="3"/>
      <c r="V11" s="18"/>
      <c r="W11" s="2" t="s">
        <v>31</v>
      </c>
      <c r="X11" s="2">
        <f>COUNTIFS(Sheet1!$C$2:$C$51,"normal",Sheet1!$J$2:$J$51,"i",Sheet1!$H$2:$H$51,"tidak",Sheet1!$H$2:$H$51,"tidak",Sheet1!$G$2:$G$51,"tinggi",Sheet1!$L$2:$L$51,"memiliki",Sheet1!$B$2:$B$51,"A",Sheet1!$D$2:$D$51,"NORMAL")</f>
        <v>0</v>
      </c>
      <c r="Y11" s="2">
        <f>COUNTIFS(Sheet1!$C$2:$C$51,"normal",Sheet1!$J$2:$J$51,"i",Sheet1!$H$2:$H$51,"tidak",Sheet1!$H$2:$H$51,"tidak",Sheet1!$G$2:$G$51,"TINGGI",Sheet1!$L$2:$L$51,"memiliki",Sheet1!$B$2:$B$51,"A",Sheet1!$E$2:$E$51,"lebih",Sheet1!$D$2:$D$51,"NORMAL")</f>
        <v>0</v>
      </c>
      <c r="Z11" s="2">
        <f>COUNTIFS(Sheet1!$C$2:$C$51,"normal",Sheet1!$J$2:$J$51,"i",Sheet1!$H$2:$H$51,"tidak",Sheet1!$G$2:$G$51,"TINGGI",Sheet1!$L$2:$L$51,"memiliki",Sheet1!$B$2:$B$51,"A",Sheet1!$E$2:$E$51,"NORMAL",Sheet1!$D$2:$D$51,"NORMAL")</f>
        <v>0</v>
      </c>
      <c r="AA11" s="2">
        <f>COUNTIFS(Sheet1!$C$2:$C$51,"normal",Sheet1!$J$2:$J$51,"i",Sheet1!$H$2:$H$51,"tidak",Sheet1!$G$2:$G$51,"TINGGI",Sheet1!$L$2:$L$51,"memiliki",Sheet1!$B$2:$B$51,"A",Sheet1!$E$2:$E$51,"KURANG",Sheet1!$D$2:$D$51,"NORMAL")</f>
        <v>0</v>
      </c>
      <c r="AB11" s="2">
        <v>0</v>
      </c>
      <c r="AC11" s="5"/>
    </row>
    <row r="12" spans="1:29">
      <c r="A12" s="3"/>
      <c r="B12" s="2" t="s">
        <v>48</v>
      </c>
      <c r="C12" s="2" t="s">
        <v>17</v>
      </c>
      <c r="D12" s="2">
        <f>COUNTIFS(Sheet1!$C$2:$C$51,"normal",Sheet1!$J$2:$J$51,"i",Sheet1!$H$2:$H$51,"tidak",Sheet1!$F$2:$F$51,"formula",Sheet1!$L$2:$L$51,"memiliki")</f>
        <v>5</v>
      </c>
      <c r="E12" s="2">
        <f>COUNTIFS(Sheet1!$C$2:$C$51,"normal",Sheet1!$J$2:$J$51,"i",Sheet1!$H$2:$H$51,"tidak",Sheet1!$F$2:$F$51,"formula",Sheet1!$L$2:$L$51,"memiliki",Sheet1!$E$2:$E$51,"lebih")</f>
        <v>1</v>
      </c>
      <c r="F12" s="2">
        <f>COUNTIFS(Sheet1!$C$2:$C$51,"normal",Sheet1!$J$2:$J$51,"i",Sheet1!$H$2:$H$51,"tidak",Sheet1!$F$2:$F$51,"formula",Sheet1!$L$2:$L$51,"memiliki",Sheet1!$E$2:$E$51,"NORMAL")</f>
        <v>4</v>
      </c>
      <c r="G12" s="2">
        <f>COUNTIFS(Sheet1!$C$2:$C$51,"normal",Sheet1!$J$2:$J$51,"i",Sheet1!$H$2:$H$51,"tidak",Sheet1!$F$2:$F$51,"formula",Sheet1!$L$2:$L$51,"memiliki",Sheet1!$E$2:$E$51,"KURANG")</f>
        <v>0</v>
      </c>
      <c r="H12" s="2">
        <f>((-E12/D12)*IMLOG2(E12/D12)+(-F12/D12)*IMLOG2(F12/D12))</f>
        <v>0.721928094887362</v>
      </c>
      <c r="I12" s="4">
        <f>($H$2)-((D12/$D$3*H12)+(D13/$D$3*H13)+(D14/$D$3*H14))</f>
        <v>0.11642879759523</v>
      </c>
      <c r="K12" s="3"/>
      <c r="L12" s="2" t="s">
        <v>49</v>
      </c>
      <c r="M12" s="2" t="s">
        <v>30</v>
      </c>
      <c r="N12" s="2">
        <f>COUNTIFS(Sheet1!$C$2:$C$51,"normal",Sheet1!$J$2:$J$51,"i",Sheet1!$H$2:$H$51,"tidak",Sheet1!$H$2:$H$51,"tidak",Sheet1!$G$2:$G$51,"rendah",Sheet1!$L$2:$L$51,"memiliki",Sheet1!$B$2:$B$51,"A")</f>
        <v>0</v>
      </c>
      <c r="O12" s="2">
        <f>COUNTIFS(Sheet1!$C$2:$C$51,"normal",Sheet1!$J$2:$J$51,"i",Sheet1!$H$2:$H$51,"tidak",Sheet1!$G$2:$G$51,"rendah",Sheet1!$L$2:$L$51,"memiliki",Sheet1!$B$2:$B$51,"A",Sheet1!$E$2:$E$51,"lebih")</f>
        <v>0</v>
      </c>
      <c r="P12" s="2">
        <f>COUNTIFS(Sheet1!$C$2:$C$51,"normal",Sheet1!$J$2:$J$51,"i",Sheet1!$H$2:$H$51,"tidak",Sheet1!$H$2:$H$51,"tidak",Sheet1!$G$2:$G$51,"rendah",Sheet1!$L$2:$L$51,"memiliki",Sheet1!$B$2:$B$51,"A",Sheet1!$E$2:$E$51,"NORMAL")</f>
        <v>0</v>
      </c>
      <c r="Q12" s="2">
        <f>COUNTIFS(Sheet1!$C$2:$C$51,"normal",Sheet1!$J$2:$J$51,"i",Sheet1!$H$2:$H$51,"tidak",Sheet1!$G$2:$G$51,"rendah",Sheet1!$L$2:$L$51,"memiliki",Sheet1!$B$2:$B$51,"A",Sheet1!$E$2:$E$51,"KURANG")</f>
        <v>0</v>
      </c>
      <c r="R12" s="2">
        <v>0</v>
      </c>
      <c r="S12" s="4">
        <f>($R$2)-((N12/$N$3*R12)+(N13/$N$3*R13)+(N14/$N$3*R14))</f>
        <v>-0.100661977154659</v>
      </c>
      <c r="T12" s="13"/>
      <c r="U12" s="3"/>
      <c r="V12" s="18" t="s">
        <v>51</v>
      </c>
      <c r="W12" s="2" t="s">
        <v>20</v>
      </c>
      <c r="X12" s="2">
        <f>COUNTIFS(Sheet1!$C$2:$C$51,"normal",Sheet1!$J$2:$J$51,"i",Sheet1!$H$2:$H$51,"tidak",Sheet1!$I$2:$I$51,"x",Sheet1!$L$2:$L$51,"memiliki",Sheet1!$B$2:$B$51,"A",Sheet1!$D$2:$D$51,"NORMAL")</f>
        <v>2</v>
      </c>
      <c r="Y12" s="2">
        <f>COUNTIFS(Sheet1!$C$2:$C$51,"normal",Sheet1!$J$2:$J$51,"i",Sheet1!$H$2:$H$51,"tidak",Sheet1!$I$2:$I$51,"x",Sheet1!$L$2:$L$51,"memiliki",Sheet1!$B$2:$B$51,"A",Sheet1!$E$2:$E$51,"lebih",Sheet1!$D$2:$D$51,"NORMAL")</f>
        <v>1</v>
      </c>
      <c r="Z12" s="2">
        <f>COUNTIFS(Sheet1!$C$2:$C$51,"normal",Sheet1!$J$2:$J$51,"i",Sheet1!$H$2:$H$51,"tidak",Sheet1!$I$2:$I$51,"x",Sheet1!$L$2:$L$51,"memiliki",Sheet1!$B$2:$B$51,"A",Sheet1!$E$2:$E$51,"normal",Sheet1!$D$2:$D$51,"NORMAL")</f>
        <v>1</v>
      </c>
      <c r="AA12" s="2">
        <f>COUNTIFS(Sheet1!$C$2:$C$51,"normal",Sheet1!$J$2:$J$51,"i",Sheet1!$H$2:$H$51,"tidak",Sheet1!$I$2:$I$51,"x",Sheet1!$L$2:$L$51,"memiliki",Sheet1!$B$2:$B$51,"A",Sheet1!$E$2:$E$51,"kurang",Sheet1!$D$2:$D$51,"NORMAL")</f>
        <v>0</v>
      </c>
      <c r="AB12" s="2">
        <f>((-Y12/X12)*IMLOG2(Y12/X12)+(-Z12/X12)*IMLOG2(Z12/X12))</f>
        <v>1</v>
      </c>
      <c r="AC12" s="4">
        <f>($AB$2)-((X12/$X$3*AB12)+(X13/$X$3*AB13)+(X14/$X$3*AB14))</f>
        <v>-0.182366143100169</v>
      </c>
    </row>
    <row r="13" spans="1:29">
      <c r="A13" s="3"/>
      <c r="B13" s="2"/>
      <c r="C13" s="2" t="s">
        <v>26</v>
      </c>
      <c r="D13" s="2">
        <f>COUNTIFS(Sheet1!$C$2:$C$51,"normal",Sheet1!$J$2:$J$51,"i",Sheet1!$H$2:$H$51,"tidak",Sheet1!$F$2:$F$51,"kombinasi",Sheet1!$L$2:$L$51,"memiliki")</f>
        <v>2</v>
      </c>
      <c r="E13" s="2">
        <f>COUNTIFS(Sheet1!$C$2:$C$51,"normal",Sheet1!$J$2:$J$51,"i",Sheet1!$H$2:$H$51,"tidak",Sheet1!$F$2:$F$51,"kombinasi",Sheet1!$L$2:$L$51,"memiliki",Sheet1!$E$2:$E$51,"lebih")</f>
        <v>1</v>
      </c>
      <c r="F13" s="2">
        <f>COUNTIFS(Sheet1!$C$2:$C$51,"normal",Sheet1!$J$2:$J$51,"i",Sheet1!$H$2:$H$51,"tidak",Sheet1!$F$2:$F$51,"KOMBINASI",Sheet1!$L$2:$L$51,"memiliki",Sheet1!$E$2:$E$51,"NORMAL")</f>
        <v>1</v>
      </c>
      <c r="G13" s="2">
        <f>COUNTIFS(Sheet1!$C$2:$C$51,"normal",Sheet1!$J$2:$J$51,"i",Sheet1!$H$2:$H$51,"tidak",Sheet1!$F$2:$F$51,"KOMBINASI",Sheet1!$L$2:$L$51,"memiliki",Sheet1!$E$2:$E$51,"KURANG")</f>
        <v>0</v>
      </c>
      <c r="H13" s="2">
        <f>((-E13/D13)*IMLOG2(E13/D13)+(-F13/D13)*IMLOG2(F13/D13))</f>
        <v>1</v>
      </c>
      <c r="I13" s="6"/>
      <c r="K13" s="3"/>
      <c r="L13" s="2"/>
      <c r="M13" s="2" t="s">
        <v>18</v>
      </c>
      <c r="N13" s="2">
        <f>COUNTIFS(Sheet1!$C$2:$C$51,"normal",Sheet1!$J$2:$J$51,"i",Sheet1!$H$2:$H$51,"tidak",Sheet1!$H$2:$H$51,"tidak",Sheet1!$G$2:$G$51,"sedang",Sheet1!$L$2:$L$51,"memiliki",Sheet1!$B$2:$B$51,"A")</f>
        <v>3</v>
      </c>
      <c r="O13" s="2">
        <f>COUNTIFS(Sheet1!$C$2:$C$51,"normal",Sheet1!$J$2:$J$51,"i",Sheet1!$H$2:$H$51,"tidak",Sheet1!$H$2:$H$51,"tidak",Sheet1!$G$2:$G$51,"SEDANG",Sheet1!$L$2:$L$51,"memiliki",Sheet1!$B$2:$B$51,"A",Sheet1!$E$2:$E$51,"lebih")</f>
        <v>1</v>
      </c>
      <c r="P13" s="2">
        <f>COUNTIFS(Sheet1!$C$2:$C$51,"normal",Sheet1!$J$2:$J$51,"i",Sheet1!$H$2:$H$51,"tidak",Sheet1!$G$2:$G$51,"SEDANG",Sheet1!$L$2:$L$51,"memiliki",Sheet1!$B$2:$B$51,"A",Sheet1!$E$2:$E$51,"NORMAL")</f>
        <v>2</v>
      </c>
      <c r="Q13" s="2">
        <f>COUNTIFS(Sheet1!$C$2:$C$51,"normal",Sheet1!$J$2:$J$51,"i",Sheet1!$H$2:$H$51,"tidak",Sheet1!$G$2:$G$51,"SEDANG",Sheet1!$L$2:$L$51,"memiliki",Sheet1!$B$2:$B$51,"A",Sheet1!$E$2:$E$51,"KURANG")</f>
        <v>0</v>
      </c>
      <c r="R13" s="2">
        <f>((-O13/N13)*IMLOG2(O13/N13)+(-P13/N13)*IMLOG2(P13/N13))</f>
        <v>0.918295834054491</v>
      </c>
      <c r="S13" s="6"/>
      <c r="T13" s="13"/>
      <c r="U13" s="3"/>
      <c r="V13" s="18"/>
      <c r="W13" s="2" t="s">
        <v>52</v>
      </c>
      <c r="X13" s="2">
        <f>COUNTIFS(Sheet1!$C$2:$C$51,"normal",Sheet1!$J$2:$J$51,"i",Sheet1!$H$2:$H$51,"tidak",Sheet1!$I$2:$I$51,"y",Sheet1!$L$2:$L$51,"memiliki",Sheet1!$B$2:$B$51,"A")</f>
        <v>0</v>
      </c>
      <c r="Y13" s="2">
        <f>COUNTIFS(Sheet1!$C$2:$C$51,"normal",Sheet1!$J$2:$J$51,"i",Sheet1!$H$2:$H$51,"tidak",Sheet1!$I$2:$I$51,"y",Sheet1!$L$2:$L$51,"memiliki",Sheet1!$B$2:$B$51,"A",Sheet1!$E$2:$E$51,"lebih")</f>
        <v>0</v>
      </c>
      <c r="Z13" s="2">
        <f>COUNTIFS(Sheet1!$C$2:$C$51,"normal",Sheet1!$J$2:$J$51,"i",Sheet1!$H$2:$H$51,"tidak",Sheet1!$I$2:$I$51,"y",Sheet1!$L$2:$L$51,"memiliki",Sheet1!$B$2:$B$51,"A",Sheet1!$E$2:$E$51,"normal")</f>
        <v>0</v>
      </c>
      <c r="AA13" s="2">
        <f>COUNTIFS(Sheet1!$C$2:$C$51,"normal",Sheet1!$J$2:$J$51,"i",Sheet1!$I$2:$I$51,"y",Sheet1!$L$2:$L$51,"memiliki",Sheet1!$B$2:$B$51,"A",Sheet1!$E$2:$E$51,"kurang")</f>
        <v>0</v>
      </c>
      <c r="AB13" s="2">
        <v>0</v>
      </c>
      <c r="AC13" s="6"/>
    </row>
    <row r="14" spans="1:29">
      <c r="A14" s="3"/>
      <c r="B14" s="2"/>
      <c r="C14" s="2" t="s">
        <v>34</v>
      </c>
      <c r="D14" s="2">
        <f>COUNTIFS(Sheet1!$C$2:$C$51,"normal",Sheet1!$J$2:$J$51,"i",Sheet1!$H$2:$H$51,"tidak",Sheet1!$F$2:$F$51,"ASI",Sheet1!$L$2:$L$51,"memiliki")</f>
        <v>1</v>
      </c>
      <c r="E14" s="2">
        <f>COUNTIFS(Sheet1!$C$2:$C$51,"normal",Sheet1!$J$2:$J$51,"i",Sheet1!$H$2:$H$51,"tidak",Sheet1!$F$2:$F$51,"ASI",Sheet1!$L$2:$L$51,"memiliki",Sheet1!$E$2:$E$51,"lebih")</f>
        <v>0</v>
      </c>
      <c r="F14" s="2">
        <f>COUNTIFS(Sheet1!$C$2:$C$51,"normal",Sheet1!$J$2:$J$51,"i",Sheet1!$H$2:$H$51,"tidak",Sheet1!$F$2:$F$51,"ASI",Sheet1!$L$2:$L$51,"memiliki",Sheet1!$E$2:$E$51,"normal")</f>
        <v>1</v>
      </c>
      <c r="G14" s="2">
        <f>COUNTIFS(Sheet1!$C$2:$C$51,"normal",Sheet1!$J$2:$J$51,"i",Sheet1!$H$2:$H$51,"tidak",Sheet1!$F$2:$F$51,"ASI",Sheet1!$L$2:$L$51,"memiliki",Sheet1!$E$2:$E$51,"KURANG")</f>
        <v>0</v>
      </c>
      <c r="H14" s="2">
        <f>((-F14/D14)*IMLOG2(F14/D14))</f>
        <v>0</v>
      </c>
      <c r="I14" s="5"/>
      <c r="K14" s="3"/>
      <c r="L14" s="2"/>
      <c r="M14" s="2" t="s">
        <v>31</v>
      </c>
      <c r="N14" s="2">
        <f>COUNTIFS(Sheet1!$C$2:$C$51,"normal",Sheet1!$J$2:$J$51,"i",Sheet1!$H$2:$H$51,"tidak",Sheet1!$H$2:$H$51,"tidak",Sheet1!$G$2:$G$51,"tinggi",Sheet1!$L$2:$L$51,"memiliki",Sheet1!$B$2:$B$51,"A")</f>
        <v>0</v>
      </c>
      <c r="O14" s="2">
        <f>COUNTIFS(Sheet1!$C$2:$C$51,"normal",Sheet1!$J$2:$J$51,"i",Sheet1!$H$2:$H$51,"tidak",Sheet1!$H$2:$H$51,"tidak",Sheet1!$G$2:$G$51,"TINGGI",Sheet1!$L$2:$L$51,"memiliki",Sheet1!$B$2:$B$51,"A",Sheet1!$E$2:$E$51,"lebih")</f>
        <v>0</v>
      </c>
      <c r="P14" s="2">
        <f>COUNTIFS(Sheet1!$C$2:$C$51,"normal",Sheet1!$J$2:$J$51,"i",Sheet1!$H$2:$H$51,"tidak",Sheet1!$G$2:$G$51,"TINGGI",Sheet1!$L$2:$L$51,"memiliki",Sheet1!$B$2:$B$51,"A",Sheet1!$E$2:$E$51,"NORMAL")</f>
        <v>0</v>
      </c>
      <c r="Q14" s="2">
        <f>COUNTIFS(Sheet1!$C$2:$C$51,"normal",Sheet1!$J$2:$J$51,"i",Sheet1!$H$2:$H$51,"tidak",Sheet1!$G$2:$G$51,"TINGGI",Sheet1!$L$2:$L$51,"memiliki",Sheet1!$B$2:$B$51,"A",Sheet1!$E$2:$E$51,"KURANG")</f>
        <v>0</v>
      </c>
      <c r="R14" s="2">
        <v>0</v>
      </c>
      <c r="S14" s="5"/>
      <c r="T14" s="13"/>
      <c r="U14" s="3"/>
      <c r="V14" s="18"/>
      <c r="W14" s="2" t="s">
        <v>53</v>
      </c>
      <c r="X14" s="2">
        <f>COUNTIFS(Sheet1!$C$2:$C$51,"normal",Sheet1!$J$2:$J$51,"i",Sheet1!$H$2:$H$51,"tidak",Sheet1!$I$2:$I$51,"z",Sheet1!$L$2:$L$51,"memiliki",Sheet1!$B$2:$B$51,"A")</f>
        <v>0</v>
      </c>
      <c r="Y14" s="2">
        <f>COUNTIFS(Sheet1!$C$2:$C$51,"normal",Sheet1!$J$2:$J$51,"i",Sheet1!$H$2:$H$51,"tidak",Sheet1!$I$2:$I$51,"z",Sheet1!$L$2:$L$51,"memiliki",Sheet1!$B$2:$B$51,"A",Sheet1!$E$2:$E$51,"lebih")</f>
        <v>0</v>
      </c>
      <c r="Z14" s="2">
        <f>COUNTIFS(Sheet1!$C$2:$C$51,"normal",Sheet1!$J$2:$J$51,"i",Sheet1!$H$2:$H$51,"tidak",Sheet1!$I$2:$I$51,"z",Sheet1!$L$2:$L$51,"memiliki",Sheet1!$B$2:$B$51,"A",Sheet1!$E$2:$E$51,"normal")</f>
        <v>0</v>
      </c>
      <c r="AA14" s="2">
        <f>COUNTIFS(Sheet1!$C$2:$C$51,"normal",Sheet1!$J$2:$J$51,"i",Sheet1!$I$2:$I$51,"z",Sheet1!$L$2:$L$51,"memiliki",Sheet1!$B$2:$B$51,"A",Sheet1!$E$2:$E$51,"kurang")</f>
        <v>0</v>
      </c>
      <c r="AB14" s="2">
        <v>0</v>
      </c>
      <c r="AC14" s="5"/>
    </row>
    <row r="15" spans="1:29">
      <c r="A15" s="3"/>
      <c r="B15" s="2" t="s">
        <v>49</v>
      </c>
      <c r="C15" s="2" t="s">
        <v>30</v>
      </c>
      <c r="D15" s="2">
        <f>COUNTIFS(Sheet1!$C$2:$C$51,"normal",Sheet1!$J$2:$J$51,"i",Sheet1!$H$2:$H$51,"tidak",Sheet1!$H$2:$H$51,"tidak",Sheet1!$G$2:$G$51,"rendah",Sheet1!$L$2:$L$51,"memiliki")</f>
        <v>0</v>
      </c>
      <c r="E15" s="2">
        <f>COUNTIFS(Sheet1!$C$2:$C$51,"normal",Sheet1!$J$2:$J$51,"i",Sheet1!$H$2:$H$51,"tidak",Sheet1!$G$2:$G$51,"rendah",Sheet1!$L$2:$L$51,"memiliki",Sheet1!$E$2:$E$51,"lebih")</f>
        <v>0</v>
      </c>
      <c r="F15" s="2">
        <f>COUNTIFS(Sheet1!$C$2:$C$51,"normal",Sheet1!$J$2:$J$51,"i",Sheet1!$H$2:$H$51,"tidak",Sheet1!$H$2:$H$51,"tidak",Sheet1!$G$2:$G$51,"rendah",Sheet1!$L$2:$L$51,"memiliki",Sheet1!$E$2:$E$51,"NORMAL")</f>
        <v>0</v>
      </c>
      <c r="G15" s="2">
        <f>COUNTIFS(Sheet1!$C$2:$C$51,"normal",Sheet1!$J$2:$J$51,"i",Sheet1!$H$2:$H$51,"tidak",Sheet1!$G$2:$G$51,"rendah",Sheet1!$L$2:$L$51,"memiliki",Sheet1!$E$2:$E$51,"KURANG")</f>
        <v>0</v>
      </c>
      <c r="H15" s="2">
        <v>0</v>
      </c>
      <c r="I15" s="4">
        <f>($H$2)-((D15/$D$3*H15)+(D16/$D$3*H16)+(D17/$D$3*H17))</f>
        <v>0.06240335940403</v>
      </c>
      <c r="K15" s="3"/>
      <c r="L15" s="2" t="s">
        <v>51</v>
      </c>
      <c r="M15" s="2" t="s">
        <v>20</v>
      </c>
      <c r="N15" s="2">
        <f>COUNTIFS(Sheet1!$C$2:$C$51,"normal",Sheet1!$J$2:$J$51,"i",Sheet1!$H$2:$H$51,"tidak",Sheet1!$I$2:$I$51,"x",Sheet1!$L$2:$L$51,"memiliki",Sheet1!$B$2:$B$51,"A")</f>
        <v>3</v>
      </c>
      <c r="O15" s="2">
        <f>COUNTIFS(Sheet1!$C$2:$C$51,"normal",Sheet1!$J$2:$J$51,"i",Sheet1!$H$2:$H$51,"tidak",Sheet1!$I$2:$I$51,"x",Sheet1!$L$2:$L$51,"memiliki",Sheet1!$B$2:$B$51,"A",Sheet1!$E$2:$E$51,"lebih")</f>
        <v>1</v>
      </c>
      <c r="P15" s="2">
        <f>COUNTIFS(Sheet1!$C$2:$C$51,"normal",Sheet1!$J$2:$J$51,"i",Sheet1!$H$2:$H$51,"tidak",Sheet1!$I$2:$I$51,"x",Sheet1!$L$2:$L$51,"memiliki",Sheet1!$B$2:$B$51,"A",Sheet1!$E$2:$E$51,"normal")</f>
        <v>2</v>
      </c>
      <c r="Q15" s="2">
        <f>COUNTIFS(Sheet1!$C$2:$C$51,"normal",Sheet1!$J$2:$J$51,"i",Sheet1!$H$2:$H$51,"tidak",Sheet1!$I$2:$I$51,"x",Sheet1!$L$2:$L$51,"memiliki",Sheet1!$B$2:$B$51,"A",Sheet1!$E$2:$E$51,"kurang")</f>
        <v>0</v>
      </c>
      <c r="R15" s="2">
        <f>((-O15/N15)*IMLOG2(O15/N15)+(-P15/N15)*IMLOG2(P15/N15))</f>
        <v>0.918295834054491</v>
      </c>
      <c r="S15" s="4">
        <f>($R$2)-((N15/$N$3*R15)+(N16/$N$3*R16)+(N17/$N$3*R17))</f>
        <v>-0.100661977154659</v>
      </c>
      <c r="T15" s="13"/>
      <c r="U15" s="3"/>
      <c r="V15" s="22" t="s">
        <v>56</v>
      </c>
      <c r="W15" s="2" t="s">
        <v>30</v>
      </c>
      <c r="X15" s="2">
        <f>COUNTIFS(Sheet1!$C$2:$C$51,"normal",Sheet1!$J$2:$J$51,"i",Sheet1!$H$2:$H$51,"tidak",Sheet1!$K$2:$K$51,"rendah",Sheet1!$L$2:$L$51,"memiliki",Sheet1!$B$2:$B$51,"A",Sheet1!$D$2:$D$51,"NORMAL")</f>
        <v>0</v>
      </c>
      <c r="Y15" s="2">
        <f>COUNTIFS(Sheet1!$C$2:$C$51,"normal",Sheet1!$J$2:$J$51,"i",Sheet1!$H$2:$H$51,"tidak",Sheet1!$K$2:$K$51,"rendah",Sheet1!$L$2:$L$51,"memiliki",Sheet1!$B$2:$B$51,"A",Sheet1!$E$2:$E$51,"lebih")</f>
        <v>0</v>
      </c>
      <c r="Z15" s="2">
        <f>COUNTIFS(Sheet1!$C$2:$C$51,"normal",Sheet1!$J$2:$J$51,"i",Sheet1!$H$2:$H$51,"tidak",Sheet1!$K$2:$K$51,"rendah",Sheet1!$L$2:$L$51,"memiliki",Sheet1!$B$2:$B$51,"A",Sheet1!$E$2:$E$51,"normal")</f>
        <v>0</v>
      </c>
      <c r="AA15" s="2">
        <f>COUNTIFS(Sheet1!$C$2:$C$51,"normal",Sheet1!$J$2:$J$51,"i",Sheet1!$H$2:$H$51,"tidak",Sheet1!$K$2:$K$51,"rendah",Sheet1!$L$2:$L$51,"memiliki",Sheet1!$B$2:$B$51,"A",Sheet1!$E$2:$E$51,"kurang")</f>
        <v>0</v>
      </c>
      <c r="AB15" s="2">
        <v>0</v>
      </c>
      <c r="AC15" s="4">
        <f>($AB$2)-((X15/$X$3*AB15)+(X16/$X$3*AB16)+(X17/$X$3*AB17))</f>
        <v>-0.182366143100169</v>
      </c>
    </row>
    <row r="16" spans="1:29">
      <c r="A16" s="3"/>
      <c r="B16" s="2"/>
      <c r="C16" s="2" t="s">
        <v>18</v>
      </c>
      <c r="D16" s="2">
        <f>COUNTIFS(Sheet1!$C$2:$C$51,"normal",Sheet1!$J$2:$J$51,"i",Sheet1!$H$2:$H$51,"tidak",Sheet1!$H$2:$H$51,"tidak",Sheet1!$G$2:$G$51,"sedang",Sheet1!$L$2:$L$51,"memiliki")</f>
        <v>7</v>
      </c>
      <c r="E16" s="2">
        <f>COUNTIFS(Sheet1!$C$2:$C$51,"normal",Sheet1!$J$2:$J$51,"i",Sheet1!$H$2:$H$51,"tidak",Sheet1!$H$2:$H$51,"tidak",Sheet1!$G$2:$G$51,"SEDANG",Sheet1!$L$2:$L$51,"memiliki",Sheet1!$E$2:$E$51,"lebih")</f>
        <v>2</v>
      </c>
      <c r="F16" s="2">
        <f>COUNTIFS(Sheet1!$C$2:$C$51,"normal",Sheet1!$J$2:$J$51,"i",Sheet1!$H$2:$H$51,"tidak",Sheet1!$G$2:$G$51,"SEDANG",Sheet1!$L$2:$L$51,"memiliki",Sheet1!$E$2:$E$51,"NORMAL")</f>
        <v>5</v>
      </c>
      <c r="G16" s="2">
        <f>COUNTIFS(Sheet1!$C$2:$C$51,"normal",Sheet1!$J$2:$J$51,"i",Sheet1!$H$2:$H$51,"tidak",Sheet1!$G$2:$G$51,"SEDANG",Sheet1!$L$2:$L$51,"memiliki",Sheet1!$E$2:$E$51,"KURANG")</f>
        <v>0</v>
      </c>
      <c r="H16" s="2">
        <f>((-E16/D16)*IMLOG2(E16/D16)+(-F16/D16)*IMLOG2(F16/D16))</f>
        <v>0.86312056856663</v>
      </c>
      <c r="I16" s="6"/>
      <c r="K16" s="3"/>
      <c r="L16" s="2"/>
      <c r="M16" s="2" t="s">
        <v>52</v>
      </c>
      <c r="N16" s="2">
        <f>COUNTIFS(Sheet1!$C$2:$C$51,"normal",Sheet1!$J$2:$J$51,"i",Sheet1!$H$2:$H$51,"tidak",Sheet1!$I$2:$I$51,"y",Sheet1!$L$2:$L$51,"memiliki",Sheet1!$B$2:$B$51,"A")</f>
        <v>0</v>
      </c>
      <c r="O16" s="2">
        <f>COUNTIFS(Sheet1!$C$2:$C$51,"normal",Sheet1!$J$2:$J$51,"i",Sheet1!$H$2:$H$51,"tidak",Sheet1!$I$2:$I$51,"y",Sheet1!$L$2:$L$51,"memiliki",Sheet1!$B$2:$B$51,"A",Sheet1!$E$2:$E$51,"lebih")</f>
        <v>0</v>
      </c>
      <c r="P16" s="2">
        <f>COUNTIFS(Sheet1!$C$2:$C$51,"normal",Sheet1!$J$2:$J$51,"i",Sheet1!$H$2:$H$51,"tidak",Sheet1!$I$2:$I$51,"y",Sheet1!$L$2:$L$51,"memiliki",Sheet1!$B$2:$B$51,"A",Sheet1!$E$2:$E$51,"normal")</f>
        <v>0</v>
      </c>
      <c r="Q16" s="2">
        <f>COUNTIFS(Sheet1!$C$2:$C$51,"normal",Sheet1!$J$2:$J$51,"i",Sheet1!$I$2:$I$51,"y",Sheet1!$L$2:$L$51,"memiliki",Sheet1!$B$2:$B$51,"A",Sheet1!$E$2:$E$51,"kurang")</f>
        <v>0</v>
      </c>
      <c r="R16" s="2">
        <v>0</v>
      </c>
      <c r="S16" s="6"/>
      <c r="T16" s="13"/>
      <c r="U16" s="3"/>
      <c r="V16" s="24"/>
      <c r="W16" s="2" t="s">
        <v>22</v>
      </c>
      <c r="X16" s="2">
        <f>COUNTIFS(Sheet1!$C$2:$C$51,"normal",Sheet1!$J$2:$J$51,"i",Sheet1!$H$2:$H$51,"tidak",Sheet1!$K$2:$K$51,"menengah",Sheet1!$L$2:$L$51,"memiliki",Sheet1!$B$2:$B$51,"A",Sheet1!$D$2:$D$51,"NORMAL")</f>
        <v>2</v>
      </c>
      <c r="Y16" s="2">
        <f>COUNTIFS(Sheet1!$C$2:$C$51,"normal",Sheet1!$J$2:$J$51,"i",Sheet1!$H$2:$H$51,"tidak",Sheet1!$K$2:$K$51,"menengah",Sheet1!$L$2:$L$51,"memiliki",Sheet1!$B$2:$B$51,"A",Sheet1!$E$2:$E$51,"lebih",Sheet1!$D$2:$D$51,"NORMAL")</f>
        <v>1</v>
      </c>
      <c r="Z16" s="2">
        <f>COUNTIFS(Sheet1!$C$2:$C$51,"normal",Sheet1!$J$2:$J$51,"i",Sheet1!$H$2:$H$51,"tidak",Sheet1!$K$2:$K$51,"menengah",Sheet1!$L$2:$L$51,"memiliki",Sheet1!$B$2:$B$51,"A",Sheet1!$E$2:$E$51,"normal",Sheet1!$D$2:$D$51,"NORMAL")</f>
        <v>1</v>
      </c>
      <c r="AA16" s="2">
        <f>COUNTIFS(Sheet1!$C$2:$C$51,"normal",Sheet1!$J$2:$J$51,"i",Sheet1!$H$2:$H$51,"tidak",Sheet1!$K$2:$K$51,"menengah",Sheet1!$L$2:$L$51,"memiliki",Sheet1!$B$2:$B$51,"A",Sheet1!$E$2:$E$51,"kurang")</f>
        <v>0</v>
      </c>
      <c r="AB16" s="2">
        <f>((-Y16/X16)*IMLOG2(Y16/X16)+(-Z16/X16)*IMLOG2(Z16/X16))</f>
        <v>1</v>
      </c>
      <c r="AC16" s="6"/>
    </row>
    <row r="17" spans="1:29">
      <c r="A17" s="3"/>
      <c r="B17" s="2"/>
      <c r="C17" s="2" t="s">
        <v>31</v>
      </c>
      <c r="D17" s="2">
        <f>COUNTIFS(Sheet1!$C$2:$C$51,"normal",Sheet1!$J$2:$J$51,"i",Sheet1!$H$2:$H$51,"tidak",Sheet1!$H$2:$H$51,"tidak",Sheet1!$G$2:$G$51,"tinggi",Sheet1!$L$2:$L$51,"memiliki")</f>
        <v>1</v>
      </c>
      <c r="E17" s="2">
        <f>COUNTIFS(Sheet1!$C$2:$C$51,"normal",Sheet1!$J$2:$J$51,"i",Sheet1!$H$2:$H$51,"tidak",Sheet1!$H$2:$H$51,"tidak",Sheet1!$G$2:$G$51,"TINGGI",Sheet1!$L$2:$L$51,"memiliki",Sheet1!$E$2:$E$51,"lebih")</f>
        <v>0</v>
      </c>
      <c r="F17" s="2">
        <f>COUNTIFS(Sheet1!$C$2:$C$51,"normal",Sheet1!$J$2:$J$51,"i",Sheet1!$H$2:$H$51,"tidak",Sheet1!$G$2:$G$51,"TINGGI",Sheet1!$L$2:$L$51,"memiliki",Sheet1!$E$2:$E$51,"NORMAL")</f>
        <v>1</v>
      </c>
      <c r="G17" s="2">
        <f>COUNTIFS(Sheet1!$C$2:$C$51,"normal",Sheet1!$J$2:$J$51,"i",Sheet1!$H$2:$H$51,"tidak",Sheet1!$G$2:$G$51,"TINGGI",Sheet1!$L$2:$L$51,"memiliki",Sheet1!$E$2:$E$51,"KURANG")</f>
        <v>0</v>
      </c>
      <c r="H17" s="2">
        <v>0</v>
      </c>
      <c r="I17" s="5"/>
      <c r="K17" s="3"/>
      <c r="L17" s="2"/>
      <c r="M17" s="2" t="s">
        <v>53</v>
      </c>
      <c r="N17" s="2">
        <f>COUNTIFS(Sheet1!$C$2:$C$51,"normal",Sheet1!$J$2:$J$51,"i",Sheet1!$H$2:$H$51,"tidak",Sheet1!$I$2:$I$51,"z",Sheet1!$L$2:$L$51,"memiliki",Sheet1!$B$2:$B$51,"A")</f>
        <v>0</v>
      </c>
      <c r="O17" s="2">
        <f>COUNTIFS(Sheet1!$C$2:$C$51,"normal",Sheet1!$J$2:$J$51,"i",Sheet1!$H$2:$H$51,"tidak",Sheet1!$I$2:$I$51,"z",Sheet1!$L$2:$L$51,"memiliki",Sheet1!$B$2:$B$51,"A",Sheet1!$E$2:$E$51,"lebih")</f>
        <v>0</v>
      </c>
      <c r="P17" s="2">
        <f>COUNTIFS(Sheet1!$C$2:$C$51,"normal",Sheet1!$J$2:$J$51,"i",Sheet1!$H$2:$H$51,"tidak",Sheet1!$I$2:$I$51,"z",Sheet1!$L$2:$L$51,"memiliki",Sheet1!$B$2:$B$51,"A",Sheet1!$E$2:$E$51,"normal")</f>
        <v>0</v>
      </c>
      <c r="Q17" s="2">
        <f>COUNTIFS(Sheet1!$C$2:$C$51,"normal",Sheet1!$J$2:$J$51,"i",Sheet1!$I$2:$I$51,"z",Sheet1!$L$2:$L$51,"memiliki",Sheet1!$B$2:$B$51,"A",Sheet1!$E$2:$E$51,"kurang")</f>
        <v>0</v>
      </c>
      <c r="R17" s="2">
        <v>0</v>
      </c>
      <c r="S17" s="5"/>
      <c r="T17" s="13"/>
      <c r="U17" s="3"/>
      <c r="V17" s="23"/>
      <c r="W17" s="2" t="s">
        <v>31</v>
      </c>
      <c r="X17" s="2">
        <f>COUNTIFS(Sheet1!$C$2:$C$51,"normal",Sheet1!$J$2:$J$51,"i",Sheet1!$H$2:$H$51,"tidak",Sheet1!$K$2:$K$51,"tinggi",Sheet1!$L$2:$L$51,"memiliki",Sheet1!$B$2:$B$51,"A",Sheet1!$D$2:$D$51,"NORMAL")</f>
        <v>0</v>
      </c>
      <c r="Y17" s="2">
        <f>COUNTIFS(Sheet1!$C$2:$C$51,"normal",Sheet1!$J$2:$J$51,"i",Sheet1!$H$2:$H$51,"tidak",Sheet1!$K$2:$K$51,"tinggi",Sheet1!$L$2:$L$51,"memiliki",Sheet1!$B$2:$B$51,"A",Sheet1!$E$2:$E$51,"lebih")</f>
        <v>0</v>
      </c>
      <c r="Z17" s="2">
        <f>COUNTIFS(Sheet1!$C$2:$C$51,"normal",Sheet1!$J$2:$J$51,"i",Sheet1!$H$2:$H$51,"tidak",Sheet1!$K$2:$K$51,"tinggi",Sheet1!$L$2:$L$51,"memiliki",Sheet1!$B$2:$B$51,"A",Sheet1!$E$2:$E$51,"normal")</f>
        <v>0</v>
      </c>
      <c r="AA17" s="2">
        <f>COUNTIFS(Sheet1!$C$2:$C$51,"normal",Sheet1!$J$2:$J$51,"i",Sheet1!$H$2:$H$51,"tidak",Sheet1!$K$2:$K$51,"tinggi",Sheet1!$L$2:$L$51,"memiliki",Sheet1!$B$2:$B$51,"A",Sheet1!$E$2:$E$51,"kurang")</f>
        <v>0</v>
      </c>
      <c r="AB17" s="2">
        <v>0</v>
      </c>
      <c r="AC17" s="5"/>
    </row>
    <row r="18" spans="1:21">
      <c r="A18" s="3"/>
      <c r="B18" s="2" t="s">
        <v>51</v>
      </c>
      <c r="C18" s="2" t="s">
        <v>20</v>
      </c>
      <c r="D18" s="2">
        <f>COUNTIFS(Sheet1!$C$2:$C$51,"normal",Sheet1!$J$2:$J$51,"i",Sheet1!$H$2:$H$51,"tidak",Sheet1!$I$2:$I$51,"x",Sheet1!$L$2:$L$51,"memiliki")</f>
        <v>8</v>
      </c>
      <c r="E18" s="2">
        <f>COUNTIFS(Sheet1!$C$2:$C$51,"normal",Sheet1!$J$2:$J$51,"i",Sheet1!$H$2:$H$51,"tidak",Sheet1!$I$2:$I$51,"x",Sheet1!$L$2:$L$51,"memiliki",Sheet1!$E$2:$E$51,"lebih")</f>
        <v>2</v>
      </c>
      <c r="F18" s="2">
        <f>COUNTIFS(Sheet1!$C$2:$C$51,"normal",Sheet1!$J$2:$J$51,"i",Sheet1!$H$2:$H$51,"tidak",Sheet1!$I$2:$I$51,"x",Sheet1!$L$2:$L$51,"memiliki",Sheet1!$E$2:$E$51,"normal")</f>
        <v>6</v>
      </c>
      <c r="G18" s="2">
        <f>COUNTIFS(Sheet1!$C$2:$C$51,"normal",Sheet1!$J$2:$J$51,"i",Sheet1!$H$2:$H$51,"tidak",Sheet1!$I$2:$I$51,"x",Sheet1!$L$2:$L$51,"memiliki",Sheet1!$E$2:$E$51,"kurang")</f>
        <v>0</v>
      </c>
      <c r="H18" s="2">
        <f>((-E18/D18)*IMLOG2(E18/D18)+(-F18/D18)*IMLOG2(F18/D18))</f>
        <v>0.811278124459133</v>
      </c>
      <c r="I18" s="4">
        <f>($H$2)-((D18/$D$3*H18)+(D19/$D$3*H19)+(D20/$D$3*H20))</f>
        <v>0.00635573244069831</v>
      </c>
      <c r="K18" s="3"/>
      <c r="L18" s="4" t="s">
        <v>56</v>
      </c>
      <c r="M18" s="2" t="s">
        <v>30</v>
      </c>
      <c r="N18" s="2">
        <f>COUNTIFS(Sheet1!$C$2:$C$51,"normal",Sheet1!$J$2:$J$51,"i",Sheet1!$H$2:$H$51,"tidak",Sheet1!$K$2:$K$51,"rendah",Sheet1!$L$2:$L$51,"memiliki",Sheet1!$B$2:$B$51,"A")</f>
        <v>0</v>
      </c>
      <c r="O18" s="2">
        <f>COUNTIFS(Sheet1!$C$2:$C$51,"normal",Sheet1!$J$2:$J$51,"i",Sheet1!$H$2:$H$51,"tidak",Sheet1!$K$2:$K$51,"rendah",Sheet1!$L$2:$L$51,"memiliki",Sheet1!$B$2:$B$51,"A",Sheet1!$E$2:$E$51,"lebih")</f>
        <v>0</v>
      </c>
      <c r="P18" s="2">
        <f>COUNTIFS(Sheet1!$C$2:$C$51,"normal",Sheet1!$J$2:$J$51,"i",Sheet1!$H$2:$H$51,"tidak",Sheet1!$K$2:$K$51,"rendah",Sheet1!$L$2:$L$51,"memiliki",Sheet1!$B$2:$B$51,"A",Sheet1!$E$2:$E$51,"normal")</f>
        <v>0</v>
      </c>
      <c r="Q18" s="2">
        <f>COUNTIFS(Sheet1!$C$2:$C$51,"normal",Sheet1!$J$2:$J$51,"i",Sheet1!$H$2:$H$51,"tidak",Sheet1!$K$2:$K$51,"rendah",Sheet1!$L$2:$L$51,"memiliki",Sheet1!$B$2:$B$51,"A",Sheet1!$E$2:$E$51,"kurang")</f>
        <v>0</v>
      </c>
      <c r="R18" s="2">
        <v>0</v>
      </c>
      <c r="S18" s="4">
        <f>($R$2)-((N18/$N$3*R18)+(N19/$N$3*R19)+(N20/$N$3*R20))</f>
        <v>-0.100661977154659</v>
      </c>
      <c r="T18" s="13"/>
      <c r="U18" s="8"/>
    </row>
    <row r="19" spans="1:21">
      <c r="A19" s="3"/>
      <c r="B19" s="2"/>
      <c r="C19" s="2" t="s">
        <v>52</v>
      </c>
      <c r="D19" s="2">
        <f>COUNTIFS(Sheet1!$C$2:$C$51,"normal",Sheet1!$J$2:$J$51,"i",Sheet1!$H$2:$H$51,"tidak",Sheet1!$I$2:$I$51,"y",Sheet1!$L$2:$L$51,"memiliki")</f>
        <v>0</v>
      </c>
      <c r="E19" s="2">
        <f>COUNTIFS(Sheet1!$C$2:$C$51,"normal",Sheet1!$J$2:$J$51,"i",Sheet1!$H$2:$H$51,"tidak",Sheet1!$I$2:$I$51,"y",Sheet1!$L$2:$L$51,"memiliki",Sheet1!$E$2:$E$51,"lebih")</f>
        <v>0</v>
      </c>
      <c r="F19" s="2">
        <f>COUNTIFS(Sheet1!$C$2:$C$51,"normal",Sheet1!$J$2:$J$51,"i",Sheet1!$H$2:$H$51,"tidak",Sheet1!$I$2:$I$51,"y",Sheet1!$L$2:$L$51,"memiliki",Sheet1!$E$2:$E$51,"normal")</f>
        <v>0</v>
      </c>
      <c r="G19" s="2">
        <f>COUNTIFS(Sheet1!$C$2:$C$51,"normal",Sheet1!$J$2:$J$51,"i",Sheet1!$I$2:$I$51,"y",Sheet1!$L$2:$L$51,"memiliki",Sheet1!$E$2:$E$51,"kurang")</f>
        <v>0</v>
      </c>
      <c r="H19" s="2">
        <v>0</v>
      </c>
      <c r="I19" s="6"/>
      <c r="K19" s="3"/>
      <c r="L19" s="6"/>
      <c r="M19" s="2" t="s">
        <v>22</v>
      </c>
      <c r="N19" s="2">
        <f>COUNTIFS(Sheet1!$C$2:$C$51,"normal",Sheet1!$J$2:$J$51,"i",Sheet1!$H$2:$H$51,"tidak",Sheet1!$K$2:$K$51,"menengah",Sheet1!$L$2:$L$51,"memiliki",Sheet1!$B$2:$B$51,"A")</f>
        <v>3</v>
      </c>
      <c r="O19" s="2">
        <f>COUNTIFS(Sheet1!$C$2:$C$51,"normal",Sheet1!$J$2:$J$51,"i",Sheet1!$H$2:$H$51,"tidak",Sheet1!$K$2:$K$51,"menengah",Sheet1!$L$2:$L$51,"memiliki",Sheet1!$B$2:$B$51,"A",Sheet1!$E$2:$E$51,"lebih")</f>
        <v>1</v>
      </c>
      <c r="P19" s="2">
        <f>COUNTIFS(Sheet1!$C$2:$C$51,"normal",Sheet1!$J$2:$J$51,"i",Sheet1!$H$2:$H$51,"tidak",Sheet1!$K$2:$K$51,"menengah",Sheet1!$L$2:$L$51,"memiliki",Sheet1!$B$2:$B$51,"A",Sheet1!$E$2:$E$51,"normal")</f>
        <v>2</v>
      </c>
      <c r="Q19" s="2">
        <f>COUNTIFS(Sheet1!$C$2:$C$51,"normal",Sheet1!$J$2:$J$51,"i",Sheet1!$H$2:$H$51,"tidak",Sheet1!$K$2:$K$51,"menengah",Sheet1!$L$2:$L$51,"memiliki",Sheet1!$B$2:$B$51,"A",Sheet1!$E$2:$E$51,"kurang")</f>
        <v>0</v>
      </c>
      <c r="R19" s="2">
        <f>((-O19/N19)*IMLOG2(O19/N19)+(-P19/N19)*IMLOG2(P19/N19))</f>
        <v>0.918295834054491</v>
      </c>
      <c r="S19" s="6"/>
      <c r="T19" s="13"/>
      <c r="U19" s="8"/>
    </row>
    <row r="20" spans="1:21">
      <c r="A20" s="3"/>
      <c r="B20" s="2"/>
      <c r="C20" s="2" t="s">
        <v>53</v>
      </c>
      <c r="D20" s="2">
        <f>COUNTIFS(Sheet1!$C$2:$C$51,"normal",Sheet1!$J$2:$J$51,"i",Sheet1!$H$2:$H$51,"tidak",Sheet1!$I$2:$I$51,"z",Sheet1!$L$2:$L$51,"memiliki")</f>
        <v>0</v>
      </c>
      <c r="E20" s="2">
        <f>COUNTIFS(Sheet1!$C$2:$C$51,"normal",Sheet1!$J$2:$J$51,"i",Sheet1!$H$2:$H$51,"tidak",Sheet1!$I$2:$I$51,"z",Sheet1!$L$2:$L$51,"memiliki",Sheet1!$E$2:$E$51,"lebih")</f>
        <v>0</v>
      </c>
      <c r="F20" s="2">
        <f>COUNTIFS(Sheet1!$C$2:$C$51,"normal",Sheet1!$J$2:$J$51,"i",Sheet1!$H$2:$H$51,"tidak",Sheet1!$I$2:$I$51,"z",Sheet1!$L$2:$L$51,"memiliki",Sheet1!$E$2:$E$51,"normal")</f>
        <v>0</v>
      </c>
      <c r="G20" s="2">
        <f>COUNTIFS(Sheet1!$C$2:$C$51,"normal",Sheet1!$J$2:$J$51,"i",Sheet1!$I$2:$I$51,"z",Sheet1!$L$2:$L$51,"memiliki",Sheet1!$E$2:$E$51,"kurang")</f>
        <v>0</v>
      </c>
      <c r="H20" s="2">
        <v>0</v>
      </c>
      <c r="I20" s="5"/>
      <c r="K20" s="3"/>
      <c r="L20" s="5"/>
      <c r="M20" s="2" t="s">
        <v>31</v>
      </c>
      <c r="N20" s="2">
        <f>COUNTIFS(Sheet1!$C$2:$C$51,"normal",Sheet1!$J$2:$J$51,"i",Sheet1!$H$2:$H$51,"tidak",Sheet1!$K$2:$K$51,"tinggi",Sheet1!$L$2:$L$51,"memiliki",Sheet1!$B$2:$B$51,"A")</f>
        <v>0</v>
      </c>
      <c r="O20" s="2">
        <f>COUNTIFS(Sheet1!$C$2:$C$51,"normal",Sheet1!$J$2:$J$51,"i",Sheet1!$H$2:$H$51,"tidak",Sheet1!$K$2:$K$51,"tinggi",Sheet1!$L$2:$L$51,"memiliki",Sheet1!$B$2:$B$51,"A",Sheet1!$E$2:$E$51,"lebih")</f>
        <v>0</v>
      </c>
      <c r="P20" s="2">
        <f>COUNTIFS(Sheet1!$C$2:$C$51,"normal",Sheet1!$J$2:$J$51,"i",Sheet1!$H$2:$H$51,"tidak",Sheet1!$K$2:$K$51,"tinggi",Sheet1!$L$2:$L$51,"memiliki",Sheet1!$B$2:$B$51,"A",Sheet1!$E$2:$E$51,"normal")</f>
        <v>0</v>
      </c>
      <c r="Q20" s="2">
        <f>COUNTIFS(Sheet1!$C$2:$C$51,"normal",Sheet1!$J$2:$J$51,"i",Sheet1!$H$2:$H$51,"tidak",Sheet1!$K$2:$K$51,"tinggi",Sheet1!$L$2:$L$51,"memiliki",Sheet1!$B$2:$B$51,"A",Sheet1!$E$2:$E$51,"kurang")</f>
        <v>0</v>
      </c>
      <c r="R20" s="2">
        <v>0</v>
      </c>
      <c r="S20" s="5"/>
      <c r="T20" s="13"/>
      <c r="U20" s="8"/>
    </row>
    <row r="21" spans="1:29">
      <c r="A21" s="3"/>
      <c r="B21" s="4" t="s">
        <v>56</v>
      </c>
      <c r="C21" s="2" t="s">
        <v>30</v>
      </c>
      <c r="D21" s="2">
        <f>COUNTIFS(Sheet1!$C$2:$C$51,"normal",Sheet1!$J$2:$J$51,"i",Sheet1!$H$2:$H$51,"tidak",Sheet1!$K$2:$K$51,"rendah",Sheet1!$L$2:$L$51,"memiliki")</f>
        <v>0</v>
      </c>
      <c r="E21" s="2">
        <f>COUNTIFS(Sheet1!$C$2:$C$51,"normal",Sheet1!$J$2:$J$51,"i",Sheet1!$H$2:$H$51,"tidak",Sheet1!$K$2:$K$51,"rendah",Sheet1!$L$2:$L$51,"memiliki",Sheet1!$E$2:$E$51,"lebih")</f>
        <v>0</v>
      </c>
      <c r="F21" s="2">
        <f>COUNTIFS(Sheet1!$C$2:$C$51,"normal",Sheet1!$J$2:$J$51,"i",Sheet1!$H$2:$H$51,"tidak",Sheet1!$K$2:$K$51,"rendah",Sheet1!$L$2:$L$51,"memiliki",Sheet1!$E$2:$E$51,"normal")</f>
        <v>0</v>
      </c>
      <c r="G21" s="2">
        <f>COUNTIFS(Sheet1!$C$2:$C$51,"normal",Sheet1!$J$2:$J$51,"i",Sheet1!$H$2:$H$51,"tidak",Sheet1!$K$2:$K$51,"rendah",Sheet1!$L$2:$L$51,"memiliki",Sheet1!$E$2:$E$51,"kurang")</f>
        <v>0</v>
      </c>
      <c r="H21" s="2">
        <v>0</v>
      </c>
      <c r="I21" s="4">
        <f>($H$2)-((D21/$D$3*H21)+(D22/$D$3*H22)+(D23/$D$3*H23))</f>
        <v>0.06240335940403</v>
      </c>
      <c r="K21" s="8"/>
      <c r="T21" s="13"/>
      <c r="U21" s="7"/>
      <c r="V21" s="7"/>
      <c r="W21" s="7"/>
      <c r="X21" s="7"/>
      <c r="Y21" s="7"/>
      <c r="Z21" s="7"/>
      <c r="AA21" s="7"/>
      <c r="AB21" s="7"/>
      <c r="AC21" s="7"/>
    </row>
    <row r="22" spans="1:29">
      <c r="A22" s="3"/>
      <c r="B22" s="6"/>
      <c r="C22" s="2" t="s">
        <v>22</v>
      </c>
      <c r="D22" s="2">
        <f>COUNTIFS(Sheet1!$C$2:$C$51,"normal",Sheet1!$J$2:$J$51,"i",Sheet1!$H$2:$H$51,"tidak",Sheet1!$K$2:$K$51,"menengah",Sheet1!$L$2:$L$51,"memiliki")</f>
        <v>7</v>
      </c>
      <c r="E22" s="2">
        <f>COUNTIFS(Sheet1!$C$2:$C$51,"normal",Sheet1!$J$2:$J$51,"i",Sheet1!$H$2:$H$51,"tidak",Sheet1!$K$2:$K$51,"menengah",Sheet1!$L$2:$L$51,"memiliki",Sheet1!$E$2:$E$51,"lebih")</f>
        <v>2</v>
      </c>
      <c r="F22" s="2">
        <f>COUNTIFS(Sheet1!$C$2:$C$51,"normal",Sheet1!$J$2:$J$51,"i",Sheet1!$H$2:$H$51,"tidak",Sheet1!$K$2:$K$51,"menengah",Sheet1!$L$2:$L$51,"memiliki",Sheet1!$E$2:$E$51,"normal")</f>
        <v>5</v>
      </c>
      <c r="G22" s="2">
        <f>COUNTIFS(Sheet1!$C$2:$C$51,"normal",Sheet1!$J$2:$J$51,"i",Sheet1!$H$2:$H$51,"tidak",Sheet1!$K$2:$K$51,"menengah",Sheet1!$L$2:$L$51,"memiliki",Sheet1!$E$2:$E$51,"kurang")</f>
        <v>0</v>
      </c>
      <c r="H22" s="2">
        <f>((-E22/D22)*IMLOG2(E22/D22)+(-F22/D22)*IMLOG2(F22/D22))</f>
        <v>0.86312056856663</v>
      </c>
      <c r="I22" s="6"/>
      <c r="K22" s="8"/>
      <c r="T22" s="13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3"/>
      <c r="B23" s="5"/>
      <c r="C23" s="2" t="s">
        <v>31</v>
      </c>
      <c r="D23" s="2">
        <f>COUNTIFS(Sheet1!$C$2:$C$51,"normal",Sheet1!$J$2:$J$51,"i",Sheet1!$H$2:$H$51,"tidak",Sheet1!$K$2:$K$51,"tinggi",Sheet1!$L$2:$L$51,"memiliki")</f>
        <v>1</v>
      </c>
      <c r="E23" s="2">
        <f>COUNTIFS(Sheet1!$C$2:$C$51,"normal",Sheet1!$J$2:$J$51,"i",Sheet1!$H$2:$H$51,"tidak",Sheet1!$K$2:$K$51,"tinggi",Sheet1!$L$2:$L$51,"memiliki",Sheet1!$E$2:$E$51,"lebih")</f>
        <v>0</v>
      </c>
      <c r="F23" s="2">
        <f>COUNTIFS(Sheet1!$C$2:$C$51,"normal",Sheet1!$J$2:$J$51,"i",Sheet1!$H$2:$H$51,"tidak",Sheet1!$K$2:$K$51,"tinggi",Sheet1!$L$2:$L$51,"memiliki",Sheet1!$E$2:$E$51,"normal")</f>
        <v>1</v>
      </c>
      <c r="G23" s="2">
        <f>COUNTIFS(Sheet1!$C$2:$C$51,"normal",Sheet1!$J$2:$J$51,"i",Sheet1!$H$2:$H$51,"tidak",Sheet1!$K$2:$K$51,"tinggi",Sheet1!$L$2:$L$51,"memiliki",Sheet1!$E$2:$E$51,"kurang")</f>
        <v>0</v>
      </c>
      <c r="H23" s="2">
        <v>0</v>
      </c>
      <c r="I23" s="5"/>
      <c r="K23" s="8"/>
      <c r="T23" s="13"/>
      <c r="U23" s="7"/>
      <c r="V23" s="2" t="s">
        <v>47</v>
      </c>
      <c r="W23" s="2" t="s">
        <v>15</v>
      </c>
      <c r="X23" s="2">
        <f>COUNTIFS(Sheet1!$C$2:$C$51,"normal",Sheet1!$J$2:$J$51,"i",Sheet1!$H$2:$H$51,"tidak",Sheet1!$L$2:$L$51,"MEMILIKI",Sheet1!$D$2:$D$51,"pendek",Sheet1!$B$2:$B$51,"A")</f>
        <v>1</v>
      </c>
      <c r="Y23" s="2">
        <f>COUNTIFS(Sheet1!$C$2:$C$51,"normal",Sheet1!$J$2:$J$51,"i",Sheet1!$H$2:$H$51,"tidak",Sheet1!$L$2:$L$51,"MEMILIKI",Sheet1!$D$2:$D$51,"pendek",Sheet1!$B$2:$B$51,"A",Sheet1!$E$2:$E$51,"lebih")</f>
        <v>0</v>
      </c>
      <c r="Z23" s="2">
        <f>COUNTIFS(Sheet1!$C$2:$C$51,"normal",Sheet1!$J$2:$J$51,"i",Sheet1!$H$2:$H$51,"tidak",Sheet1!$L$2:$L$51,"MEMILIKI",Sheet1!$D$2:$D$51,"pendek",Sheet1!$B$2:$B$51,"A",Sheet1!$E$2:$E$51,"NORMAL")</f>
        <v>1</v>
      </c>
      <c r="AA23" s="2">
        <f>COUNTIFS(Sheet1!$C$2:$C$51,"normal",Sheet1!$J$2:$J$51,"i",Sheet1!$H$2:$H$51,"tidak",Sheet1!$L$2:$L$51,"MEMILIKI",Sheet1!$D$2:$D$51,"pendek",Sheet1!$B$2:$B$51,"A",Sheet1!$E$2:$E$51,"KURANG")</f>
        <v>0</v>
      </c>
      <c r="AB23" s="2">
        <v>0</v>
      </c>
      <c r="AC23" s="4">
        <f>($R$2)-((X23/$N$3*AB23)+(X24/$N$3*AB24)+(X25/$N$3*AB25))</f>
        <v>0.150967190233165</v>
      </c>
    </row>
    <row r="24" spans="1:29">
      <c r="A24" s="7"/>
      <c r="K24" s="9"/>
      <c r="L24" s="9"/>
      <c r="M24" s="9"/>
      <c r="N24" s="9"/>
      <c r="O24" s="9"/>
      <c r="P24" s="9"/>
      <c r="Q24" s="9"/>
      <c r="R24" s="9"/>
      <c r="S24" s="9"/>
      <c r="T24" s="13"/>
      <c r="U24" s="7"/>
      <c r="V24" s="2"/>
      <c r="W24" s="2" t="s">
        <v>16</v>
      </c>
      <c r="X24" s="2">
        <f>COUNTIFS(Sheet1!$C$2:$C$51,"normal",Sheet1!$J$2:$J$51,"i",Sheet1!$H$2:$H$51,"tidak",Sheet1!$L$2:$L$51,"MEMILIKI",Sheet1!$D$2:$D$51,"NORMAL",Sheet1!$B$2:$B$51,"A")</f>
        <v>2</v>
      </c>
      <c r="Y24" s="2">
        <f>COUNTIFS(Sheet1!$C$2:$C$51,"normal",Sheet1!$J$2:$J$51,"i",Sheet1!$H$2:$H$51,"tidak",Sheet1!$L$2:$L$51,"MEMILIKI",Sheet1!$B$2:$B$51,"A",Sheet1!$D$2:$D$51,"NORMAL",Sheet1!$E$2:$E$51,"lebih")</f>
        <v>1</v>
      </c>
      <c r="Z24" s="2">
        <f>COUNTIFS(Sheet1!$C$2:$C$51,"normal",Sheet1!$J$2:$J$51,"i",Sheet1!$H$2:$H$51,"tidak",Sheet1!$L$2:$L$51,"MEMILIKI",Sheet1!$D$2:$D$51,"NORMAL",Sheet1!$B$2:$B$51,"A",Sheet1!$E$2:$E$51,"NORMAL")</f>
        <v>1</v>
      </c>
      <c r="AA24" s="2">
        <f>COUNTIFS(Sheet1!$C$2:$C$51,"normal",Sheet1!$J$2:$J$51,"i",Sheet1!$H$2:$H$51,"tidak",Sheet1!$L$2:$L$51,"MEMILIKI",Sheet1!$D$2:$D$51,"NORMAL",Sheet1!$B$2:$B$51,"A",Sheet1!$E$2:$E$51,"KURANG")</f>
        <v>0</v>
      </c>
      <c r="AB24" s="2">
        <f>((-Y24/X24)*IMLOG2(Y24/X24)+(-Z24/X24)*IMLOG2(Z24/X24))</f>
        <v>1</v>
      </c>
      <c r="AC24" s="6"/>
    </row>
    <row r="25" spans="1:29">
      <c r="A25" s="7"/>
      <c r="K25" s="14" t="s">
        <v>45</v>
      </c>
      <c r="L25" s="2" t="s">
        <v>33</v>
      </c>
      <c r="M25" s="2">
        <f>COUNTIFS(Sheet1!$C$2:$C$51,"normal",Sheet1!$J$2:$J$51,"i",Sheet1!$H$2:$H$51,"tidak",Sheet1!$L$2:$L$51,"MEMILIKI",Sheet1!$B$2:$B$51,"A")</f>
        <v>3</v>
      </c>
      <c r="N25" s="2">
        <f>COUNTIFS(Sheet1!$C$2:$C$51,"normal",Sheet1!$J$2:$J$51,"i",Sheet1!$H$2:$H$51,"tidak",Sheet1!$L$2:$L$51,"MEMILIKI",Sheet1!$B$2:$B$51,"A",Sheet1!$E$2:$E$51,"lebih")</f>
        <v>1</v>
      </c>
      <c r="O25" s="2">
        <f>COUNTIFS(Sheet1!$C$2:$C$51,"normal",Sheet1!$J$2:$J$51,"i",Sheet1!$H$2:$H$51,"tidak",Sheet1!$L$2:$L$51,"MEMILIKI",Sheet1!$B$2:$B$51,"A",Sheet1!$E$2:$E$51,"NORMAL")</f>
        <v>2</v>
      </c>
      <c r="P25" s="2">
        <f>COUNTIFS(Sheet1!$C$2:$C$51,"normal",Sheet1!$J$2:$J$51,"i",Sheet1!$H$2:$H$51,"tidak",Sheet1!$L$2:$L$51,"MEMILIKI",Sheet1!$B$2:$B$51,"A",Sheet1!$E$2:$E$51,"KURANG")</f>
        <v>0</v>
      </c>
      <c r="Q25" s="2">
        <f>((-N25/M25)*IMLOG2(N25/M25)+(-O25/M25)*IMLOG2(O25/M25))</f>
        <v>0.918295834054491</v>
      </c>
      <c r="R25" s="4">
        <f>($H$2)-((M25/$D$3*Q25)+(M26/$D$3*Q26)+(M27/$D$3*Q27))</f>
        <v>0.223272919129397</v>
      </c>
      <c r="S25" s="7"/>
      <c r="T25" s="13"/>
      <c r="U25" s="7"/>
      <c r="V25" s="2"/>
      <c r="W25" s="2" t="s">
        <v>31</v>
      </c>
      <c r="X25" s="2">
        <f>COUNTIFS(Sheet1!$C$2:$C$51,"normal",Sheet1!$J$2:$J$51,"i",Sheet1!$H$2:$H$51,"tidak",Sheet1!$L$2:$L$51,"MEMILIKI",Sheet1!$D$2:$D$51,"tinggi",Sheet1!$B$2:$B$51,"A")</f>
        <v>0</v>
      </c>
      <c r="Y25" s="2">
        <v>0</v>
      </c>
      <c r="Z25" s="2">
        <f>COUNTIFS(Sheet1!$C$2:$C$51,"normal",Sheet1!$J$2:$J$51,"i",Sheet1!$H$2:$H$51,"tidak",Sheet1!$L$2:$L$51,"MEMILIKI",Sheet1!$D$2:$D$51,"TINGGI",Sheet1!$E$2:$E$51,"NORMAL")</f>
        <v>0</v>
      </c>
      <c r="AA25" s="2">
        <f>COUNTIFS(Sheet1!$C$2:$C$51,"normal",Sheet1!$J$2:$J$51,"i",Sheet1!$H$2:$H$51,"tidak",Sheet1!$L$2:$L$51,"MEMILIKI",Sheet1!$D$2:$D$51,"TINGGI",Sheet1!$B$2:$B$51,"A",Sheet1!$E$2:$E$51,"KURANG")</f>
        <v>0</v>
      </c>
      <c r="AB25" s="2">
        <v>0</v>
      </c>
      <c r="AC25" s="5"/>
    </row>
    <row r="26" spans="1:29">
      <c r="A26" s="7"/>
      <c r="B26" s="7"/>
      <c r="C26" s="7"/>
      <c r="D26" s="7"/>
      <c r="E26" s="7"/>
      <c r="F26" s="7"/>
      <c r="G26" s="7"/>
      <c r="H26" s="7"/>
      <c r="I26" s="7"/>
      <c r="K26" s="15"/>
      <c r="L26" s="2" t="s">
        <v>13</v>
      </c>
      <c r="M26" s="2">
        <f>COUNTIFS(Sheet1!$C$2:$C$51,"normal",Sheet1!$J$2:$J$51,"i",Sheet1!$H$2:$H$51,"tidak",Sheet1!$L$2:$L$51,"MEMILIKI",Sheet1!$B$2:$B$51,"B")</f>
        <v>2</v>
      </c>
      <c r="N26" s="2">
        <f>COUNTIFS(Sheet1!$C$2:$C$51,"normal",Sheet1!$J$2:$J$51,"i",Sheet1!$H$2:$H$51,"tidak",Sheet1!$L$2:$L$51,"MEMILIKI",Sheet1!$B$2:$B$51,"B",Sheet1!$E$2:$E$51,"lebih")</f>
        <v>1</v>
      </c>
      <c r="O26" s="2">
        <f>COUNTIFS(Sheet1!$C$2:$C$51,"normal",Sheet1!$J$2:$J$51,"i",Sheet1!$H$2:$H$51,"tidak",Sheet1!$L$2:$L$51,"MEMILIKI",Sheet1!$B$2:$B$51,"B",Sheet1!$E$2:$E$51,"NORMAL")</f>
        <v>1</v>
      </c>
      <c r="P26" s="2">
        <f>COUNTIFS(Sheet1!$C$2:$C$51,"normal",Sheet1!$J$2:$J$51,"i",Sheet1!$H$2:$H$51,"tidak",Sheet1!$L$2:$L$51,"MEMILIKI",Sheet1!$B$2:$B$51,"B",Sheet1!$E$2:$E$51,"KURANG")</f>
        <v>0</v>
      </c>
      <c r="Q26" s="2">
        <f>((-N26/M26)*IMLOG2(N26/M26)+(-O26/M26)*IMLOG2(O26/M26))</f>
        <v>1</v>
      </c>
      <c r="R26" s="6"/>
      <c r="S26" s="7"/>
      <c r="T26" s="13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7"/>
      <c r="B27" s="2" t="s">
        <v>57</v>
      </c>
      <c r="C27" s="2" t="s">
        <v>29</v>
      </c>
      <c r="D27" s="2">
        <f>COUNTIFS(Sheet1!$C$2:$C$51,"normal",Sheet1!$J$2:$J$51,"i",Sheet1!$H$2:$H$51,"tidak",Sheet1!$L$2:$L$51,"tidak")</f>
        <v>4</v>
      </c>
      <c r="E27" s="2">
        <f>COUNTIFS(Sheet1!$C$2:$C$51,"normal",Sheet1!$J$2:$J$51,"i",Sheet1!$H$2:$H$51,"tidak",Sheet1!$L$2:$L$51,"tidak",Sheet1!$E$2:$E$51,"lebih")</f>
        <v>1</v>
      </c>
      <c r="F27" s="2">
        <f>COUNTIFS(Sheet1!$C$2:$C$51,"normal",Sheet1!$J$2:$J$51,"i",Sheet1!$H$2:$H$51,"tidak",Sheet1!$L$2:$L$51,"tidak",Sheet1!$E$2:$E$51,"normal")</f>
        <v>1</v>
      </c>
      <c r="G27" s="2">
        <f>COUNTIFS(Sheet1!$C$2:$C$51,"normal",Sheet1!$J$2:$J$51,"i",Sheet1!$H$2:$H$51,"tidak",Sheet1!$L$2:$L$51,"tidak",Sheet1!$E$2:$E$51,"kurang")</f>
        <v>2</v>
      </c>
      <c r="H27" s="2">
        <f>((-E27/D27)*IMLOG2(E27/D27)+(-F27/D27)*IMLOG2(F27/D27)+(-G27/D27)*IMLOG2(G27/D27))</f>
        <v>1.5</v>
      </c>
      <c r="I27" s="4">
        <f>($H$2)-((D27/$D$3*H27)+(D28/$D$3*H28))</f>
        <v>-0.743644267559302</v>
      </c>
      <c r="K27" s="16"/>
      <c r="L27" s="2" t="s">
        <v>32</v>
      </c>
      <c r="M27" s="2">
        <f>COUNTIFS(Sheet1!$C$2:$C$51,"normal",Sheet1!$J$2:$J$51,"i",Sheet1!$H$2:$H$51,"tidak",Sheet1!$L$2:$L$51,"MEMILIKI",Sheet1!$B$2:$B$51,"C")</f>
        <v>3</v>
      </c>
      <c r="N27" s="2">
        <f>COUNTIFS(Sheet1!$C$2:$C$51,"normal",Sheet1!$J$2:$J$51,"i",Sheet1!$H$2:$H$51,"tidak",Sheet1!$L$2:$L$51,"MEMILIKI",Sheet1!$B$2:$B$51,"C",Sheet1!$E$2:$E$51,"lebih")</f>
        <v>0</v>
      </c>
      <c r="O27" s="2">
        <f>COUNTIFS(Sheet1!$C$2:$C$51,"normal",Sheet1!$J$2:$J$51,"i",Sheet1!$H$2:$H$51,"tidak",Sheet1!$L$2:$L$51,"MEMILIKI",Sheet1!$B$2:$B$51,"C",Sheet1!$E$2:$E$51,"NORMAL")</f>
        <v>3</v>
      </c>
      <c r="P27" s="2">
        <f>COUNTIFS(Sheet1!$C$2:$C$51,"normal",Sheet1!$J$2:$J$51,"i",Sheet1!$H$2:$H$51,"tidak",Sheet1!$L$2:$L$51,"MEMILIKI",Sheet1!$B$2:$B$51,"C",Sheet1!$E$2:$E$51,"KURANG")</f>
        <v>0</v>
      </c>
      <c r="Q27" s="2">
        <v>0</v>
      </c>
      <c r="R27" s="5"/>
      <c r="S27" s="7"/>
      <c r="T27" s="13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7"/>
      <c r="B28" s="2"/>
      <c r="C28" s="2" t="s">
        <v>23</v>
      </c>
      <c r="D28" s="2">
        <f>COUNTIFS(Sheet1!$C$2:$C$51,"normal",Sheet1!$J$2:$J$51,"i",Sheet1!$H$2:$H$51,"tidak",Sheet1!$L$2:$L$51,"memiliki")</f>
        <v>8</v>
      </c>
      <c r="E28" s="2">
        <f>COUNTIFS(Sheet1!$C$2:$C$51,"normal",Sheet1!$J$2:$J$51,"i",Sheet1!$H$2:$H$51,"tidak",Sheet1!$L$2:$L$51,"memiliki",Sheet1!$E$2:$E$51,"lebih")</f>
        <v>2</v>
      </c>
      <c r="F28" s="2">
        <f>COUNTIFS(Sheet1!$C$2:$C$51,"normal",Sheet1!$J$2:$J$51,"i",Sheet1!$H$2:$H$51,"tidak",Sheet1!$L$2:$L$51,"memiliki",Sheet1!$E$2:$E$51,"normal")</f>
        <v>6</v>
      </c>
      <c r="G28" s="2">
        <f>COUNTIFS(Sheet1!$C$2:$C$51,"normal",Sheet1!$J$2:$J$51,"i",Sheet1!$H$2:$H$51,"tidak",Sheet1!$L$2:$L$51,"memiliki",Sheet1!$E$2:$E$51,"kurang")</f>
        <v>0</v>
      </c>
      <c r="H28" s="2">
        <f>((-E28/D28)*IMLOG2(E28/D28)+(-F28/D28)*IMLOG2(F28/D28))</f>
        <v>0.811278124459133</v>
      </c>
      <c r="I28" s="5"/>
      <c r="S28" s="7"/>
      <c r="T28" s="13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7"/>
      <c r="B29" s="7"/>
      <c r="C29" s="7"/>
      <c r="D29" s="7"/>
      <c r="E29" s="7"/>
      <c r="F29" s="7"/>
      <c r="G29" s="7"/>
      <c r="H29" s="7"/>
      <c r="I29" s="7"/>
      <c r="S29" s="7"/>
      <c r="T29" s="13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13"/>
      <c r="U30" s="7"/>
      <c r="V30" s="7"/>
      <c r="W30" s="7"/>
      <c r="X30" s="7"/>
      <c r="Y30" s="7"/>
      <c r="Z30" s="7"/>
      <c r="AA30" s="7"/>
      <c r="AB30" s="7"/>
      <c r="AC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1">
      <c r="A32" s="7"/>
    </row>
  </sheetData>
  <mergeCells count="53">
    <mergeCell ref="B1:C1"/>
    <mergeCell ref="L1:M1"/>
    <mergeCell ref="V1:W1"/>
    <mergeCell ref="B2:C2"/>
    <mergeCell ref="L2:M2"/>
    <mergeCell ref="V2:W2"/>
    <mergeCell ref="B3:C3"/>
    <mergeCell ref="L3:M3"/>
    <mergeCell ref="V3:W3"/>
    <mergeCell ref="A3:A23"/>
    <mergeCell ref="B4:B5"/>
    <mergeCell ref="B6:B8"/>
    <mergeCell ref="B9:B11"/>
    <mergeCell ref="B12:B14"/>
    <mergeCell ref="B15:B17"/>
    <mergeCell ref="B18:B20"/>
    <mergeCell ref="B21:B23"/>
    <mergeCell ref="B27:B28"/>
    <mergeCell ref="I4:I5"/>
    <mergeCell ref="I6:I8"/>
    <mergeCell ref="I9:I11"/>
    <mergeCell ref="I12:I14"/>
    <mergeCell ref="I15:I17"/>
    <mergeCell ref="I18:I20"/>
    <mergeCell ref="I21:I23"/>
    <mergeCell ref="I27:I28"/>
    <mergeCell ref="K2:K20"/>
    <mergeCell ref="K25:K27"/>
    <mergeCell ref="L4:L5"/>
    <mergeCell ref="L6:L8"/>
    <mergeCell ref="L9:L11"/>
    <mergeCell ref="L12:L14"/>
    <mergeCell ref="L15:L17"/>
    <mergeCell ref="L18:L20"/>
    <mergeCell ref="S4:S5"/>
    <mergeCell ref="S6:S8"/>
    <mergeCell ref="S9:S11"/>
    <mergeCell ref="S12:S14"/>
    <mergeCell ref="S15:S17"/>
    <mergeCell ref="S18:S20"/>
    <mergeCell ref="U2:U17"/>
    <mergeCell ref="V4:V5"/>
    <mergeCell ref="V6:V8"/>
    <mergeCell ref="V9:V11"/>
    <mergeCell ref="V12:V14"/>
    <mergeCell ref="V15:V17"/>
    <mergeCell ref="V23:V25"/>
    <mergeCell ref="AC4:AC5"/>
    <mergeCell ref="AC6:AC8"/>
    <mergeCell ref="AC9:AC11"/>
    <mergeCell ref="AC12:AC14"/>
    <mergeCell ref="AC15:AC17"/>
    <mergeCell ref="AC23:AC2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2"/>
  <sheetViews>
    <sheetView workbookViewId="0">
      <selection activeCell="B4" sqref="B4:B6"/>
    </sheetView>
  </sheetViews>
  <sheetFormatPr defaultColWidth="9" defaultRowHeight="15"/>
  <cols>
    <col min="1" max="1" width="17.7142857142857" customWidth="true"/>
    <col min="2" max="2" width="21.8571428571429" customWidth="true"/>
    <col min="3" max="3" width="11.7142857142857" customWidth="true"/>
    <col min="8" max="8" width="12.8571428571429"/>
    <col min="9" max="9" width="14"/>
    <col min="11" max="11" width="18" customWidth="true"/>
    <col min="12" max="12" width="18.5714285714286" customWidth="true"/>
    <col min="13" max="13" width="12.4285714285714" customWidth="true"/>
    <col min="17" max="18" width="12.8571428571429"/>
    <col min="19" max="19" width="14"/>
    <col min="21" max="21" width="25.5714285714286" customWidth="true"/>
    <col min="22" max="22" width="18.8571428571429" customWidth="true"/>
    <col min="23" max="23" width="14.7142857142857" customWidth="true"/>
    <col min="28" max="28" width="12.8571428571429"/>
    <col min="29" max="30" width="14"/>
    <col min="31" max="31" width="24.4285714285714" customWidth="true"/>
    <col min="32" max="32" width="16.8571428571429" customWidth="true"/>
    <col min="39" max="39" width="14"/>
  </cols>
  <sheetData>
    <row r="1" spans="1:39">
      <c r="A1" s="4" t="s">
        <v>37</v>
      </c>
      <c r="B1" s="2" t="s">
        <v>38</v>
      </c>
      <c r="C1" s="2"/>
      <c r="D1" s="2" t="s">
        <v>39</v>
      </c>
      <c r="E1" s="2" t="s">
        <v>40</v>
      </c>
      <c r="F1" s="2" t="s">
        <v>16</v>
      </c>
      <c r="G1" s="2" t="s">
        <v>36</v>
      </c>
      <c r="H1" s="2" t="s">
        <v>41</v>
      </c>
      <c r="I1" s="2" t="s">
        <v>42</v>
      </c>
      <c r="K1" s="4" t="s">
        <v>37</v>
      </c>
      <c r="L1" s="2" t="s">
        <v>38</v>
      </c>
      <c r="M1" s="2"/>
      <c r="N1" s="2" t="s">
        <v>39</v>
      </c>
      <c r="O1" s="2" t="s">
        <v>40</v>
      </c>
      <c r="P1" s="2" t="s">
        <v>16</v>
      </c>
      <c r="Q1" s="2" t="s">
        <v>36</v>
      </c>
      <c r="R1" s="2" t="s">
        <v>41</v>
      </c>
      <c r="S1" s="2" t="s">
        <v>42</v>
      </c>
      <c r="T1" s="13"/>
      <c r="U1" s="4" t="s">
        <v>37</v>
      </c>
      <c r="V1" s="2" t="s">
        <v>38</v>
      </c>
      <c r="W1" s="2"/>
      <c r="X1" s="2" t="s">
        <v>39</v>
      </c>
      <c r="Y1" s="2" t="s">
        <v>40</v>
      </c>
      <c r="Z1" s="2" t="s">
        <v>16</v>
      </c>
      <c r="AA1" s="2" t="s">
        <v>36</v>
      </c>
      <c r="AB1" s="2" t="s">
        <v>41</v>
      </c>
      <c r="AC1" s="2" t="s">
        <v>42</v>
      </c>
      <c r="AE1" s="4" t="s">
        <v>37</v>
      </c>
      <c r="AF1" s="2" t="s">
        <v>38</v>
      </c>
      <c r="AG1" s="2"/>
      <c r="AH1" s="2" t="s">
        <v>39</v>
      </c>
      <c r="AI1" s="2" t="s">
        <v>40</v>
      </c>
      <c r="AJ1" s="2" t="s">
        <v>16</v>
      </c>
      <c r="AK1" s="2" t="s">
        <v>36</v>
      </c>
      <c r="AL1" s="2" t="s">
        <v>41</v>
      </c>
      <c r="AM1" s="2" t="s">
        <v>42</v>
      </c>
    </row>
    <row r="2" spans="1:39">
      <c r="A2" s="3" t="s">
        <v>89</v>
      </c>
      <c r="B2" s="18" t="s">
        <v>43</v>
      </c>
      <c r="C2" s="2"/>
      <c r="D2" s="2">
        <v>50</v>
      </c>
      <c r="E2" s="2">
        <f>COUNTIF(Sheet1!$E$2:$E$51,"lebih")</f>
        <v>7</v>
      </c>
      <c r="F2" s="2">
        <f>COUNTIF(Sheet1!$E$2:$E$51,"normal")</f>
        <v>41</v>
      </c>
      <c r="G2" s="2">
        <f>COUNTIF(Sheet1!$E$2:$E$51,"kurang")</f>
        <v>2</v>
      </c>
      <c r="H2" s="2">
        <f>((-E2/D2)*IMLOG2(E2/D2)+(-F2/D2)*IMLOG2(F2/D2)+(-G2/D2)*IMLOG2(G2/D2))</f>
        <v>0.817633856899831</v>
      </c>
      <c r="I2" s="2"/>
      <c r="K2" s="3" t="s">
        <v>90</v>
      </c>
      <c r="L2" s="18" t="s">
        <v>43</v>
      </c>
      <c r="M2" s="2"/>
      <c r="N2" s="2">
        <v>50</v>
      </c>
      <c r="O2" s="2">
        <f>COUNTIF(Sheet1!$E$2:$E$51,"lebih")</f>
        <v>7</v>
      </c>
      <c r="P2" s="2">
        <f>COUNTIF(Sheet1!$E$2:$E$51,"normal")</f>
        <v>41</v>
      </c>
      <c r="Q2" s="2">
        <f>COUNTIF(Sheet1!$E$2:$E$51,"kurang")</f>
        <v>2</v>
      </c>
      <c r="R2" s="2">
        <f>((-O2/N2)*IMLOG2(O2/N2)+(-P2/N2)*IMLOG2(P2/N2)+(-Q2/N2)*IMLOG2(Q2/N2))</f>
        <v>0.817633856899831</v>
      </c>
      <c r="S2" s="2"/>
      <c r="T2" s="13"/>
      <c r="U2" s="3" t="s">
        <v>91</v>
      </c>
      <c r="V2" s="18" t="s">
        <v>43</v>
      </c>
      <c r="W2" s="2"/>
      <c r="X2" s="2">
        <v>50</v>
      </c>
      <c r="Y2" s="2">
        <f>COUNTIF(Sheet1!$E$2:$E$51,"lebih")</f>
        <v>7</v>
      </c>
      <c r="Z2" s="2">
        <f>COUNTIF(Sheet1!$E$2:$E$51,"normal")</f>
        <v>41</v>
      </c>
      <c r="AA2" s="2">
        <f>COUNTIF(Sheet1!$E$2:$E$51,"kurang")</f>
        <v>2</v>
      </c>
      <c r="AB2" s="2">
        <f>((-Y2/X2)*IMLOG2(Y2/X2)+(-Z2/X2)*IMLOG2(Z2/X2)+(-AA2/X2)*IMLOG2(AA2/X2))</f>
        <v>0.817633856899831</v>
      </c>
      <c r="AC2" s="2"/>
      <c r="AE2" s="3" t="s">
        <v>92</v>
      </c>
      <c r="AF2" s="18" t="s">
        <v>43</v>
      </c>
      <c r="AG2" s="2"/>
      <c r="AH2" s="2">
        <v>50</v>
      </c>
      <c r="AI2" s="2">
        <f>COUNTIF(Sheet1!$E$2:$E$51,"lebih")</f>
        <v>7</v>
      </c>
      <c r="AJ2" s="2">
        <f>COUNTIF(Sheet1!$E$2:$E$51,"normal")</f>
        <v>41</v>
      </c>
      <c r="AK2" s="2">
        <f>COUNTIF(Sheet1!$E$2:$E$51,"kurang")</f>
        <v>2</v>
      </c>
      <c r="AL2" s="2">
        <f>((-AI2/AH2)*IMLOG2(AI2/AH2)+(-AJ2/AH2)*IMLOG2(AJ2/AH2)+(-AK2/AH2)*IMLOG2(AK2/AH2))</f>
        <v>0.817633856899831</v>
      </c>
      <c r="AM2" s="2"/>
    </row>
    <row r="3" spans="1:39">
      <c r="A3" s="3"/>
      <c r="B3" s="18" t="s">
        <v>93</v>
      </c>
      <c r="C3" s="2"/>
      <c r="D3" s="2">
        <f>COUNTIFS(Sheet1!$C$2:$C$51,"normal",Sheet1!$J$2:$J$51,"i",Sheet1!$H$2:$H$51,"tidak",Sheet1!$L$2:$L$51,"MEMILIKI",Sheet1!$D$2:$D$51,"NORMAL",Sheet1!$B$2:$B$51,"A")</f>
        <v>2</v>
      </c>
      <c r="E3" s="2">
        <f>COUNTIFS(Sheet1!$C$2:$C$51,"normal",Sheet1!$J$2:$J$51,"i",Sheet1!$H$2:$H$51,"tidak",Sheet1!$L$2:$L$51,"MEMILIKI",Sheet1!$B$2:$B$51,"A",Sheet1!$D$2:$D$51,"NORMAL",Sheet1!$E$2:$E$51,"lebih")</f>
        <v>1</v>
      </c>
      <c r="F3" s="2">
        <f>COUNTIFS(Sheet1!$C$2:$C$51,"normal",Sheet1!$J$2:$J$51,"i",Sheet1!$H$2:$H$51,"tidak",Sheet1!$L$2:$L$51,"MEMILIKI",Sheet1!$D$2:$D$51,"NORMAL",Sheet1!$B$2:$B$51,"A",Sheet1!$E$2:$E$51,"NORMAL")</f>
        <v>1</v>
      </c>
      <c r="G3" s="2">
        <f>COUNTIFS(Sheet1!$C$2:$C$51,"normal",Sheet1!$J$2:$J$51,"i",Sheet1!$H$2:$H$51,"tidak",Sheet1!$L$2:$L$51,"MEMILIKI",Sheet1!$D$2:$D$51,"NORMAL",Sheet1!$B$2:$B$51,"A",Sheet1!$E$2:$E$51,"KURANG")</f>
        <v>0</v>
      </c>
      <c r="H3" s="2">
        <f>((-E3/D3)*IMLOG2(E3/D3)+(-F3/D3)*IMLOG2(F3/D3))</f>
        <v>1</v>
      </c>
      <c r="I3" s="2"/>
      <c r="K3" s="3"/>
      <c r="L3" s="18" t="s">
        <v>94</v>
      </c>
      <c r="M3" s="2"/>
      <c r="N3" s="2">
        <f>COUNTIFS(Sheet1!$C$2:$C$51,"normal",Sheet1!$J$2:$J$51,"i",Sheet1!$H$2:$H$51,"tidak",Sheet1!$F$2:$F$51,"kombinasi",Sheet1!$L$2:$L$51,"memiliki",Sheet1!$B$2:$B$51,"A",Sheet1!$D$2:$D$51,"NORMAL")</f>
        <v>2</v>
      </c>
      <c r="O3" s="2">
        <f>COUNTIFS(Sheet1!$C$2:$C$51,"normal",Sheet1!$J$2:$J$51,"i",Sheet1!$H$2:$H$51,"tidak",Sheet1!$F$2:$F$51,"kombinasi",Sheet1!$L$2:$L$51,"memiliki",Sheet1!$B$2:$B$51,"A",Sheet1!$E$2:$E$51,"lebih",Sheet1!$D$2:$D$51,"NORMAL")</f>
        <v>1</v>
      </c>
      <c r="P3" s="2">
        <f>COUNTIFS(Sheet1!$C$2:$C$51,"normal",Sheet1!$J$2:$J$51,"i",Sheet1!$H$2:$H$51,"tidak",Sheet1!$F$2:$F$51,"KOMBINASI",Sheet1!$L$2:$L$51,"memiliki",Sheet1!$B$2:$B$51,"A",Sheet1!$E$2:$E$51,"NORMAL",Sheet1!$D$2:$D$51,"NORMAL")</f>
        <v>1</v>
      </c>
      <c r="Q3" s="2">
        <f>COUNTIFS(Sheet1!$C$2:$C$51,"normal",Sheet1!$J$2:$J$51,"i",Sheet1!$H$2:$H$51,"tidak",Sheet1!$F$2:$F$51,"KOMBINASI",Sheet1!$L$2:$L$51,"memiliki",Sheet1!$B$2:$B$51,"A",Sheet1!$E$2:$E$51,"KURANG",Sheet1!$D$2:$D$51,"NORMAL")</f>
        <v>0</v>
      </c>
      <c r="R3" s="2">
        <f>((-O3/N3)*IMLOG2(O3/N3)+(-P3/N3)*IMLOG2(P3/N3))</f>
        <v>1</v>
      </c>
      <c r="S3" s="2"/>
      <c r="T3" s="13"/>
      <c r="U3" s="3"/>
      <c r="V3" s="18" t="s">
        <v>95</v>
      </c>
      <c r="W3" s="2"/>
      <c r="X3" s="2">
        <f>COUNTIFS(Sheet1!$C$2:$C$51,"normal",Sheet1!$J$2:$J$51,"i",Sheet1!$H$2:$H$51,"tidak",Sheet1!$F$2:$F$51,"kombinasi",Sheet1!$L$2:$L$51,"memiliki",Sheet1!$B$2:$B$51,"A",Sheet1!$D$2:$D$51,"NORMAL")</f>
        <v>2</v>
      </c>
      <c r="Y3" s="2">
        <f>COUNTIFS(Sheet1!$C$2:$C$51,"normal",Sheet1!$J$2:$J$51,"i",Sheet1!$H$2:$H$51,"tidak",Sheet1!$F$2:$F$51,"kombinasi",Sheet1!$L$2:$L$51,"memiliki",Sheet1!$B$2:$B$51,"A",Sheet1!$E$2:$E$51,"lebih",Sheet1!$D$2:$D$51,"NORMAL")</f>
        <v>1</v>
      </c>
      <c r="Z3" s="2">
        <f>COUNTIFS(Sheet1!$C$2:$C$51,"normal",Sheet1!$J$2:$J$51,"i",Sheet1!$H$2:$H$51,"tidak",Sheet1!$F$2:$F$51,"KOMBINASI",Sheet1!$L$2:$L$51,"memiliki",Sheet1!$B$2:$B$51,"A",Sheet1!$E$2:$E$51,"NORMAL",Sheet1!$D$2:$D$51,"NORMAL")</f>
        <v>1</v>
      </c>
      <c r="AA3" s="2">
        <f>COUNTIFS(Sheet1!$C$2:$C$51,"normal",Sheet1!$J$2:$J$51,"i",Sheet1!$H$2:$H$51,"tidak",Sheet1!$F$2:$F$51,"KOMBINASI",Sheet1!$L$2:$L$51,"memiliki",Sheet1!$B$2:$B$51,"A",Sheet1!$E$2:$E$51,"KURANG",Sheet1!$D$2:$D$51,"NORMAL")</f>
        <v>0</v>
      </c>
      <c r="AB3" s="2">
        <f>((-Y3/X3)*IMLOG2(Y3/X3)+(-Z3/X3)*IMLOG2(Z3/X3))</f>
        <v>1</v>
      </c>
      <c r="AC3" s="2"/>
      <c r="AE3" s="3"/>
      <c r="AF3" s="18" t="s">
        <v>96</v>
      </c>
      <c r="AG3" s="2"/>
      <c r="AH3" s="2">
        <f>COUNTIFS(Sheet1!$C$2:$C$51,"normal",Sheet1!$J$2:$J$51,"i",Sheet1!$H$2:$H$51,"tidak",Sheet1!$F$2:$F$51,"kombinasi",Sheet1!$L$2:$L$51,"memiliki",Sheet1!$B$2:$B$51,"A",Sheet1!$D$2:$D$51,"NORMAL")</f>
        <v>2</v>
      </c>
      <c r="AI3" s="2">
        <f>COUNTIFS(Sheet1!$C$2:$C$51,"normal",Sheet1!$J$2:$J$51,"i",Sheet1!$H$2:$H$51,"tidak",Sheet1!$F$2:$F$51,"kombinasi",Sheet1!$L$2:$L$51,"memiliki",Sheet1!$B$2:$B$51,"A",Sheet1!$E$2:$E$51,"lebih",Sheet1!$D$2:$D$51,"NORMAL")</f>
        <v>1</v>
      </c>
      <c r="AJ3" s="2">
        <f>COUNTIFS(Sheet1!$C$2:$C$51,"normal",Sheet1!$J$2:$J$51,"i",Sheet1!$H$2:$H$51,"tidak",Sheet1!$F$2:$F$51,"KOMBINASI",Sheet1!$L$2:$L$51,"memiliki",Sheet1!$B$2:$B$51,"A",Sheet1!$E$2:$E$51,"NORMAL",Sheet1!$D$2:$D$51,"NORMAL")</f>
        <v>1</v>
      </c>
      <c r="AK3" s="2">
        <f>COUNTIFS(Sheet1!$C$2:$C$51,"normal",Sheet1!$J$2:$J$51,"i",Sheet1!$H$2:$H$51,"tidak",Sheet1!$F$2:$F$51,"KOMBINASI",Sheet1!$L$2:$L$51,"memiliki",Sheet1!$B$2:$B$51,"A",Sheet1!$E$2:$E$51,"KURANG",Sheet1!$D$2:$D$51,"NORMAL")</f>
        <v>0</v>
      </c>
      <c r="AL3" s="2">
        <f>((-AI3/AH3)*IMLOG2(AI3/AH3)+(-AJ3/AH3)*IMLOG2(AJ3/AH3))</f>
        <v>1</v>
      </c>
      <c r="AM3" s="2"/>
    </row>
    <row r="4" spans="1:39">
      <c r="A4" s="3"/>
      <c r="B4" s="18" t="s">
        <v>48</v>
      </c>
      <c r="C4" s="2" t="s">
        <v>17</v>
      </c>
      <c r="D4" s="2">
        <f>COUNTIFS(Sheet1!$C$2:$C$51,"normal",Sheet1!$J$2:$J$51,"i",Sheet1!$H$2:$H$51,"tidak",Sheet1!$F$2:$F$51,"formula",Sheet1!$L$2:$L$51,"memiliki",Sheet1!$B$2:$B$51,"A",Sheet1!$D$2:$D$51,"NORMAL")</f>
        <v>0</v>
      </c>
      <c r="E4" s="2">
        <f>COUNTIFS(Sheet1!$C$2:$C$51,"normal",Sheet1!$J$2:$J$51,"i",Sheet1!$H$2:$H$51,"tidak",Sheet1!$F$2:$F$51,"formula",Sheet1!$L$2:$L$51,"memiliki",Sheet1!$B$2:$B$51,"A",Sheet1!$E$2:$E$51,"lebih",Sheet1!$D$2:$D$51,"NORMAL")</f>
        <v>0</v>
      </c>
      <c r="F4" s="2">
        <f>COUNTIFS(Sheet1!$C$2:$C$51,"normal",Sheet1!$J$2:$J$51,"i",Sheet1!$H$2:$H$51,"tidak",Sheet1!$F$2:$F$51,"formula",Sheet1!$L$2:$L$51,"memiliki",Sheet1!$B$2:$B$51,"A",Sheet1!$E$2:$E$51,"NORMAL",Sheet1!$D$2:$D$51,"NORMAL")</f>
        <v>0</v>
      </c>
      <c r="G4" s="2">
        <f>COUNTIFS(Sheet1!$C$2:$C$51,"normal",Sheet1!$J$2:$J$51,"i",Sheet1!$H$2:$H$51,"tidak",Sheet1!$F$2:$F$51,"formula",Sheet1!$L$2:$L$51,"memiliki",Sheet1!$B$2:$B$51,"A",Sheet1!$E$2:$E$51,"KURANG",Sheet1!$D$2:$D$51,"NORMAL")</f>
        <v>0</v>
      </c>
      <c r="H4" s="2">
        <v>0</v>
      </c>
      <c r="I4" s="4">
        <f>($H$2)-((D4/$D$3*H4)+(D5/$D$3*H5)+(D6/$D$3*H6))</f>
        <v>-0.182366143100169</v>
      </c>
      <c r="K4" s="3"/>
      <c r="L4" s="18" t="s">
        <v>49</v>
      </c>
      <c r="M4" s="2" t="s">
        <v>30</v>
      </c>
      <c r="N4" s="2">
        <f>COUNTIFS(Sheet1!$C$2:$C$51,"normal",Sheet1!$J$2:$J$51,"i",Sheet1!$H$2:$H$51,"tidak",Sheet1!$H$2:$H$51,"tidak",Sheet1!$G$2:$G$51,"rendah",Sheet1!$L$2:$L$51,"memiliki",Sheet1!$B$2:$B$51,"A",Sheet1!$D$2:$D$51,"NORMAL")</f>
        <v>0</v>
      </c>
      <c r="O4" s="2">
        <f>COUNTIFS(Sheet1!$C$2:$C$51,"normal",Sheet1!$J$2:$J$51,"i",Sheet1!$H$2:$H$51,"tidak",Sheet1!$G$2:$G$51,"rendah",Sheet1!$L$2:$L$51,"memiliki",Sheet1!$B$2:$B$51,"A",Sheet1!$E$2:$E$51,"lebih",Sheet1!$D$2:$D$51,"NORMAL")</f>
        <v>0</v>
      </c>
      <c r="P4" s="2">
        <f>COUNTIFS(Sheet1!$C$2:$C$51,"normal",Sheet1!$J$2:$J$51,"i",Sheet1!$H$2:$H$51,"tidak",Sheet1!$H$2:$H$51,"tidak",Sheet1!$G$2:$G$51,"rendah",Sheet1!$L$2:$L$51,"memiliki",Sheet1!$B$2:$B$51,"A",Sheet1!$E$2:$E$51,"NORMAL",Sheet1!$D$2:$D$51,"NORMAL")</f>
        <v>0</v>
      </c>
      <c r="Q4" s="2">
        <f>COUNTIFS(Sheet1!$C$2:$C$51,"normal",Sheet1!$J$2:$J$51,"i",Sheet1!$H$2:$H$51,"tidak",Sheet1!$G$2:$G$51,"rendah",Sheet1!$L$2:$L$51,"memiliki",Sheet1!$B$2:$B$51,"A",Sheet1!$E$2:$E$51,"KURANG",Sheet1!$D$2:$D$51,"NORMAL")</f>
        <v>0</v>
      </c>
      <c r="R4" s="2">
        <v>0</v>
      </c>
      <c r="S4" s="4">
        <f>($R$2)-((N4/$N$3*R4)+(N5/$N$3*R5)+(N6/$N$3*R6))</f>
        <v>-0.182366143100169</v>
      </c>
      <c r="T4" s="13"/>
      <c r="U4" s="3"/>
      <c r="V4" s="18" t="s">
        <v>51</v>
      </c>
      <c r="W4" s="2" t="s">
        <v>20</v>
      </c>
      <c r="X4" s="2">
        <f>COUNTIFS(Sheet1!$C$2:$C$51,"normal",Sheet1!$J$2:$J$51,"i",Sheet1!$H$2:$H$51,"tidak",Sheet1!$I$2:$I$51,"x",Sheet1!$L$2:$L$51,"memiliki",Sheet1!$B$2:$B$51,"A",Sheet1!$D$2:$D$51,"NORMAL")</f>
        <v>2</v>
      </c>
      <c r="Y4" s="2">
        <f>COUNTIFS(Sheet1!$C$2:$C$51,"normal",Sheet1!$J$2:$J$51,"i",Sheet1!$H$2:$H$51,"tidak",Sheet1!$I$2:$I$51,"x",Sheet1!$L$2:$L$51,"memiliki",Sheet1!$B$2:$B$51,"A",Sheet1!$E$2:$E$51,"lebih",Sheet1!$D$2:$D$51,"NORMAL")</f>
        <v>1</v>
      </c>
      <c r="Z4" s="2">
        <f>COUNTIFS(Sheet1!$C$2:$C$51,"normal",Sheet1!$J$2:$J$51,"i",Sheet1!$H$2:$H$51,"tidak",Sheet1!$I$2:$I$51,"x",Sheet1!$L$2:$L$51,"memiliki",Sheet1!$B$2:$B$51,"A",Sheet1!$E$2:$E$51,"normal",Sheet1!$D$2:$D$51,"NORMAL")</f>
        <v>1</v>
      </c>
      <c r="AA4" s="2">
        <f>COUNTIFS(Sheet1!$C$2:$C$51,"normal",Sheet1!$J$2:$J$51,"i",Sheet1!$H$2:$H$51,"tidak",Sheet1!$I$2:$I$51,"x",Sheet1!$L$2:$L$51,"memiliki",Sheet1!$B$2:$B$51,"A",Sheet1!$E$2:$E$51,"kurang",Sheet1!$D$2:$D$51,"NORMAL")</f>
        <v>0</v>
      </c>
      <c r="AB4" s="2">
        <f>((-Y4/X4)*IMLOG2(Y4/X4)+(-Z4/X4)*IMLOG2(Z4/X4))</f>
        <v>1</v>
      </c>
      <c r="AC4" s="4">
        <f>($AB$2)-((X4/$X$3*AB4)+(X5/$X$3*AB5)+(X6/$X$3*AB6))</f>
        <v>-0.182366143100169</v>
      </c>
      <c r="AE4" s="3"/>
      <c r="AF4" s="19" t="s">
        <v>56</v>
      </c>
      <c r="AG4" s="2" t="s">
        <v>30</v>
      </c>
      <c r="AH4" s="2">
        <f>COUNTIFS(Sheet1!$C$2:$C$51,"normal",Sheet1!$J$2:$J$51,"i",Sheet1!$H$2:$H$51,"tidak",Sheet1!$K$2:$K$51,"rendah",Sheet1!$L$2:$L$51,"memiliki",Sheet1!$B$2:$B$51,"A",Sheet1!$D$2:$D$51,"NORMAL")</f>
        <v>0</v>
      </c>
      <c r="AI4" s="2">
        <f>COUNTIFS(Sheet1!$C$2:$C$51,"normal",Sheet1!$J$2:$J$51,"i",Sheet1!$H$2:$H$51,"tidak",Sheet1!$K$2:$K$51,"rendah",Sheet1!$L$2:$L$51,"memiliki",Sheet1!$B$2:$B$51,"A",Sheet1!$E$2:$E$51,"lebih")</f>
        <v>0</v>
      </c>
      <c r="AJ4" s="2">
        <f>COUNTIFS(Sheet1!$C$2:$C$51,"normal",Sheet1!$J$2:$J$51,"i",Sheet1!$H$2:$H$51,"tidak",Sheet1!$K$2:$K$51,"rendah",Sheet1!$L$2:$L$51,"memiliki",Sheet1!$B$2:$B$51,"A",Sheet1!$E$2:$E$51,"normal")</f>
        <v>0</v>
      </c>
      <c r="AK4" s="2">
        <f>COUNTIFS(Sheet1!$C$2:$C$51,"normal",Sheet1!$J$2:$J$51,"i",Sheet1!$H$2:$H$51,"tidak",Sheet1!$K$2:$K$51,"rendah",Sheet1!$L$2:$L$51,"memiliki",Sheet1!$B$2:$B$51,"A",Sheet1!$E$2:$E$51,"kurang")</f>
        <v>0</v>
      </c>
      <c r="AL4" s="2">
        <v>0</v>
      </c>
      <c r="AM4" s="4">
        <f>($AL$2)-((AH4/$AH$3*AL4)+(AH5/$AH$3*AL5)+(AH6/$AH$3*AL6))</f>
        <v>-0.182366143100169</v>
      </c>
    </row>
    <row r="5" spans="1:39">
      <c r="A5" s="3"/>
      <c r="B5" s="18"/>
      <c r="C5" s="2" t="s">
        <v>26</v>
      </c>
      <c r="D5" s="2">
        <f>COUNTIFS(Sheet1!$C$2:$C$51,"normal",Sheet1!$J$2:$J$51,"i",Sheet1!$H$2:$H$51,"tidak",Sheet1!$F$2:$F$51,"kombinasi",Sheet1!$L$2:$L$51,"memiliki",Sheet1!$B$2:$B$51,"A",Sheet1!$D$2:$D$51,"NORMAL")</f>
        <v>2</v>
      </c>
      <c r="E5" s="2">
        <f>COUNTIFS(Sheet1!$C$2:$C$51,"normal",Sheet1!$J$2:$J$51,"i",Sheet1!$H$2:$H$51,"tidak",Sheet1!$F$2:$F$51,"kombinasi",Sheet1!$L$2:$L$51,"memiliki",Sheet1!$B$2:$B$51,"A",Sheet1!$E$2:$E$51,"lebih",Sheet1!$D$2:$D$51,"NORMAL")</f>
        <v>1</v>
      </c>
      <c r="F5" s="2">
        <f>COUNTIFS(Sheet1!$C$2:$C$51,"normal",Sheet1!$J$2:$J$51,"i",Sheet1!$H$2:$H$51,"tidak",Sheet1!$F$2:$F$51,"KOMBINASI",Sheet1!$L$2:$L$51,"memiliki",Sheet1!$B$2:$B$51,"A",Sheet1!$E$2:$E$51,"NORMAL",Sheet1!$D$2:$D$51,"NORMAL")</f>
        <v>1</v>
      </c>
      <c r="G5" s="2">
        <f>COUNTIFS(Sheet1!$C$2:$C$51,"normal",Sheet1!$J$2:$J$51,"i",Sheet1!$H$2:$H$51,"tidak",Sheet1!$F$2:$F$51,"KOMBINASI",Sheet1!$L$2:$L$51,"memiliki",Sheet1!$B$2:$B$51,"A",Sheet1!$E$2:$E$51,"KURANG",Sheet1!$D$2:$D$51,"NORMAL")</f>
        <v>0</v>
      </c>
      <c r="H5" s="2">
        <f>((-E5/D5)*IMLOG2(E5/D5)+(-F5/D5)*IMLOG2(F5/D5))</f>
        <v>1</v>
      </c>
      <c r="I5" s="6"/>
      <c r="K5" s="3"/>
      <c r="L5" s="18"/>
      <c r="M5" s="2" t="s">
        <v>18</v>
      </c>
      <c r="N5" s="2">
        <f>COUNTIFS(Sheet1!$C$2:$C$51,"normal",Sheet1!$J$2:$J$51,"i",Sheet1!$H$2:$H$51,"tidak",Sheet1!$H$2:$H$51,"tidak",Sheet1!$G$2:$G$51,"sedang",Sheet1!$L$2:$L$51,"memiliki",Sheet1!$B$2:$B$51,"A",Sheet1!$D$2:$D$51,"NORMAL")</f>
        <v>2</v>
      </c>
      <c r="O5" s="2">
        <f>COUNTIFS(Sheet1!$C$2:$C$51,"normal",Sheet1!$J$2:$J$51,"i",Sheet1!$H$2:$H$51,"tidak",Sheet1!$H$2:$H$51,"tidak",Sheet1!$G$2:$G$51,"SEDANG",Sheet1!$L$2:$L$51,"memiliki",Sheet1!$B$2:$B$51,"A",Sheet1!$E$2:$E$51,"lebih",Sheet1!$D$2:$D$51,"NORMAL")</f>
        <v>1</v>
      </c>
      <c r="P5" s="2">
        <f>COUNTIFS(Sheet1!$C$2:$C$51,"normal",Sheet1!$J$2:$J$51,"i",Sheet1!$H$2:$H$51,"tidak",Sheet1!$G$2:$G$51,"SEDANG",Sheet1!$L$2:$L$51,"memiliki",Sheet1!$B$2:$B$51,"A",Sheet1!$E$2:$E$51,"NORMAL",Sheet1!$D$2:$D$51,"NORMAL")</f>
        <v>1</v>
      </c>
      <c r="Q5" s="2">
        <f>COUNTIFS(Sheet1!$C$2:$C$51,"normal",Sheet1!$J$2:$J$51,"i",Sheet1!$H$2:$H$51,"tidak",Sheet1!$G$2:$G$51,"SEDANG",Sheet1!$L$2:$L$51,"memiliki",Sheet1!$B$2:$B$51,"A",Sheet1!$E$2:$E$51,"KURANG",Sheet1!$D$2:$D$51,"NORMAL")</f>
        <v>0</v>
      </c>
      <c r="R5" s="2">
        <f>((-O5/N5)*IMLOG2(O5/N5)+(-P5/N5)*IMLOG2(P5/N5))</f>
        <v>1</v>
      </c>
      <c r="S5" s="6"/>
      <c r="T5" s="13"/>
      <c r="U5" s="3"/>
      <c r="V5" s="18"/>
      <c r="W5" s="2" t="s">
        <v>52</v>
      </c>
      <c r="X5" s="2">
        <f>COUNTIFS(Sheet1!$C$2:$C$51,"normal",Sheet1!$J$2:$J$51,"i",Sheet1!$H$2:$H$51,"tidak",Sheet1!$I$2:$I$51,"y",Sheet1!$L$2:$L$51,"memiliki",Sheet1!$B$2:$B$51,"A")</f>
        <v>0</v>
      </c>
      <c r="Y5" s="2">
        <f>COUNTIFS(Sheet1!$C$2:$C$51,"normal",Sheet1!$J$2:$J$51,"i",Sheet1!$H$2:$H$51,"tidak",Sheet1!$I$2:$I$51,"y",Sheet1!$L$2:$L$51,"memiliki",Sheet1!$B$2:$B$51,"A",Sheet1!$E$2:$E$51,"lebih")</f>
        <v>0</v>
      </c>
      <c r="Z5" s="2">
        <f>COUNTIFS(Sheet1!$C$2:$C$51,"normal",Sheet1!$J$2:$J$51,"i",Sheet1!$H$2:$H$51,"tidak",Sheet1!$I$2:$I$51,"y",Sheet1!$L$2:$L$51,"memiliki",Sheet1!$B$2:$B$51,"A",Sheet1!$E$2:$E$51,"normal")</f>
        <v>0</v>
      </c>
      <c r="AA5" s="2">
        <f>COUNTIFS(Sheet1!$C$2:$C$51,"normal",Sheet1!$J$2:$J$51,"i",Sheet1!$I$2:$I$51,"y",Sheet1!$L$2:$L$51,"memiliki",Sheet1!$B$2:$B$51,"A",Sheet1!$E$2:$E$51,"kurang")</f>
        <v>0</v>
      </c>
      <c r="AB5" s="2">
        <v>0</v>
      </c>
      <c r="AC5" s="6"/>
      <c r="AE5" s="3"/>
      <c r="AF5" s="20"/>
      <c r="AG5" s="2" t="s">
        <v>22</v>
      </c>
      <c r="AH5" s="2">
        <f>COUNTIFS(Sheet1!$C$2:$C$51,"normal",Sheet1!$J$2:$J$51,"i",Sheet1!$H$2:$H$51,"tidak",Sheet1!$K$2:$K$51,"menengah",Sheet1!$L$2:$L$51,"memiliki",Sheet1!$B$2:$B$51,"A",Sheet1!$D$2:$D$51,"NORMAL")</f>
        <v>2</v>
      </c>
      <c r="AI5" s="2">
        <f>COUNTIFS(Sheet1!$C$2:$C$51,"normal",Sheet1!$J$2:$J$51,"i",Sheet1!$H$2:$H$51,"tidak",Sheet1!$K$2:$K$51,"menengah",Sheet1!$L$2:$L$51,"memiliki",Sheet1!$B$2:$B$51,"A",Sheet1!$E$2:$E$51,"lebih",Sheet1!$D$2:$D$51,"NORMAL")</f>
        <v>1</v>
      </c>
      <c r="AJ5" s="2">
        <f>COUNTIFS(Sheet1!$C$2:$C$51,"normal",Sheet1!$J$2:$J$51,"i",Sheet1!$H$2:$H$51,"tidak",Sheet1!$K$2:$K$51,"menengah",Sheet1!$L$2:$L$51,"memiliki",Sheet1!$B$2:$B$51,"A",Sheet1!$E$2:$E$51,"normal",Sheet1!$D$2:$D$51,"NORMAL")</f>
        <v>1</v>
      </c>
      <c r="AK5" s="2">
        <f>COUNTIFS(Sheet1!$C$2:$C$51,"normal",Sheet1!$J$2:$J$51,"i",Sheet1!$H$2:$H$51,"tidak",Sheet1!$K$2:$K$51,"menengah",Sheet1!$L$2:$L$51,"memiliki",Sheet1!$B$2:$B$51,"A",Sheet1!$E$2:$E$51,"kurang")</f>
        <v>0</v>
      </c>
      <c r="AL5" s="2">
        <f>((-AI5/AH5)*IMLOG2(AI5/AH5)+(-AJ5/AH5)*IMLOG2(AJ5/AH5))</f>
        <v>1</v>
      </c>
      <c r="AM5" s="6"/>
    </row>
    <row r="6" spans="1:39">
      <c r="A6" s="3"/>
      <c r="B6" s="18"/>
      <c r="C6" s="2" t="s">
        <v>34</v>
      </c>
      <c r="D6" s="2">
        <f>COUNTIFS(Sheet1!$C$2:$C$51,"normal",Sheet1!$J$2:$J$51,"i",Sheet1!$H$2:$H$51,"tidak",Sheet1!$F$2:$F$51,"ASI",Sheet1!$L$2:$L$51,"memiliki",Sheet1!$B$2:$B$51,"A",Sheet1!$D$2:$D$51,"NORMAL")</f>
        <v>0</v>
      </c>
      <c r="E6" s="2">
        <f>COUNTIFS(Sheet1!$C$2:$C$51,"normal",Sheet1!$J$2:$J$51,"i",Sheet1!$H$2:$H$51,"tidak",Sheet1!$F$2:$F$51,"ASI",Sheet1!$L$2:$L$51,"memiliki",Sheet1!$B$2:$B$51,"A",Sheet1!$E$2:$E$51,"lebih",Sheet1!$D$2:$D$51,"NORMAL")</f>
        <v>0</v>
      </c>
      <c r="F6" s="2">
        <f>COUNTIFS(Sheet1!$C$2:$C$51,"normal",Sheet1!$J$2:$J$51,"i",Sheet1!$H$2:$H$51,"tidak",Sheet1!$F$2:$F$51,"ASI",Sheet1!$L$2:$L$51,"memiliki",Sheet1!$B$2:$B$51,"A",Sheet1!$E$2:$E$51,"normal",Sheet1!$D$2:$D$51,"NORMAL")</f>
        <v>0</v>
      </c>
      <c r="G6" s="2">
        <f>COUNTIFS(Sheet1!$C$2:$C$51,"normal",Sheet1!$J$2:$J$51,"i",Sheet1!$H$2:$H$51,"tidak",Sheet1!$F$2:$F$51,"ASI",Sheet1!$L$2:$L$51,"memiliki",Sheet1!$B$2:$B$51,"A",Sheet1!$E$2:$E$51,"KURANG",Sheet1!$D$2:$D$51,"NORMAL")</f>
        <v>0</v>
      </c>
      <c r="H6" s="2">
        <v>0</v>
      </c>
      <c r="I6" s="5"/>
      <c r="K6" s="3"/>
      <c r="L6" s="18"/>
      <c r="M6" s="2" t="s">
        <v>31</v>
      </c>
      <c r="N6" s="2">
        <f>COUNTIFS(Sheet1!$C$2:$C$51,"normal",Sheet1!$J$2:$J$51,"i",Sheet1!$H$2:$H$51,"tidak",Sheet1!$H$2:$H$51,"tidak",Sheet1!$G$2:$G$51,"tinggi",Sheet1!$L$2:$L$51,"memiliki",Sheet1!$B$2:$B$51,"A",Sheet1!$D$2:$D$51,"NORMAL")</f>
        <v>0</v>
      </c>
      <c r="O6" s="2">
        <f>COUNTIFS(Sheet1!$C$2:$C$51,"normal",Sheet1!$J$2:$J$51,"i",Sheet1!$H$2:$H$51,"tidak",Sheet1!$H$2:$H$51,"tidak",Sheet1!$G$2:$G$51,"TINGGI",Sheet1!$L$2:$L$51,"memiliki",Sheet1!$B$2:$B$51,"A",Sheet1!$E$2:$E$51,"lebih",Sheet1!$D$2:$D$51,"NORMAL")</f>
        <v>0</v>
      </c>
      <c r="P6" s="2">
        <f>COUNTIFS(Sheet1!$C$2:$C$51,"normal",Sheet1!$J$2:$J$51,"i",Sheet1!$H$2:$H$51,"tidak",Sheet1!$G$2:$G$51,"TINGGI",Sheet1!$L$2:$L$51,"memiliki",Sheet1!$B$2:$B$51,"A",Sheet1!$E$2:$E$51,"NORMAL",Sheet1!$D$2:$D$51,"NORMAL")</f>
        <v>0</v>
      </c>
      <c r="Q6" s="2">
        <f>COUNTIFS(Sheet1!$C$2:$C$51,"normal",Sheet1!$J$2:$J$51,"i",Sheet1!$H$2:$H$51,"tidak",Sheet1!$G$2:$G$51,"TINGGI",Sheet1!$L$2:$L$51,"memiliki",Sheet1!$B$2:$B$51,"A",Sheet1!$E$2:$E$51,"KURANG",Sheet1!$D$2:$D$51,"NORMAL")</f>
        <v>0</v>
      </c>
      <c r="R6" s="2">
        <v>0</v>
      </c>
      <c r="S6" s="5"/>
      <c r="T6" s="13"/>
      <c r="U6" s="3"/>
      <c r="V6" s="18"/>
      <c r="W6" s="2" t="s">
        <v>53</v>
      </c>
      <c r="X6" s="2">
        <f>COUNTIFS(Sheet1!$C$2:$C$51,"normal",Sheet1!$J$2:$J$51,"i",Sheet1!$H$2:$H$51,"tidak",Sheet1!$I$2:$I$51,"z",Sheet1!$L$2:$L$51,"memiliki",Sheet1!$B$2:$B$51,"A")</f>
        <v>0</v>
      </c>
      <c r="Y6" s="2">
        <f>COUNTIFS(Sheet1!$C$2:$C$51,"normal",Sheet1!$J$2:$J$51,"i",Sheet1!$H$2:$H$51,"tidak",Sheet1!$I$2:$I$51,"z",Sheet1!$L$2:$L$51,"memiliki",Sheet1!$B$2:$B$51,"A",Sheet1!$E$2:$E$51,"lebih")</f>
        <v>0</v>
      </c>
      <c r="Z6" s="2">
        <f>COUNTIFS(Sheet1!$C$2:$C$51,"normal",Sheet1!$J$2:$J$51,"i",Sheet1!$H$2:$H$51,"tidak",Sheet1!$I$2:$I$51,"z",Sheet1!$L$2:$L$51,"memiliki",Sheet1!$B$2:$B$51,"A",Sheet1!$E$2:$E$51,"normal")</f>
        <v>0</v>
      </c>
      <c r="AA6" s="2">
        <f>COUNTIFS(Sheet1!$C$2:$C$51,"normal",Sheet1!$J$2:$J$51,"i",Sheet1!$I$2:$I$51,"z",Sheet1!$L$2:$L$51,"memiliki",Sheet1!$B$2:$B$51,"A",Sheet1!$E$2:$E$51,"kurang")</f>
        <v>0</v>
      </c>
      <c r="AB6" s="2">
        <v>0</v>
      </c>
      <c r="AC6" s="5"/>
      <c r="AE6" s="3"/>
      <c r="AF6" s="21"/>
      <c r="AG6" s="2" t="s">
        <v>31</v>
      </c>
      <c r="AH6" s="2">
        <f>COUNTIFS(Sheet1!$C$2:$C$51,"normal",Sheet1!$J$2:$J$51,"i",Sheet1!$H$2:$H$51,"tidak",Sheet1!$K$2:$K$51,"tinggi",Sheet1!$L$2:$L$51,"memiliki",Sheet1!$B$2:$B$51,"A",Sheet1!$D$2:$D$51,"NORMAL")</f>
        <v>0</v>
      </c>
      <c r="AI6" s="2">
        <f>COUNTIFS(Sheet1!$C$2:$C$51,"normal",Sheet1!$J$2:$J$51,"i",Sheet1!$H$2:$H$51,"tidak",Sheet1!$K$2:$K$51,"tinggi",Sheet1!$L$2:$L$51,"memiliki",Sheet1!$B$2:$B$51,"A",Sheet1!$E$2:$E$51,"lebih")</f>
        <v>0</v>
      </c>
      <c r="AJ6" s="2">
        <f>COUNTIFS(Sheet1!$C$2:$C$51,"normal",Sheet1!$J$2:$J$51,"i",Sheet1!$H$2:$H$51,"tidak",Sheet1!$K$2:$K$51,"tinggi",Sheet1!$L$2:$L$51,"memiliki",Sheet1!$B$2:$B$51,"A",Sheet1!$E$2:$E$51,"normal")</f>
        <v>0</v>
      </c>
      <c r="AK6" s="2">
        <f>COUNTIFS(Sheet1!$C$2:$C$51,"normal",Sheet1!$J$2:$J$51,"i",Sheet1!$H$2:$H$51,"tidak",Sheet1!$K$2:$K$51,"tinggi",Sheet1!$L$2:$L$51,"memiliki",Sheet1!$B$2:$B$51,"A",Sheet1!$E$2:$E$51,"kurang")</f>
        <v>0</v>
      </c>
      <c r="AL6" s="2">
        <v>0</v>
      </c>
      <c r="AM6" s="5"/>
    </row>
    <row r="7" spans="1:31">
      <c r="A7" s="3"/>
      <c r="B7" s="18" t="s">
        <v>49</v>
      </c>
      <c r="C7" s="2" t="s">
        <v>30</v>
      </c>
      <c r="D7" s="2">
        <f>COUNTIFS(Sheet1!$C$2:$C$51,"normal",Sheet1!$J$2:$J$51,"i",Sheet1!$H$2:$H$51,"tidak",Sheet1!$H$2:$H$51,"tidak",Sheet1!$G$2:$G$51,"rendah",Sheet1!$L$2:$L$51,"memiliki",Sheet1!$B$2:$B$51,"A",Sheet1!$D$2:$D$51,"NORMAL")</f>
        <v>0</v>
      </c>
      <c r="E7" s="2">
        <f>COUNTIFS(Sheet1!$C$2:$C$51,"normal",Sheet1!$J$2:$J$51,"i",Sheet1!$H$2:$H$51,"tidak",Sheet1!$G$2:$G$51,"rendah",Sheet1!$L$2:$L$51,"memiliki",Sheet1!$B$2:$B$51,"A",Sheet1!$E$2:$E$51,"lebih",Sheet1!$D$2:$D$51,"NORMAL")</f>
        <v>0</v>
      </c>
      <c r="F7" s="2">
        <f>COUNTIFS(Sheet1!$C$2:$C$51,"normal",Sheet1!$J$2:$J$51,"i",Sheet1!$H$2:$H$51,"tidak",Sheet1!$H$2:$H$51,"tidak",Sheet1!$G$2:$G$51,"rendah",Sheet1!$L$2:$L$51,"memiliki",Sheet1!$B$2:$B$51,"A",Sheet1!$E$2:$E$51,"NORMAL",Sheet1!$D$2:$D$51,"NORMAL")</f>
        <v>0</v>
      </c>
      <c r="G7" s="2">
        <f>COUNTIFS(Sheet1!$C$2:$C$51,"normal",Sheet1!$J$2:$J$51,"i",Sheet1!$H$2:$H$51,"tidak",Sheet1!$G$2:$G$51,"rendah",Sheet1!$L$2:$L$51,"memiliki",Sheet1!$B$2:$B$51,"A",Sheet1!$E$2:$E$51,"KURANG",Sheet1!$D$2:$D$51,"NORMAL")</f>
        <v>0</v>
      </c>
      <c r="H7" s="2">
        <v>0</v>
      </c>
      <c r="I7" s="4">
        <f>($H$2)-((D7/$D$3*H7)+(D8/$D$3*H8)+(D9/$D$3*H9))</f>
        <v>-0.182366143100169</v>
      </c>
      <c r="K7" s="3"/>
      <c r="L7" s="18" t="s">
        <v>51</v>
      </c>
      <c r="M7" s="2" t="s">
        <v>20</v>
      </c>
      <c r="N7" s="2">
        <f>COUNTIFS(Sheet1!$C$2:$C$51,"normal",Sheet1!$J$2:$J$51,"i",Sheet1!$H$2:$H$51,"tidak",Sheet1!$I$2:$I$51,"x",Sheet1!$L$2:$L$51,"memiliki",Sheet1!$B$2:$B$51,"A",Sheet1!$D$2:$D$51,"NORMAL")</f>
        <v>2</v>
      </c>
      <c r="O7" s="2">
        <f>COUNTIFS(Sheet1!$C$2:$C$51,"normal",Sheet1!$J$2:$J$51,"i",Sheet1!$H$2:$H$51,"tidak",Sheet1!$I$2:$I$51,"x",Sheet1!$L$2:$L$51,"memiliki",Sheet1!$B$2:$B$51,"A",Sheet1!$E$2:$E$51,"lebih",Sheet1!$D$2:$D$51,"NORMAL")</f>
        <v>1</v>
      </c>
      <c r="P7" s="2">
        <f>COUNTIFS(Sheet1!$C$2:$C$51,"normal",Sheet1!$J$2:$J$51,"i",Sheet1!$H$2:$H$51,"tidak",Sheet1!$I$2:$I$51,"x",Sheet1!$L$2:$L$51,"memiliki",Sheet1!$B$2:$B$51,"A",Sheet1!$E$2:$E$51,"normal",Sheet1!$D$2:$D$51,"NORMAL")</f>
        <v>1</v>
      </c>
      <c r="Q7" s="2">
        <f>COUNTIFS(Sheet1!$C$2:$C$51,"normal",Sheet1!$J$2:$J$51,"i",Sheet1!$H$2:$H$51,"tidak",Sheet1!$I$2:$I$51,"x",Sheet1!$L$2:$L$51,"memiliki",Sheet1!$B$2:$B$51,"A",Sheet1!$E$2:$E$51,"kurang",Sheet1!$D$2:$D$51,"NORMAL")</f>
        <v>0</v>
      </c>
      <c r="R7" s="2">
        <f>((-O7/N7)*IMLOG2(O7/N7)+(-P7/N7)*IMLOG2(P7/N7))</f>
        <v>1</v>
      </c>
      <c r="S7" s="4">
        <f>($R$2)-((N7/$N$3*R7)+(N8/$N$3*R8)+(N9/$N$3*R9))</f>
        <v>-0.182366143100169</v>
      </c>
      <c r="T7" s="13"/>
      <c r="U7" s="3"/>
      <c r="V7" s="19" t="s">
        <v>56</v>
      </c>
      <c r="W7" s="2" t="s">
        <v>30</v>
      </c>
      <c r="X7" s="2">
        <f>COUNTIFS(Sheet1!$C$2:$C$51,"normal",Sheet1!$J$2:$J$51,"i",Sheet1!$H$2:$H$51,"tidak",Sheet1!$K$2:$K$51,"rendah",Sheet1!$L$2:$L$51,"memiliki",Sheet1!$B$2:$B$51,"A",Sheet1!$D$2:$D$51,"NORMAL")</f>
        <v>0</v>
      </c>
      <c r="Y7" s="2">
        <f>COUNTIFS(Sheet1!$C$2:$C$51,"normal",Sheet1!$J$2:$J$51,"i",Sheet1!$H$2:$H$51,"tidak",Sheet1!$K$2:$K$51,"rendah",Sheet1!$L$2:$L$51,"memiliki",Sheet1!$B$2:$B$51,"A",Sheet1!$E$2:$E$51,"lebih")</f>
        <v>0</v>
      </c>
      <c r="Z7" s="2">
        <f>COUNTIFS(Sheet1!$C$2:$C$51,"normal",Sheet1!$J$2:$J$51,"i",Sheet1!$H$2:$H$51,"tidak",Sheet1!$K$2:$K$51,"rendah",Sheet1!$L$2:$L$51,"memiliki",Sheet1!$B$2:$B$51,"A",Sheet1!$E$2:$E$51,"normal")</f>
        <v>0</v>
      </c>
      <c r="AA7" s="2">
        <f>COUNTIFS(Sheet1!$C$2:$C$51,"normal",Sheet1!$J$2:$J$51,"i",Sheet1!$H$2:$H$51,"tidak",Sheet1!$K$2:$K$51,"rendah",Sheet1!$L$2:$L$51,"memiliki",Sheet1!$B$2:$B$51,"A",Sheet1!$E$2:$E$51,"kurang")</f>
        <v>0</v>
      </c>
      <c r="AB7" s="2">
        <v>0</v>
      </c>
      <c r="AC7" s="4">
        <f>($AB$2)-((X7/$X$3*AB7)+(X8/$X$3*AB8)+(X9/$X$3*AB9))</f>
        <v>-0.182366143100169</v>
      </c>
      <c r="AE7" s="8"/>
    </row>
    <row r="8" spans="1:31">
      <c r="A8" s="3"/>
      <c r="B8" s="18"/>
      <c r="C8" s="2" t="s">
        <v>18</v>
      </c>
      <c r="D8" s="2">
        <f>COUNTIFS(Sheet1!$C$2:$C$51,"normal",Sheet1!$J$2:$J$51,"i",Sheet1!$H$2:$H$51,"tidak",Sheet1!$H$2:$H$51,"tidak",Sheet1!$G$2:$G$51,"sedang",Sheet1!$L$2:$L$51,"memiliki",Sheet1!$B$2:$B$51,"A",Sheet1!$D$2:$D$51,"NORMAL")</f>
        <v>2</v>
      </c>
      <c r="E8" s="2">
        <f>COUNTIFS(Sheet1!$C$2:$C$51,"normal",Sheet1!$J$2:$J$51,"i",Sheet1!$H$2:$H$51,"tidak",Sheet1!$H$2:$H$51,"tidak",Sheet1!$G$2:$G$51,"SEDANG",Sheet1!$L$2:$L$51,"memiliki",Sheet1!$B$2:$B$51,"A",Sheet1!$E$2:$E$51,"lebih",Sheet1!$D$2:$D$51,"NORMAL")</f>
        <v>1</v>
      </c>
      <c r="F8" s="2">
        <f>COUNTIFS(Sheet1!$C$2:$C$51,"normal",Sheet1!$J$2:$J$51,"i",Sheet1!$H$2:$H$51,"tidak",Sheet1!$G$2:$G$51,"SEDANG",Sheet1!$L$2:$L$51,"memiliki",Sheet1!$B$2:$B$51,"A",Sheet1!$E$2:$E$51,"NORMAL",Sheet1!$D$2:$D$51,"NORMAL")</f>
        <v>1</v>
      </c>
      <c r="G8" s="2">
        <f>COUNTIFS(Sheet1!$C$2:$C$51,"normal",Sheet1!$J$2:$J$51,"i",Sheet1!$H$2:$H$51,"tidak",Sheet1!$G$2:$G$51,"SEDANG",Sheet1!$L$2:$L$51,"memiliki",Sheet1!$B$2:$B$51,"A",Sheet1!$E$2:$E$51,"KURANG",Sheet1!$D$2:$D$51,"NORMAL")</f>
        <v>0</v>
      </c>
      <c r="H8" s="2">
        <f>((-E8/D8)*IMLOG2(E8/D8)+(-F8/D8)*IMLOG2(F8/D8))</f>
        <v>1</v>
      </c>
      <c r="I8" s="6"/>
      <c r="K8" s="3"/>
      <c r="L8" s="18"/>
      <c r="M8" s="2" t="s">
        <v>52</v>
      </c>
      <c r="N8" s="2">
        <f>COUNTIFS(Sheet1!$C$2:$C$51,"normal",Sheet1!$J$2:$J$51,"i",Sheet1!$H$2:$H$51,"tidak",Sheet1!$I$2:$I$51,"y",Sheet1!$L$2:$L$51,"memiliki",Sheet1!$B$2:$B$51,"A")</f>
        <v>0</v>
      </c>
      <c r="O8" s="2">
        <f>COUNTIFS(Sheet1!$C$2:$C$51,"normal",Sheet1!$J$2:$J$51,"i",Sheet1!$H$2:$H$51,"tidak",Sheet1!$I$2:$I$51,"y",Sheet1!$L$2:$L$51,"memiliki",Sheet1!$B$2:$B$51,"A",Sheet1!$E$2:$E$51,"lebih")</f>
        <v>0</v>
      </c>
      <c r="P8" s="2">
        <f>COUNTIFS(Sheet1!$C$2:$C$51,"normal",Sheet1!$J$2:$J$51,"i",Sheet1!$H$2:$H$51,"tidak",Sheet1!$I$2:$I$51,"y",Sheet1!$L$2:$L$51,"memiliki",Sheet1!$B$2:$B$51,"A",Sheet1!$E$2:$E$51,"normal")</f>
        <v>0</v>
      </c>
      <c r="Q8" s="2">
        <f>COUNTIFS(Sheet1!$C$2:$C$51,"normal",Sheet1!$J$2:$J$51,"i",Sheet1!$I$2:$I$51,"y",Sheet1!$L$2:$L$51,"memiliki",Sheet1!$B$2:$B$51,"A",Sheet1!$E$2:$E$51,"kurang")</f>
        <v>0</v>
      </c>
      <c r="R8" s="2">
        <v>0</v>
      </c>
      <c r="S8" s="6"/>
      <c r="T8" s="13"/>
      <c r="U8" s="3"/>
      <c r="V8" s="20"/>
      <c r="W8" s="2" t="s">
        <v>22</v>
      </c>
      <c r="X8" s="2">
        <f>COUNTIFS(Sheet1!$C$2:$C$51,"normal",Sheet1!$J$2:$J$51,"i",Sheet1!$H$2:$H$51,"tidak",Sheet1!$K$2:$K$51,"menengah",Sheet1!$L$2:$L$51,"memiliki",Sheet1!$B$2:$B$51,"A",Sheet1!$D$2:$D$51,"NORMAL")</f>
        <v>2</v>
      </c>
      <c r="Y8" s="2">
        <f>COUNTIFS(Sheet1!$C$2:$C$51,"normal",Sheet1!$J$2:$J$51,"i",Sheet1!$H$2:$H$51,"tidak",Sheet1!$K$2:$K$51,"menengah",Sheet1!$L$2:$L$51,"memiliki",Sheet1!$B$2:$B$51,"A",Sheet1!$E$2:$E$51,"lebih",Sheet1!$D$2:$D$51,"NORMAL")</f>
        <v>1</v>
      </c>
      <c r="Z8" s="2">
        <f>COUNTIFS(Sheet1!$C$2:$C$51,"normal",Sheet1!$J$2:$J$51,"i",Sheet1!$H$2:$H$51,"tidak",Sheet1!$K$2:$K$51,"menengah",Sheet1!$L$2:$L$51,"memiliki",Sheet1!$B$2:$B$51,"A",Sheet1!$E$2:$E$51,"normal",Sheet1!$D$2:$D$51,"NORMAL")</f>
        <v>1</v>
      </c>
      <c r="AA8" s="2">
        <f>COUNTIFS(Sheet1!$C$2:$C$51,"normal",Sheet1!$J$2:$J$51,"i",Sheet1!$H$2:$H$51,"tidak",Sheet1!$K$2:$K$51,"menengah",Sheet1!$L$2:$L$51,"memiliki",Sheet1!$B$2:$B$51,"A",Sheet1!$E$2:$E$51,"kurang")</f>
        <v>0</v>
      </c>
      <c r="AB8" s="2">
        <f>((-Y8/X8)*IMLOG2(Y8/X8)+(-Z8/X8)*IMLOG2(Z8/X8))</f>
        <v>1</v>
      </c>
      <c r="AC8" s="6"/>
      <c r="AE8" s="8"/>
    </row>
    <row r="9" spans="1:31">
      <c r="A9" s="3"/>
      <c r="B9" s="18"/>
      <c r="C9" s="2" t="s">
        <v>31</v>
      </c>
      <c r="D9" s="2">
        <f>COUNTIFS(Sheet1!$C$2:$C$51,"normal",Sheet1!$J$2:$J$51,"i",Sheet1!$H$2:$H$51,"tidak",Sheet1!$H$2:$H$51,"tidak",Sheet1!$G$2:$G$51,"tinggi",Sheet1!$L$2:$L$51,"memiliki",Sheet1!$B$2:$B$51,"A",Sheet1!$D$2:$D$51,"NORMAL")</f>
        <v>0</v>
      </c>
      <c r="E9" s="2">
        <f>COUNTIFS(Sheet1!$C$2:$C$51,"normal",Sheet1!$J$2:$J$51,"i",Sheet1!$H$2:$H$51,"tidak",Sheet1!$H$2:$H$51,"tidak",Sheet1!$G$2:$G$51,"TINGGI",Sheet1!$L$2:$L$51,"memiliki",Sheet1!$B$2:$B$51,"A",Sheet1!$E$2:$E$51,"lebih",Sheet1!$D$2:$D$51,"NORMAL")</f>
        <v>0</v>
      </c>
      <c r="F9" s="2">
        <f>COUNTIFS(Sheet1!$C$2:$C$51,"normal",Sheet1!$J$2:$J$51,"i",Sheet1!$H$2:$H$51,"tidak",Sheet1!$G$2:$G$51,"TINGGI",Sheet1!$L$2:$L$51,"memiliki",Sheet1!$B$2:$B$51,"A",Sheet1!$E$2:$E$51,"NORMAL",Sheet1!$D$2:$D$51,"NORMAL")</f>
        <v>0</v>
      </c>
      <c r="G9" s="2">
        <f>COUNTIFS(Sheet1!$C$2:$C$51,"normal",Sheet1!$J$2:$J$51,"i",Sheet1!$H$2:$H$51,"tidak",Sheet1!$G$2:$G$51,"TINGGI",Sheet1!$L$2:$L$51,"memiliki",Sheet1!$B$2:$B$51,"A",Sheet1!$E$2:$E$51,"KURANG",Sheet1!$D$2:$D$51,"NORMAL")</f>
        <v>0</v>
      </c>
      <c r="H9" s="2">
        <v>0</v>
      </c>
      <c r="I9" s="5"/>
      <c r="K9" s="3"/>
      <c r="L9" s="18"/>
      <c r="M9" s="2" t="s">
        <v>53</v>
      </c>
      <c r="N9" s="2">
        <f>COUNTIFS(Sheet1!$C$2:$C$51,"normal",Sheet1!$J$2:$J$51,"i",Sheet1!$H$2:$H$51,"tidak",Sheet1!$I$2:$I$51,"z",Sheet1!$L$2:$L$51,"memiliki",Sheet1!$B$2:$B$51,"A")</f>
        <v>0</v>
      </c>
      <c r="O9" s="2">
        <f>COUNTIFS(Sheet1!$C$2:$C$51,"normal",Sheet1!$J$2:$J$51,"i",Sheet1!$H$2:$H$51,"tidak",Sheet1!$I$2:$I$51,"z",Sheet1!$L$2:$L$51,"memiliki",Sheet1!$B$2:$B$51,"A",Sheet1!$E$2:$E$51,"lebih")</f>
        <v>0</v>
      </c>
      <c r="P9" s="2">
        <f>COUNTIFS(Sheet1!$C$2:$C$51,"normal",Sheet1!$J$2:$J$51,"i",Sheet1!$H$2:$H$51,"tidak",Sheet1!$I$2:$I$51,"z",Sheet1!$L$2:$L$51,"memiliki",Sheet1!$B$2:$B$51,"A",Sheet1!$E$2:$E$51,"normal")</f>
        <v>0</v>
      </c>
      <c r="Q9" s="2">
        <f>COUNTIFS(Sheet1!$C$2:$C$51,"normal",Sheet1!$J$2:$J$51,"i",Sheet1!$I$2:$I$51,"z",Sheet1!$L$2:$L$51,"memiliki",Sheet1!$B$2:$B$51,"A",Sheet1!$E$2:$E$51,"kurang")</f>
        <v>0</v>
      </c>
      <c r="R9" s="2">
        <v>0</v>
      </c>
      <c r="S9" s="5"/>
      <c r="T9" s="13"/>
      <c r="U9" s="3"/>
      <c r="V9" s="21"/>
      <c r="W9" s="2" t="s">
        <v>31</v>
      </c>
      <c r="X9" s="2">
        <f>COUNTIFS(Sheet1!$C$2:$C$51,"normal",Sheet1!$J$2:$J$51,"i",Sheet1!$H$2:$H$51,"tidak",Sheet1!$K$2:$K$51,"tinggi",Sheet1!$L$2:$L$51,"memiliki",Sheet1!$B$2:$B$51,"A",Sheet1!$D$2:$D$51,"NORMAL")</f>
        <v>0</v>
      </c>
      <c r="Y9" s="2">
        <f>COUNTIFS(Sheet1!$C$2:$C$51,"normal",Sheet1!$J$2:$J$51,"i",Sheet1!$H$2:$H$51,"tidak",Sheet1!$K$2:$K$51,"tinggi",Sheet1!$L$2:$L$51,"memiliki",Sheet1!$B$2:$B$51,"A",Sheet1!$E$2:$E$51,"lebih")</f>
        <v>0</v>
      </c>
      <c r="Z9" s="2">
        <f>COUNTIFS(Sheet1!$C$2:$C$51,"normal",Sheet1!$J$2:$J$51,"i",Sheet1!$H$2:$H$51,"tidak",Sheet1!$K$2:$K$51,"tinggi",Sheet1!$L$2:$L$51,"memiliki",Sheet1!$B$2:$B$51,"A",Sheet1!$E$2:$E$51,"normal")</f>
        <v>0</v>
      </c>
      <c r="AA9" s="2">
        <f>COUNTIFS(Sheet1!$C$2:$C$51,"normal",Sheet1!$J$2:$J$51,"i",Sheet1!$H$2:$H$51,"tidak",Sheet1!$K$2:$K$51,"tinggi",Sheet1!$L$2:$L$51,"memiliki",Sheet1!$B$2:$B$51,"A",Sheet1!$E$2:$E$51,"kurang")</f>
        <v>0</v>
      </c>
      <c r="AB9" s="2">
        <v>0</v>
      </c>
      <c r="AC9" s="5"/>
      <c r="AE9" s="8"/>
    </row>
    <row r="10" spans="1:21">
      <c r="A10" s="3"/>
      <c r="B10" s="18" t="s">
        <v>51</v>
      </c>
      <c r="C10" s="2" t="s">
        <v>20</v>
      </c>
      <c r="D10" s="2">
        <f>COUNTIFS(Sheet1!$C$2:$C$51,"normal",Sheet1!$J$2:$J$51,"i",Sheet1!$H$2:$H$51,"tidak",Sheet1!$I$2:$I$51,"x",Sheet1!$L$2:$L$51,"memiliki",Sheet1!$B$2:$B$51,"A",Sheet1!$D$2:$D$51,"NORMAL")</f>
        <v>2</v>
      </c>
      <c r="E10" s="2">
        <f>COUNTIFS(Sheet1!$C$2:$C$51,"normal",Sheet1!$J$2:$J$51,"i",Sheet1!$H$2:$H$51,"tidak",Sheet1!$I$2:$I$51,"x",Sheet1!$L$2:$L$51,"memiliki",Sheet1!$B$2:$B$51,"A",Sheet1!$E$2:$E$51,"lebih",Sheet1!$D$2:$D$51,"NORMAL")</f>
        <v>1</v>
      </c>
      <c r="F10" s="2">
        <f>COUNTIFS(Sheet1!$C$2:$C$51,"normal",Sheet1!$J$2:$J$51,"i",Sheet1!$H$2:$H$51,"tidak",Sheet1!$I$2:$I$51,"x",Sheet1!$L$2:$L$51,"memiliki",Sheet1!$B$2:$B$51,"A",Sheet1!$E$2:$E$51,"normal",Sheet1!$D$2:$D$51,"NORMAL")</f>
        <v>1</v>
      </c>
      <c r="G10" s="2">
        <f>COUNTIFS(Sheet1!$C$2:$C$51,"normal",Sheet1!$J$2:$J$51,"i",Sheet1!$H$2:$H$51,"tidak",Sheet1!$I$2:$I$51,"x",Sheet1!$L$2:$L$51,"memiliki",Sheet1!$B$2:$B$51,"A",Sheet1!$E$2:$E$51,"kurang",Sheet1!$D$2:$D$51,"NORMAL")</f>
        <v>0</v>
      </c>
      <c r="H10" s="2">
        <f>((-E10/D10)*IMLOG2(E10/D10)+(-F10/D10)*IMLOG2(F10/D10))</f>
        <v>1</v>
      </c>
      <c r="I10" s="4">
        <f>($H$2)-((D10/$D$3*H10)+(D11/$D$3*H11)+(D12/$D$3*H12))</f>
        <v>-0.182366143100169</v>
      </c>
      <c r="K10" s="3"/>
      <c r="L10" s="19" t="s">
        <v>56</v>
      </c>
      <c r="M10" s="2" t="s">
        <v>30</v>
      </c>
      <c r="N10" s="2">
        <f>COUNTIFS(Sheet1!$C$2:$C$51,"normal",Sheet1!$J$2:$J$51,"i",Sheet1!$H$2:$H$51,"tidak",Sheet1!$K$2:$K$51,"rendah",Sheet1!$L$2:$L$51,"memiliki",Sheet1!$B$2:$B$51,"A",Sheet1!$D$2:$D$51,"NORMAL")</f>
        <v>0</v>
      </c>
      <c r="O10" s="2">
        <f>COUNTIFS(Sheet1!$C$2:$C$51,"normal",Sheet1!$J$2:$J$51,"i",Sheet1!$H$2:$H$51,"tidak",Sheet1!$K$2:$K$51,"rendah",Sheet1!$L$2:$L$51,"memiliki",Sheet1!$B$2:$B$51,"A",Sheet1!$E$2:$E$51,"lebih")</f>
        <v>0</v>
      </c>
      <c r="P10" s="2">
        <f>COUNTIFS(Sheet1!$C$2:$C$51,"normal",Sheet1!$J$2:$J$51,"i",Sheet1!$H$2:$H$51,"tidak",Sheet1!$K$2:$K$51,"rendah",Sheet1!$L$2:$L$51,"memiliki",Sheet1!$B$2:$B$51,"A",Sheet1!$E$2:$E$51,"normal")</f>
        <v>0</v>
      </c>
      <c r="Q10" s="2">
        <f>COUNTIFS(Sheet1!$C$2:$C$51,"normal",Sheet1!$J$2:$J$51,"i",Sheet1!$H$2:$H$51,"tidak",Sheet1!$K$2:$K$51,"rendah",Sheet1!$L$2:$L$51,"memiliki",Sheet1!$B$2:$B$51,"A",Sheet1!$E$2:$E$51,"kurang")</f>
        <v>0</v>
      </c>
      <c r="R10" s="2">
        <v>0</v>
      </c>
      <c r="S10" s="4">
        <f>($R$2)-((N10/$N$3*R10)+(N11/$N$3*R11)+(N12/$N$3*R12))</f>
        <v>-0.182366143100169</v>
      </c>
      <c r="T10" s="13"/>
      <c r="U10" s="8"/>
    </row>
    <row r="11" spans="1:21">
      <c r="A11" s="3"/>
      <c r="B11" s="18"/>
      <c r="C11" s="2" t="s">
        <v>52</v>
      </c>
      <c r="D11" s="2">
        <f>COUNTIFS(Sheet1!$C$2:$C$51,"normal",Sheet1!$J$2:$J$51,"i",Sheet1!$H$2:$H$51,"tidak",Sheet1!$I$2:$I$51,"y",Sheet1!$L$2:$L$51,"memiliki",Sheet1!$B$2:$B$51,"A")</f>
        <v>0</v>
      </c>
      <c r="E11" s="2">
        <f>COUNTIFS(Sheet1!$C$2:$C$51,"normal",Sheet1!$J$2:$J$51,"i",Sheet1!$H$2:$H$51,"tidak",Sheet1!$I$2:$I$51,"y",Sheet1!$L$2:$L$51,"memiliki",Sheet1!$B$2:$B$51,"A",Sheet1!$E$2:$E$51,"lebih")</f>
        <v>0</v>
      </c>
      <c r="F11" s="2">
        <f>COUNTIFS(Sheet1!$C$2:$C$51,"normal",Sheet1!$J$2:$J$51,"i",Sheet1!$H$2:$H$51,"tidak",Sheet1!$I$2:$I$51,"y",Sheet1!$L$2:$L$51,"memiliki",Sheet1!$B$2:$B$51,"A",Sheet1!$E$2:$E$51,"normal")</f>
        <v>0</v>
      </c>
      <c r="G11" s="2">
        <f>COUNTIFS(Sheet1!$C$2:$C$51,"normal",Sheet1!$J$2:$J$51,"i",Sheet1!$I$2:$I$51,"y",Sheet1!$L$2:$L$51,"memiliki",Sheet1!$B$2:$B$51,"A",Sheet1!$E$2:$E$51,"kurang")</f>
        <v>0</v>
      </c>
      <c r="H11" s="2">
        <v>0</v>
      </c>
      <c r="I11" s="6"/>
      <c r="K11" s="3"/>
      <c r="L11" s="20"/>
      <c r="M11" s="2" t="s">
        <v>22</v>
      </c>
      <c r="N11" s="2">
        <f>COUNTIFS(Sheet1!$C$2:$C$51,"normal",Sheet1!$J$2:$J$51,"i",Sheet1!$H$2:$H$51,"tidak",Sheet1!$K$2:$K$51,"menengah",Sheet1!$L$2:$L$51,"memiliki",Sheet1!$B$2:$B$51,"A",Sheet1!$D$2:$D$51,"NORMAL")</f>
        <v>2</v>
      </c>
      <c r="O11" s="2">
        <f>COUNTIFS(Sheet1!$C$2:$C$51,"normal",Sheet1!$J$2:$J$51,"i",Sheet1!$H$2:$H$51,"tidak",Sheet1!$K$2:$K$51,"menengah",Sheet1!$L$2:$L$51,"memiliki",Sheet1!$B$2:$B$51,"A",Sheet1!$E$2:$E$51,"lebih",Sheet1!$D$2:$D$51,"NORMAL")</f>
        <v>1</v>
      </c>
      <c r="P11" s="2">
        <f>COUNTIFS(Sheet1!$C$2:$C$51,"normal",Sheet1!$J$2:$J$51,"i",Sheet1!$H$2:$H$51,"tidak",Sheet1!$K$2:$K$51,"menengah",Sheet1!$L$2:$L$51,"memiliki",Sheet1!$B$2:$B$51,"A",Sheet1!$E$2:$E$51,"normal",Sheet1!$D$2:$D$51,"NORMAL")</f>
        <v>1</v>
      </c>
      <c r="Q11" s="2">
        <f>COUNTIFS(Sheet1!$C$2:$C$51,"normal",Sheet1!$J$2:$J$51,"i",Sheet1!$H$2:$H$51,"tidak",Sheet1!$K$2:$K$51,"menengah",Sheet1!$L$2:$L$51,"memiliki",Sheet1!$B$2:$B$51,"A",Sheet1!$E$2:$E$51,"kurang")</f>
        <v>0</v>
      </c>
      <c r="R11" s="2">
        <f>((-O11/N11)*IMLOG2(O11/N11)+(-P11/N11)*IMLOG2(P11/N11))</f>
        <v>1</v>
      </c>
      <c r="S11" s="6"/>
      <c r="T11" s="13"/>
      <c r="U11" s="8"/>
    </row>
    <row r="12" spans="1:21">
      <c r="A12" s="3"/>
      <c r="B12" s="18"/>
      <c r="C12" s="2" t="s">
        <v>53</v>
      </c>
      <c r="D12" s="2">
        <f>COUNTIFS(Sheet1!$C$2:$C$51,"normal",Sheet1!$J$2:$J$51,"i",Sheet1!$H$2:$H$51,"tidak",Sheet1!$I$2:$I$51,"z",Sheet1!$L$2:$L$51,"memiliki",Sheet1!$B$2:$B$51,"A")</f>
        <v>0</v>
      </c>
      <c r="E12" s="2">
        <f>COUNTIFS(Sheet1!$C$2:$C$51,"normal",Sheet1!$J$2:$J$51,"i",Sheet1!$H$2:$H$51,"tidak",Sheet1!$I$2:$I$51,"z",Sheet1!$L$2:$L$51,"memiliki",Sheet1!$B$2:$B$51,"A",Sheet1!$E$2:$E$51,"lebih")</f>
        <v>0</v>
      </c>
      <c r="F12" s="2">
        <f>COUNTIFS(Sheet1!$C$2:$C$51,"normal",Sheet1!$J$2:$J$51,"i",Sheet1!$H$2:$H$51,"tidak",Sheet1!$I$2:$I$51,"z",Sheet1!$L$2:$L$51,"memiliki",Sheet1!$B$2:$B$51,"A",Sheet1!$E$2:$E$51,"normal")</f>
        <v>0</v>
      </c>
      <c r="G12" s="2">
        <f>COUNTIFS(Sheet1!$C$2:$C$51,"normal",Sheet1!$J$2:$J$51,"i",Sheet1!$I$2:$I$51,"z",Sheet1!$L$2:$L$51,"memiliki",Sheet1!$B$2:$B$51,"A",Sheet1!$E$2:$E$51,"kurang")</f>
        <v>0</v>
      </c>
      <c r="H12" s="2">
        <v>0</v>
      </c>
      <c r="I12" s="5"/>
      <c r="K12" s="3"/>
      <c r="L12" s="21"/>
      <c r="M12" s="2" t="s">
        <v>31</v>
      </c>
      <c r="N12" s="2">
        <f>COUNTIFS(Sheet1!$C$2:$C$51,"normal",Sheet1!$J$2:$J$51,"i",Sheet1!$H$2:$H$51,"tidak",Sheet1!$K$2:$K$51,"tinggi",Sheet1!$L$2:$L$51,"memiliki",Sheet1!$B$2:$B$51,"A",Sheet1!$D$2:$D$51,"NORMAL")</f>
        <v>0</v>
      </c>
      <c r="O12" s="2">
        <f>COUNTIFS(Sheet1!$C$2:$C$51,"normal",Sheet1!$J$2:$J$51,"i",Sheet1!$H$2:$H$51,"tidak",Sheet1!$K$2:$K$51,"tinggi",Sheet1!$L$2:$L$51,"memiliki",Sheet1!$B$2:$B$51,"A",Sheet1!$E$2:$E$51,"lebih")</f>
        <v>0</v>
      </c>
      <c r="P12" s="2">
        <f>COUNTIFS(Sheet1!$C$2:$C$51,"normal",Sheet1!$J$2:$J$51,"i",Sheet1!$H$2:$H$51,"tidak",Sheet1!$K$2:$K$51,"tinggi",Sheet1!$L$2:$L$51,"memiliki",Sheet1!$B$2:$B$51,"A",Sheet1!$E$2:$E$51,"normal")</f>
        <v>0</v>
      </c>
      <c r="Q12" s="2">
        <f>COUNTIFS(Sheet1!$C$2:$C$51,"normal",Sheet1!$J$2:$J$51,"i",Sheet1!$H$2:$H$51,"tidak",Sheet1!$K$2:$K$51,"tinggi",Sheet1!$L$2:$L$51,"memiliki",Sheet1!$B$2:$B$51,"A",Sheet1!$E$2:$E$51,"kurang")</f>
        <v>0</v>
      </c>
      <c r="R12" s="2">
        <v>0</v>
      </c>
      <c r="S12" s="5"/>
      <c r="T12" s="13"/>
      <c r="U12" s="8"/>
    </row>
    <row r="13" spans="1:29">
      <c r="A13" s="3"/>
      <c r="B13" s="19" t="s">
        <v>56</v>
      </c>
      <c r="C13" s="2" t="s">
        <v>30</v>
      </c>
      <c r="D13" s="2">
        <f>COUNTIFS(Sheet1!$C$2:$C$51,"normal",Sheet1!$J$2:$J$51,"i",Sheet1!$H$2:$H$51,"tidak",Sheet1!$K$2:$K$51,"rendah",Sheet1!$L$2:$L$51,"memiliki",Sheet1!$B$2:$B$51,"A",Sheet1!$D$2:$D$51,"NORMAL")</f>
        <v>0</v>
      </c>
      <c r="E13" s="2">
        <f>COUNTIFS(Sheet1!$C$2:$C$51,"normal",Sheet1!$J$2:$J$51,"i",Sheet1!$H$2:$H$51,"tidak",Sheet1!$K$2:$K$51,"rendah",Sheet1!$L$2:$L$51,"memiliki",Sheet1!$B$2:$B$51,"A",Sheet1!$E$2:$E$51,"lebih")</f>
        <v>0</v>
      </c>
      <c r="F13" s="2">
        <f>COUNTIFS(Sheet1!$C$2:$C$51,"normal",Sheet1!$J$2:$J$51,"i",Sheet1!$H$2:$H$51,"tidak",Sheet1!$K$2:$K$51,"rendah",Sheet1!$L$2:$L$51,"memiliki",Sheet1!$B$2:$B$51,"A",Sheet1!$E$2:$E$51,"normal")</f>
        <v>0</v>
      </c>
      <c r="G13" s="2">
        <f>COUNTIFS(Sheet1!$C$2:$C$51,"normal",Sheet1!$J$2:$J$51,"i",Sheet1!$H$2:$H$51,"tidak",Sheet1!$K$2:$K$51,"rendah",Sheet1!$L$2:$L$51,"memiliki",Sheet1!$B$2:$B$51,"A",Sheet1!$E$2:$E$51,"kurang")</f>
        <v>0</v>
      </c>
      <c r="H13" s="2">
        <v>0</v>
      </c>
      <c r="I13" s="14">
        <f>($H$2)-((D13/$D$3*H13)+(D14/$D$3*H14)+(D15/$D$3*H15))</f>
        <v>-0.182366143100169</v>
      </c>
      <c r="K13" s="8"/>
      <c r="T13" s="13"/>
      <c r="U13" s="8"/>
      <c r="V13" s="7"/>
      <c r="W13" s="7"/>
      <c r="X13" s="7"/>
      <c r="Y13" s="7"/>
      <c r="Z13" s="7"/>
      <c r="AA13" s="7"/>
      <c r="AB13" s="7"/>
      <c r="AC13" s="7"/>
    </row>
    <row r="14" spans="1:29">
      <c r="A14" s="3"/>
      <c r="B14" s="20"/>
      <c r="C14" s="2" t="s">
        <v>22</v>
      </c>
      <c r="D14" s="2">
        <f>COUNTIFS(Sheet1!$C$2:$C$51,"normal",Sheet1!$J$2:$J$51,"i",Sheet1!$H$2:$H$51,"tidak",Sheet1!$K$2:$K$51,"menengah",Sheet1!$L$2:$L$51,"memiliki",Sheet1!$B$2:$B$51,"A",Sheet1!$D$2:$D$51,"NORMAL")</f>
        <v>2</v>
      </c>
      <c r="E14" s="2">
        <f>COUNTIFS(Sheet1!$C$2:$C$51,"normal",Sheet1!$J$2:$J$51,"i",Sheet1!$H$2:$H$51,"tidak",Sheet1!$K$2:$K$51,"menengah",Sheet1!$L$2:$L$51,"memiliki",Sheet1!$B$2:$B$51,"A",Sheet1!$E$2:$E$51,"lebih",Sheet1!$D$2:$D$51,"NORMAL")</f>
        <v>1</v>
      </c>
      <c r="F14" s="2">
        <f>COUNTIFS(Sheet1!$C$2:$C$51,"normal",Sheet1!$J$2:$J$51,"i",Sheet1!$H$2:$H$51,"tidak",Sheet1!$K$2:$K$51,"menengah",Sheet1!$L$2:$L$51,"memiliki",Sheet1!$B$2:$B$51,"A",Sheet1!$E$2:$E$51,"normal",Sheet1!$D$2:$D$51,"NORMAL")</f>
        <v>1</v>
      </c>
      <c r="G14" s="2">
        <f>COUNTIFS(Sheet1!$C$2:$C$51,"normal",Sheet1!$J$2:$J$51,"i",Sheet1!$H$2:$H$51,"tidak",Sheet1!$K$2:$K$51,"menengah",Sheet1!$L$2:$L$51,"memiliki",Sheet1!$B$2:$B$51,"A",Sheet1!$E$2:$E$51,"kurang")</f>
        <v>0</v>
      </c>
      <c r="H14" s="2">
        <f>((-E14/D14)*IMLOG2(E14/D14)+(-F14/D14)*IMLOG2(F14/D14))</f>
        <v>1</v>
      </c>
      <c r="I14" s="15"/>
      <c r="K14" s="8"/>
      <c r="T14" s="13"/>
      <c r="U14" s="8"/>
      <c r="V14" s="7"/>
      <c r="W14" s="7"/>
      <c r="X14" s="7"/>
      <c r="Y14" s="7"/>
      <c r="Z14" s="7"/>
      <c r="AA14" s="7"/>
      <c r="AB14" s="7"/>
      <c r="AC14" s="7"/>
    </row>
    <row r="15" spans="1:29">
      <c r="A15" s="3"/>
      <c r="B15" s="21"/>
      <c r="C15" s="2" t="s">
        <v>31</v>
      </c>
      <c r="D15" s="2">
        <f>COUNTIFS(Sheet1!$C$2:$C$51,"normal",Sheet1!$J$2:$J$51,"i",Sheet1!$H$2:$H$51,"tidak",Sheet1!$K$2:$K$51,"tinggi",Sheet1!$L$2:$L$51,"memiliki",Sheet1!$B$2:$B$51,"A",Sheet1!$D$2:$D$51,"NORMAL")</f>
        <v>0</v>
      </c>
      <c r="E15" s="2">
        <f>COUNTIFS(Sheet1!$C$2:$C$51,"normal",Sheet1!$J$2:$J$51,"i",Sheet1!$H$2:$H$51,"tidak",Sheet1!$K$2:$K$51,"tinggi",Sheet1!$L$2:$L$51,"memiliki",Sheet1!$B$2:$B$51,"A",Sheet1!$E$2:$E$51,"lebih")</f>
        <v>0</v>
      </c>
      <c r="F15" s="2">
        <f>COUNTIFS(Sheet1!$C$2:$C$51,"normal",Sheet1!$J$2:$J$51,"i",Sheet1!$H$2:$H$51,"tidak",Sheet1!$K$2:$K$51,"tinggi",Sheet1!$L$2:$L$51,"memiliki",Sheet1!$B$2:$B$51,"A",Sheet1!$E$2:$E$51,"normal")</f>
        <v>0</v>
      </c>
      <c r="G15" s="2">
        <f>COUNTIFS(Sheet1!$C$2:$C$51,"normal",Sheet1!$J$2:$J$51,"i",Sheet1!$H$2:$H$51,"tidak",Sheet1!$K$2:$K$51,"tinggi",Sheet1!$L$2:$L$51,"memiliki",Sheet1!$B$2:$B$51,"A",Sheet1!$E$2:$E$51,"kurang")</f>
        <v>0</v>
      </c>
      <c r="H15" s="2">
        <v>0</v>
      </c>
      <c r="I15" s="16"/>
      <c r="K15" s="8"/>
      <c r="T15" s="13"/>
      <c r="U15" s="8"/>
      <c r="V15" s="7"/>
      <c r="W15" s="7"/>
      <c r="X15" s="7"/>
      <c r="Y15" s="7"/>
      <c r="Z15" s="7"/>
      <c r="AA15" s="7"/>
      <c r="AB15" s="7"/>
      <c r="AC15" s="7"/>
    </row>
    <row r="16" spans="1:29">
      <c r="A16" s="8"/>
      <c r="K16" s="8"/>
      <c r="L16" s="7"/>
      <c r="M16" s="7"/>
      <c r="N16" s="7"/>
      <c r="O16" s="7"/>
      <c r="P16" s="7"/>
      <c r="Q16" s="7"/>
      <c r="R16" s="7"/>
      <c r="S16" s="7"/>
      <c r="T16" s="13"/>
      <c r="U16" s="8"/>
      <c r="V16" s="7"/>
      <c r="W16" s="7"/>
      <c r="X16" s="7"/>
      <c r="Y16" s="7"/>
      <c r="Z16" s="7"/>
      <c r="AA16" s="7"/>
      <c r="AB16" s="7"/>
      <c r="AC16" s="7"/>
    </row>
    <row r="17" spans="1:29">
      <c r="A17" s="8"/>
      <c r="K17" s="8"/>
      <c r="L17" s="7"/>
      <c r="M17" s="7"/>
      <c r="N17" s="7"/>
      <c r="O17" s="7"/>
      <c r="P17" s="7"/>
      <c r="Q17" s="7"/>
      <c r="R17" s="7"/>
      <c r="S17" s="7"/>
      <c r="T17" s="13"/>
      <c r="U17" s="8"/>
      <c r="V17" s="7"/>
      <c r="W17" s="7"/>
      <c r="X17" s="7"/>
      <c r="Y17" s="7"/>
      <c r="Z17" s="7"/>
      <c r="AA17" s="7"/>
      <c r="AB17" s="7"/>
      <c r="AC17" s="7"/>
    </row>
    <row r="18" spans="1:29">
      <c r="A18" s="8"/>
      <c r="B18" s="7"/>
      <c r="C18" s="7"/>
      <c r="D18" s="7"/>
      <c r="E18" s="7"/>
      <c r="F18" s="7"/>
      <c r="G18" s="7"/>
      <c r="H18" s="7"/>
      <c r="I18" s="7"/>
      <c r="K18" s="8"/>
      <c r="L18" s="7"/>
      <c r="M18" s="7"/>
      <c r="N18" s="7"/>
      <c r="O18" s="7"/>
      <c r="P18" s="7"/>
      <c r="Q18" s="7"/>
      <c r="R18" s="7"/>
      <c r="S18" s="7"/>
      <c r="T18" s="13"/>
      <c r="U18" s="8"/>
      <c r="V18" s="9"/>
      <c r="W18" s="9"/>
      <c r="X18" s="9"/>
      <c r="Y18" s="9"/>
      <c r="Z18" s="9"/>
      <c r="AA18" s="9"/>
      <c r="AB18" s="9"/>
      <c r="AC18" s="9"/>
    </row>
    <row r="19" spans="1:39">
      <c r="A19" s="8"/>
      <c r="B19" s="2" t="s">
        <v>44</v>
      </c>
      <c r="C19" s="2" t="s">
        <v>24</v>
      </c>
      <c r="D19" s="2">
        <f>COUNTIFS(Sheet1!$C$2:$C$51,"normal",Sheet1!$J$2:$J$51,"i",Sheet1!$H$2:$H$51,"tidak",Sheet1!$L$2:$L$51,"MEMILIKI",Sheet1!$B$2:$B$51,"A",Sheet1!$A$2:$A$51,"L",Sheet1!$D$2:$D$51,"NORMAL")</f>
        <v>2</v>
      </c>
      <c r="E19" s="2">
        <f>COUNTIFS(Sheet1!$C$2:$C$51,"normal",Sheet1!$J$2:$J$51,"i",Sheet1!$H$2:$H$51,"tidak",Sheet1!$L$2:$L$51,"MEMILIKI",Sheet1!$B$2:$B$51,"A",Sheet1!$A$2:$A$51,"L",Sheet1!$E$2:$E$51,"lebih",Sheet1!$D$2:$D$51,"NORMAL")</f>
        <v>1</v>
      </c>
      <c r="F19" s="2">
        <f>COUNTIFS(Sheet1!$C$2:$C$51,"normal",Sheet1!$J$2:$J$51,"i",Sheet1!$H$2:$H$51,"tidak",Sheet1!$L$2:$L$51,"MEMILIKI",Sheet1!$B$2:$B$51,"A",Sheet1!$A$2:$A$51,"L",Sheet1!$E$2:$E$51,"NORMAL",Sheet1!$D$2:$D$51,"NORMAL")</f>
        <v>1</v>
      </c>
      <c r="G19" s="2">
        <f>COUNTIFS(Sheet1!$C$2:$C$51,"normal",Sheet1!$J$2:$J$51,"i",Sheet1!$H$2:$H$51,"tidak",Sheet1!$L$2:$L$51,"MEMILIKI",Sheet1!$B$2:$B$51,"A",Sheet1!$A$2:$A$51,"L",Sheet1!$E$2:$E$51,"KURANG",Sheet1!$D$2:$D$51,"NORMAL")</f>
        <v>0</v>
      </c>
      <c r="H19" s="2">
        <f>((-E19/D19)*IMLOG2(E19/D19)+(-F19/D19)*IMLOG2(F19/D19))</f>
        <v>1</v>
      </c>
      <c r="I19" s="4">
        <f>($H$2)-((D19/$H$3*H19)+(D20/$H$3*H20))</f>
        <v>-1.18236614310017</v>
      </c>
      <c r="K19" s="8"/>
      <c r="L19" s="18" t="s">
        <v>48</v>
      </c>
      <c r="M19" s="2" t="s">
        <v>17</v>
      </c>
      <c r="N19" s="2">
        <f>COUNTIFS(Sheet1!$C$2:$C$51,"normal",Sheet1!$J$2:$J$51,"i",Sheet1!$H$2:$H$51,"tidak",Sheet1!$F$2:$F$51,"formula",Sheet1!$L$2:$L$51,"memiliki",Sheet1!$B$2:$B$51,"A",Sheet1!$D$2:$D$51,"NORMAL")</f>
        <v>0</v>
      </c>
      <c r="O19" s="2">
        <f>COUNTIFS(Sheet1!$C$2:$C$51,"normal",Sheet1!$J$2:$J$51,"i",Sheet1!$H$2:$H$51,"tidak",Sheet1!$F$2:$F$51,"formula",Sheet1!$L$2:$L$51,"memiliki",Sheet1!$B$2:$B$51,"A",Sheet1!$E$2:$E$51,"lebih",Sheet1!$D$2:$D$51,"NORMAL")</f>
        <v>0</v>
      </c>
      <c r="P19" s="2">
        <f>COUNTIFS(Sheet1!$C$2:$C$51,"normal",Sheet1!$J$2:$J$51,"i",Sheet1!$H$2:$H$51,"tidak",Sheet1!$F$2:$F$51,"formula",Sheet1!$L$2:$L$51,"memiliki",Sheet1!$B$2:$B$51,"A",Sheet1!$E$2:$E$51,"NORMAL",Sheet1!$D$2:$D$51,"NORMAL")</f>
        <v>0</v>
      </c>
      <c r="Q19" s="2">
        <f>COUNTIFS(Sheet1!$C$2:$C$51,"normal",Sheet1!$J$2:$J$51,"i",Sheet1!$H$2:$H$51,"tidak",Sheet1!$F$2:$F$51,"formula",Sheet1!$L$2:$L$51,"memiliki",Sheet1!$B$2:$B$51,"A",Sheet1!$E$2:$E$51,"KURANG",Sheet1!$D$2:$D$51,"NORMAL")</f>
        <v>0</v>
      </c>
      <c r="R19" s="2">
        <v>0</v>
      </c>
      <c r="S19" s="4">
        <f>($H$2)-((N19/$D$3*R19)+(N20/$D$3*R20)+(N21/$D$3*R21))</f>
        <v>-0.182366143100169</v>
      </c>
      <c r="T19" s="13"/>
      <c r="U19" s="8"/>
      <c r="V19" s="2" t="s">
        <v>49</v>
      </c>
      <c r="W19" s="2" t="s">
        <v>30</v>
      </c>
      <c r="X19" s="2">
        <f>COUNTIFS(Sheet1!$C$2:$C$51,"normal",Sheet1!$J$2:$J$51,"i",Sheet1!$H$2:$H$51,"tidak",Sheet1!$H$2:$H$51,"tidak",Sheet1!$G$2:$G$51,"rendah",Sheet1!$L$2:$L$51,"memiliki",Sheet1!$B$2:$B$51,"A",Sheet1!$D$2:$D$51,"NORMAL")</f>
        <v>0</v>
      </c>
      <c r="Y19" s="2">
        <f>COUNTIFS(Sheet1!$C$2:$C$51,"normal",Sheet1!$J$2:$J$51,"i",Sheet1!$H$2:$H$51,"tidak",Sheet1!$G$2:$G$51,"rendah",Sheet1!$L$2:$L$51,"memiliki",Sheet1!$B$2:$B$51,"A",Sheet1!$E$2:$E$51,"lebih",Sheet1!$D$2:$D$51,"NORMAL")</f>
        <v>0</v>
      </c>
      <c r="Z19" s="2">
        <f>COUNTIFS(Sheet1!$C$2:$C$51,"normal",Sheet1!$J$2:$J$51,"i",Sheet1!$H$2:$H$51,"tidak",Sheet1!$H$2:$H$51,"tidak",Sheet1!$G$2:$G$51,"rendah",Sheet1!$L$2:$L$51,"memiliki",Sheet1!$B$2:$B$51,"A",Sheet1!$E$2:$E$51,"NORMAL",Sheet1!$D$2:$D$51,"NORMAL")</f>
        <v>0</v>
      </c>
      <c r="AA19" s="2">
        <f>COUNTIFS(Sheet1!$C$2:$C$51,"normal",Sheet1!$J$2:$J$51,"i",Sheet1!$H$2:$H$51,"tidak",Sheet1!$G$2:$G$51,"rendah",Sheet1!$L$2:$L$51,"memiliki",Sheet1!$B$2:$B$51,"A",Sheet1!$E$2:$E$51,"KURANG",Sheet1!$D$2:$D$51,"NORMAL")</f>
        <v>0</v>
      </c>
      <c r="AB19" s="2">
        <v>0</v>
      </c>
      <c r="AC19" s="4">
        <f>($R$2)-((X19/$N$3*AB19)+(X20/$N$3*AB20)+(X21/$N$3*AB21))</f>
        <v>-0.182366143100169</v>
      </c>
      <c r="AF19" s="2" t="s">
        <v>51</v>
      </c>
      <c r="AG19" s="2" t="s">
        <v>20</v>
      </c>
      <c r="AH19" s="2">
        <f>COUNTIFS(Sheet1!$C$2:$C$51,"normal",Sheet1!$J$2:$J$51,"i",Sheet1!$H$2:$H$51,"tidak",Sheet1!$I$2:$I$51,"x",Sheet1!$L$2:$L$51,"memiliki",Sheet1!$B$2:$B$51,"A",Sheet1!$D$2:$D$51,"NORMAL")</f>
        <v>2</v>
      </c>
      <c r="AI19" s="2">
        <f>COUNTIFS(Sheet1!$C$2:$C$51,"normal",Sheet1!$J$2:$J$51,"i",Sheet1!$H$2:$H$51,"tidak",Sheet1!$I$2:$I$51,"x",Sheet1!$L$2:$L$51,"memiliki",Sheet1!$B$2:$B$51,"A",Sheet1!$E$2:$E$51,"lebih",Sheet1!$D$2:$D$51,"NORMAL")</f>
        <v>1</v>
      </c>
      <c r="AJ19" s="2">
        <f>COUNTIFS(Sheet1!$C$2:$C$51,"normal",Sheet1!$J$2:$J$51,"i",Sheet1!$H$2:$H$51,"tidak",Sheet1!$I$2:$I$51,"x",Sheet1!$L$2:$L$51,"memiliki",Sheet1!$B$2:$B$51,"A",Sheet1!$E$2:$E$51,"normal",Sheet1!$D$2:$D$51,"NORMAL")</f>
        <v>1</v>
      </c>
      <c r="AK19" s="2">
        <f>COUNTIFS(Sheet1!$C$2:$C$51,"normal",Sheet1!$J$2:$J$51,"i",Sheet1!$H$2:$H$51,"tidak",Sheet1!$I$2:$I$51,"x",Sheet1!$L$2:$L$51,"memiliki",Sheet1!$B$2:$B$51,"A",Sheet1!$E$2:$E$51,"kurang",Sheet1!$D$2:$D$51,"NORMAL")</f>
        <v>0</v>
      </c>
      <c r="AL19" s="2">
        <f>((-AI19/AH19)*IMLOG2(AI19/AH19)+(-AJ19/AH19)*IMLOG2(AJ19/AH19))</f>
        <v>1</v>
      </c>
      <c r="AM19" s="4">
        <f>($AB$2)-((AH19/$X$3*AL19)+(AH20/$X$3*AL20)+(AH21/$X$3*AL21))</f>
        <v>-0.182366143100169</v>
      </c>
    </row>
    <row r="20" spans="1:39">
      <c r="A20" s="8"/>
      <c r="B20" s="2"/>
      <c r="C20" s="2" t="s">
        <v>12</v>
      </c>
      <c r="D20" s="2">
        <f>COUNTIFS(Sheet1!$C$2:$C$51,"normal",Sheet1!$J$2:$J$51,"i",Sheet1!$H$2:$H$51,"tidak",Sheet1!$L$2:$L$51,"MEMILIKI",Sheet1!$B$2:$B$51,"A",Sheet1!$A$2:$A$51,"P",Sheet1!$D$2:$D$51,"NORMAL")</f>
        <v>0</v>
      </c>
      <c r="E20" s="2">
        <f>COUNTIFS(Sheet1!$C$2:$C$51,"normal",Sheet1!$J$2:$J$51,"i",Sheet1!$H$2:$H$51,"tidak",Sheet1!$L$2:$L$51,"MEMILIKI",Sheet1!$B$2:$B$51,"A",Sheet1!$A$2:$A$51,"P",Sheet1!$E$2:$E$51,"lebih",Sheet1!$D$2:$D$51,"NORMAL")</f>
        <v>0</v>
      </c>
      <c r="F20" s="2">
        <f>COUNTIFS(Sheet1!$C$2:$C$51,"normal",Sheet1!$J$2:$J$51,"i",Sheet1!$H$2:$H$51,"tidak",Sheet1!$L$2:$L$51,"MEMILIKI",Sheet1!$B$2:$B$51,"A",Sheet1!$A$2:$A$51,"P",Sheet1!$E$2:$E$51,"NORMAL",Sheet1!$D$2:$D$51,"NORMAL")</f>
        <v>0</v>
      </c>
      <c r="G20" s="2">
        <f>COUNTIFS(Sheet1!$C$2:$C$51,"normal",Sheet1!$J$2:$J$51,"i",Sheet1!$H$2:$H$51,"tidak",Sheet1!$L$2:$L$51,"MEMILIKI",Sheet1!$B$2:$B$51,"A",Sheet1!$A$2:$A$51,"P",Sheet1!$E$2:$E$51,"KURANG",Sheet1!$D$2:$D$51,"NORMAL")</f>
        <v>0</v>
      </c>
      <c r="H20" s="2">
        <v>0</v>
      </c>
      <c r="I20" s="5"/>
      <c r="K20" s="8"/>
      <c r="L20" s="18"/>
      <c r="M20" s="2" t="s">
        <v>26</v>
      </c>
      <c r="N20" s="2">
        <f>COUNTIFS(Sheet1!$C$2:$C$51,"normal",Sheet1!$J$2:$J$51,"i",Sheet1!$H$2:$H$51,"tidak",Sheet1!$F$2:$F$51,"kombinasi",Sheet1!$L$2:$L$51,"memiliki",Sheet1!$B$2:$B$51,"A",Sheet1!$D$2:$D$51,"NORMAL")</f>
        <v>2</v>
      </c>
      <c r="O20" s="2">
        <f>COUNTIFS(Sheet1!$C$2:$C$51,"normal",Sheet1!$J$2:$J$51,"i",Sheet1!$H$2:$H$51,"tidak",Sheet1!$F$2:$F$51,"kombinasi",Sheet1!$L$2:$L$51,"memiliki",Sheet1!$B$2:$B$51,"A",Sheet1!$E$2:$E$51,"lebih",Sheet1!$D$2:$D$51,"NORMAL")</f>
        <v>1</v>
      </c>
      <c r="P20" s="2">
        <f>COUNTIFS(Sheet1!$C$2:$C$51,"normal",Sheet1!$J$2:$J$51,"i",Sheet1!$H$2:$H$51,"tidak",Sheet1!$F$2:$F$51,"KOMBINASI",Sheet1!$L$2:$L$51,"memiliki",Sheet1!$B$2:$B$51,"A",Sheet1!$E$2:$E$51,"NORMAL",Sheet1!$D$2:$D$51,"NORMAL")</f>
        <v>1</v>
      </c>
      <c r="Q20" s="2">
        <f>COUNTIFS(Sheet1!$C$2:$C$51,"normal",Sheet1!$J$2:$J$51,"i",Sheet1!$H$2:$H$51,"tidak",Sheet1!$F$2:$F$51,"KOMBINASI",Sheet1!$L$2:$L$51,"memiliki",Sheet1!$B$2:$B$51,"A",Sheet1!$E$2:$E$51,"KURANG",Sheet1!$D$2:$D$51,"NORMAL")</f>
        <v>0</v>
      </c>
      <c r="R20" s="2">
        <f>((-O20/N20)*IMLOG2(O20/N20)+(-P20/N20)*IMLOG2(P20/N20))</f>
        <v>1</v>
      </c>
      <c r="S20" s="6"/>
      <c r="T20" s="13"/>
      <c r="U20" s="8"/>
      <c r="V20" s="2"/>
      <c r="W20" s="2" t="s">
        <v>18</v>
      </c>
      <c r="X20" s="2">
        <f>COUNTIFS(Sheet1!$C$2:$C$51,"normal",Sheet1!$J$2:$J$51,"i",Sheet1!$H$2:$H$51,"tidak",Sheet1!$H$2:$H$51,"tidak",Sheet1!$G$2:$G$51,"sedang",Sheet1!$L$2:$L$51,"memiliki",Sheet1!$B$2:$B$51,"A",Sheet1!$D$2:$D$51,"NORMAL")</f>
        <v>2</v>
      </c>
      <c r="Y20" s="2">
        <f>COUNTIFS(Sheet1!$C$2:$C$51,"normal",Sheet1!$J$2:$J$51,"i",Sheet1!$H$2:$H$51,"tidak",Sheet1!$H$2:$H$51,"tidak",Sheet1!$G$2:$G$51,"SEDANG",Sheet1!$L$2:$L$51,"memiliki",Sheet1!$B$2:$B$51,"A",Sheet1!$E$2:$E$51,"lebih",Sheet1!$D$2:$D$51,"NORMAL")</f>
        <v>1</v>
      </c>
      <c r="Z20" s="2">
        <f>COUNTIFS(Sheet1!$C$2:$C$51,"normal",Sheet1!$J$2:$J$51,"i",Sheet1!$H$2:$H$51,"tidak",Sheet1!$G$2:$G$51,"SEDANG",Sheet1!$L$2:$L$51,"memiliki",Sheet1!$B$2:$B$51,"A",Sheet1!$E$2:$E$51,"NORMAL",Sheet1!$D$2:$D$51,"NORMAL")</f>
        <v>1</v>
      </c>
      <c r="AA20" s="2">
        <f>COUNTIFS(Sheet1!$C$2:$C$51,"normal",Sheet1!$J$2:$J$51,"i",Sheet1!$H$2:$H$51,"tidak",Sheet1!$G$2:$G$51,"SEDANG",Sheet1!$L$2:$L$51,"memiliki",Sheet1!$B$2:$B$51,"A",Sheet1!$E$2:$E$51,"KURANG",Sheet1!$D$2:$D$51,"NORMAL")</f>
        <v>0</v>
      </c>
      <c r="AB20" s="2">
        <f>((-Y20/X20)*IMLOG2(Y20/X20)+(-Z20/X20)*IMLOG2(Z20/X20))</f>
        <v>1</v>
      </c>
      <c r="AC20" s="6"/>
      <c r="AF20" s="2"/>
      <c r="AG20" s="2" t="s">
        <v>52</v>
      </c>
      <c r="AH20" s="2">
        <f>COUNTIFS(Sheet1!$C$2:$C$51,"normal",Sheet1!$J$2:$J$51,"i",Sheet1!$H$2:$H$51,"tidak",Sheet1!$I$2:$I$51,"y",Sheet1!$L$2:$L$51,"memiliki",Sheet1!$B$2:$B$51,"A")</f>
        <v>0</v>
      </c>
      <c r="AI20" s="2">
        <f>COUNTIFS(Sheet1!$C$2:$C$51,"normal",Sheet1!$J$2:$J$51,"i",Sheet1!$H$2:$H$51,"tidak",Sheet1!$I$2:$I$51,"y",Sheet1!$L$2:$L$51,"memiliki",Sheet1!$B$2:$B$51,"A",Sheet1!$E$2:$E$51,"lebih")</f>
        <v>0</v>
      </c>
      <c r="AJ20" s="2">
        <f>COUNTIFS(Sheet1!$C$2:$C$51,"normal",Sheet1!$J$2:$J$51,"i",Sheet1!$H$2:$H$51,"tidak",Sheet1!$I$2:$I$51,"y",Sheet1!$L$2:$L$51,"memiliki",Sheet1!$B$2:$B$51,"A",Sheet1!$E$2:$E$51,"normal")</f>
        <v>0</v>
      </c>
      <c r="AK20" s="2">
        <f>COUNTIFS(Sheet1!$C$2:$C$51,"normal",Sheet1!$J$2:$J$51,"i",Sheet1!$I$2:$I$51,"y",Sheet1!$L$2:$L$51,"memiliki",Sheet1!$B$2:$B$51,"A",Sheet1!$E$2:$E$51,"kurang")</f>
        <v>0</v>
      </c>
      <c r="AL20" s="2">
        <v>0</v>
      </c>
      <c r="AM20" s="6"/>
    </row>
    <row r="21" spans="1:39">
      <c r="A21" s="8"/>
      <c r="B21" s="7"/>
      <c r="C21" s="7"/>
      <c r="D21" s="7"/>
      <c r="E21" s="7"/>
      <c r="F21" s="7"/>
      <c r="G21" s="7"/>
      <c r="H21" s="7"/>
      <c r="I21" s="7"/>
      <c r="K21" s="8"/>
      <c r="L21" s="18"/>
      <c r="M21" s="2" t="s">
        <v>34</v>
      </c>
      <c r="N21" s="2">
        <f>COUNTIFS(Sheet1!$C$2:$C$51,"normal",Sheet1!$J$2:$J$51,"i",Sheet1!$H$2:$H$51,"tidak",Sheet1!$F$2:$F$51,"ASI",Sheet1!$L$2:$L$51,"memiliki",Sheet1!$B$2:$B$51,"A",Sheet1!$D$2:$D$51,"NORMAL")</f>
        <v>0</v>
      </c>
      <c r="O21" s="2">
        <f>COUNTIFS(Sheet1!$C$2:$C$51,"normal",Sheet1!$J$2:$J$51,"i",Sheet1!$H$2:$H$51,"tidak",Sheet1!$F$2:$F$51,"ASI",Sheet1!$L$2:$L$51,"memiliki",Sheet1!$B$2:$B$51,"A",Sheet1!$E$2:$E$51,"lebih",Sheet1!$D$2:$D$51,"NORMAL")</f>
        <v>0</v>
      </c>
      <c r="P21" s="2">
        <f>COUNTIFS(Sheet1!$C$2:$C$51,"normal",Sheet1!$J$2:$J$51,"i",Sheet1!$H$2:$H$51,"tidak",Sheet1!$F$2:$F$51,"ASI",Sheet1!$L$2:$L$51,"memiliki",Sheet1!$B$2:$B$51,"A",Sheet1!$E$2:$E$51,"normal",Sheet1!$D$2:$D$51,"NORMAL")</f>
        <v>0</v>
      </c>
      <c r="Q21" s="2">
        <f>COUNTIFS(Sheet1!$C$2:$C$51,"normal",Sheet1!$J$2:$J$51,"i",Sheet1!$H$2:$H$51,"tidak",Sheet1!$F$2:$F$51,"ASI",Sheet1!$L$2:$L$51,"memiliki",Sheet1!$B$2:$B$51,"A",Sheet1!$E$2:$E$51,"KURANG",Sheet1!$D$2:$D$51,"NORMAL")</f>
        <v>0</v>
      </c>
      <c r="R21" s="2">
        <v>0</v>
      </c>
      <c r="S21" s="5"/>
      <c r="T21" s="13"/>
      <c r="U21" s="7"/>
      <c r="V21" s="2"/>
      <c r="W21" s="2" t="s">
        <v>31</v>
      </c>
      <c r="X21" s="2">
        <f>COUNTIFS(Sheet1!$C$2:$C$51,"normal",Sheet1!$J$2:$J$51,"i",Sheet1!$H$2:$H$51,"tidak",Sheet1!$H$2:$H$51,"tidak",Sheet1!$G$2:$G$51,"tinggi",Sheet1!$L$2:$L$51,"memiliki",Sheet1!$B$2:$B$51,"A",Sheet1!$D$2:$D$51,"NORMAL")</f>
        <v>0</v>
      </c>
      <c r="Y21" s="2">
        <f>COUNTIFS(Sheet1!$C$2:$C$51,"normal",Sheet1!$J$2:$J$51,"i",Sheet1!$H$2:$H$51,"tidak",Sheet1!$H$2:$H$51,"tidak",Sheet1!$G$2:$G$51,"TINGGI",Sheet1!$L$2:$L$51,"memiliki",Sheet1!$B$2:$B$51,"A",Sheet1!$E$2:$E$51,"lebih",Sheet1!$D$2:$D$51,"NORMAL")</f>
        <v>0</v>
      </c>
      <c r="Z21" s="2">
        <f>COUNTIFS(Sheet1!$C$2:$C$51,"normal",Sheet1!$J$2:$J$51,"i",Sheet1!$H$2:$H$51,"tidak",Sheet1!$G$2:$G$51,"TINGGI",Sheet1!$L$2:$L$51,"memiliki",Sheet1!$B$2:$B$51,"A",Sheet1!$E$2:$E$51,"NORMAL",Sheet1!$D$2:$D$51,"NORMAL")</f>
        <v>0</v>
      </c>
      <c r="AA21" s="2">
        <f>COUNTIFS(Sheet1!$C$2:$C$51,"normal",Sheet1!$J$2:$J$51,"i",Sheet1!$H$2:$H$51,"tidak",Sheet1!$G$2:$G$51,"TINGGI",Sheet1!$L$2:$L$51,"memiliki",Sheet1!$B$2:$B$51,"A",Sheet1!$E$2:$E$51,"KURANG",Sheet1!$D$2:$D$51,"NORMAL")</f>
        <v>0</v>
      </c>
      <c r="AB21" s="2">
        <v>0</v>
      </c>
      <c r="AC21" s="5"/>
      <c r="AF21" s="2"/>
      <c r="AG21" s="2" t="s">
        <v>53</v>
      </c>
      <c r="AH21" s="2">
        <f>COUNTIFS(Sheet1!$C$2:$C$51,"normal",Sheet1!$J$2:$J$51,"i",Sheet1!$H$2:$H$51,"tidak",Sheet1!$I$2:$I$51,"z",Sheet1!$L$2:$L$51,"memiliki",Sheet1!$B$2:$B$51,"A")</f>
        <v>0</v>
      </c>
      <c r="AI21" s="2">
        <f>COUNTIFS(Sheet1!$C$2:$C$51,"normal",Sheet1!$J$2:$J$51,"i",Sheet1!$H$2:$H$51,"tidak",Sheet1!$I$2:$I$51,"z",Sheet1!$L$2:$L$51,"memiliki",Sheet1!$B$2:$B$51,"A",Sheet1!$E$2:$E$51,"lebih")</f>
        <v>0</v>
      </c>
      <c r="AJ21" s="2">
        <f>COUNTIFS(Sheet1!$C$2:$C$51,"normal",Sheet1!$J$2:$J$51,"i",Sheet1!$H$2:$H$51,"tidak",Sheet1!$I$2:$I$51,"z",Sheet1!$L$2:$L$51,"memiliki",Sheet1!$B$2:$B$51,"A",Sheet1!$E$2:$E$51,"normal")</f>
        <v>0</v>
      </c>
      <c r="AK21" s="2">
        <f>COUNTIFS(Sheet1!$C$2:$C$51,"normal",Sheet1!$J$2:$J$51,"i",Sheet1!$I$2:$I$51,"z",Sheet1!$L$2:$L$51,"memiliki",Sheet1!$B$2:$B$51,"A",Sheet1!$E$2:$E$51,"kurang")</f>
        <v>0</v>
      </c>
      <c r="AL21" s="2">
        <v>0</v>
      </c>
      <c r="AM21" s="5"/>
    </row>
    <row r="22" spans="1:29">
      <c r="A22" s="8"/>
      <c r="B22" s="7"/>
      <c r="C22" s="7"/>
      <c r="D22" s="7"/>
      <c r="E22" s="7"/>
      <c r="F22" s="7"/>
      <c r="G22" s="7"/>
      <c r="H22" s="7"/>
      <c r="I22" s="7"/>
      <c r="K22" s="8"/>
      <c r="L22" s="9"/>
      <c r="M22" s="9"/>
      <c r="N22" s="9"/>
      <c r="O22" s="9"/>
      <c r="P22" s="9"/>
      <c r="Q22" s="9"/>
      <c r="R22" s="9"/>
      <c r="S22" s="9"/>
      <c r="T22" s="13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8"/>
      <c r="B23" s="7"/>
      <c r="C23" s="7"/>
      <c r="D23" s="7"/>
      <c r="E23" s="7"/>
      <c r="F23" s="7"/>
      <c r="G23" s="7"/>
      <c r="H23" s="7"/>
      <c r="I23" s="7"/>
      <c r="K23" s="8"/>
      <c r="L23" s="9"/>
      <c r="M23" s="9"/>
      <c r="N23" s="9"/>
      <c r="O23" s="9"/>
      <c r="P23" s="9"/>
      <c r="Q23" s="9"/>
      <c r="R23" s="9"/>
      <c r="S23" s="9"/>
      <c r="T23" s="13"/>
      <c r="U23" s="7"/>
      <c r="V23" s="7"/>
      <c r="W23" s="7"/>
      <c r="X23" s="7"/>
      <c r="Y23" s="7"/>
      <c r="Z23" s="7"/>
      <c r="AA23" s="7"/>
      <c r="AB23" s="7"/>
      <c r="AC23" s="7"/>
    </row>
    <row r="24" spans="1:29">
      <c r="A24" s="7"/>
      <c r="K24" s="9"/>
      <c r="L24" s="9"/>
      <c r="M24" s="9"/>
      <c r="N24" s="9"/>
      <c r="O24" s="9"/>
      <c r="P24" s="9"/>
      <c r="Q24" s="9"/>
      <c r="R24" s="9"/>
      <c r="S24" s="9"/>
      <c r="T24" s="13"/>
      <c r="U24" s="7"/>
      <c r="V24" s="7"/>
      <c r="W24" s="7"/>
      <c r="X24" s="7"/>
      <c r="Y24" s="7"/>
      <c r="Z24" s="7"/>
      <c r="AA24" s="7"/>
      <c r="AB24" s="7"/>
      <c r="AC24" s="7"/>
    </row>
    <row r="25" spans="1:29">
      <c r="A25" s="7"/>
      <c r="K25" s="10"/>
      <c r="L25" s="7"/>
      <c r="M25" s="7"/>
      <c r="N25" s="7"/>
      <c r="O25" s="7"/>
      <c r="P25" s="7"/>
      <c r="Q25" s="7"/>
      <c r="R25" s="7"/>
      <c r="S25" s="7"/>
      <c r="T25" s="13"/>
      <c r="U25" s="7"/>
      <c r="V25" s="7"/>
      <c r="W25" s="7"/>
      <c r="X25" s="7"/>
      <c r="Y25" s="7"/>
      <c r="Z25" s="7"/>
      <c r="AA25" s="7"/>
      <c r="AB25" s="7"/>
      <c r="AC25" s="7"/>
    </row>
    <row r="26" spans="1:29">
      <c r="A26" s="7"/>
      <c r="B26" s="7"/>
      <c r="C26" s="7"/>
      <c r="D26" s="7"/>
      <c r="E26" s="7"/>
      <c r="F26" s="7"/>
      <c r="G26" s="7"/>
      <c r="H26" s="7"/>
      <c r="I26" s="7"/>
      <c r="K26" s="11"/>
      <c r="L26" s="7"/>
      <c r="M26" s="7"/>
      <c r="N26" s="7"/>
      <c r="O26" s="7"/>
      <c r="P26" s="7"/>
      <c r="Q26" s="7"/>
      <c r="R26" s="7"/>
      <c r="S26" s="7"/>
      <c r="T26" s="13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7"/>
      <c r="B27" s="7"/>
      <c r="C27" s="7"/>
      <c r="D27" s="7"/>
      <c r="E27" s="7"/>
      <c r="F27" s="7"/>
      <c r="G27" s="7"/>
      <c r="H27" s="7"/>
      <c r="I27" s="7"/>
      <c r="K27" s="12"/>
      <c r="L27" s="7"/>
      <c r="M27" s="7"/>
      <c r="N27" s="7"/>
      <c r="O27" s="7"/>
      <c r="P27" s="7"/>
      <c r="Q27" s="7"/>
      <c r="R27" s="7"/>
      <c r="S27" s="7"/>
      <c r="T27" s="13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7"/>
      <c r="B28" s="7"/>
      <c r="C28" s="7"/>
      <c r="D28" s="7"/>
      <c r="E28" s="7"/>
      <c r="F28" s="7"/>
      <c r="G28" s="7"/>
      <c r="H28" s="7"/>
      <c r="I28" s="7"/>
      <c r="S28" s="7"/>
      <c r="T28" s="13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7"/>
      <c r="B29" s="7"/>
      <c r="C29" s="7"/>
      <c r="D29" s="7"/>
      <c r="E29" s="7"/>
      <c r="F29" s="7"/>
      <c r="G29" s="7"/>
      <c r="H29" s="7"/>
      <c r="I29" s="7"/>
      <c r="S29" s="7"/>
      <c r="T29" s="13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13"/>
      <c r="U30" s="7"/>
      <c r="V30" s="7"/>
      <c r="W30" s="7"/>
      <c r="X30" s="7"/>
      <c r="Y30" s="7"/>
      <c r="Z30" s="7"/>
      <c r="AA30" s="7"/>
      <c r="AB30" s="7"/>
      <c r="AC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1">
      <c r="A32" s="7"/>
    </row>
  </sheetData>
  <mergeCells count="44">
    <mergeCell ref="B1:C1"/>
    <mergeCell ref="L1:M1"/>
    <mergeCell ref="V1:W1"/>
    <mergeCell ref="AF1:AG1"/>
    <mergeCell ref="B2:C2"/>
    <mergeCell ref="L2:M2"/>
    <mergeCell ref="V2:W2"/>
    <mergeCell ref="AF2:AG2"/>
    <mergeCell ref="B3:C3"/>
    <mergeCell ref="L3:M3"/>
    <mergeCell ref="V3:W3"/>
    <mergeCell ref="AF3:AG3"/>
    <mergeCell ref="A2:A15"/>
    <mergeCell ref="B4:B6"/>
    <mergeCell ref="B7:B9"/>
    <mergeCell ref="B10:B12"/>
    <mergeCell ref="B13:B15"/>
    <mergeCell ref="B19:B20"/>
    <mergeCell ref="I4:I6"/>
    <mergeCell ref="I7:I9"/>
    <mergeCell ref="I10:I12"/>
    <mergeCell ref="I13:I15"/>
    <mergeCell ref="I19:I20"/>
    <mergeCell ref="K2:K12"/>
    <mergeCell ref="L4:L6"/>
    <mergeCell ref="L7:L9"/>
    <mergeCell ref="L10:L12"/>
    <mergeCell ref="L19:L21"/>
    <mergeCell ref="S4:S6"/>
    <mergeCell ref="S7:S9"/>
    <mergeCell ref="S10:S12"/>
    <mergeCell ref="S19:S21"/>
    <mergeCell ref="U2:U9"/>
    <mergeCell ref="V4:V6"/>
    <mergeCell ref="V7:V9"/>
    <mergeCell ref="V19:V21"/>
    <mergeCell ref="AC4:AC6"/>
    <mergeCell ref="AC7:AC9"/>
    <mergeCell ref="AC19:AC21"/>
    <mergeCell ref="AE2:AE6"/>
    <mergeCell ref="AF4:AF6"/>
    <mergeCell ref="AF19:AF21"/>
    <mergeCell ref="AM4:AM6"/>
    <mergeCell ref="AM19:AM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4"/>
  <sheetViews>
    <sheetView workbookViewId="0">
      <selection activeCell="K2" sqref="K2:K18"/>
    </sheetView>
  </sheetViews>
  <sheetFormatPr defaultColWidth="9" defaultRowHeight="15"/>
  <cols>
    <col min="1" max="1" width="17.7142857142857" customWidth="true"/>
    <col min="2" max="2" width="21.8571428571429" customWidth="true"/>
    <col min="3" max="3" width="11.7142857142857" customWidth="true"/>
    <col min="7" max="8" width="12.8571428571429"/>
    <col min="9" max="9" width="14"/>
    <col min="11" max="11" width="18" customWidth="true"/>
    <col min="12" max="12" width="18.5714285714286" customWidth="true"/>
    <col min="13" max="13" width="12.4285714285714" customWidth="true"/>
    <col min="17" max="18" width="12.8571428571429"/>
    <col min="19" max="19" width="14"/>
    <col min="21" max="21" width="25.5714285714286" customWidth="true"/>
    <col min="22" max="22" width="18.8571428571429" customWidth="true"/>
    <col min="23" max="23" width="14.7142857142857" customWidth="true"/>
    <col min="28" max="28" width="12.8571428571429"/>
    <col min="29" max="30" width="14"/>
    <col min="31" max="31" width="21.8571428571429" customWidth="true"/>
    <col min="32" max="32" width="21.4285714285714" customWidth="true"/>
    <col min="33" max="33" width="15.1428571428571" customWidth="true"/>
    <col min="39" max="39" width="16.8571428571429" customWidth="true"/>
  </cols>
  <sheetData>
    <row r="1" spans="1:39">
      <c r="A1" s="2" t="s">
        <v>37</v>
      </c>
      <c r="B1" s="2" t="s">
        <v>38</v>
      </c>
      <c r="C1" s="2"/>
      <c r="D1" s="2" t="s">
        <v>39</v>
      </c>
      <c r="E1" s="2" t="s">
        <v>40</v>
      </c>
      <c r="F1" s="2" t="s">
        <v>16</v>
      </c>
      <c r="G1" s="2" t="s">
        <v>36</v>
      </c>
      <c r="H1" s="2" t="s">
        <v>41</v>
      </c>
      <c r="I1" s="2" t="s">
        <v>42</v>
      </c>
      <c r="K1" s="2" t="s">
        <v>37</v>
      </c>
      <c r="L1" s="2" t="s">
        <v>38</v>
      </c>
      <c r="M1" s="2"/>
      <c r="N1" s="2" t="s">
        <v>39</v>
      </c>
      <c r="O1" s="2" t="s">
        <v>40</v>
      </c>
      <c r="P1" s="2" t="s">
        <v>16</v>
      </c>
      <c r="Q1" s="2" t="s">
        <v>36</v>
      </c>
      <c r="R1" s="2" t="s">
        <v>41</v>
      </c>
      <c r="S1" s="2" t="s">
        <v>42</v>
      </c>
      <c r="T1" s="13"/>
      <c r="U1" s="2" t="s">
        <v>37</v>
      </c>
      <c r="V1" s="2" t="s">
        <v>38</v>
      </c>
      <c r="W1" s="2"/>
      <c r="X1" s="2" t="s">
        <v>39</v>
      </c>
      <c r="Y1" s="2" t="s">
        <v>40</v>
      </c>
      <c r="Z1" s="2" t="s">
        <v>16</v>
      </c>
      <c r="AA1" s="2" t="s">
        <v>36</v>
      </c>
      <c r="AB1" s="2" t="s">
        <v>41</v>
      </c>
      <c r="AC1" s="2" t="s">
        <v>42</v>
      </c>
      <c r="AE1" s="2" t="s">
        <v>37</v>
      </c>
      <c r="AF1" s="2" t="s">
        <v>38</v>
      </c>
      <c r="AG1" s="2"/>
      <c r="AH1" s="2" t="s">
        <v>39</v>
      </c>
      <c r="AI1" s="2" t="s">
        <v>40</v>
      </c>
      <c r="AJ1" s="2" t="s">
        <v>16</v>
      </c>
      <c r="AK1" s="2" t="s">
        <v>36</v>
      </c>
      <c r="AL1" s="2" t="s">
        <v>41</v>
      </c>
      <c r="AM1" s="2" t="s">
        <v>42</v>
      </c>
    </row>
    <row r="2" spans="1:39">
      <c r="A2" s="3" t="s">
        <v>97</v>
      </c>
      <c r="B2" s="2" t="s">
        <v>43</v>
      </c>
      <c r="C2" s="2"/>
      <c r="D2" s="2">
        <v>50</v>
      </c>
      <c r="E2" s="2">
        <f>COUNTIF(Sheet1!$E$2:$E$51,"lebih")</f>
        <v>7</v>
      </c>
      <c r="F2" s="2">
        <f>COUNTIF(Sheet1!$E$2:$E$51,"normal")</f>
        <v>41</v>
      </c>
      <c r="G2" s="2">
        <f>COUNTIF(Sheet1!$E$2:$E$51,"kurang")</f>
        <v>2</v>
      </c>
      <c r="H2" s="2">
        <f>((-E2/D2)*IMLOG2(E2/D2)+(-F2/D2)*IMLOG2(F2/D2)+(-G2/D2)*IMLOG2(G2/D2))</f>
        <v>0.817633856899831</v>
      </c>
      <c r="I2" s="2"/>
      <c r="K2" s="3" t="s">
        <v>98</v>
      </c>
      <c r="L2" s="2" t="s">
        <v>43</v>
      </c>
      <c r="M2" s="2"/>
      <c r="N2" s="2">
        <v>50</v>
      </c>
      <c r="O2" s="2">
        <f>COUNTIF(Sheet1!$E$2:$E$51,"lebih")</f>
        <v>7</v>
      </c>
      <c r="P2" s="2">
        <f>COUNTIF(Sheet1!$E$2:$E$51,"normal")</f>
        <v>41</v>
      </c>
      <c r="Q2" s="2">
        <f>COUNTIF(Sheet1!$E$2:$E$51,"kurang")</f>
        <v>2</v>
      </c>
      <c r="R2" s="2">
        <f>((-O2/N2)*IMLOG2(O2/N2)+(-P2/N2)*IMLOG2(P2/N2)+(-Q2/N2)*IMLOG2(Q2/N2))</f>
        <v>0.817633856899831</v>
      </c>
      <c r="S2" s="2"/>
      <c r="T2" s="13"/>
      <c r="U2" s="3" t="s">
        <v>99</v>
      </c>
      <c r="V2" s="2" t="s">
        <v>43</v>
      </c>
      <c r="W2" s="2"/>
      <c r="X2" s="2">
        <v>50</v>
      </c>
      <c r="Y2" s="2">
        <v>7</v>
      </c>
      <c r="Z2" s="2">
        <v>41</v>
      </c>
      <c r="AA2" s="2">
        <v>2</v>
      </c>
      <c r="AB2" s="2">
        <v>0.817633856899831</v>
      </c>
      <c r="AC2" s="2"/>
      <c r="AE2" s="3" t="s">
        <v>100</v>
      </c>
      <c r="AF2" s="2" t="s">
        <v>43</v>
      </c>
      <c r="AG2" s="2"/>
      <c r="AH2" s="2">
        <v>50</v>
      </c>
      <c r="AI2" s="2">
        <v>7</v>
      </c>
      <c r="AJ2" s="2">
        <v>41</v>
      </c>
      <c r="AK2" s="2">
        <v>2</v>
      </c>
      <c r="AL2" s="2">
        <v>0.817633856899831</v>
      </c>
      <c r="AM2" s="2"/>
    </row>
    <row r="3" spans="1:39">
      <c r="A3" s="3"/>
      <c r="B3" s="2" t="s">
        <v>101</v>
      </c>
      <c r="C3" s="2"/>
      <c r="D3" s="2">
        <f>COUNTIFS(Sheet1!$C$2:$C$51,"normal",Sheet1!$J$2:$J$51,"i",Sheet1!$H$2:$H$51,"tidak",Sheet1!$L$2:$L$51,"MEMILIKI",Sheet1!$B$2:$B$51,"B")</f>
        <v>2</v>
      </c>
      <c r="E3" s="2">
        <f>COUNTIFS(Sheet1!$C$2:$C$51,"normal",Sheet1!$J$2:$J$51,"i",Sheet1!$H$2:$H$51,"tidak",Sheet1!$L$2:$L$51,"MEMILIKI",Sheet1!$B$2:$B$51,"B",Sheet1!$E$2:$E$51,"lebih")</f>
        <v>1</v>
      </c>
      <c r="F3" s="2">
        <f>COUNTIFS(Sheet1!$C$2:$C$51,"normal",Sheet1!$J$2:$J$51,"i",Sheet1!$H$2:$H$51,"tidak",Sheet1!$L$2:$L$51,"MEMILIKI",Sheet1!$B$2:$B$51,"B",Sheet1!$E$2:$E$51,"NORMAL")</f>
        <v>1</v>
      </c>
      <c r="G3" s="2">
        <f>COUNTIFS(Sheet1!$C$2:$C$51,"normal",Sheet1!$J$2:$J$51,"i",Sheet1!$H$2:$H$51,"tidak",Sheet1!$L$2:$L$51,"MEMILIKI",Sheet1!$B$2:$B$51,"B",Sheet1!$E$2:$E$51,"KURANG")</f>
        <v>0</v>
      </c>
      <c r="H3" s="2">
        <f>((-E3/D3)*IMLOG2(E3/D3)+(-F3/D3)*IMLOG2(F3/D3))</f>
        <v>1</v>
      </c>
      <c r="I3" s="2"/>
      <c r="K3" s="3"/>
      <c r="L3" s="2" t="s">
        <v>102</v>
      </c>
      <c r="M3" s="2"/>
      <c r="N3" s="2">
        <f>COUNTIFS(Sheet1!$C$2:$C$51,"normal",Sheet1!$J$2:$J$51,"i",Sheet1!$H$2:$H$51,"tidak",Sheet1!$L$2:$L$51,"MEMILIKI",Sheet1!$B$2:$B$51,"B")</f>
        <v>2</v>
      </c>
      <c r="O3" s="2">
        <f>COUNTIFS(Sheet1!$C$2:$C$51,"normal",Sheet1!$J$2:$J$51,"i",Sheet1!$H$2:$H$51,"tidak",Sheet1!$L$2:$L$51,"MEMILIKI",Sheet1!$B$2:$B$51,"B",Sheet1!$E$2:$E$51,"lebih")</f>
        <v>1</v>
      </c>
      <c r="P3" s="2">
        <f>COUNTIFS(Sheet1!$C$2:$C$51,"normal",Sheet1!$J$2:$J$51,"i",Sheet1!$H$2:$H$51,"tidak",Sheet1!$L$2:$L$51,"MEMILIKI",Sheet1!$B$2:$B$51,"B",Sheet1!$E$2:$E$51,"NORMAL")</f>
        <v>1</v>
      </c>
      <c r="Q3" s="2">
        <f>COUNTIFS(Sheet1!$C$2:$C$51,"normal",Sheet1!$J$2:$J$51,"i",Sheet1!$H$2:$H$51,"tidak",Sheet1!$L$2:$L$51,"MEMILIKI",Sheet1!$B$2:$B$51,"B",Sheet1!$E$2:$E$51,"KURANG")</f>
        <v>0</v>
      </c>
      <c r="R3" s="2">
        <f>((-O3/N3)*IMLOG2(O3/N3)+(-P3/N3)*IMLOG2(P3/N3))</f>
        <v>1</v>
      </c>
      <c r="S3" s="2"/>
      <c r="T3" s="13"/>
      <c r="U3" s="3"/>
      <c r="V3" s="2" t="s">
        <v>103</v>
      </c>
      <c r="W3" s="2"/>
      <c r="X3" s="2">
        <v>2</v>
      </c>
      <c r="Y3" s="2">
        <v>1</v>
      </c>
      <c r="Z3" s="2">
        <v>1</v>
      </c>
      <c r="AA3" s="2">
        <v>0</v>
      </c>
      <c r="AB3" s="2">
        <v>1</v>
      </c>
      <c r="AC3" s="2"/>
      <c r="AE3" s="3"/>
      <c r="AF3" s="2" t="s">
        <v>104</v>
      </c>
      <c r="AG3" s="2"/>
      <c r="AH3" s="2">
        <v>2</v>
      </c>
      <c r="AI3" s="2">
        <v>1</v>
      </c>
      <c r="AJ3" s="2">
        <v>1</v>
      </c>
      <c r="AK3" s="2">
        <v>0</v>
      </c>
      <c r="AL3" s="2">
        <v>1</v>
      </c>
      <c r="AM3" s="2"/>
    </row>
    <row r="4" spans="1:39">
      <c r="A4" s="3"/>
      <c r="B4" s="4" t="s">
        <v>44</v>
      </c>
      <c r="C4" s="2" t="s">
        <v>24</v>
      </c>
      <c r="D4" s="2">
        <f>COUNTIFS(Sheet1!$C$2:$C$51,"normal",Sheet1!$J$2:$J$51,"i",Sheet1!$H$2:$H$51,"tidak",Sheet1!$L$2:$L$51,"MEMILIKI",Sheet1!$B$2:$B$51,"B",Sheet1!$A$2:$A$51,"L")</f>
        <v>0</v>
      </c>
      <c r="E4" s="2">
        <f>COUNTIFS(Sheet1!$C$2:$C$51,"normal",Sheet1!$J$2:$J$51,"i",Sheet1!$H$2:$H$51,"tidak",Sheet1!$L$2:$L$51,"MEMILIKI",Sheet1!$B$2:$B$51,"B",Sheet1!$A$2:$A$51,"L",Sheet1!$E$2:$E$51,"lebih")</f>
        <v>0</v>
      </c>
      <c r="F4" s="2">
        <f>COUNTIFS(Sheet1!$C$2:$C$51,"normal",Sheet1!$J$2:$J$51,"i",Sheet1!$H$2:$H$51,"tidak",Sheet1!$L$2:$L$51,"MEMILIKI",Sheet1!$B$2:$B$51,"B",Sheet1!$A$2:$A$51,"L",Sheet1!$E$2:$E$51,"NORMAL")</f>
        <v>0</v>
      </c>
      <c r="G4" s="2">
        <f>COUNTIFS(Sheet1!$C$2:$C$51,"normal",Sheet1!$J$2:$J$51,"i",Sheet1!$H$2:$H$51,"tidak",Sheet1!$L$2:$L$51,"MEMILIKI",Sheet1!$B$2:$B$51,"B",Sheet1!$A$2:$A$51,"L",Sheet1!$E$2:$E$51,"KURANG")</f>
        <v>0</v>
      </c>
      <c r="H4" s="2">
        <v>0</v>
      </c>
      <c r="I4" s="4">
        <f>($H$2)-((D4/$D$3*H4)+(D5/$D$3*H5))</f>
        <v>-0.182366143100169</v>
      </c>
      <c r="K4" s="3"/>
      <c r="L4" s="2" t="s">
        <v>47</v>
      </c>
      <c r="M4" s="2" t="s">
        <v>15</v>
      </c>
      <c r="N4" s="2">
        <f>COUNTIFS(Sheet1!$C$2:$C$51,"normal",Sheet1!$J$2:$J$51,"i",Sheet1!$H$2:$H$51,"tidak",Sheet1!$L$2:$L$51,"MEMILIKI",Sheet1!$D$2:$D$51,"pendek",Sheet1!$B$2:$B$51,"B")</f>
        <v>2</v>
      </c>
      <c r="O4" s="2">
        <f>COUNTIFS(Sheet1!$C$2:$C$51,"normal",Sheet1!$J$2:$J$51,"i",Sheet1!$H$2:$H$51,"tidak",Sheet1!$L$2:$L$51,"MEMILIKI",Sheet1!$D$2:$D$51,"pendek",Sheet1!$B$2:$B$51,"B",Sheet1!$E$2:$E$51,"lebih")</f>
        <v>1</v>
      </c>
      <c r="P4" s="2">
        <f>COUNTIFS(Sheet1!$C$2:$C$51,"normal",Sheet1!$J$2:$J$51,"i",Sheet1!$H$2:$H$51,"tidak",Sheet1!$L$2:$L$51,"MEMILIKI",Sheet1!$D$2:$D$51,"pendek",Sheet1!$B$2:$B$51,"B",Sheet1!$E$2:$E$51,"NORMAL")</f>
        <v>1</v>
      </c>
      <c r="Q4" s="2">
        <f>COUNTIFS(Sheet1!$C$2:$C$51,"normal",Sheet1!$J$2:$J$51,"i",Sheet1!$H$2:$H$51,"tidak",Sheet1!$L$2:$L$51,"MEMILIKI",Sheet1!$D$2:$D$51,"pendek",Sheet1!$B$2:$B$51,"A",Sheet1!$E$2:$E$51,"KURANG")</f>
        <v>0</v>
      </c>
      <c r="R4" s="2">
        <v>1</v>
      </c>
      <c r="S4" s="4">
        <f>($R$2)-((N4/$N$3*R4)+(N5/$N$3*R5)+(N6/$N$3*R6))</f>
        <v>-0.182366143100169</v>
      </c>
      <c r="T4" s="13"/>
      <c r="U4" s="3"/>
      <c r="V4" s="2" t="s">
        <v>48</v>
      </c>
      <c r="W4" s="2" t="s">
        <v>17</v>
      </c>
      <c r="X4" s="2">
        <f>COUNTIFS(Sheet1!$C$2:$C$51,"normal",Sheet1!$J$2:$J$51,"i",Sheet1!$H$2:$H$51,"tidak",Sheet1!$F$2:$F$51,"formula",Sheet1!$L$2:$L$51,"memiliki",Sheet1!$B$2:$B$51,"B")</f>
        <v>2</v>
      </c>
      <c r="Y4" s="2">
        <f>COUNTIFS(Sheet1!$C$2:$C$51,"normal",Sheet1!$J$2:$J$51,"i",Sheet1!$H$2:$H$51,"tidak",Sheet1!$F$2:$F$51,"formula",Sheet1!$L$2:$L$51,"memiliki",Sheet1!$B$2:$B$51,"B",Sheet1!$E$2:$E$51,"lebih")</f>
        <v>1</v>
      </c>
      <c r="Z4" s="2">
        <f>COUNTIFS(Sheet1!$C$2:$C$51,"normal",Sheet1!$J$2:$J$51,"i",Sheet1!$H$2:$H$51,"tidak",Sheet1!$F$2:$F$51,"formula",Sheet1!$L$2:$L$51,"memiliki",Sheet1!$B$2:$B$51,"B",Sheet1!$E$2:$E$51,"NORMAL")</f>
        <v>1</v>
      </c>
      <c r="AA4" s="2">
        <f>COUNTIFS(Sheet1!$C$2:$C$51,"normal",Sheet1!$J$2:$J$51,"i",Sheet1!$H$2:$H$51,"tidak",Sheet1!$F$2:$F$51,"formula",Sheet1!$L$2:$L$51,"memiliki",Sheet1!$B$2:$B$51,"B",Sheet1!$E$2:$E$51,"KURANG")</f>
        <v>0</v>
      </c>
      <c r="AB4" s="2">
        <v>1</v>
      </c>
      <c r="AC4" s="4">
        <f>($H$2)-((X4/$D$3*AB4)+(X5/$D$3*AB5)+(X6/$D$3*AB6))</f>
        <v>-0.182366143100169</v>
      </c>
      <c r="AE4" s="3"/>
      <c r="AF4" s="2" t="s">
        <v>49</v>
      </c>
      <c r="AG4" s="2" t="s">
        <v>30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4">
        <v>-0.182366143100169</v>
      </c>
    </row>
    <row r="5" spans="1:39">
      <c r="A5" s="3"/>
      <c r="B5" s="5"/>
      <c r="C5" s="2" t="s">
        <v>12</v>
      </c>
      <c r="D5" s="2">
        <f>COUNTIFS(Sheet1!$C$2:$C$51,"normal",Sheet1!$J$2:$J$51,"i",Sheet1!$H$2:$H$51,"tidak",Sheet1!$L$2:$L$51,"MEMILIKI",Sheet1!$B$2:$B$51,"B",Sheet1!$A$2:$A$51,"P")</f>
        <v>2</v>
      </c>
      <c r="E5" s="2">
        <f>COUNTIFS(Sheet1!$C$2:$C$51,"normal",Sheet1!$J$2:$J$51,"i",Sheet1!$H$2:$H$51,"tidak",Sheet1!$L$2:$L$51,"MEMILIKI",Sheet1!$B$2:$B$51,"B",Sheet1!$A$2:$A$51,"P",Sheet1!$E$2:$E$51,"lebih")</f>
        <v>1</v>
      </c>
      <c r="F5" s="2">
        <f>COUNTIFS(Sheet1!$C$2:$C$51,"normal",Sheet1!$J$2:$J$51,"i",Sheet1!$H$2:$H$51,"tidak",Sheet1!$L$2:$L$51,"MEMILIKI",Sheet1!$B$2:$B$51,"B",Sheet1!$A$2:$A$51,"P",Sheet1!$E$2:$E$51,"NORMAL")</f>
        <v>1</v>
      </c>
      <c r="G5" s="2">
        <f>COUNTIFS(Sheet1!$C$2:$C$51,"normal",Sheet1!$J$2:$J$51,"i",Sheet1!$H$2:$H$51,"tidak",Sheet1!$L$2:$L$51,"MEMILIKI",Sheet1!$B$2:$B$51,"B",Sheet1!$A$2:$A$51,"P",Sheet1!$E$2:$E$51,"KURANG")</f>
        <v>0</v>
      </c>
      <c r="H5" s="2">
        <v>1</v>
      </c>
      <c r="I5" s="5"/>
      <c r="K5" s="3"/>
      <c r="L5" s="2"/>
      <c r="M5" s="2" t="s">
        <v>16</v>
      </c>
      <c r="N5" s="2">
        <f>COUNTIFS(Sheet1!$C$2:$C$51,"normal",Sheet1!$J$2:$J$51,"i",Sheet1!$H$2:$H$51,"tidak",Sheet1!$L$2:$L$51,"MEMILIKI",Sheet1!$D$2:$D$51,"NORMAL",Sheet1!$B$2:$B$51,"B")</f>
        <v>0</v>
      </c>
      <c r="O5" s="2">
        <f>COUNTIFS(Sheet1!$C$2:$C$51,"normal",Sheet1!$J$2:$J$51,"i",Sheet1!$H$2:$H$51,"tidak",Sheet1!$L$2:$L$51,"MEMILIKI",Sheet1!$B$2:$B$51,"B",Sheet1!$D$2:$D$51,"NORMAL",Sheet1!$E$2:$E$51,"lebih")</f>
        <v>0</v>
      </c>
      <c r="P5" s="2">
        <f>COUNTIFS(Sheet1!$C$2:$C$51,"normal",Sheet1!$J$2:$J$51,"i",Sheet1!$H$2:$H$51,"tidak",Sheet1!$L$2:$L$51,"MEMILIKI",Sheet1!$D$2:$D$51,"NORMAL",Sheet1!$B$2:$B$51,"B",Sheet1!$E$2:$E$51,"NORMAL")</f>
        <v>0</v>
      </c>
      <c r="Q5" s="2">
        <f>COUNTIFS(Sheet1!$C$2:$C$51,"normal",Sheet1!$J$2:$J$51,"i",Sheet1!$H$2:$H$51,"tidak",Sheet1!$L$2:$L$51,"MEMILIKI",Sheet1!$D$2:$D$51,"NORMAL",Sheet1!$B$2:$B$51,"A",Sheet1!$E$2:$E$51,"KURANG")</f>
        <v>0</v>
      </c>
      <c r="R5" s="2">
        <v>0</v>
      </c>
      <c r="S5" s="6"/>
      <c r="T5" s="13"/>
      <c r="U5" s="3"/>
      <c r="V5" s="2"/>
      <c r="W5" s="2" t="s">
        <v>26</v>
      </c>
      <c r="X5" s="2">
        <f>COUNTIFS(Sheet1!$C$2:$C$51,"normal",Sheet1!$J$2:$J$51,"i",Sheet1!$H$2:$H$51,"tidak",Sheet1!$F$2:$F$51,"kombinasi",Sheet1!$L$2:$L$51,"memiliki",Sheet1!$B$2:$B$51,"B")</f>
        <v>0</v>
      </c>
      <c r="Y5" s="2">
        <v>0</v>
      </c>
      <c r="Z5" s="2">
        <v>0</v>
      </c>
      <c r="AA5" s="2">
        <f>COUNTIFS(Sheet1!$C$2:$C$51,"normal",Sheet1!$J$2:$J$51,"i",Sheet1!$H$2:$H$51,"tidak",Sheet1!$F$2:$F$51,"KOMBINASI",Sheet1!$L$2:$L$51,"memiliki",Sheet1!$B$2:$B$51,"A",Sheet1!$E$2:$E$51,"KURANG")</f>
        <v>0</v>
      </c>
      <c r="AB5" s="2">
        <v>0</v>
      </c>
      <c r="AC5" s="6"/>
      <c r="AE5" s="3"/>
      <c r="AF5" s="2"/>
      <c r="AG5" s="2" t="s">
        <v>18</v>
      </c>
      <c r="AH5" s="2">
        <v>2</v>
      </c>
      <c r="AI5" s="2">
        <v>1</v>
      </c>
      <c r="AJ5" s="2">
        <v>1</v>
      </c>
      <c r="AK5" s="2">
        <v>0</v>
      </c>
      <c r="AL5" s="2">
        <v>1</v>
      </c>
      <c r="AM5" s="6"/>
    </row>
    <row r="6" spans="1:39">
      <c r="A6" s="3"/>
      <c r="B6" s="2" t="s">
        <v>47</v>
      </c>
      <c r="C6" s="2" t="s">
        <v>15</v>
      </c>
      <c r="D6" s="2">
        <f>COUNTIFS(Sheet1!$C$2:$C$51,"normal",Sheet1!$J$2:$J$51,"i",Sheet1!$H$2:$H$51,"tidak",Sheet1!$L$2:$L$51,"MEMILIKI",Sheet1!$D$2:$D$51,"pendek",Sheet1!$B$2:$B$51,"B")</f>
        <v>2</v>
      </c>
      <c r="E6" s="2">
        <f>COUNTIFS(Sheet1!$C$2:$C$51,"normal",Sheet1!$J$2:$J$51,"i",Sheet1!$H$2:$H$51,"tidak",Sheet1!$L$2:$L$51,"MEMILIKI",Sheet1!$D$2:$D$51,"pendek",Sheet1!$B$2:$B$51,"B",Sheet1!$E$2:$E$51,"lebih")</f>
        <v>1</v>
      </c>
      <c r="F6" s="2">
        <f>COUNTIFS(Sheet1!$C$2:$C$51,"normal",Sheet1!$J$2:$J$51,"i",Sheet1!$H$2:$H$51,"tidak",Sheet1!$L$2:$L$51,"MEMILIKI",Sheet1!$D$2:$D$51,"pendek",Sheet1!$B$2:$B$51,"B",Sheet1!$E$2:$E$51,"NORMAL")</f>
        <v>1</v>
      </c>
      <c r="G6" s="2">
        <f>COUNTIFS(Sheet1!$C$2:$C$51,"normal",Sheet1!$J$2:$J$51,"i",Sheet1!$H$2:$H$51,"tidak",Sheet1!$L$2:$L$51,"MEMILIKI",Sheet1!$D$2:$D$51,"pendek",Sheet1!$B$2:$B$51,"A",Sheet1!$E$2:$E$51,"KURANG")</f>
        <v>0</v>
      </c>
      <c r="H6" s="2">
        <v>1</v>
      </c>
      <c r="I6" s="4">
        <f>($H$2)-((D6/$D$3*H6)+(D7/$D$3*H7)+(D8/$D$3*H8))</f>
        <v>-0.182366143100169</v>
      </c>
      <c r="K6" s="3"/>
      <c r="L6" s="2"/>
      <c r="M6" s="2" t="s">
        <v>31</v>
      </c>
      <c r="N6" s="2">
        <f>COUNTIFS(Sheet1!$C$2:$C$51,"normal",Sheet1!$J$2:$J$51,"i",Sheet1!$H$2:$H$51,"tidak",Sheet1!$L$2:$L$51,"MEMILIKI",Sheet1!$D$2:$D$51,"tinggi",Sheet1!$B$2:$B$51,"B")</f>
        <v>0</v>
      </c>
      <c r="O6" s="2">
        <v>0</v>
      </c>
      <c r="P6" s="2">
        <f>COUNTIFS(Sheet1!$C$2:$C$51,"normal",Sheet1!$J$2:$J$51,"i",Sheet1!$H$2:$H$51,"tidak",Sheet1!$L$2:$L$51,"MEMILIKI",Sheet1!$D$2:$D$51,"TINGGI",Sheet1!$E$2:$E$51,"NORMAL")</f>
        <v>0</v>
      </c>
      <c r="Q6" s="2">
        <f>COUNTIFS(Sheet1!$C$2:$C$51,"normal",Sheet1!$J$2:$J$51,"i",Sheet1!$H$2:$H$51,"tidak",Sheet1!$L$2:$L$51,"MEMILIKI",Sheet1!$D$2:$D$51,"TINGGI",Sheet1!$B$2:$B$51,"A",Sheet1!$E$2:$E$51,"KURANG")</f>
        <v>0</v>
      </c>
      <c r="R6" s="2">
        <v>0</v>
      </c>
      <c r="S6" s="5"/>
      <c r="T6" s="13"/>
      <c r="U6" s="3"/>
      <c r="V6" s="2"/>
      <c r="W6" s="2" t="s">
        <v>34</v>
      </c>
      <c r="X6" s="2">
        <f>COUNTIFS(Sheet1!$C$2:$C$51,"normal",Sheet1!$J$2:$J$51,"i",Sheet1!$H$2:$H$51,"tidak",Sheet1!$F$2:$F$51,"ASI",Sheet1!$L$2:$L$51,"memiliki",Sheet1!$B$2:$B$51,"B")</f>
        <v>0</v>
      </c>
      <c r="Y6" s="2">
        <f>COUNTIFS(Sheet1!$C$2:$C$51,"normal",Sheet1!$J$2:$J$51,"i",Sheet1!$H$2:$H$51,"tidak",Sheet1!$F$2:$F$51,"ASI",Sheet1!$L$2:$L$51,"memiliki",Sheet1!$B$2:$B$51,"A",Sheet1!$E$2:$E$51,"lebih")</f>
        <v>0</v>
      </c>
      <c r="Z6" s="2">
        <v>0</v>
      </c>
      <c r="AA6" s="2">
        <f>COUNTIFS(Sheet1!$C$2:$C$51,"normal",Sheet1!$J$2:$J$51,"i",Sheet1!$H$2:$H$51,"tidak",Sheet1!$F$2:$F$51,"ASI",Sheet1!$L$2:$L$51,"memiliki",Sheet1!$B$2:$B$51,"A",Sheet1!$E$2:$E$51,"KURANG")</f>
        <v>0</v>
      </c>
      <c r="AB6" s="2">
        <v>0</v>
      </c>
      <c r="AC6" s="5"/>
      <c r="AE6" s="3"/>
      <c r="AF6" s="2"/>
      <c r="AG6" s="2" t="s">
        <v>31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5"/>
    </row>
    <row r="7" spans="1:39">
      <c r="A7" s="3"/>
      <c r="B7" s="2"/>
      <c r="C7" s="2" t="s">
        <v>16</v>
      </c>
      <c r="D7" s="2">
        <f>COUNTIFS(Sheet1!$C$2:$C$51,"normal",Sheet1!$J$2:$J$51,"i",Sheet1!$H$2:$H$51,"tidak",Sheet1!$L$2:$L$51,"MEMILIKI",Sheet1!$D$2:$D$51,"NORMAL",Sheet1!$B$2:$B$51,"B")</f>
        <v>0</v>
      </c>
      <c r="E7" s="2">
        <f>COUNTIFS(Sheet1!$C$2:$C$51,"normal",Sheet1!$J$2:$J$51,"i",Sheet1!$H$2:$H$51,"tidak",Sheet1!$L$2:$L$51,"MEMILIKI",Sheet1!$B$2:$B$51,"B",Sheet1!$D$2:$D$51,"NORMAL",Sheet1!$E$2:$E$51,"lebih")</f>
        <v>0</v>
      </c>
      <c r="F7" s="2">
        <f>COUNTIFS(Sheet1!$C$2:$C$51,"normal",Sheet1!$J$2:$J$51,"i",Sheet1!$H$2:$H$51,"tidak",Sheet1!$L$2:$L$51,"MEMILIKI",Sheet1!$D$2:$D$51,"NORMAL",Sheet1!$B$2:$B$51,"B",Sheet1!$E$2:$E$51,"NORMAL")</f>
        <v>0</v>
      </c>
      <c r="G7" s="2">
        <f>COUNTIFS(Sheet1!$C$2:$C$51,"normal",Sheet1!$J$2:$J$51,"i",Sheet1!$H$2:$H$51,"tidak",Sheet1!$L$2:$L$51,"MEMILIKI",Sheet1!$D$2:$D$51,"NORMAL",Sheet1!$B$2:$B$51,"A",Sheet1!$E$2:$E$51,"KURANG")</f>
        <v>0</v>
      </c>
      <c r="H7" s="2">
        <v>0</v>
      </c>
      <c r="I7" s="6"/>
      <c r="K7" s="3"/>
      <c r="L7" s="2" t="s">
        <v>48</v>
      </c>
      <c r="M7" s="2" t="s">
        <v>17</v>
      </c>
      <c r="N7" s="2">
        <f>COUNTIFS(Sheet1!$C$2:$C$51,"normal",Sheet1!$J$2:$J$51,"i",Sheet1!$H$2:$H$51,"tidak",Sheet1!$F$2:$F$51,"formula",Sheet1!$L$2:$L$51,"memiliki",Sheet1!$B$2:$B$51,"B")</f>
        <v>2</v>
      </c>
      <c r="O7" s="2">
        <f>COUNTIFS(Sheet1!$C$2:$C$51,"normal",Sheet1!$J$2:$J$51,"i",Sheet1!$H$2:$H$51,"tidak",Sheet1!$F$2:$F$51,"formula",Sheet1!$L$2:$L$51,"memiliki",Sheet1!$B$2:$B$51,"B",Sheet1!$E$2:$E$51,"lebih")</f>
        <v>1</v>
      </c>
      <c r="P7" s="2">
        <f>COUNTIFS(Sheet1!$C$2:$C$51,"normal",Sheet1!$J$2:$J$51,"i",Sheet1!$H$2:$H$51,"tidak",Sheet1!$F$2:$F$51,"formula",Sheet1!$L$2:$L$51,"memiliki",Sheet1!$B$2:$B$51,"B",Sheet1!$E$2:$E$51,"NORMAL")</f>
        <v>1</v>
      </c>
      <c r="Q7" s="2">
        <f>COUNTIFS(Sheet1!$C$2:$C$51,"normal",Sheet1!$J$2:$J$51,"i",Sheet1!$H$2:$H$51,"tidak",Sheet1!$F$2:$F$51,"formula",Sheet1!$L$2:$L$51,"memiliki",Sheet1!$B$2:$B$51,"B",Sheet1!$E$2:$E$51,"KURANG")</f>
        <v>0</v>
      </c>
      <c r="R7" s="2">
        <v>1</v>
      </c>
      <c r="S7" s="4">
        <f>($H$2)-((N7/$D$3*R7)+(N8/$D$3*R8)+(N9/$D$3*R9))</f>
        <v>-0.182366143100169</v>
      </c>
      <c r="T7" s="13"/>
      <c r="U7" s="3"/>
      <c r="V7" s="2" t="s">
        <v>49</v>
      </c>
      <c r="W7" s="2" t="s">
        <v>30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4">
        <v>-0.182366143100169</v>
      </c>
      <c r="AE7" s="3"/>
      <c r="AF7" s="2" t="s">
        <v>51</v>
      </c>
      <c r="AG7" s="2" t="s">
        <v>20</v>
      </c>
      <c r="AH7" s="2">
        <v>2</v>
      </c>
      <c r="AI7" s="2">
        <v>1</v>
      </c>
      <c r="AJ7" s="2">
        <v>1</v>
      </c>
      <c r="AK7" s="2">
        <v>0</v>
      </c>
      <c r="AL7" s="2">
        <v>1</v>
      </c>
      <c r="AM7" s="4">
        <v>-0.182366143100169</v>
      </c>
    </row>
    <row r="8" spans="1:39">
      <c r="A8" s="3"/>
      <c r="B8" s="2"/>
      <c r="C8" s="2" t="s">
        <v>31</v>
      </c>
      <c r="D8" s="2">
        <f>COUNTIFS(Sheet1!$C$2:$C$51,"normal",Sheet1!$J$2:$J$51,"i",Sheet1!$H$2:$H$51,"tidak",Sheet1!$L$2:$L$51,"MEMILIKI",Sheet1!$D$2:$D$51,"tinggi",Sheet1!$B$2:$B$51,"B")</f>
        <v>0</v>
      </c>
      <c r="E8" s="2">
        <v>0</v>
      </c>
      <c r="F8" s="2">
        <f>COUNTIFS(Sheet1!$C$2:$C$51,"normal",Sheet1!$J$2:$J$51,"i",Sheet1!$H$2:$H$51,"tidak",Sheet1!$L$2:$L$51,"MEMILIKI",Sheet1!$D$2:$D$51,"TINGGI",Sheet1!$E$2:$E$51,"NORMAL")</f>
        <v>0</v>
      </c>
      <c r="G8" s="2">
        <f>COUNTIFS(Sheet1!$C$2:$C$51,"normal",Sheet1!$J$2:$J$51,"i",Sheet1!$H$2:$H$51,"tidak",Sheet1!$L$2:$L$51,"MEMILIKI",Sheet1!$D$2:$D$51,"TINGGI",Sheet1!$B$2:$B$51,"A",Sheet1!$E$2:$E$51,"KURANG")</f>
        <v>0</v>
      </c>
      <c r="H8" s="2">
        <v>0</v>
      </c>
      <c r="I8" s="5"/>
      <c r="K8" s="3"/>
      <c r="L8" s="2"/>
      <c r="M8" s="2" t="s">
        <v>26</v>
      </c>
      <c r="N8" s="2">
        <f>COUNTIFS(Sheet1!$C$2:$C$51,"normal",Sheet1!$J$2:$J$51,"i",Sheet1!$H$2:$H$51,"tidak",Sheet1!$F$2:$F$51,"kombinasi",Sheet1!$L$2:$L$51,"memiliki",Sheet1!$B$2:$B$51,"B")</f>
        <v>0</v>
      </c>
      <c r="O8" s="2">
        <v>0</v>
      </c>
      <c r="P8" s="2">
        <v>0</v>
      </c>
      <c r="Q8" s="2">
        <f>COUNTIFS(Sheet1!$C$2:$C$51,"normal",Sheet1!$J$2:$J$51,"i",Sheet1!$H$2:$H$51,"tidak",Sheet1!$F$2:$F$51,"KOMBINASI",Sheet1!$L$2:$L$51,"memiliki",Sheet1!$B$2:$B$51,"A",Sheet1!$E$2:$E$51,"KURANG")</f>
        <v>0</v>
      </c>
      <c r="R8" s="2">
        <v>0</v>
      </c>
      <c r="S8" s="6"/>
      <c r="T8" s="13"/>
      <c r="U8" s="3"/>
      <c r="V8" s="2"/>
      <c r="W8" s="2" t="s">
        <v>18</v>
      </c>
      <c r="X8" s="2">
        <v>2</v>
      </c>
      <c r="Y8" s="2">
        <v>1</v>
      </c>
      <c r="Z8" s="2">
        <v>1</v>
      </c>
      <c r="AA8" s="2">
        <v>0</v>
      </c>
      <c r="AB8" s="2">
        <v>1</v>
      </c>
      <c r="AC8" s="6"/>
      <c r="AE8" s="3"/>
      <c r="AF8" s="2"/>
      <c r="AG8" s="2" t="s">
        <v>52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6"/>
    </row>
    <row r="9" spans="1:39">
      <c r="A9" s="3"/>
      <c r="B9" s="2" t="s">
        <v>48</v>
      </c>
      <c r="C9" s="2" t="s">
        <v>17</v>
      </c>
      <c r="D9" s="2">
        <f>COUNTIFS(Sheet1!$C$2:$C$51,"normal",Sheet1!$J$2:$J$51,"i",Sheet1!$H$2:$H$51,"tidak",Sheet1!$F$2:$F$51,"formula",Sheet1!$L$2:$L$51,"memiliki",Sheet1!$B$2:$B$51,"B")</f>
        <v>2</v>
      </c>
      <c r="E9" s="2">
        <f>COUNTIFS(Sheet1!$C$2:$C$51,"normal",Sheet1!$J$2:$J$51,"i",Sheet1!$H$2:$H$51,"tidak",Sheet1!$F$2:$F$51,"formula",Sheet1!$L$2:$L$51,"memiliki",Sheet1!$B$2:$B$51,"B",Sheet1!$E$2:$E$51,"lebih")</f>
        <v>1</v>
      </c>
      <c r="F9" s="2">
        <f>COUNTIFS(Sheet1!$C$2:$C$51,"normal",Sheet1!$J$2:$J$51,"i",Sheet1!$H$2:$H$51,"tidak",Sheet1!$F$2:$F$51,"formula",Sheet1!$L$2:$L$51,"memiliki",Sheet1!$B$2:$B$51,"B",Sheet1!$E$2:$E$51,"NORMAL")</f>
        <v>1</v>
      </c>
      <c r="G9" s="2">
        <f>COUNTIFS(Sheet1!$C$2:$C$51,"normal",Sheet1!$J$2:$J$51,"i",Sheet1!$H$2:$H$51,"tidak",Sheet1!$F$2:$F$51,"formula",Sheet1!$L$2:$L$51,"memiliki",Sheet1!$B$2:$B$51,"B",Sheet1!$E$2:$E$51,"KURANG")</f>
        <v>0</v>
      </c>
      <c r="H9" s="2">
        <v>1</v>
      </c>
      <c r="I9" s="4">
        <f>($H$2)-((D9/$D$3*H9)+(D10/$D$3*H10)+(D11/$D$3*H11))</f>
        <v>-0.182366143100169</v>
      </c>
      <c r="K9" s="3"/>
      <c r="L9" s="2"/>
      <c r="M9" s="2" t="s">
        <v>34</v>
      </c>
      <c r="N9" s="2">
        <f>COUNTIFS(Sheet1!$C$2:$C$51,"normal",Sheet1!$J$2:$J$51,"i",Sheet1!$H$2:$H$51,"tidak",Sheet1!$F$2:$F$51,"ASI",Sheet1!$L$2:$L$51,"memiliki",Sheet1!$B$2:$B$51,"B")</f>
        <v>0</v>
      </c>
      <c r="O9" s="2">
        <f>COUNTIFS(Sheet1!$C$2:$C$51,"normal",Sheet1!$J$2:$J$51,"i",Sheet1!$H$2:$H$51,"tidak",Sheet1!$F$2:$F$51,"ASI",Sheet1!$L$2:$L$51,"memiliki",Sheet1!$B$2:$B$51,"A",Sheet1!$E$2:$E$51,"lebih")</f>
        <v>0</v>
      </c>
      <c r="P9" s="2">
        <v>0</v>
      </c>
      <c r="Q9" s="2">
        <f>COUNTIFS(Sheet1!$C$2:$C$51,"normal",Sheet1!$J$2:$J$51,"i",Sheet1!$H$2:$H$51,"tidak",Sheet1!$F$2:$F$51,"ASI",Sheet1!$L$2:$L$51,"memiliki",Sheet1!$B$2:$B$51,"A",Sheet1!$E$2:$E$51,"KURANG")</f>
        <v>0</v>
      </c>
      <c r="R9" s="2">
        <v>0</v>
      </c>
      <c r="S9" s="5"/>
      <c r="T9" s="13"/>
      <c r="U9" s="3"/>
      <c r="V9" s="2"/>
      <c r="W9" s="2" t="s">
        <v>31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5"/>
      <c r="AE9" s="3"/>
      <c r="AF9" s="2"/>
      <c r="AG9" s="2" t="s">
        <v>53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5"/>
    </row>
    <row r="10" spans="1:39">
      <c r="A10" s="3"/>
      <c r="B10" s="2"/>
      <c r="C10" s="2" t="s">
        <v>26</v>
      </c>
      <c r="D10" s="2">
        <f>COUNTIFS(Sheet1!$C$2:$C$51,"normal",Sheet1!$J$2:$J$51,"i",Sheet1!$H$2:$H$51,"tidak",Sheet1!$F$2:$F$51,"kombinasi",Sheet1!$L$2:$L$51,"memiliki",Sheet1!$B$2:$B$51,"B")</f>
        <v>0</v>
      </c>
      <c r="E10" s="2">
        <v>0</v>
      </c>
      <c r="F10" s="2">
        <v>0</v>
      </c>
      <c r="G10" s="2">
        <f>COUNTIFS(Sheet1!$C$2:$C$51,"normal",Sheet1!$J$2:$J$51,"i",Sheet1!$H$2:$H$51,"tidak",Sheet1!$F$2:$F$51,"KOMBINASI",Sheet1!$L$2:$L$51,"memiliki",Sheet1!$B$2:$B$51,"A",Sheet1!$E$2:$E$51,"KURANG")</f>
        <v>0</v>
      </c>
      <c r="H10" s="2">
        <v>0</v>
      </c>
      <c r="I10" s="6"/>
      <c r="K10" s="3"/>
      <c r="L10" s="2" t="s">
        <v>49</v>
      </c>
      <c r="M10" s="2" t="s">
        <v>30</v>
      </c>
      <c r="N10" s="2">
        <f>COUNTIFS(Sheet1!$C$2:$C$51,"normal",Sheet1!$J$2:$J$51,"i",Sheet1!$H$2:$H$51,"tidak",Sheet1!$H$2:$H$51,"tidak",Sheet1!$G$2:$G$51,"rendah",Sheet1!$L$2:$L$51,"memiliki",Sheet1!$B$2:$B$51,"B")</f>
        <v>0</v>
      </c>
      <c r="O10" s="2">
        <f>COUNTIFS(Sheet1!$C$2:$C$51,"normal",Sheet1!$J$2:$J$51,"i",Sheet1!$H$2:$H$51,"tidak",Sheet1!$G$2:$G$51,"rendah",Sheet1!$L$2:$L$51,"memiliki",Sheet1!$B$2:$B$51,"A",Sheet1!$E$2:$E$51,"lebih")</f>
        <v>0</v>
      </c>
      <c r="P10" s="2">
        <f>COUNTIFS(Sheet1!$C$2:$C$51,"normal",Sheet1!$J$2:$J$51,"i",Sheet1!$H$2:$H$51,"tidak",Sheet1!$H$2:$H$51,"tidak",Sheet1!$G$2:$G$51,"rendah",Sheet1!$L$2:$L$51,"memiliki",Sheet1!$B$2:$B$51,"A",Sheet1!$E$2:$E$51,"NORMAL")</f>
        <v>0</v>
      </c>
      <c r="Q10" s="2">
        <f>COUNTIFS(Sheet1!$C$2:$C$51,"normal",Sheet1!$J$2:$J$51,"i",Sheet1!$H$2:$H$51,"tidak",Sheet1!$G$2:$G$51,"rendah",Sheet1!$L$2:$L$51,"memiliki",Sheet1!$B$2:$B$51,"A",Sheet1!$E$2:$E$51,"KURANG")</f>
        <v>0</v>
      </c>
      <c r="R10" s="2">
        <v>0</v>
      </c>
      <c r="S10" s="4">
        <f>($R$2)-((N10/$N$3*R10)+(N11/$N$3*R11)+(N12/$N$3*R12))</f>
        <v>-0.182366143100169</v>
      </c>
      <c r="T10" s="13"/>
      <c r="U10" s="3"/>
      <c r="V10" s="2" t="s">
        <v>51</v>
      </c>
      <c r="W10" s="2" t="s">
        <v>20</v>
      </c>
      <c r="X10" s="2">
        <v>2</v>
      </c>
      <c r="Y10" s="2">
        <v>1</v>
      </c>
      <c r="Z10" s="2">
        <v>1</v>
      </c>
      <c r="AA10" s="2">
        <v>0</v>
      </c>
      <c r="AB10" s="2">
        <v>1</v>
      </c>
      <c r="AC10" s="4">
        <v>-0.182366143100169</v>
      </c>
      <c r="AE10" s="3"/>
      <c r="AF10" s="14" t="s">
        <v>56</v>
      </c>
      <c r="AG10" s="2" t="s">
        <v>30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14">
        <v>-0.182366143100169</v>
      </c>
    </row>
    <row r="11" spans="1:39">
      <c r="A11" s="3"/>
      <c r="B11" s="2"/>
      <c r="C11" s="2" t="s">
        <v>34</v>
      </c>
      <c r="D11" s="2">
        <f>COUNTIFS(Sheet1!$C$2:$C$51,"normal",Sheet1!$J$2:$J$51,"i",Sheet1!$H$2:$H$51,"tidak",Sheet1!$F$2:$F$51,"ASI",Sheet1!$L$2:$L$51,"memiliki",Sheet1!$B$2:$B$51,"B")</f>
        <v>0</v>
      </c>
      <c r="E11" s="2">
        <f>COUNTIFS(Sheet1!$C$2:$C$51,"normal",Sheet1!$J$2:$J$51,"i",Sheet1!$H$2:$H$51,"tidak",Sheet1!$F$2:$F$51,"ASI",Sheet1!$L$2:$L$51,"memiliki",Sheet1!$B$2:$B$51,"A",Sheet1!$E$2:$E$51,"lebih")</f>
        <v>0</v>
      </c>
      <c r="F11" s="2">
        <v>0</v>
      </c>
      <c r="G11" s="2">
        <f>COUNTIFS(Sheet1!$C$2:$C$51,"normal",Sheet1!$J$2:$J$51,"i",Sheet1!$H$2:$H$51,"tidak",Sheet1!$F$2:$F$51,"ASI",Sheet1!$L$2:$L$51,"memiliki",Sheet1!$B$2:$B$51,"A",Sheet1!$E$2:$E$51,"KURANG")</f>
        <v>0</v>
      </c>
      <c r="H11" s="2">
        <v>0</v>
      </c>
      <c r="I11" s="5"/>
      <c r="K11" s="3"/>
      <c r="L11" s="2"/>
      <c r="M11" s="2" t="s">
        <v>18</v>
      </c>
      <c r="N11" s="2">
        <f>COUNTIFS(Sheet1!$C$2:$C$51,"normal",Sheet1!$J$2:$J$51,"i",Sheet1!$H$2:$H$51,"tidak",Sheet1!$H$2:$H$51,"tidak",Sheet1!$G$2:$G$51,"sedang",Sheet1!$L$2:$L$51,"memiliki",Sheet1!$B$2:$B$51,"B")</f>
        <v>2</v>
      </c>
      <c r="O11" s="2">
        <f>COUNTIFS(Sheet1!$C$2:$C$51,"normal",Sheet1!$J$2:$J$51,"i",Sheet1!$H$2:$H$51,"tidak",Sheet1!$H$2:$H$51,"tidak",Sheet1!$G$2:$G$51,"SEDANG",Sheet1!$L$2:$L$51,"memiliki",Sheet1!$B$2:$B$51,"B",Sheet1!$E$2:$E$51,"lebih")</f>
        <v>1</v>
      </c>
      <c r="P11" s="2">
        <f>COUNTIFS(Sheet1!$C$2:$C$51,"normal",Sheet1!$J$2:$J$51,"i",Sheet1!$H$2:$H$51,"tidak",Sheet1!$G$2:$G$51,"SEDANG",Sheet1!$L$2:$L$51,"memiliki",Sheet1!$B$2:$B$51,"B",Sheet1!$E$2:$E$51,"NORMAL")</f>
        <v>1</v>
      </c>
      <c r="Q11" s="2">
        <f>COUNTIFS(Sheet1!$C$2:$C$51,"normal",Sheet1!$J$2:$J$51,"i",Sheet1!$H$2:$H$51,"tidak",Sheet1!$G$2:$G$51,"SEDANG",Sheet1!$L$2:$L$51,"memiliki",Sheet1!$B$2:$B$51,"A",Sheet1!$E$2:$E$51,"KURANG")</f>
        <v>0</v>
      </c>
      <c r="R11" s="2">
        <f>((-O11/N11)*IMLOG2(O11/N11)+(-P11/N11)*IMLOG2(P11/N11))</f>
        <v>1</v>
      </c>
      <c r="S11" s="6"/>
      <c r="T11" s="13"/>
      <c r="U11" s="3"/>
      <c r="V11" s="2"/>
      <c r="W11" s="2" t="s">
        <v>52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6"/>
      <c r="AE11" s="3"/>
      <c r="AF11" s="15"/>
      <c r="AG11" s="2" t="s">
        <v>22</v>
      </c>
      <c r="AH11" s="2">
        <v>2</v>
      </c>
      <c r="AI11" s="2">
        <v>1</v>
      </c>
      <c r="AJ11" s="2">
        <v>1</v>
      </c>
      <c r="AK11" s="2">
        <v>0</v>
      </c>
      <c r="AL11" s="2">
        <v>1</v>
      </c>
      <c r="AM11" s="15"/>
    </row>
    <row r="12" spans="1:39">
      <c r="A12" s="3"/>
      <c r="B12" s="2" t="s">
        <v>49</v>
      </c>
      <c r="C12" s="2" t="s">
        <v>30</v>
      </c>
      <c r="D12" s="2">
        <f>COUNTIFS(Sheet1!$C$2:$C$51,"normal",Sheet1!$J$2:$J$51,"i",Sheet1!$H$2:$H$51,"tidak",Sheet1!$H$2:$H$51,"tidak",Sheet1!$G$2:$G$51,"rendah",Sheet1!$L$2:$L$51,"memiliki",Sheet1!$B$2:$B$51,"B")</f>
        <v>0</v>
      </c>
      <c r="E12" s="2">
        <f>COUNTIFS(Sheet1!$C$2:$C$51,"normal",Sheet1!$J$2:$J$51,"i",Sheet1!$H$2:$H$51,"tidak",Sheet1!$G$2:$G$51,"rendah",Sheet1!$L$2:$L$51,"memiliki",Sheet1!$B$2:$B$51,"A",Sheet1!$E$2:$E$51,"lebih")</f>
        <v>0</v>
      </c>
      <c r="F12" s="2">
        <f>COUNTIFS(Sheet1!$C$2:$C$51,"normal",Sheet1!$J$2:$J$51,"i",Sheet1!$H$2:$H$51,"tidak",Sheet1!$H$2:$H$51,"tidak",Sheet1!$G$2:$G$51,"rendah",Sheet1!$L$2:$L$51,"memiliki",Sheet1!$B$2:$B$51,"A",Sheet1!$E$2:$E$51,"NORMAL")</f>
        <v>0</v>
      </c>
      <c r="G12" s="2">
        <f>COUNTIFS(Sheet1!$C$2:$C$51,"normal",Sheet1!$J$2:$J$51,"i",Sheet1!$H$2:$H$51,"tidak",Sheet1!$G$2:$G$51,"rendah",Sheet1!$L$2:$L$51,"memiliki",Sheet1!$B$2:$B$51,"A",Sheet1!$E$2:$E$51,"KURANG")</f>
        <v>0</v>
      </c>
      <c r="H12" s="2">
        <v>0</v>
      </c>
      <c r="I12" s="4">
        <f>($H$2)-((D12/$D$3*H12)+(D13/$D$3*H13)+(D14/$D$3*H14))</f>
        <v>-0.182366143100169</v>
      </c>
      <c r="K12" s="3"/>
      <c r="L12" s="2"/>
      <c r="M12" s="2" t="s">
        <v>31</v>
      </c>
      <c r="N12" s="2">
        <f>COUNTIFS(Sheet1!$C$2:$C$51,"normal",Sheet1!$J$2:$J$51,"i",Sheet1!$H$2:$H$51,"tidak",Sheet1!$H$2:$H$51,"tidak",Sheet1!$G$2:$G$51,"tinggi",Sheet1!$L$2:$L$51,"memiliki",Sheet1!$B$2:$B$51,"A")</f>
        <v>0</v>
      </c>
      <c r="O12" s="2">
        <f>COUNTIFS(Sheet1!$C$2:$C$51,"normal",Sheet1!$J$2:$J$51,"i",Sheet1!$H$2:$H$51,"tidak",Sheet1!$H$2:$H$51,"tidak",Sheet1!$G$2:$G$51,"TINGGI",Sheet1!$L$2:$L$51,"memiliki",Sheet1!$B$2:$B$51,"A",Sheet1!$E$2:$E$51,"lebih")</f>
        <v>0</v>
      </c>
      <c r="P12" s="2">
        <f>COUNTIFS(Sheet1!$C$2:$C$51,"normal",Sheet1!$J$2:$J$51,"i",Sheet1!$H$2:$H$51,"tidak",Sheet1!$G$2:$G$51,"TINGGI",Sheet1!$L$2:$L$51,"memiliki",Sheet1!$B$2:$B$51,"A",Sheet1!$E$2:$E$51,"NORMAL")</f>
        <v>0</v>
      </c>
      <c r="Q12" s="2">
        <f>COUNTIFS(Sheet1!$C$2:$C$51,"normal",Sheet1!$J$2:$J$51,"i",Sheet1!$H$2:$H$51,"tidak",Sheet1!$G$2:$G$51,"TINGGI",Sheet1!$L$2:$L$51,"memiliki",Sheet1!$B$2:$B$51,"A",Sheet1!$E$2:$E$51,"KURANG")</f>
        <v>0</v>
      </c>
      <c r="R12" s="2">
        <v>0</v>
      </c>
      <c r="S12" s="5"/>
      <c r="T12" s="13"/>
      <c r="U12" s="3"/>
      <c r="V12" s="2"/>
      <c r="W12" s="2" t="s">
        <v>53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5"/>
      <c r="AE12" s="3"/>
      <c r="AF12" s="16"/>
      <c r="AG12" s="2" t="s">
        <v>31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16"/>
    </row>
    <row r="13" spans="1:31">
      <c r="A13" s="3"/>
      <c r="B13" s="2"/>
      <c r="C13" s="2" t="s">
        <v>18</v>
      </c>
      <c r="D13" s="2">
        <f>COUNTIFS(Sheet1!$C$2:$C$51,"normal",Sheet1!$J$2:$J$51,"i",Sheet1!$H$2:$H$51,"tidak",Sheet1!$H$2:$H$51,"tidak",Sheet1!$G$2:$G$51,"sedang",Sheet1!$L$2:$L$51,"memiliki",Sheet1!$B$2:$B$51,"B")</f>
        <v>2</v>
      </c>
      <c r="E13" s="2">
        <f>COUNTIFS(Sheet1!$C$2:$C$51,"normal",Sheet1!$J$2:$J$51,"i",Sheet1!$H$2:$H$51,"tidak",Sheet1!$H$2:$H$51,"tidak",Sheet1!$G$2:$G$51,"SEDANG",Sheet1!$L$2:$L$51,"memiliki",Sheet1!$B$2:$B$51,"B",Sheet1!$E$2:$E$51,"lebih")</f>
        <v>1</v>
      </c>
      <c r="F13" s="2">
        <f>COUNTIFS(Sheet1!$C$2:$C$51,"normal",Sheet1!$J$2:$J$51,"i",Sheet1!$H$2:$H$51,"tidak",Sheet1!$G$2:$G$51,"SEDANG",Sheet1!$L$2:$L$51,"memiliki",Sheet1!$B$2:$B$51,"B",Sheet1!$E$2:$E$51,"NORMAL")</f>
        <v>1</v>
      </c>
      <c r="G13" s="2">
        <f>COUNTIFS(Sheet1!$C$2:$C$51,"normal",Sheet1!$J$2:$J$51,"i",Sheet1!$H$2:$H$51,"tidak",Sheet1!$G$2:$G$51,"SEDANG",Sheet1!$L$2:$L$51,"memiliki",Sheet1!$B$2:$B$51,"A",Sheet1!$E$2:$E$51,"KURANG")</f>
        <v>0</v>
      </c>
      <c r="H13" s="2">
        <f>((-E13/D13)*IMLOG2(E13/D13)+(-F13/D13)*IMLOG2(F13/D13))</f>
        <v>1</v>
      </c>
      <c r="I13" s="6"/>
      <c r="K13" s="3"/>
      <c r="L13" s="2" t="s">
        <v>51</v>
      </c>
      <c r="M13" s="2" t="s">
        <v>20</v>
      </c>
      <c r="N13" s="2">
        <f>COUNTIFS(Sheet1!$C$2:$C$51,"normal",Sheet1!$J$2:$J$51,"i",Sheet1!$H$2:$H$51,"tidak",Sheet1!$I$2:$I$51,"x",Sheet1!$L$2:$L$51,"memiliki",Sheet1!$B$2:$B$51,"B")</f>
        <v>2</v>
      </c>
      <c r="O13" s="2">
        <f>COUNTIFS(Sheet1!$C$2:$C$51,"normal",Sheet1!$J$2:$J$51,"i",Sheet1!$H$2:$H$51,"tidak",Sheet1!$I$2:$I$51,"x",Sheet1!$L$2:$L$51,"memiliki",Sheet1!$B$2:$B$51,"B",Sheet1!$E$2:$E$51,"lebih")</f>
        <v>1</v>
      </c>
      <c r="P13" s="2">
        <f>COUNTIFS(Sheet1!$C$2:$C$51,"normal",Sheet1!$J$2:$J$51,"i",Sheet1!$H$2:$H$51,"tidak",Sheet1!$I$2:$I$51,"x",Sheet1!$L$2:$L$51,"memiliki",Sheet1!$B$2:$B$51,"B",Sheet1!$E$2:$E$51,"normal")</f>
        <v>1</v>
      </c>
      <c r="Q13" s="2">
        <f>COUNTIFS(Sheet1!$C$2:$C$51,"normal",Sheet1!$J$2:$J$51,"i",Sheet1!$H$2:$H$51,"tidak",Sheet1!$I$2:$I$51,"x",Sheet1!$L$2:$L$51,"memiliki",Sheet1!$B$2:$B$51,"A",Sheet1!$E$2:$E$51,"kurang")</f>
        <v>0</v>
      </c>
      <c r="R13" s="2">
        <f>((-O13/N13)*IMLOG2(O13/N13)+(-P13/N13)*IMLOG2(P13/N13))</f>
        <v>1</v>
      </c>
      <c r="S13" s="4">
        <f>($R$2)-((N13/$N$3*R13)+(N14/$N$3*R14)+(N15/$N$3*R15))</f>
        <v>-0.182366143100169</v>
      </c>
      <c r="T13" s="13"/>
      <c r="U13" s="3"/>
      <c r="V13" s="14" t="s">
        <v>56</v>
      </c>
      <c r="W13" s="2" t="s">
        <v>30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14">
        <v>-0.182366143100169</v>
      </c>
      <c r="AE13" s="8"/>
    </row>
    <row r="14" spans="1:31">
      <c r="A14" s="3"/>
      <c r="B14" s="2"/>
      <c r="C14" s="2" t="s">
        <v>31</v>
      </c>
      <c r="D14" s="2">
        <f>COUNTIFS(Sheet1!$C$2:$C$51,"normal",Sheet1!$J$2:$J$51,"i",Sheet1!$H$2:$H$51,"tidak",Sheet1!$H$2:$H$51,"tidak",Sheet1!$G$2:$G$51,"tinggi",Sheet1!$L$2:$L$51,"memiliki",Sheet1!$B$2:$B$51,"A")</f>
        <v>0</v>
      </c>
      <c r="E14" s="2">
        <f>COUNTIFS(Sheet1!$C$2:$C$51,"normal",Sheet1!$J$2:$J$51,"i",Sheet1!$H$2:$H$51,"tidak",Sheet1!$H$2:$H$51,"tidak",Sheet1!$G$2:$G$51,"TINGGI",Sheet1!$L$2:$L$51,"memiliki",Sheet1!$B$2:$B$51,"A",Sheet1!$E$2:$E$51,"lebih")</f>
        <v>0</v>
      </c>
      <c r="F14" s="2">
        <f>COUNTIFS(Sheet1!$C$2:$C$51,"normal",Sheet1!$J$2:$J$51,"i",Sheet1!$H$2:$H$51,"tidak",Sheet1!$G$2:$G$51,"TINGGI",Sheet1!$L$2:$L$51,"memiliki",Sheet1!$B$2:$B$51,"A",Sheet1!$E$2:$E$51,"NORMAL")</f>
        <v>0</v>
      </c>
      <c r="G14" s="2">
        <f>COUNTIFS(Sheet1!$C$2:$C$51,"normal",Sheet1!$J$2:$J$51,"i",Sheet1!$H$2:$H$51,"tidak",Sheet1!$G$2:$G$51,"TINGGI",Sheet1!$L$2:$L$51,"memiliki",Sheet1!$B$2:$B$51,"A",Sheet1!$E$2:$E$51,"KURANG")</f>
        <v>0</v>
      </c>
      <c r="H14" s="2">
        <v>0</v>
      </c>
      <c r="I14" s="5"/>
      <c r="K14" s="3"/>
      <c r="L14" s="2"/>
      <c r="M14" s="2" t="s">
        <v>52</v>
      </c>
      <c r="N14" s="2">
        <f>COUNTIFS(Sheet1!$C$2:$C$51,"normal",Sheet1!$J$2:$J$51,"i",Sheet1!$H$2:$H$51,"tidak",Sheet1!$I$2:$I$51,"y",Sheet1!$L$2:$L$51,"memiliki",Sheet1!$B$2:$B$51,"A")</f>
        <v>0</v>
      </c>
      <c r="O14" s="2">
        <f>COUNTIFS(Sheet1!$C$2:$C$51,"normal",Sheet1!$J$2:$J$51,"i",Sheet1!$H$2:$H$51,"tidak",Sheet1!$I$2:$I$51,"y",Sheet1!$L$2:$L$51,"memiliki",Sheet1!$B$2:$B$51,"A",Sheet1!$E$2:$E$51,"lebih")</f>
        <v>0</v>
      </c>
      <c r="P14" s="2">
        <f>COUNTIFS(Sheet1!$C$2:$C$51,"normal",Sheet1!$J$2:$J$51,"i",Sheet1!$H$2:$H$51,"tidak",Sheet1!$I$2:$I$51,"y",Sheet1!$L$2:$L$51,"memiliki",Sheet1!$B$2:$B$51,"A",Sheet1!$E$2:$E$51,"normal")</f>
        <v>0</v>
      </c>
      <c r="Q14" s="2">
        <f>COUNTIFS(Sheet1!$C$2:$C$51,"normal",Sheet1!$J$2:$J$51,"i",Sheet1!$I$2:$I$51,"y",Sheet1!$L$2:$L$51,"memiliki",Sheet1!$B$2:$B$51,"A",Sheet1!$E$2:$E$51,"kurang")</f>
        <v>0</v>
      </c>
      <c r="R14" s="2">
        <v>0</v>
      </c>
      <c r="S14" s="6"/>
      <c r="T14" s="13"/>
      <c r="U14" s="3"/>
      <c r="V14" s="15"/>
      <c r="W14" s="2" t="s">
        <v>22</v>
      </c>
      <c r="X14" s="2">
        <v>2</v>
      </c>
      <c r="Y14" s="2">
        <v>1</v>
      </c>
      <c r="Z14" s="2">
        <v>1</v>
      </c>
      <c r="AA14" s="2">
        <v>0</v>
      </c>
      <c r="AB14" s="2">
        <v>1</v>
      </c>
      <c r="AC14" s="15"/>
      <c r="AE14" s="8"/>
    </row>
    <row r="15" spans="1:31">
      <c r="A15" s="3"/>
      <c r="B15" s="2" t="s">
        <v>51</v>
      </c>
      <c r="C15" s="2" t="s">
        <v>20</v>
      </c>
      <c r="D15" s="2">
        <f>COUNTIFS(Sheet1!$C$2:$C$51,"normal",Sheet1!$J$2:$J$51,"i",Sheet1!$H$2:$H$51,"tidak",Sheet1!$I$2:$I$51,"x",Sheet1!$L$2:$L$51,"memiliki",Sheet1!$B$2:$B$51,"B")</f>
        <v>2</v>
      </c>
      <c r="E15" s="2">
        <f>COUNTIFS(Sheet1!$C$2:$C$51,"normal",Sheet1!$J$2:$J$51,"i",Sheet1!$H$2:$H$51,"tidak",Sheet1!$I$2:$I$51,"x",Sheet1!$L$2:$L$51,"memiliki",Sheet1!$B$2:$B$51,"B",Sheet1!$E$2:$E$51,"lebih")</f>
        <v>1</v>
      </c>
      <c r="F15" s="2">
        <f>COUNTIFS(Sheet1!$C$2:$C$51,"normal",Sheet1!$J$2:$J$51,"i",Sheet1!$H$2:$H$51,"tidak",Sheet1!$I$2:$I$51,"x",Sheet1!$L$2:$L$51,"memiliki",Sheet1!$B$2:$B$51,"B",Sheet1!$E$2:$E$51,"normal")</f>
        <v>1</v>
      </c>
      <c r="G15" s="2">
        <f>COUNTIFS(Sheet1!$C$2:$C$51,"normal",Sheet1!$J$2:$J$51,"i",Sheet1!$H$2:$H$51,"tidak",Sheet1!$I$2:$I$51,"x",Sheet1!$L$2:$L$51,"memiliki",Sheet1!$B$2:$B$51,"A",Sheet1!$E$2:$E$51,"kurang")</f>
        <v>0</v>
      </c>
      <c r="H15" s="2">
        <f>((-E15/D15)*IMLOG2(E15/D15)+(-F15/D15)*IMLOG2(F15/D15))</f>
        <v>1</v>
      </c>
      <c r="I15" s="4">
        <f>($H$2)-((D15/$D$3*H15)+(D16/$D$3*H16)+(D17/$D$3*H17))</f>
        <v>-0.182366143100169</v>
      </c>
      <c r="K15" s="3"/>
      <c r="L15" s="2"/>
      <c r="M15" s="2" t="s">
        <v>53</v>
      </c>
      <c r="N15" s="2">
        <f>COUNTIFS(Sheet1!$C$2:$C$51,"normal",Sheet1!$J$2:$J$51,"i",Sheet1!$H$2:$H$51,"tidak",Sheet1!$I$2:$I$51,"z",Sheet1!$L$2:$L$51,"memiliki",Sheet1!$B$2:$B$51,"A")</f>
        <v>0</v>
      </c>
      <c r="O15" s="2">
        <f>COUNTIFS(Sheet1!$C$2:$C$51,"normal",Sheet1!$J$2:$J$51,"i",Sheet1!$H$2:$H$51,"tidak",Sheet1!$I$2:$I$51,"z",Sheet1!$L$2:$L$51,"memiliki",Sheet1!$B$2:$B$51,"A",Sheet1!$E$2:$E$51,"lebih")</f>
        <v>0</v>
      </c>
      <c r="P15" s="2">
        <f>COUNTIFS(Sheet1!$C$2:$C$51,"normal",Sheet1!$J$2:$J$51,"i",Sheet1!$H$2:$H$51,"tidak",Sheet1!$I$2:$I$51,"z",Sheet1!$L$2:$L$51,"memiliki",Sheet1!$B$2:$B$51,"A",Sheet1!$E$2:$E$51,"normal")</f>
        <v>0</v>
      </c>
      <c r="Q15" s="2">
        <f>COUNTIFS(Sheet1!$C$2:$C$51,"normal",Sheet1!$J$2:$J$51,"i",Sheet1!$I$2:$I$51,"z",Sheet1!$L$2:$L$51,"memiliki",Sheet1!$B$2:$B$51,"A",Sheet1!$E$2:$E$51,"kurang")</f>
        <v>0</v>
      </c>
      <c r="R15" s="2">
        <v>0</v>
      </c>
      <c r="S15" s="5"/>
      <c r="T15" s="13"/>
      <c r="U15" s="3"/>
      <c r="V15" s="16"/>
      <c r="W15" s="2" t="s">
        <v>31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16"/>
      <c r="AE15" s="8"/>
    </row>
    <row r="16" spans="1:31">
      <c r="A16" s="3"/>
      <c r="B16" s="2"/>
      <c r="C16" s="2" t="s">
        <v>52</v>
      </c>
      <c r="D16" s="2">
        <f>COUNTIFS(Sheet1!$C$2:$C$51,"normal",Sheet1!$J$2:$J$51,"i",Sheet1!$H$2:$H$51,"tidak",Sheet1!$I$2:$I$51,"y",Sheet1!$L$2:$L$51,"memiliki",Sheet1!$B$2:$B$51,"A")</f>
        <v>0</v>
      </c>
      <c r="E16" s="2">
        <f>COUNTIFS(Sheet1!$C$2:$C$51,"normal",Sheet1!$J$2:$J$51,"i",Sheet1!$H$2:$H$51,"tidak",Sheet1!$I$2:$I$51,"y",Sheet1!$L$2:$L$51,"memiliki",Sheet1!$B$2:$B$51,"A",Sheet1!$E$2:$E$51,"lebih")</f>
        <v>0</v>
      </c>
      <c r="F16" s="2">
        <f>COUNTIFS(Sheet1!$C$2:$C$51,"normal",Sheet1!$J$2:$J$51,"i",Sheet1!$H$2:$H$51,"tidak",Sheet1!$I$2:$I$51,"y",Sheet1!$L$2:$L$51,"memiliki",Sheet1!$B$2:$B$51,"A",Sheet1!$E$2:$E$51,"normal")</f>
        <v>0</v>
      </c>
      <c r="G16" s="2">
        <f>COUNTIFS(Sheet1!$C$2:$C$51,"normal",Sheet1!$J$2:$J$51,"i",Sheet1!$I$2:$I$51,"y",Sheet1!$L$2:$L$51,"memiliki",Sheet1!$B$2:$B$51,"A",Sheet1!$E$2:$E$51,"kurang")</f>
        <v>0</v>
      </c>
      <c r="H16" s="2">
        <v>0</v>
      </c>
      <c r="I16" s="6"/>
      <c r="K16" s="3"/>
      <c r="L16" s="14" t="s">
        <v>56</v>
      </c>
      <c r="M16" s="2" t="s">
        <v>30</v>
      </c>
      <c r="N16" s="2">
        <f>COUNTIFS(Sheet1!$C$2:$C$51,"normal",Sheet1!$J$2:$J$51,"i",Sheet1!$H$2:$H$51,"tidak",Sheet1!$K$2:$K$51,"rendah",Sheet1!$L$2:$L$51,"memiliki",Sheet1!$B$2:$B$51,"B")</f>
        <v>0</v>
      </c>
      <c r="O16" s="2">
        <f>COUNTIFS(Sheet1!$C$2:$C$51,"normal",Sheet1!$J$2:$J$51,"i",Sheet1!$H$2:$H$51,"tidak",Sheet1!$K$2:$K$51,"rendah",Sheet1!$L$2:$L$51,"memiliki",Sheet1!$B$2:$B$51,"A",Sheet1!$E$2:$E$51,"lebih")</f>
        <v>0</v>
      </c>
      <c r="P16" s="2">
        <f>COUNTIFS(Sheet1!$C$2:$C$51,"normal",Sheet1!$J$2:$J$51,"i",Sheet1!$H$2:$H$51,"tidak",Sheet1!$K$2:$K$51,"rendah",Sheet1!$L$2:$L$51,"memiliki",Sheet1!$B$2:$B$51,"A",Sheet1!$E$2:$E$51,"normal")</f>
        <v>0</v>
      </c>
      <c r="Q16" s="2">
        <f>COUNTIFS(Sheet1!$C$2:$C$51,"normal",Sheet1!$J$2:$J$51,"i",Sheet1!$H$2:$H$51,"tidak",Sheet1!$K$2:$K$51,"rendah",Sheet1!$L$2:$L$51,"memiliki",Sheet1!$B$2:$B$51,"A",Sheet1!$E$2:$E$51,"kurang")</f>
        <v>0</v>
      </c>
      <c r="R16" s="2">
        <v>0</v>
      </c>
      <c r="S16" s="14">
        <f>($R$2)-((N16/$N$3*R16)+(N17/$N$3*R17)+(N18/$N$3*R18))</f>
        <v>-0.182366143100169</v>
      </c>
      <c r="T16" s="13"/>
      <c r="U16" s="8"/>
      <c r="AE16" s="17"/>
    </row>
    <row r="17" spans="1:21">
      <c r="A17" s="3"/>
      <c r="B17" s="2"/>
      <c r="C17" s="2" t="s">
        <v>53</v>
      </c>
      <c r="D17" s="2">
        <f>COUNTIFS(Sheet1!$C$2:$C$51,"normal",Sheet1!$J$2:$J$51,"i",Sheet1!$H$2:$H$51,"tidak",Sheet1!$I$2:$I$51,"z",Sheet1!$L$2:$L$51,"memiliki",Sheet1!$B$2:$B$51,"A")</f>
        <v>0</v>
      </c>
      <c r="E17" s="2">
        <f>COUNTIFS(Sheet1!$C$2:$C$51,"normal",Sheet1!$J$2:$J$51,"i",Sheet1!$H$2:$H$51,"tidak",Sheet1!$I$2:$I$51,"z",Sheet1!$L$2:$L$51,"memiliki",Sheet1!$B$2:$B$51,"A",Sheet1!$E$2:$E$51,"lebih")</f>
        <v>0</v>
      </c>
      <c r="F17" s="2">
        <f>COUNTIFS(Sheet1!$C$2:$C$51,"normal",Sheet1!$J$2:$J$51,"i",Sheet1!$H$2:$H$51,"tidak",Sheet1!$I$2:$I$51,"z",Sheet1!$L$2:$L$51,"memiliki",Sheet1!$B$2:$B$51,"A",Sheet1!$E$2:$E$51,"normal")</f>
        <v>0</v>
      </c>
      <c r="G17" s="2">
        <f>COUNTIFS(Sheet1!$C$2:$C$51,"normal",Sheet1!$J$2:$J$51,"i",Sheet1!$I$2:$I$51,"z",Sheet1!$L$2:$L$51,"memiliki",Sheet1!$B$2:$B$51,"A",Sheet1!$E$2:$E$51,"kurang")</f>
        <v>0</v>
      </c>
      <c r="H17" s="2">
        <v>0</v>
      </c>
      <c r="I17" s="5"/>
      <c r="K17" s="3"/>
      <c r="L17" s="15"/>
      <c r="M17" s="2" t="s">
        <v>22</v>
      </c>
      <c r="N17" s="2">
        <f>COUNTIFS(Sheet1!$C$2:$C$51,"normal",Sheet1!$J$2:$J$51,"i",Sheet1!$H$2:$H$51,"tidak",Sheet1!$K$2:$K$51,"menengah",Sheet1!$L$2:$L$51,"memiliki",Sheet1!$B$2:$B$51,"B")</f>
        <v>2</v>
      </c>
      <c r="O17" s="2">
        <f>COUNTIFS(Sheet1!$C$2:$C$51,"normal",Sheet1!$J$2:$J$51,"i",Sheet1!$H$2:$H$51,"tidak",Sheet1!$K$2:$K$51,"menengah",Sheet1!$L$2:$L$51,"memiliki",Sheet1!$B$2:$B$51,"B",Sheet1!$E$2:$E$51,"lebih")</f>
        <v>1</v>
      </c>
      <c r="P17" s="2">
        <f>COUNTIFS(Sheet1!$C$2:$C$51,"normal",Sheet1!$J$2:$J$51,"i",Sheet1!$H$2:$H$51,"tidak",Sheet1!$K$2:$K$51,"menengah",Sheet1!$L$2:$L$51,"memiliki",Sheet1!$B$2:$B$51,"B",Sheet1!$E$2:$E$51,"normal")</f>
        <v>1</v>
      </c>
      <c r="Q17" s="2">
        <f>COUNTIFS(Sheet1!$C$2:$C$51,"normal",Sheet1!$J$2:$J$51,"i",Sheet1!$H$2:$H$51,"tidak",Sheet1!$K$2:$K$51,"menengah",Sheet1!$L$2:$L$51,"memiliki",Sheet1!$B$2:$B$51,"A",Sheet1!$E$2:$E$51,"kurang")</f>
        <v>0</v>
      </c>
      <c r="R17" s="2">
        <f>((-O17/N17)*IMLOG2(O17/N17)+(-P17/N17)*IMLOG2(P17/N17))</f>
        <v>1</v>
      </c>
      <c r="S17" s="15"/>
      <c r="T17" s="13"/>
      <c r="U17" s="8"/>
    </row>
    <row r="18" spans="1:39">
      <c r="A18" s="3"/>
      <c r="B18" s="4" t="s">
        <v>56</v>
      </c>
      <c r="C18" s="2" t="s">
        <v>30</v>
      </c>
      <c r="D18" s="2">
        <f>COUNTIFS(Sheet1!$C$2:$C$51,"normal",Sheet1!$J$2:$J$51,"i",Sheet1!$H$2:$H$51,"tidak",Sheet1!$K$2:$K$51,"rendah",Sheet1!$L$2:$L$51,"memiliki",Sheet1!$B$2:$B$51,"B")</f>
        <v>0</v>
      </c>
      <c r="E18" s="2">
        <f>COUNTIFS(Sheet1!$C$2:$C$51,"normal",Sheet1!$J$2:$J$51,"i",Sheet1!$H$2:$H$51,"tidak",Sheet1!$K$2:$K$51,"rendah",Sheet1!$L$2:$L$51,"memiliki",Sheet1!$B$2:$B$51,"A",Sheet1!$E$2:$E$51,"lebih")</f>
        <v>0</v>
      </c>
      <c r="F18" s="2">
        <f>COUNTIFS(Sheet1!$C$2:$C$51,"normal",Sheet1!$J$2:$J$51,"i",Sheet1!$H$2:$H$51,"tidak",Sheet1!$K$2:$K$51,"rendah",Sheet1!$L$2:$L$51,"memiliki",Sheet1!$B$2:$B$51,"A",Sheet1!$E$2:$E$51,"normal")</f>
        <v>0</v>
      </c>
      <c r="G18" s="2">
        <f>COUNTIFS(Sheet1!$C$2:$C$51,"normal",Sheet1!$J$2:$J$51,"i",Sheet1!$H$2:$H$51,"tidak",Sheet1!$K$2:$K$51,"rendah",Sheet1!$L$2:$L$51,"memiliki",Sheet1!$B$2:$B$51,"A",Sheet1!$E$2:$E$51,"kurang")</f>
        <v>0</v>
      </c>
      <c r="H18" s="2">
        <v>0</v>
      </c>
      <c r="I18" s="4">
        <f>($H$2)-((D18/$D$3*H18)+(D19/$D$3*H19)+(D20/$D$3*H20))</f>
        <v>-0.182366143100169</v>
      </c>
      <c r="K18" s="3"/>
      <c r="L18" s="16"/>
      <c r="M18" s="2" t="s">
        <v>31</v>
      </c>
      <c r="N18" s="2">
        <f>COUNTIFS(Sheet1!$C$2:$C$51,"normal",Sheet1!$J$2:$J$51,"i",Sheet1!$H$2:$H$51,"tidak",Sheet1!$K$2:$K$51,"tinggi",Sheet1!$L$2:$L$51,"memiliki",Sheet1!$B$2:$B$51,"A")</f>
        <v>0</v>
      </c>
      <c r="O18" s="2">
        <f>COUNTIFS(Sheet1!$C$2:$C$51,"normal",Sheet1!$J$2:$J$51,"i",Sheet1!$H$2:$H$51,"tidak",Sheet1!$K$2:$K$51,"tinggi",Sheet1!$L$2:$L$51,"memiliki",Sheet1!$B$2:$B$51,"A",Sheet1!$E$2:$E$51,"lebih")</f>
        <v>0</v>
      </c>
      <c r="P18" s="2">
        <f>COUNTIFS(Sheet1!$C$2:$C$51,"normal",Sheet1!$J$2:$J$51,"i",Sheet1!$H$2:$H$51,"tidak",Sheet1!$K$2:$K$51,"tinggi",Sheet1!$L$2:$L$51,"memiliki",Sheet1!$B$2:$B$51,"A",Sheet1!$E$2:$E$51,"normal")</f>
        <v>0</v>
      </c>
      <c r="Q18" s="2">
        <f>COUNTIFS(Sheet1!$C$2:$C$51,"normal",Sheet1!$J$2:$J$51,"i",Sheet1!$H$2:$H$51,"tidak",Sheet1!$K$2:$K$51,"tinggi",Sheet1!$L$2:$L$51,"memiliki",Sheet1!$B$2:$B$51,"A",Sheet1!$E$2:$E$51,"kurang")</f>
        <v>0</v>
      </c>
      <c r="R18" s="2">
        <v>0</v>
      </c>
      <c r="S18" s="16"/>
      <c r="T18" s="13"/>
      <c r="U18" s="8"/>
      <c r="AF18" s="2" t="s">
        <v>48</v>
      </c>
      <c r="AG18" s="2" t="s">
        <v>17</v>
      </c>
      <c r="AH18" s="2">
        <f>COUNTIFS(Sheet1!$C$2:$C$51,"normal",Sheet1!$J$2:$J$51,"i",Sheet1!$H$2:$H$51,"tidak",Sheet1!$F$2:$F$51,"formula",Sheet1!$L$2:$L$51,"memiliki",Sheet1!$B$2:$B$51,"B")</f>
        <v>2</v>
      </c>
      <c r="AI18" s="2">
        <f>COUNTIFS(Sheet1!$C$2:$C$51,"normal",Sheet1!$J$2:$J$51,"i",Sheet1!$H$2:$H$51,"tidak",Sheet1!$F$2:$F$51,"formula",Sheet1!$L$2:$L$51,"memiliki",Sheet1!$B$2:$B$51,"B",Sheet1!$E$2:$E$51,"lebih")</f>
        <v>1</v>
      </c>
      <c r="AJ18" s="2">
        <f>COUNTIFS(Sheet1!$C$2:$C$51,"normal",Sheet1!$J$2:$J$51,"i",Sheet1!$H$2:$H$51,"tidak",Sheet1!$F$2:$F$51,"formula",Sheet1!$L$2:$L$51,"memiliki",Sheet1!$B$2:$B$51,"B",Sheet1!$E$2:$E$51,"NORMAL")</f>
        <v>1</v>
      </c>
      <c r="AK18" s="2">
        <f>COUNTIFS(Sheet1!$C$2:$C$51,"normal",Sheet1!$J$2:$J$51,"i",Sheet1!$H$2:$H$51,"tidak",Sheet1!$F$2:$F$51,"formula",Sheet1!$L$2:$L$51,"memiliki",Sheet1!$B$2:$B$51,"B",Sheet1!$E$2:$E$51,"KURANG")</f>
        <v>0</v>
      </c>
      <c r="AL18" s="2">
        <v>1</v>
      </c>
      <c r="AM18" s="4">
        <f>($H$2)-((AH18/$D$3*AL18)+(AH19/$D$3*AL19)+(AH20/$D$3*AL20))</f>
        <v>-0.182366143100169</v>
      </c>
    </row>
    <row r="19" spans="1:39">
      <c r="A19" s="3"/>
      <c r="B19" s="6"/>
      <c r="C19" s="2" t="s">
        <v>22</v>
      </c>
      <c r="D19" s="2">
        <f>COUNTIFS(Sheet1!$C$2:$C$51,"normal",Sheet1!$J$2:$J$51,"i",Sheet1!$H$2:$H$51,"tidak",Sheet1!$K$2:$K$51,"menengah",Sheet1!$L$2:$L$51,"memiliki",Sheet1!$B$2:$B$51,"B")</f>
        <v>2</v>
      </c>
      <c r="E19" s="2">
        <f>COUNTIFS(Sheet1!$C$2:$C$51,"normal",Sheet1!$J$2:$J$51,"i",Sheet1!$H$2:$H$51,"tidak",Sheet1!$K$2:$K$51,"menengah",Sheet1!$L$2:$L$51,"memiliki",Sheet1!$B$2:$B$51,"B",Sheet1!$E$2:$E$51,"lebih")</f>
        <v>1</v>
      </c>
      <c r="F19" s="2">
        <f>COUNTIFS(Sheet1!$C$2:$C$51,"normal",Sheet1!$J$2:$J$51,"i",Sheet1!$H$2:$H$51,"tidak",Sheet1!$K$2:$K$51,"menengah",Sheet1!$L$2:$L$51,"memiliki",Sheet1!$B$2:$B$51,"B",Sheet1!$E$2:$E$51,"normal")</f>
        <v>1</v>
      </c>
      <c r="G19" s="2">
        <f>COUNTIFS(Sheet1!$C$2:$C$51,"normal",Sheet1!$J$2:$J$51,"i",Sheet1!$H$2:$H$51,"tidak",Sheet1!$K$2:$K$51,"menengah",Sheet1!$L$2:$L$51,"memiliki",Sheet1!$B$2:$B$51,"A",Sheet1!$E$2:$E$51,"kurang")</f>
        <v>0</v>
      </c>
      <c r="H19" s="2">
        <f>((-E19/D19)*IMLOG2(E19/D19)+(-F19/D19)*IMLOG2(F19/D19))</f>
        <v>1</v>
      </c>
      <c r="I19" s="6"/>
      <c r="K19" s="8"/>
      <c r="T19" s="13"/>
      <c r="U19" s="8"/>
      <c r="V19" s="9"/>
      <c r="W19" s="9"/>
      <c r="X19" s="9"/>
      <c r="Y19" s="9"/>
      <c r="Z19" s="9"/>
      <c r="AA19" s="9"/>
      <c r="AB19" s="9"/>
      <c r="AC19" s="9"/>
      <c r="AF19" s="2"/>
      <c r="AG19" s="2" t="s">
        <v>26</v>
      </c>
      <c r="AH19" s="2">
        <f>COUNTIFS(Sheet1!$C$2:$C$51,"normal",Sheet1!$J$2:$J$51,"i",Sheet1!$H$2:$H$51,"tidak",Sheet1!$F$2:$F$51,"kombinasi",Sheet1!$L$2:$L$51,"memiliki",Sheet1!$B$2:$B$51,"B")</f>
        <v>0</v>
      </c>
      <c r="AI19" s="2">
        <v>0</v>
      </c>
      <c r="AJ19" s="2">
        <v>0</v>
      </c>
      <c r="AK19" s="2">
        <f>COUNTIFS(Sheet1!$C$2:$C$51,"normal",Sheet1!$J$2:$J$51,"i",Sheet1!$H$2:$H$51,"tidak",Sheet1!$F$2:$F$51,"KOMBINASI",Sheet1!$L$2:$L$51,"memiliki",Sheet1!$B$2:$B$51,"A",Sheet1!$E$2:$E$51,"KURANG")</f>
        <v>0</v>
      </c>
      <c r="AL19" s="2">
        <v>0</v>
      </c>
      <c r="AM19" s="6"/>
    </row>
    <row r="20" spans="1:39">
      <c r="A20" s="3"/>
      <c r="B20" s="5"/>
      <c r="C20" s="2" t="s">
        <v>31</v>
      </c>
      <c r="D20" s="2">
        <f>COUNTIFS(Sheet1!$C$2:$C$51,"normal",Sheet1!$J$2:$J$51,"i",Sheet1!$H$2:$H$51,"tidak",Sheet1!$K$2:$K$51,"tinggi",Sheet1!$L$2:$L$51,"memiliki",Sheet1!$B$2:$B$51,"A")</f>
        <v>0</v>
      </c>
      <c r="E20" s="2">
        <f>COUNTIFS(Sheet1!$C$2:$C$51,"normal",Sheet1!$J$2:$J$51,"i",Sheet1!$H$2:$H$51,"tidak",Sheet1!$K$2:$K$51,"tinggi",Sheet1!$L$2:$L$51,"memiliki",Sheet1!$B$2:$B$51,"A",Sheet1!$E$2:$E$51,"lebih")</f>
        <v>0</v>
      </c>
      <c r="F20" s="2">
        <f>COUNTIFS(Sheet1!$C$2:$C$51,"normal",Sheet1!$J$2:$J$51,"i",Sheet1!$H$2:$H$51,"tidak",Sheet1!$K$2:$K$51,"tinggi",Sheet1!$L$2:$L$51,"memiliki",Sheet1!$B$2:$B$51,"A",Sheet1!$E$2:$E$51,"normal")</f>
        <v>0</v>
      </c>
      <c r="G20" s="2">
        <f>COUNTIFS(Sheet1!$C$2:$C$51,"normal",Sheet1!$J$2:$J$51,"i",Sheet1!$H$2:$H$51,"tidak",Sheet1!$K$2:$K$51,"tinggi",Sheet1!$L$2:$L$51,"memiliki",Sheet1!$B$2:$B$51,"A",Sheet1!$E$2:$E$51,"kurang")</f>
        <v>0</v>
      </c>
      <c r="H20" s="2">
        <v>0</v>
      </c>
      <c r="I20" s="5"/>
      <c r="K20" s="8"/>
      <c r="T20" s="13"/>
      <c r="U20" s="8"/>
      <c r="V20" s="9"/>
      <c r="W20" s="9"/>
      <c r="X20" s="9"/>
      <c r="Y20" s="9"/>
      <c r="Z20" s="9"/>
      <c r="AA20" s="9"/>
      <c r="AB20" s="9"/>
      <c r="AC20" s="9"/>
      <c r="AF20" s="2"/>
      <c r="AG20" s="2" t="s">
        <v>34</v>
      </c>
      <c r="AH20" s="2">
        <f>COUNTIFS(Sheet1!$C$2:$C$51,"normal",Sheet1!$J$2:$J$51,"i",Sheet1!$H$2:$H$51,"tidak",Sheet1!$F$2:$F$51,"ASI",Sheet1!$L$2:$L$51,"memiliki",Sheet1!$B$2:$B$51,"B")</f>
        <v>0</v>
      </c>
      <c r="AI20" s="2">
        <f>COUNTIFS(Sheet1!$C$2:$C$51,"normal",Sheet1!$J$2:$J$51,"i",Sheet1!$H$2:$H$51,"tidak",Sheet1!$F$2:$F$51,"ASI",Sheet1!$L$2:$L$51,"memiliki",Sheet1!$B$2:$B$51,"A",Sheet1!$E$2:$E$51,"lebih")</f>
        <v>0</v>
      </c>
      <c r="AJ20" s="2">
        <v>0</v>
      </c>
      <c r="AK20" s="2">
        <f>COUNTIFS(Sheet1!$C$2:$C$51,"normal",Sheet1!$J$2:$J$51,"i",Sheet1!$H$2:$H$51,"tidak",Sheet1!$F$2:$F$51,"ASI",Sheet1!$L$2:$L$51,"memiliki",Sheet1!$B$2:$B$51,"A",Sheet1!$E$2:$E$51,"KURANG")</f>
        <v>0</v>
      </c>
      <c r="AL20" s="2">
        <v>0</v>
      </c>
      <c r="AM20" s="5"/>
    </row>
    <row r="21" spans="1:29">
      <c r="A21" s="8"/>
      <c r="T21" s="13"/>
      <c r="U21" s="7"/>
      <c r="V21" s="7"/>
      <c r="W21" s="7"/>
      <c r="X21" s="7"/>
      <c r="Y21" s="7"/>
      <c r="Z21" s="7"/>
      <c r="AA21" s="7"/>
      <c r="AB21" s="7"/>
      <c r="AC21" s="7"/>
    </row>
    <row r="22" spans="1:29">
      <c r="A22" s="8"/>
      <c r="T22" s="13"/>
      <c r="U22" s="7"/>
      <c r="V22" s="7"/>
      <c r="W22" s="7"/>
      <c r="X22" s="7"/>
      <c r="Y22" s="7"/>
      <c r="Z22" s="7"/>
      <c r="AA22" s="7"/>
      <c r="AB22" s="7"/>
      <c r="AC22" s="7"/>
    </row>
    <row r="23" spans="1:29">
      <c r="A23" s="8"/>
      <c r="T23" s="13"/>
      <c r="U23" s="7"/>
      <c r="V23" s="7"/>
      <c r="W23" s="7"/>
      <c r="X23" s="7"/>
      <c r="Y23" s="7"/>
      <c r="Z23" s="7"/>
      <c r="AA23" s="7"/>
      <c r="AB23" s="7"/>
      <c r="AC23" s="7"/>
    </row>
    <row r="24" spans="1:29">
      <c r="A24" s="9"/>
      <c r="B24" s="9"/>
      <c r="C24" s="9"/>
      <c r="D24" s="9"/>
      <c r="E24" s="9"/>
      <c r="F24" s="9"/>
      <c r="G24" s="9"/>
      <c r="H24" s="9"/>
      <c r="I24" s="9"/>
      <c r="T24" s="13"/>
      <c r="U24" s="7"/>
      <c r="V24" s="7"/>
      <c r="W24" s="7"/>
      <c r="X24" s="7"/>
      <c r="Y24" s="7"/>
      <c r="Z24" s="7"/>
      <c r="AA24" s="7"/>
      <c r="AB24" s="7"/>
      <c r="AC24" s="7"/>
    </row>
    <row r="25" spans="2:39">
      <c r="B25" s="14" t="s">
        <v>45</v>
      </c>
      <c r="C25" s="2" t="s">
        <v>33</v>
      </c>
      <c r="D25" s="2">
        <f>COUNTIFS(Sheet1!$C$2:$C$51,"normal",Sheet1!$J$2:$J$51,"i",Sheet1!$H$2:$H$51,"tidak",Sheet1!$L$2:$L$51,"MEMILIKI",Sheet1!$B$2:$B$51,"A")</f>
        <v>3</v>
      </c>
      <c r="E25" s="2">
        <f>COUNTIFS(Sheet1!$C$2:$C$51,"normal",Sheet1!$J$2:$J$51,"i",Sheet1!$H$2:$H$51,"tidak",Sheet1!$L$2:$L$51,"MEMILIKI",Sheet1!$B$2:$B$51,"A",Sheet1!$E$2:$E$51,"lebih")</f>
        <v>1</v>
      </c>
      <c r="F25" s="2">
        <f>COUNTIFS(Sheet1!$C$2:$C$51,"normal",Sheet1!$J$2:$J$51,"i",Sheet1!$H$2:$H$51,"tidak",Sheet1!$L$2:$L$51,"MEMILIKI",Sheet1!$B$2:$B$51,"A",Sheet1!$E$2:$E$51,"NORMAL")</f>
        <v>2</v>
      </c>
      <c r="G25" s="2">
        <f>COUNTIFS(Sheet1!$C$2:$C$51,"normal",Sheet1!$J$2:$J$51,"i",Sheet1!$H$2:$H$51,"tidak",Sheet1!$L$2:$L$51,"MEMILIKI",Sheet1!$B$2:$B$51,"A",Sheet1!$E$2:$E$51,"KURANG")</f>
        <v>0</v>
      </c>
      <c r="H25" s="2">
        <f>((-E25/D25)*IMLOG2(E25/D25)+(-F25/D25)*IMLOG2(F25/D25))</f>
        <v>0.918295834054491</v>
      </c>
      <c r="I25" s="4">
        <f>($H$2)-((D25/$D$3*H25)+(D26/$D$3*H26)+(D27/$D$3*H27))</f>
        <v>-1.5598098941819</v>
      </c>
      <c r="L25" s="4" t="s">
        <v>44</v>
      </c>
      <c r="M25" s="2" t="s">
        <v>24</v>
      </c>
      <c r="N25" s="2">
        <f>COUNTIFS(Sheet1!$C$2:$C$51,"normal",Sheet1!$J$2:$J$51,"i",Sheet1!$H$2:$H$51,"tidak",Sheet1!$L$2:$L$51,"MEMILIKI",Sheet1!$B$2:$B$51,"B",Sheet1!$A$2:$A$51,"L")</f>
        <v>0</v>
      </c>
      <c r="O25" s="2">
        <f>COUNTIFS(Sheet1!$C$2:$C$51,"normal",Sheet1!$J$2:$J$51,"i",Sheet1!$H$2:$H$51,"tidak",Sheet1!$L$2:$L$51,"MEMILIKI",Sheet1!$B$2:$B$51,"B",Sheet1!$A$2:$A$51,"L",Sheet1!$E$2:$E$51,"lebih")</f>
        <v>0</v>
      </c>
      <c r="P25" s="2">
        <f>COUNTIFS(Sheet1!$C$2:$C$51,"normal",Sheet1!$J$2:$J$51,"i",Sheet1!$H$2:$H$51,"tidak",Sheet1!$L$2:$L$51,"MEMILIKI",Sheet1!$B$2:$B$51,"B",Sheet1!$A$2:$A$51,"L",Sheet1!$E$2:$E$51,"NORMAL")</f>
        <v>0</v>
      </c>
      <c r="Q25" s="2">
        <f>COUNTIFS(Sheet1!$C$2:$C$51,"normal",Sheet1!$J$2:$J$51,"i",Sheet1!$H$2:$H$51,"tidak",Sheet1!$L$2:$L$51,"MEMILIKI",Sheet1!$B$2:$B$51,"B",Sheet1!$A$2:$A$51,"L",Sheet1!$E$2:$E$51,"KURANG")</f>
        <v>0</v>
      </c>
      <c r="R25" s="2">
        <v>0</v>
      </c>
      <c r="S25" s="4">
        <f>($R$2)-((N25/$N$3*R25)+(N26/$N$3*R26))</f>
        <v>-0.182366143100169</v>
      </c>
      <c r="T25" s="13"/>
      <c r="U25" s="7"/>
      <c r="V25" s="2" t="s">
        <v>47</v>
      </c>
      <c r="W25" s="2" t="s">
        <v>15</v>
      </c>
      <c r="X25" s="2">
        <v>2</v>
      </c>
      <c r="Y25" s="2">
        <v>1</v>
      </c>
      <c r="Z25" s="2">
        <v>1</v>
      </c>
      <c r="AA25" s="2">
        <v>0</v>
      </c>
      <c r="AB25" s="2">
        <v>1</v>
      </c>
      <c r="AC25" s="4">
        <v>-0.182366143100169</v>
      </c>
      <c r="AE25" s="2" t="s">
        <v>37</v>
      </c>
      <c r="AF25" s="2" t="s">
        <v>38</v>
      </c>
      <c r="AG25" s="2"/>
      <c r="AH25" s="2" t="s">
        <v>39</v>
      </c>
      <c r="AI25" s="2" t="s">
        <v>40</v>
      </c>
      <c r="AJ25" s="2" t="s">
        <v>16</v>
      </c>
      <c r="AK25" s="2" t="s">
        <v>36</v>
      </c>
      <c r="AL25" s="2" t="s">
        <v>41</v>
      </c>
      <c r="AM25" s="2" t="s">
        <v>42</v>
      </c>
    </row>
    <row r="26" spans="2:39">
      <c r="B26" s="15"/>
      <c r="C26" s="2" t="s">
        <v>13</v>
      </c>
      <c r="D26" s="2">
        <f>COUNTIFS(Sheet1!$C$2:$C$51,"normal",Sheet1!$J$2:$J$51,"i",Sheet1!$H$2:$H$51,"tidak",Sheet1!$L$2:$L$51,"MEMILIKI",Sheet1!$B$2:$B$51,"B")</f>
        <v>2</v>
      </c>
      <c r="E26" s="2">
        <f>COUNTIFS(Sheet1!$C$2:$C$51,"normal",Sheet1!$J$2:$J$51,"i",Sheet1!$H$2:$H$51,"tidak",Sheet1!$L$2:$L$51,"MEMILIKI",Sheet1!$B$2:$B$51,"B",Sheet1!$E$2:$E$51,"lebih")</f>
        <v>1</v>
      </c>
      <c r="F26" s="2">
        <f>COUNTIFS(Sheet1!$C$2:$C$51,"normal",Sheet1!$J$2:$J$51,"i",Sheet1!$H$2:$H$51,"tidak",Sheet1!$L$2:$L$51,"MEMILIKI",Sheet1!$B$2:$B$51,"B",Sheet1!$E$2:$E$51,"NORMAL")</f>
        <v>1</v>
      </c>
      <c r="G26" s="2">
        <f>COUNTIFS(Sheet1!$C$2:$C$51,"normal",Sheet1!$J$2:$J$51,"i",Sheet1!$H$2:$H$51,"tidak",Sheet1!$L$2:$L$51,"MEMILIKI",Sheet1!$B$2:$B$51,"B",Sheet1!$E$2:$E$51,"KURANG")</f>
        <v>0</v>
      </c>
      <c r="H26" s="2">
        <f>((-E26/D26)*IMLOG2(E26/D26)+(-F26/D26)*IMLOG2(F26/D26))</f>
        <v>1</v>
      </c>
      <c r="I26" s="6"/>
      <c r="L26" s="5"/>
      <c r="M26" s="2" t="s">
        <v>12</v>
      </c>
      <c r="N26" s="2">
        <f>COUNTIFS(Sheet1!$C$2:$C$51,"normal",Sheet1!$J$2:$J$51,"i",Sheet1!$H$2:$H$51,"tidak",Sheet1!$L$2:$L$51,"MEMILIKI",Sheet1!$B$2:$B$51,"B",Sheet1!$A$2:$A$51,"P")</f>
        <v>2</v>
      </c>
      <c r="O26" s="2">
        <f>COUNTIFS(Sheet1!$C$2:$C$51,"normal",Sheet1!$J$2:$J$51,"i",Sheet1!$H$2:$H$51,"tidak",Sheet1!$L$2:$L$51,"MEMILIKI",Sheet1!$B$2:$B$51,"B",Sheet1!$A$2:$A$51,"P",Sheet1!$E$2:$E$51,"lebih")</f>
        <v>1</v>
      </c>
      <c r="P26" s="2">
        <f>COUNTIFS(Sheet1!$C$2:$C$51,"normal",Sheet1!$J$2:$J$51,"i",Sheet1!$H$2:$H$51,"tidak",Sheet1!$L$2:$L$51,"MEMILIKI",Sheet1!$B$2:$B$51,"B",Sheet1!$A$2:$A$51,"P",Sheet1!$E$2:$E$51,"NORMAL")</f>
        <v>1</v>
      </c>
      <c r="Q26" s="2">
        <f>COUNTIFS(Sheet1!$C$2:$C$51,"normal",Sheet1!$J$2:$J$51,"i",Sheet1!$H$2:$H$51,"tidak",Sheet1!$L$2:$L$51,"MEMILIKI",Sheet1!$B$2:$B$51,"B",Sheet1!$A$2:$A$51,"P",Sheet1!$E$2:$E$51,"KURANG")</f>
        <v>0</v>
      </c>
      <c r="R26" s="2">
        <v>1</v>
      </c>
      <c r="S26" s="5"/>
      <c r="T26" s="13"/>
      <c r="U26" s="7"/>
      <c r="V26" s="2"/>
      <c r="W26" s="2" t="s">
        <v>16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6"/>
      <c r="AE26" s="3" t="s">
        <v>105</v>
      </c>
      <c r="AF26" s="2" t="s">
        <v>43</v>
      </c>
      <c r="AG26" s="2"/>
      <c r="AH26" s="2">
        <v>50</v>
      </c>
      <c r="AI26" s="2">
        <v>7</v>
      </c>
      <c r="AJ26" s="2">
        <v>41</v>
      </c>
      <c r="AK26" s="2">
        <v>2</v>
      </c>
      <c r="AL26" s="2">
        <v>0.817633856899831</v>
      </c>
      <c r="AM26" s="2"/>
    </row>
    <row r="27" spans="2:39">
      <c r="B27" s="16"/>
      <c r="C27" s="2" t="s">
        <v>32</v>
      </c>
      <c r="D27" s="2">
        <f>COUNTIFS(Sheet1!$C$2:$C$51,"normal",Sheet1!$J$2:$J$51,"i",Sheet1!$H$2:$H$51,"tidak",Sheet1!$L$2:$L$51,"MEMILIKI",Sheet1!$B$2:$B$51,"C")</f>
        <v>3</v>
      </c>
      <c r="E27" s="2">
        <f>COUNTIFS(Sheet1!$C$2:$C$51,"normal",Sheet1!$J$2:$J$51,"i",Sheet1!$H$2:$H$51,"tidak",Sheet1!$L$2:$L$51,"MEMILIKI",Sheet1!$B$2:$B$51,"C",Sheet1!$E$2:$E$51,"lebih")</f>
        <v>0</v>
      </c>
      <c r="F27" s="2">
        <f>COUNTIFS(Sheet1!$C$2:$C$51,"normal",Sheet1!$J$2:$J$51,"i",Sheet1!$H$2:$H$51,"tidak",Sheet1!$L$2:$L$51,"MEMILIKI",Sheet1!$B$2:$B$51,"C",Sheet1!$E$2:$E$51,"NORMAL")</f>
        <v>3</v>
      </c>
      <c r="G27" s="2">
        <f>COUNTIFS(Sheet1!$C$2:$C$51,"normal",Sheet1!$J$2:$J$51,"i",Sheet1!$H$2:$H$51,"tidak",Sheet1!$L$2:$L$51,"MEMILIKI",Sheet1!$B$2:$B$51,"C",Sheet1!$E$2:$E$51,"KURANG")</f>
        <v>0</v>
      </c>
      <c r="H27" s="2">
        <v>0</v>
      </c>
      <c r="I27" s="5"/>
      <c r="T27" s="13"/>
      <c r="U27" s="7"/>
      <c r="V27" s="2"/>
      <c r="W27" s="2" t="s">
        <v>31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5"/>
      <c r="AE27" s="3"/>
      <c r="AF27" s="2" t="s">
        <v>106</v>
      </c>
      <c r="AG27" s="2"/>
      <c r="AH27" s="2">
        <v>2</v>
      </c>
      <c r="AI27" s="2">
        <v>1</v>
      </c>
      <c r="AJ27" s="2">
        <v>1</v>
      </c>
      <c r="AK27" s="2">
        <v>0</v>
      </c>
      <c r="AL27" s="2">
        <v>1</v>
      </c>
      <c r="AM27" s="2"/>
    </row>
    <row r="28" spans="1:39">
      <c r="A28" s="7"/>
      <c r="B28" s="7"/>
      <c r="C28" s="7"/>
      <c r="D28" s="7"/>
      <c r="E28" s="7"/>
      <c r="F28" s="7"/>
      <c r="G28" s="7"/>
      <c r="H28" s="7"/>
      <c r="I28" s="7"/>
      <c r="S28" s="7"/>
      <c r="T28" s="13"/>
      <c r="U28" s="7"/>
      <c r="V28" s="7"/>
      <c r="W28" s="7"/>
      <c r="X28" s="7"/>
      <c r="Y28" s="7"/>
      <c r="Z28" s="7"/>
      <c r="AA28" s="7"/>
      <c r="AB28" s="7"/>
      <c r="AC28" s="7"/>
      <c r="AE28" s="3"/>
      <c r="AF28" s="2" t="s">
        <v>51</v>
      </c>
      <c r="AG28" s="2" t="s">
        <v>20</v>
      </c>
      <c r="AH28" s="2">
        <v>2</v>
      </c>
      <c r="AI28" s="2">
        <v>1</v>
      </c>
      <c r="AJ28" s="2">
        <v>1</v>
      </c>
      <c r="AK28" s="2">
        <v>0</v>
      </c>
      <c r="AL28" s="2">
        <v>1</v>
      </c>
      <c r="AM28" s="4">
        <v>-0.182366143100169</v>
      </c>
    </row>
    <row r="29" spans="1:39">
      <c r="A29" s="7"/>
      <c r="B29" s="7"/>
      <c r="C29" s="7"/>
      <c r="D29" s="7"/>
      <c r="E29" s="7"/>
      <c r="F29" s="7"/>
      <c r="G29" s="7"/>
      <c r="H29" s="7"/>
      <c r="I29" s="7"/>
      <c r="S29" s="7"/>
      <c r="T29" s="13"/>
      <c r="U29" s="7"/>
      <c r="V29" s="7"/>
      <c r="W29" s="7"/>
      <c r="X29" s="7"/>
      <c r="Y29" s="7"/>
      <c r="Z29" s="7"/>
      <c r="AA29" s="7"/>
      <c r="AB29" s="7"/>
      <c r="AC29" s="7"/>
      <c r="AE29" s="3"/>
      <c r="AF29" s="2"/>
      <c r="AG29" s="2" t="s">
        <v>52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6"/>
    </row>
    <row r="30" spans="1:39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13"/>
      <c r="U30" s="7"/>
      <c r="V30" s="7"/>
      <c r="W30" s="7"/>
      <c r="X30" s="7"/>
      <c r="Y30" s="7"/>
      <c r="Z30" s="7"/>
      <c r="AA30" s="7"/>
      <c r="AB30" s="7"/>
      <c r="AC30" s="7"/>
      <c r="AE30" s="3"/>
      <c r="AF30" s="2"/>
      <c r="AG30" s="2" t="s">
        <v>53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5"/>
    </row>
    <row r="31" spans="1:39">
      <c r="A31" s="7"/>
      <c r="B31" s="7"/>
      <c r="C31" s="7"/>
      <c r="D31" s="7"/>
      <c r="E31" s="7"/>
      <c r="F31" s="7"/>
      <c r="G31" s="7"/>
      <c r="H31" s="7"/>
      <c r="I31" s="7"/>
      <c r="AE31" s="3"/>
      <c r="AF31" s="14" t="s">
        <v>56</v>
      </c>
      <c r="AG31" s="2" t="s">
        <v>30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14">
        <v>-0.182366143100169</v>
      </c>
    </row>
    <row r="32" spans="1:39">
      <c r="A32" s="7"/>
      <c r="AE32" s="3"/>
      <c r="AF32" s="15"/>
      <c r="AG32" s="2" t="s">
        <v>22</v>
      </c>
      <c r="AH32" s="2">
        <v>2</v>
      </c>
      <c r="AI32" s="2">
        <v>1</v>
      </c>
      <c r="AJ32" s="2">
        <v>1</v>
      </c>
      <c r="AK32" s="2">
        <v>0</v>
      </c>
      <c r="AL32" s="2">
        <v>1</v>
      </c>
      <c r="AM32" s="15"/>
    </row>
    <row r="33" spans="31:39">
      <c r="AE33" s="3"/>
      <c r="AF33" s="16"/>
      <c r="AG33" s="2" t="s">
        <v>31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16"/>
    </row>
    <row r="34" spans="31:31">
      <c r="AE34" s="8"/>
    </row>
    <row r="35" spans="31:31">
      <c r="AE35" s="8"/>
    </row>
    <row r="36" spans="31:31">
      <c r="AE36" s="8"/>
    </row>
    <row r="38" spans="32:39">
      <c r="AF38" s="2" t="s">
        <v>49</v>
      </c>
      <c r="AG38" s="2" t="s">
        <v>30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4">
        <v>-0.182366143100169</v>
      </c>
    </row>
    <row r="39" spans="32:39">
      <c r="AF39" s="2"/>
      <c r="AG39" s="2" t="s">
        <v>18</v>
      </c>
      <c r="AH39" s="2">
        <v>2</v>
      </c>
      <c r="AI39" s="2">
        <v>1</v>
      </c>
      <c r="AJ39" s="2">
        <v>1</v>
      </c>
      <c r="AK39" s="2">
        <v>0</v>
      </c>
      <c r="AL39" s="2">
        <v>1</v>
      </c>
      <c r="AM39" s="6"/>
    </row>
    <row r="40" spans="32:39">
      <c r="AF40" s="2"/>
      <c r="AG40" s="2" t="s">
        <v>31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5"/>
    </row>
    <row r="43" spans="31:39">
      <c r="AE43" s="2" t="s">
        <v>37</v>
      </c>
      <c r="AF43" s="2" t="s">
        <v>38</v>
      </c>
      <c r="AG43" s="2"/>
      <c r="AH43" s="2" t="s">
        <v>39</v>
      </c>
      <c r="AI43" s="2" t="s">
        <v>40</v>
      </c>
      <c r="AJ43" s="2" t="s">
        <v>16</v>
      </c>
      <c r="AK43" s="2" t="s">
        <v>36</v>
      </c>
      <c r="AL43" s="2" t="s">
        <v>41</v>
      </c>
      <c r="AM43" s="2" t="s">
        <v>42</v>
      </c>
    </row>
    <row r="44" spans="31:39">
      <c r="AE44" s="3" t="s">
        <v>107</v>
      </c>
      <c r="AF44" s="2" t="s">
        <v>43</v>
      </c>
      <c r="AG44" s="2"/>
      <c r="AH44" s="2">
        <v>50</v>
      </c>
      <c r="AI44" s="2">
        <v>7</v>
      </c>
      <c r="AJ44" s="2">
        <v>41</v>
      </c>
      <c r="AK44" s="2">
        <v>2</v>
      </c>
      <c r="AL44" s="2">
        <v>0.817633856899831</v>
      </c>
      <c r="AM44" s="2"/>
    </row>
    <row r="45" spans="31:39">
      <c r="AE45" s="3"/>
      <c r="AF45" s="2" t="s">
        <v>108</v>
      </c>
      <c r="AG45" s="2"/>
      <c r="AH45" s="2">
        <v>2</v>
      </c>
      <c r="AI45" s="2">
        <v>1</v>
      </c>
      <c r="AJ45" s="2">
        <v>1</v>
      </c>
      <c r="AK45" s="2">
        <v>0</v>
      </c>
      <c r="AL45" s="2">
        <v>1</v>
      </c>
      <c r="AM45" s="2"/>
    </row>
    <row r="46" spans="31:39">
      <c r="AE46" s="3"/>
      <c r="AF46" s="14" t="s">
        <v>56</v>
      </c>
      <c r="AG46" s="2" t="s">
        <v>30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14">
        <v>-0.182366143100169</v>
      </c>
    </row>
    <row r="47" spans="31:39">
      <c r="AE47" s="3"/>
      <c r="AF47" s="15"/>
      <c r="AG47" s="2" t="s">
        <v>22</v>
      </c>
      <c r="AH47" s="2">
        <v>2</v>
      </c>
      <c r="AI47" s="2">
        <v>1</v>
      </c>
      <c r="AJ47" s="2">
        <v>1</v>
      </c>
      <c r="AK47" s="2">
        <v>0</v>
      </c>
      <c r="AL47" s="2">
        <v>1</v>
      </c>
      <c r="AM47" s="15"/>
    </row>
    <row r="48" spans="31:39">
      <c r="AE48" s="3"/>
      <c r="AF48" s="16"/>
      <c r="AG48" s="2" t="s">
        <v>31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16"/>
    </row>
    <row r="49" spans="31:31">
      <c r="AE49" s="8"/>
    </row>
    <row r="50" spans="31:39">
      <c r="AE50" s="8"/>
      <c r="AF50" s="2" t="s">
        <v>51</v>
      </c>
      <c r="AG50" s="2" t="s">
        <v>20</v>
      </c>
      <c r="AH50" s="2">
        <v>2</v>
      </c>
      <c r="AI50" s="2">
        <v>1</v>
      </c>
      <c r="AJ50" s="2">
        <v>1</v>
      </c>
      <c r="AK50" s="2">
        <v>0</v>
      </c>
      <c r="AL50" s="2">
        <v>1</v>
      </c>
      <c r="AM50" s="4">
        <v>-0.182366143100169</v>
      </c>
    </row>
    <row r="51" spans="31:39">
      <c r="AE51" s="8"/>
      <c r="AF51" s="2"/>
      <c r="AG51" s="2" t="s">
        <v>52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6"/>
    </row>
    <row r="52" spans="31:39">
      <c r="AE52" s="8"/>
      <c r="AF52" s="2"/>
      <c r="AG52" s="2" t="s">
        <v>53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5"/>
    </row>
    <row r="53" spans="31:31">
      <c r="AE53" s="8"/>
    </row>
    <row r="54" spans="31:31">
      <c r="AE54" s="8"/>
    </row>
  </sheetData>
  <mergeCells count="78">
    <mergeCell ref="B1:C1"/>
    <mergeCell ref="L1:M1"/>
    <mergeCell ref="V1:W1"/>
    <mergeCell ref="AF1:AG1"/>
    <mergeCell ref="B2:C2"/>
    <mergeCell ref="L2:M2"/>
    <mergeCell ref="V2:W2"/>
    <mergeCell ref="AF2:AG2"/>
    <mergeCell ref="B3:C3"/>
    <mergeCell ref="L3:M3"/>
    <mergeCell ref="V3:W3"/>
    <mergeCell ref="AF3:AG3"/>
    <mergeCell ref="AF25:AG25"/>
    <mergeCell ref="AF26:AG26"/>
    <mergeCell ref="AF27:AG27"/>
    <mergeCell ref="AF43:AG43"/>
    <mergeCell ref="AF44:AG44"/>
    <mergeCell ref="AF45:AG45"/>
    <mergeCell ref="A2:A20"/>
    <mergeCell ref="B4:B5"/>
    <mergeCell ref="B6:B8"/>
    <mergeCell ref="B9:B11"/>
    <mergeCell ref="B12:B14"/>
    <mergeCell ref="B15:B17"/>
    <mergeCell ref="B18:B20"/>
    <mergeCell ref="B25:B27"/>
    <mergeCell ref="I4:I5"/>
    <mergeCell ref="I6:I8"/>
    <mergeCell ref="I9:I11"/>
    <mergeCell ref="I12:I14"/>
    <mergeCell ref="I15:I17"/>
    <mergeCell ref="I18:I20"/>
    <mergeCell ref="I25:I27"/>
    <mergeCell ref="K2:K18"/>
    <mergeCell ref="L4:L6"/>
    <mergeCell ref="L7:L9"/>
    <mergeCell ref="L10:L12"/>
    <mergeCell ref="L13:L15"/>
    <mergeCell ref="L16:L18"/>
    <mergeCell ref="L25:L26"/>
    <mergeCell ref="S4:S6"/>
    <mergeCell ref="S7:S9"/>
    <mergeCell ref="S10:S12"/>
    <mergeCell ref="S13:S15"/>
    <mergeCell ref="S16:S18"/>
    <mergeCell ref="S25:S26"/>
    <mergeCell ref="U2:U15"/>
    <mergeCell ref="V4:V6"/>
    <mergeCell ref="V7:V9"/>
    <mergeCell ref="V10:V12"/>
    <mergeCell ref="V13:V15"/>
    <mergeCell ref="V25:V27"/>
    <mergeCell ref="AC4:AC6"/>
    <mergeCell ref="AC7:AC9"/>
    <mergeCell ref="AC10:AC12"/>
    <mergeCell ref="AC13:AC15"/>
    <mergeCell ref="AC25:AC27"/>
    <mergeCell ref="AE2:AE12"/>
    <mergeCell ref="AE26:AE33"/>
    <mergeCell ref="AE44:AE48"/>
    <mergeCell ref="AF4:AF6"/>
    <mergeCell ref="AF7:AF9"/>
    <mergeCell ref="AF10:AF12"/>
    <mergeCell ref="AF18:AF20"/>
    <mergeCell ref="AF28:AF30"/>
    <mergeCell ref="AF31:AF33"/>
    <mergeCell ref="AF38:AF40"/>
    <mergeCell ref="AF46:AF48"/>
    <mergeCell ref="AF50:AF52"/>
    <mergeCell ref="AM4:AM6"/>
    <mergeCell ref="AM7:AM9"/>
    <mergeCell ref="AM10:AM12"/>
    <mergeCell ref="AM18:AM20"/>
    <mergeCell ref="AM28:AM30"/>
    <mergeCell ref="AM31:AM33"/>
    <mergeCell ref="AM38:AM40"/>
    <mergeCell ref="AM46:AM48"/>
    <mergeCell ref="AM50:AM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Node 1</vt:lpstr>
      <vt:lpstr>Node 2 Dan 3</vt:lpstr>
      <vt:lpstr>Node 4,5, dan 13</vt:lpstr>
      <vt:lpstr>Node 6,7</vt:lpstr>
      <vt:lpstr>Node 8,9,10,11,12</vt:lpstr>
      <vt:lpstr>Node 14,15,16</vt:lpstr>
      <vt:lpstr>Node 17,18,19,20</vt:lpstr>
      <vt:lpstr>Node 21,22,23,24,25,26</vt:lpstr>
      <vt:lpstr>Node 27,28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Firda</dc:creator>
  <cp:lastModifiedBy>nu99etz</cp:lastModifiedBy>
  <dcterms:created xsi:type="dcterms:W3CDTF">2021-05-13T03:18:00Z</dcterms:created>
  <dcterms:modified xsi:type="dcterms:W3CDTF">2021-05-16T23:59:29Z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