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:\Downloads\Biofilm-NUFEB\"/>
    </mc:Choice>
  </mc:AlternateContent>
  <bookViews>
    <workbookView xWindow="0" yWindow="0" windowWidth="19200" windowHeight="11595" activeTab="1"/>
  </bookViews>
  <sheets>
    <sheet name="Reactions" sheetId="18" r:id="rId1"/>
    <sheet name="ReactionMatrix" sheetId="9" r:id="rId2"/>
    <sheet name="SpecParam" sheetId="13" r:id="rId3"/>
    <sheet name="States" sheetId="11" r:id="rId4"/>
    <sheet name="ThermoParam" sheetId="17" r:id="rId5"/>
    <sheet name="Bacteria" sheetId="14" r:id="rId6"/>
    <sheet name="Parameters" sheetId="12" r:id="rId7"/>
    <sheet name="Discretization" sheetId="15" r:id="rId8"/>
    <sheet name="Diffusion" sheetId="16" r:id="rId9"/>
  </sheets>
  <calcPr calcId="162913"/>
</workbook>
</file>

<file path=xl/calcChain.xml><?xml version="1.0" encoding="utf-8"?>
<calcChain xmlns="http://schemas.openxmlformats.org/spreadsheetml/2006/main">
  <c r="C11" i="9" l="1"/>
  <c r="C10" i="9"/>
  <c r="B7" i="11" l="1"/>
  <c r="B2" i="16" l="1"/>
  <c r="B5" i="16" l="1"/>
  <c r="B4" i="16"/>
  <c r="B3" i="16"/>
  <c r="B1" i="16"/>
  <c r="B1" i="11" l="1"/>
  <c r="B2" i="11"/>
  <c r="B6" i="11" s="1"/>
  <c r="B8" i="11" s="1"/>
  <c r="B2" i="13" l="1"/>
  <c r="B11" i="9"/>
  <c r="B10" i="9"/>
  <c r="B4" i="9"/>
  <c r="B5" i="9"/>
  <c r="B6" i="9"/>
  <c r="B3" i="9"/>
  <c r="U21" i="18"/>
  <c r="U22" i="18" s="1"/>
  <c r="S21" i="18"/>
  <c r="S22" i="18" s="1"/>
  <c r="C4" i="18" s="1"/>
  <c r="U18" i="18"/>
  <c r="S18" i="18"/>
  <c r="U17" i="18"/>
  <c r="S17" i="18"/>
  <c r="U16" i="18"/>
  <c r="S16" i="18"/>
  <c r="U15" i="18"/>
  <c r="S15" i="18"/>
  <c r="U14" i="18"/>
  <c r="S14" i="18"/>
  <c r="F14" i="18"/>
  <c r="E14" i="18"/>
  <c r="U13" i="18"/>
  <c r="S13" i="18"/>
  <c r="U12" i="18"/>
  <c r="S12" i="18"/>
  <c r="V11" i="18"/>
  <c r="V10" i="18"/>
  <c r="V9" i="18"/>
  <c r="V8" i="18"/>
  <c r="V7" i="18"/>
  <c r="C6" i="9" s="1"/>
  <c r="V6" i="18"/>
  <c r="C5" i="9" s="1"/>
  <c r="V5" i="18"/>
  <c r="C4" i="9" s="1"/>
  <c r="T4" i="18"/>
  <c r="T16" i="18" s="1"/>
  <c r="V4" i="18" l="1"/>
  <c r="V16" i="18" s="1"/>
  <c r="E4" i="18"/>
  <c r="E2" i="13" s="1"/>
  <c r="T12" i="18"/>
  <c r="T13" i="18"/>
  <c r="T15" i="18"/>
  <c r="T17" i="18"/>
  <c r="T18" i="18"/>
  <c r="T21" i="18"/>
  <c r="T22" i="18" s="1"/>
  <c r="V13" i="18"/>
  <c r="T14" i="18"/>
  <c r="V15" i="18"/>
  <c r="V18" i="18"/>
  <c r="V17" i="18" l="1"/>
  <c r="V12" i="18"/>
  <c r="V21" i="18"/>
  <c r="V22" i="18" s="1"/>
  <c r="D4" i="18" s="1"/>
  <c r="F4" i="18" s="1"/>
  <c r="G4" i="18" s="1"/>
  <c r="F2" i="13" s="1"/>
  <c r="C3" i="9"/>
  <c r="V14" i="18"/>
  <c r="B8" i="15" l="1"/>
  <c r="B6" i="15" l="1"/>
  <c r="B9" i="15" l="1"/>
  <c r="B10" i="15" l="1"/>
  <c r="B11" i="15" l="1"/>
  <c r="B4" i="15" l="1"/>
  <c r="B3" i="14" l="1"/>
  <c r="B2" i="15" l="1"/>
  <c r="B5" i="12" s="1"/>
  <c r="B6" i="12" s="1"/>
  <c r="B6" i="14" l="1"/>
  <c r="B5" i="15"/>
  <c r="B4" i="14" l="1"/>
  <c r="B1" i="14" s="1"/>
  <c r="B3" i="15" l="1"/>
  <c r="B2" i="14" l="1"/>
  <c r="B9" i="14" l="1"/>
  <c r="B8" i="14"/>
  <c r="B2" i="12" l="1"/>
</calcChain>
</file>

<file path=xl/comments1.xml><?xml version="1.0" encoding="utf-8"?>
<comments xmlns="http://schemas.openxmlformats.org/spreadsheetml/2006/main">
  <authors>
    <author>Rebeca Gonzalez-Cabaleiro</author>
  </authors>
  <commentList>
    <comment ref="B3" authorId="0" shapeId="0">
      <text>
        <r>
          <rPr>
            <b/>
            <sz val="9"/>
            <color indexed="81"/>
            <rFont val="Tahoma"/>
            <charset val="1"/>
          </rPr>
          <t>Rebeca Gonzalez-Cabaleiro:</t>
        </r>
        <r>
          <rPr>
            <sz val="9"/>
            <color indexed="81"/>
            <rFont val="Tahoma"/>
            <charset val="1"/>
          </rPr>
          <t xml:space="preserve">
The smallest division of Kreft</t>
        </r>
      </text>
    </comment>
  </commentList>
</comments>
</file>

<file path=xl/sharedStrings.xml><?xml version="1.0" encoding="utf-8"?>
<sst xmlns="http://schemas.openxmlformats.org/spreadsheetml/2006/main" count="289" uniqueCount="121">
  <si>
    <t>P</t>
  </si>
  <si>
    <t>T</t>
  </si>
  <si>
    <t>K</t>
  </si>
  <si>
    <t>S</t>
  </si>
  <si>
    <t>Cat</t>
  </si>
  <si>
    <t>Anab</t>
  </si>
  <si>
    <t>mol/L</t>
  </si>
  <si>
    <t>Vr</t>
  </si>
  <si>
    <t>L</t>
  </si>
  <si>
    <t>-</t>
  </si>
  <si>
    <t>pH</t>
  </si>
  <si>
    <t>Rth</t>
  </si>
  <si>
    <t>kJ/molK</t>
  </si>
  <si>
    <t>Rg</t>
  </si>
  <si>
    <t>atm·L/mol·K</t>
  </si>
  <si>
    <t>bar</t>
  </si>
  <si>
    <t>G</t>
  </si>
  <si>
    <t>gO2</t>
  </si>
  <si>
    <t>Vgas</t>
  </si>
  <si>
    <t>Ks</t>
  </si>
  <si>
    <t>H2O</t>
  </si>
  <si>
    <t>H</t>
  </si>
  <si>
    <t>bac_mmax</t>
  </si>
  <si>
    <t>g</t>
  </si>
  <si>
    <t>m</t>
  </si>
  <si>
    <t>bac_rho</t>
  </si>
  <si>
    <t>bac_MW</t>
  </si>
  <si>
    <t>g/mol</t>
  </si>
  <si>
    <t>bac_nmax</t>
  </si>
  <si>
    <t>k</t>
  </si>
  <si>
    <t>s_dist</t>
  </si>
  <si>
    <t>overlap</t>
  </si>
  <si>
    <t>bac_rmax</t>
  </si>
  <si>
    <t>nx</t>
  </si>
  <si>
    <t>maxx</t>
  </si>
  <si>
    <t>m2/h</t>
  </si>
  <si>
    <t>maxT</t>
  </si>
  <si>
    <t>h</t>
  </si>
  <si>
    <t>dT</t>
  </si>
  <si>
    <t>dT_bac</t>
  </si>
  <si>
    <t>dT_Print</t>
  </si>
  <si>
    <t>Inf</t>
  </si>
  <si>
    <t>NA</t>
  </si>
  <si>
    <t>DGdis</t>
  </si>
  <si>
    <t>FORMS</t>
  </si>
  <si>
    <t>Kdec</t>
  </si>
  <si>
    <t>bac_mmin</t>
  </si>
  <si>
    <t>Decay</t>
  </si>
  <si>
    <t>O2</t>
  </si>
  <si>
    <t>Diff_O2</t>
  </si>
  <si>
    <t>kLa_O2</t>
  </si>
  <si>
    <r>
      <t>h</t>
    </r>
    <r>
      <rPr>
        <i/>
        <vertAlign val="superscript"/>
        <sz val="10"/>
        <color theme="0" tint="-0.34998626667073579"/>
        <rFont val="Arial"/>
        <family val="2"/>
      </rPr>
      <t>-1</t>
    </r>
  </si>
  <si>
    <t>Yield</t>
  </si>
  <si>
    <t>Maintenance</t>
  </si>
  <si>
    <t>Tol</t>
  </si>
  <si>
    <t>g/m3</t>
  </si>
  <si>
    <t>dx</t>
  </si>
  <si>
    <t>T_blayer</t>
  </si>
  <si>
    <t>dz</t>
  </si>
  <si>
    <t>dT_kin</t>
  </si>
  <si>
    <t>eD</t>
  </si>
  <si>
    <t>q_max</t>
  </si>
  <si>
    <t>gN2</t>
  </si>
  <si>
    <t>Name</t>
  </si>
  <si>
    <t>Constant</t>
  </si>
  <si>
    <t>Value</t>
  </si>
  <si>
    <t>Units</t>
  </si>
  <si>
    <t>Functional Group</t>
  </si>
  <si>
    <r>
      <rPr>
        <sz val="12"/>
        <color theme="1"/>
        <rFont val="Symbol"/>
        <family val="1"/>
        <charset val="2"/>
      </rPr>
      <t>D</t>
    </r>
    <r>
      <rPr>
        <sz val="12"/>
        <color theme="1"/>
        <rFont val="Arial"/>
        <family val="2"/>
      </rPr>
      <t>G</t>
    </r>
    <r>
      <rPr>
        <vertAlign val="superscript"/>
        <sz val="12"/>
        <color theme="1"/>
        <rFont val="Arial"/>
        <family val="2"/>
      </rPr>
      <t>01</t>
    </r>
    <r>
      <rPr>
        <vertAlign val="subscript"/>
        <sz val="12"/>
        <color theme="1"/>
        <rFont val="Arial"/>
        <family val="2"/>
      </rPr>
      <t>cat</t>
    </r>
    <r>
      <rPr>
        <sz val="12"/>
        <color theme="1"/>
        <rFont val="Arial"/>
        <family val="2"/>
      </rPr>
      <t xml:space="preserve"> (kJ/moleDonor)</t>
    </r>
  </si>
  <si>
    <r>
      <rPr>
        <sz val="12"/>
        <color theme="1"/>
        <rFont val="Symbol"/>
        <family val="1"/>
        <charset val="2"/>
      </rPr>
      <t>D</t>
    </r>
    <r>
      <rPr>
        <sz val="12"/>
        <color theme="1"/>
        <rFont val="Arial"/>
        <family val="2"/>
      </rPr>
      <t>G</t>
    </r>
    <r>
      <rPr>
        <vertAlign val="superscript"/>
        <sz val="12"/>
        <color theme="1"/>
        <rFont val="Arial"/>
        <family val="2"/>
      </rPr>
      <t>01</t>
    </r>
    <r>
      <rPr>
        <vertAlign val="subscript"/>
        <sz val="12"/>
        <color theme="1"/>
        <rFont val="Arial"/>
        <family val="2"/>
      </rPr>
      <t xml:space="preserve">ana </t>
    </r>
    <r>
      <rPr>
        <sz val="12"/>
        <color theme="1"/>
        <rFont val="Arial"/>
        <family val="2"/>
      </rPr>
      <t>(kJ/molX)</t>
    </r>
  </si>
  <si>
    <r>
      <rPr>
        <sz val="12"/>
        <color theme="1"/>
        <rFont val="Symbol"/>
        <family val="1"/>
        <charset val="2"/>
      </rPr>
      <t>D</t>
    </r>
    <r>
      <rPr>
        <sz val="12"/>
        <color theme="1"/>
        <rFont val="Arial"/>
        <family val="2"/>
      </rPr>
      <t>G</t>
    </r>
    <r>
      <rPr>
        <vertAlign val="subscript"/>
        <sz val="12"/>
        <color theme="1"/>
        <rFont val="Arial"/>
        <family val="2"/>
      </rPr>
      <t>dis</t>
    </r>
    <r>
      <rPr>
        <sz val="12"/>
        <color theme="1"/>
        <rFont val="Arial"/>
        <family val="2"/>
      </rPr>
      <t xml:space="preserve"> (kJ/molX)</t>
    </r>
  </si>
  <si>
    <t>l</t>
  </si>
  <si>
    <t>Component</t>
  </si>
  <si>
    <r>
      <rPr>
        <sz val="12"/>
        <color theme="1"/>
        <rFont val="Symbol"/>
        <family val="1"/>
        <charset val="2"/>
      </rPr>
      <t>D</t>
    </r>
    <r>
      <rPr>
        <sz val="12"/>
        <color theme="1"/>
        <rFont val="Arial"/>
        <family val="2"/>
      </rPr>
      <t>G</t>
    </r>
    <r>
      <rPr>
        <vertAlign val="superscript"/>
        <sz val="12"/>
        <color theme="1"/>
        <rFont val="Arial"/>
        <family val="2"/>
      </rPr>
      <t>0</t>
    </r>
    <r>
      <rPr>
        <vertAlign val="subscript"/>
        <sz val="12"/>
        <color theme="1"/>
        <rFont val="Arial"/>
        <family val="2"/>
      </rPr>
      <t>formation</t>
    </r>
  </si>
  <si>
    <t>C</t>
  </si>
  <si>
    <t>O</t>
  </si>
  <si>
    <t>N</t>
  </si>
  <si>
    <t>Charge</t>
  </si>
  <si>
    <t>Catabolism</t>
  </si>
  <si>
    <t>Anabolism*</t>
  </si>
  <si>
    <t>Anabolism eD</t>
  </si>
  <si>
    <t>Anabolism Total</t>
  </si>
  <si>
    <t>Faraday</t>
  </si>
  <si>
    <t>F</t>
  </si>
  <si>
    <t>kC/mole</t>
  </si>
  <si>
    <t>Glu</t>
  </si>
  <si>
    <t>Gases Cte.</t>
  </si>
  <si>
    <t>R</t>
  </si>
  <si>
    <t>Temperature</t>
  </si>
  <si>
    <t>NH3</t>
  </si>
  <si>
    <t>HCO3-</t>
  </si>
  <si>
    <t>H+</t>
  </si>
  <si>
    <t>e-</t>
  </si>
  <si>
    <t>Biomass</t>
  </si>
  <si>
    <t>Alberty RA. Thermodynamics of Biochemical Reactions 2003 // Thauer 1977 Energy conservation in chemotrophic anaerobic bact</t>
  </si>
  <si>
    <t>Kleerebezem &amp; van Loosdrecht 2010 Critical Review</t>
  </si>
  <si>
    <t>C-bal</t>
  </si>
  <si>
    <t>eDonor</t>
  </si>
  <si>
    <t>C-Source</t>
  </si>
  <si>
    <t>NoC</t>
  </si>
  <si>
    <t>H-bal</t>
  </si>
  <si>
    <t>Glucose</t>
  </si>
  <si>
    <t>O-bal</t>
  </si>
  <si>
    <t>N-bal</t>
  </si>
  <si>
    <t>P-bal</t>
  </si>
  <si>
    <t>S-bal</t>
  </si>
  <si>
    <t>kJ/mol eDonor</t>
  </si>
  <si>
    <r>
      <rPr>
        <sz val="12"/>
        <color rgb="FFFF0000"/>
        <rFont val="Symbol"/>
        <family val="1"/>
        <charset val="2"/>
      </rPr>
      <t>D</t>
    </r>
    <r>
      <rPr>
        <sz val="12"/>
        <color rgb="FFFF0000"/>
        <rFont val="Arial"/>
        <family val="2"/>
      </rPr>
      <t>G</t>
    </r>
    <r>
      <rPr>
        <vertAlign val="superscript"/>
        <sz val="12"/>
        <color rgb="FFFF0000"/>
        <rFont val="Arial"/>
        <family val="2"/>
      </rPr>
      <t>0</t>
    </r>
  </si>
  <si>
    <t>pH 7 correction</t>
  </si>
  <si>
    <r>
      <rPr>
        <sz val="12"/>
        <color rgb="FFFF0000"/>
        <rFont val="Symbol"/>
        <family val="1"/>
        <charset val="2"/>
      </rPr>
      <t>D</t>
    </r>
    <r>
      <rPr>
        <sz val="12"/>
        <color rgb="FFFF0000"/>
        <rFont val="Arial"/>
        <family val="2"/>
      </rPr>
      <t>G</t>
    </r>
    <r>
      <rPr>
        <vertAlign val="superscript"/>
        <sz val="12"/>
        <color rgb="FFFF0000"/>
        <rFont val="Arial"/>
        <family val="2"/>
      </rPr>
      <t xml:space="preserve">01 </t>
    </r>
  </si>
  <si>
    <t>Aerobic Heterotrophs Glucose</t>
  </si>
  <si>
    <t>AcH</t>
  </si>
  <si>
    <t>XHetGlu</t>
  </si>
  <si>
    <t>`</t>
  </si>
  <si>
    <t>gCO2</t>
  </si>
  <si>
    <t>CO2</t>
  </si>
  <si>
    <t>Diff_Glu</t>
  </si>
  <si>
    <t>Diff_AcH</t>
  </si>
  <si>
    <t>Diff_NH3</t>
  </si>
  <si>
    <t>Diff_CO2</t>
  </si>
  <si>
    <t>kLa_CO2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</si>
</sst>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_-[$€]* #,##0.00_-;\-[$€]* #,##0.00_-;_-[$€]* &quot;-&quot;??_-;_-@_-"/>
    <numFmt numFmtId="165" formatCode="_-* #,##0\ &quot;pta&quot;_-;\-* #,##0\ &quot;pta&quot;_-;_-* &quot;-&quot;\ &quot;pta&quot;_-;_-@_-"/>
    <numFmt numFmtId="166" formatCode="_-* #,##0\ _p_t_a_-;\-* #,##0\ _p_t_a_-;_-* &quot;-&quot;\ _p_t_a_-;_-@_-"/>
    <numFmt numFmtId="167" formatCode="_-* #,##0.00\ &quot;pta&quot;_-;\-* #,##0.00\ &quot;pta&quot;_-;_-* &quot;-&quot;??\ &quot;pta&quot;_-;_-@_-"/>
    <numFmt numFmtId="168" formatCode="_-* #,##0.00\ _p_t_a_-;\-* #,##0.00\ _p_t_a_-;_-* &quot;-&quot;??\ _p_t_a_-;_-@_-"/>
    <numFmt numFmtId="169" formatCode="0.000"/>
    <numFmt numFmtId="170" formatCode="0.0"/>
  </numFmts>
  <fonts count="35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sz val="10"/>
      <color rgb="FFFF0000"/>
      <name val="Arial"/>
      <family val="2"/>
    </font>
    <font>
      <sz val="10"/>
      <color theme="0" tint="-0.34998626667073579"/>
      <name val="Arial"/>
      <family val="2"/>
    </font>
    <font>
      <i/>
      <sz val="10"/>
      <color theme="0" tint="-0.34998626667073579"/>
      <name val="Arial"/>
      <family val="2"/>
    </font>
    <font>
      <b/>
      <i/>
      <sz val="10"/>
      <name val="Calibri"/>
      <family val="2"/>
      <scheme val="minor"/>
    </font>
    <font>
      <sz val="11"/>
      <name val="Times New Roman"/>
      <family val="1"/>
    </font>
    <font>
      <b/>
      <i/>
      <sz val="10"/>
      <name val="Times New Roman"/>
      <family val="1"/>
    </font>
    <font>
      <b/>
      <i/>
      <sz val="10"/>
      <color theme="0" tint="-0.499984740745262"/>
      <name val="Arial"/>
      <family val="2"/>
    </font>
    <font>
      <b/>
      <sz val="10"/>
      <name val="Times New Roman"/>
      <family val="1"/>
    </font>
    <font>
      <i/>
      <vertAlign val="superscript"/>
      <sz val="10"/>
      <color theme="0" tint="-0.34998626667073579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Symbol"/>
      <family val="1"/>
      <charset val="2"/>
    </font>
    <font>
      <vertAlign val="superscript"/>
      <sz val="12"/>
      <color theme="1"/>
      <name val="Arial"/>
      <family val="2"/>
    </font>
    <font>
      <vertAlign val="subscript"/>
      <sz val="12"/>
      <color theme="1"/>
      <name val="Arial"/>
      <family val="2"/>
    </font>
    <font>
      <i/>
      <sz val="11"/>
      <color theme="1"/>
      <name val="Arial"/>
      <family val="2"/>
    </font>
    <font>
      <sz val="12"/>
      <name val="Arial"/>
      <family val="2"/>
    </font>
    <font>
      <b/>
      <sz val="11"/>
      <color rgb="FF002060"/>
      <name val="Arial"/>
      <family val="2"/>
    </font>
    <font>
      <sz val="11"/>
      <color theme="1"/>
      <name val="Symbol"/>
      <family val="1"/>
      <charset val="2"/>
    </font>
    <font>
      <i/>
      <sz val="11"/>
      <color rgb="FFFF0000"/>
      <name val="Arial"/>
      <family val="2"/>
    </font>
    <font>
      <sz val="11"/>
      <color rgb="FFFF0000"/>
      <name val="Arial"/>
      <family val="2"/>
    </font>
    <font>
      <sz val="12"/>
      <color rgb="FFFF0000"/>
      <name val="Calibri"/>
      <family val="2"/>
    </font>
    <font>
      <sz val="12"/>
      <color rgb="FFFF0000"/>
      <name val="Symbol"/>
      <family val="1"/>
      <charset val="2"/>
    </font>
    <font>
      <sz val="12"/>
      <color rgb="FFFF0000"/>
      <name val="Arial"/>
      <family val="2"/>
    </font>
    <font>
      <vertAlign val="superscript"/>
      <sz val="12"/>
      <color rgb="FFFF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E8B9FF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3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8">
    <xf numFmtId="0" fontId="0" fillId="0" borderId="0"/>
    <xf numFmtId="164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0" fontId="2" fillId="0" borderId="0"/>
    <xf numFmtId="0" fontId="1" fillId="0" borderId="0"/>
  </cellStyleXfs>
  <cellXfs count="228">
    <xf numFmtId="0" fontId="0" fillId="0" borderId="0" xfId="0"/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" fillId="0" borderId="0" xfId="0" applyFont="1"/>
    <xf numFmtId="0" fontId="5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17" xfId="0" applyFont="1" applyFill="1" applyBorder="1" applyAlignment="1">
      <alignment horizontal="center" vertical="center"/>
    </xf>
    <xf numFmtId="11" fontId="0" fillId="0" borderId="0" xfId="0" applyNumberFormat="1"/>
    <xf numFmtId="0" fontId="0" fillId="0" borderId="17" xfId="0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11" fontId="0" fillId="0" borderId="6" xfId="0" applyNumberFormat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6" fillId="0" borderId="0" xfId="0" applyFont="1"/>
    <xf numFmtId="0" fontId="4" fillId="0" borderId="5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169" fontId="0" fillId="0" borderId="16" xfId="0" applyNumberFormat="1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9" fillId="3" borderId="6" xfId="6" applyFont="1" applyFill="1" applyBorder="1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11" fontId="0" fillId="0" borderId="2" xfId="0" applyNumberFormat="1" applyBorder="1" applyAlignment="1">
      <alignment horizontal="center" vertical="center"/>
    </xf>
    <xf numFmtId="11" fontId="0" fillId="0" borderId="17" xfId="0" applyNumberFormat="1" applyBorder="1" applyAlignment="1">
      <alignment horizontal="center" vertical="center"/>
    </xf>
    <xf numFmtId="11" fontId="0" fillId="0" borderId="0" xfId="0" applyNumberForma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9" fillId="0" borderId="0" xfId="6" applyFont="1" applyFill="1" applyBorder="1" applyAlignment="1">
      <alignment horizontal="center"/>
    </xf>
    <xf numFmtId="0" fontId="0" fillId="0" borderId="0" xfId="0" applyFill="1"/>
    <xf numFmtId="11" fontId="0" fillId="0" borderId="23" xfId="0" applyNumberForma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21" xfId="0" applyFont="1" applyFill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1" fontId="10" fillId="0" borderId="1" xfId="6" applyNumberFormat="1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1" fontId="10" fillId="0" borderId="13" xfId="0" applyNumberFormat="1" applyFont="1" applyBorder="1" applyAlignment="1">
      <alignment horizontal="center" vertical="center"/>
    </xf>
    <xf numFmtId="11" fontId="10" fillId="0" borderId="1" xfId="6" applyNumberFormat="1" applyFont="1" applyFill="1" applyBorder="1" applyAlignment="1">
      <alignment horizontal="center" vertical="center"/>
    </xf>
    <xf numFmtId="0" fontId="5" fillId="4" borderId="28" xfId="0" applyFont="1" applyFill="1" applyBorder="1" applyAlignment="1">
      <alignment horizontal="center"/>
    </xf>
    <xf numFmtId="0" fontId="0" fillId="4" borderId="29" xfId="0" applyFill="1" applyBorder="1" applyAlignment="1">
      <alignment horizontal="center"/>
    </xf>
    <xf numFmtId="0" fontId="10" fillId="4" borderId="29" xfId="0" applyFont="1" applyFill="1" applyBorder="1" applyAlignment="1">
      <alignment horizontal="center" vertical="center"/>
    </xf>
    <xf numFmtId="0" fontId="0" fillId="0" borderId="0" xfId="0" applyBorder="1"/>
    <xf numFmtId="11" fontId="0" fillId="0" borderId="0" xfId="0" applyNumberFormat="1" applyBorder="1"/>
    <xf numFmtId="0" fontId="0" fillId="0" borderId="7" xfId="0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1" fontId="10" fillId="0" borderId="18" xfId="6" applyNumberFormat="1" applyFont="1" applyFill="1" applyBorder="1" applyAlignment="1">
      <alignment horizontal="center" vertical="center"/>
    </xf>
    <xf numFmtId="1" fontId="10" fillId="0" borderId="19" xfId="0" applyNumberFormat="1" applyFont="1" applyBorder="1" applyAlignment="1">
      <alignment horizontal="center" vertical="center"/>
    </xf>
    <xf numFmtId="11" fontId="0" fillId="0" borderId="31" xfId="0" applyNumberFormat="1" applyBorder="1" applyAlignment="1">
      <alignment horizontal="center" vertical="center"/>
    </xf>
    <xf numFmtId="0" fontId="4" fillId="0" borderId="32" xfId="0" applyFont="1" applyBorder="1" applyAlignment="1">
      <alignment horizontal="center" vertical="center"/>
    </xf>
    <xf numFmtId="0" fontId="5" fillId="2" borderId="30" xfId="0" applyFont="1" applyFill="1" applyBorder="1" applyAlignment="1">
      <alignment horizontal="center" vertical="center"/>
    </xf>
    <xf numFmtId="0" fontId="0" fillId="0" borderId="0" xfId="0" applyNumberFormat="1"/>
    <xf numFmtId="11" fontId="0" fillId="0" borderId="16" xfId="0" applyNumberFormat="1" applyFill="1" applyBorder="1" applyAlignment="1">
      <alignment horizontal="center" vertical="center"/>
    </xf>
    <xf numFmtId="0" fontId="0" fillId="0" borderId="16" xfId="0" applyNumberFormat="1" applyFill="1" applyBorder="1" applyAlignment="1">
      <alignment horizontal="center" vertical="center"/>
    </xf>
    <xf numFmtId="0" fontId="5" fillId="3" borderId="17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12" fillId="0" borderId="34" xfId="0" applyFont="1" applyBorder="1" applyAlignment="1">
      <alignment horizontal="center" vertical="center"/>
    </xf>
    <xf numFmtId="1" fontId="10" fillId="0" borderId="33" xfId="6" applyNumberFormat="1" applyFont="1" applyFill="1" applyBorder="1" applyAlignment="1">
      <alignment horizontal="center" vertical="center"/>
    </xf>
    <xf numFmtId="1" fontId="10" fillId="0" borderId="22" xfId="6" applyNumberFormat="1" applyFont="1" applyFill="1" applyBorder="1" applyAlignment="1">
      <alignment horizontal="center" vertical="center"/>
    </xf>
    <xf numFmtId="0" fontId="5" fillId="3" borderId="19" xfId="0" applyFont="1" applyFill="1" applyBorder="1" applyAlignment="1">
      <alignment horizontal="center" vertical="center"/>
    </xf>
    <xf numFmtId="0" fontId="5" fillId="3" borderId="34" xfId="0" applyFont="1" applyFill="1" applyBorder="1" applyAlignment="1">
      <alignment horizontal="center" vertical="center"/>
    </xf>
    <xf numFmtId="0" fontId="1" fillId="0" borderId="0" xfId="7"/>
    <xf numFmtId="169" fontId="1" fillId="0" borderId="0" xfId="7" applyNumberFormat="1"/>
    <xf numFmtId="0" fontId="19" fillId="6" borderId="16" xfId="7" applyFont="1" applyFill="1" applyBorder="1" applyAlignment="1">
      <alignment horizontal="left" vertical="center"/>
    </xf>
    <xf numFmtId="0" fontId="18" fillId="6" borderId="25" xfId="7" applyFont="1" applyFill="1" applyBorder="1" applyAlignment="1">
      <alignment horizontal="center" vertical="center"/>
    </xf>
    <xf numFmtId="0" fontId="19" fillId="6" borderId="12" xfId="7" applyFont="1" applyFill="1" applyBorder="1" applyAlignment="1">
      <alignment horizontal="center" vertical="center"/>
    </xf>
    <xf numFmtId="0" fontId="20" fillId="6" borderId="16" xfId="7" applyFont="1" applyFill="1" applyBorder="1" applyAlignment="1">
      <alignment horizontal="center"/>
    </xf>
    <xf numFmtId="0" fontId="21" fillId="5" borderId="25" xfId="7" applyFont="1" applyFill="1" applyBorder="1" applyAlignment="1">
      <alignment horizontal="center"/>
    </xf>
    <xf numFmtId="0" fontId="22" fillId="5" borderId="25" xfId="7" applyFont="1" applyFill="1" applyBorder="1" applyAlignment="1">
      <alignment horizontal="center"/>
    </xf>
    <xf numFmtId="169" fontId="20" fillId="5" borderId="12" xfId="7" applyNumberFormat="1" applyFont="1" applyFill="1" applyBorder="1" applyAlignment="1">
      <alignment horizontal="center"/>
    </xf>
    <xf numFmtId="0" fontId="21" fillId="5" borderId="16" xfId="7" applyFont="1" applyFill="1" applyBorder="1" applyAlignment="1">
      <alignment horizontal="center" vertical="center"/>
    </xf>
    <xf numFmtId="0" fontId="21" fillId="5" borderId="16" xfId="7" applyFont="1" applyFill="1" applyBorder="1" applyAlignment="1">
      <alignment horizontal="center"/>
    </xf>
    <xf numFmtId="0" fontId="22" fillId="7" borderId="16" xfId="7" applyFont="1" applyFill="1" applyBorder="1" applyAlignment="1">
      <alignment horizontal="center"/>
    </xf>
    <xf numFmtId="0" fontId="21" fillId="6" borderId="16" xfId="7" applyFont="1" applyFill="1" applyBorder="1" applyAlignment="1">
      <alignment horizontal="center"/>
    </xf>
    <xf numFmtId="0" fontId="17" fillId="6" borderId="16" xfId="7" applyFont="1" applyFill="1" applyBorder="1" applyAlignment="1">
      <alignment horizontal="center"/>
    </xf>
    <xf numFmtId="0" fontId="21" fillId="8" borderId="16" xfId="7" applyFont="1" applyFill="1" applyBorder="1" applyAlignment="1">
      <alignment horizontal="center" vertical="center"/>
    </xf>
    <xf numFmtId="0" fontId="21" fillId="9" borderId="16" xfId="7" applyFont="1" applyFill="1" applyBorder="1" applyAlignment="1">
      <alignment horizontal="center" vertical="center"/>
    </xf>
    <xf numFmtId="0" fontId="21" fillId="10" borderId="16" xfId="7" applyFont="1" applyFill="1" applyBorder="1" applyAlignment="1">
      <alignment horizontal="center" vertical="center"/>
    </xf>
    <xf numFmtId="0" fontId="25" fillId="0" borderId="0" xfId="7" applyFont="1" applyAlignment="1">
      <alignment vertical="center"/>
    </xf>
    <xf numFmtId="0" fontId="18" fillId="0" borderId="0" xfId="7" applyFont="1" applyAlignment="1">
      <alignment horizontal="center" vertical="center"/>
    </xf>
    <xf numFmtId="0" fontId="21" fillId="0" borderId="16" xfId="7" applyFont="1" applyBorder="1" applyAlignment="1">
      <alignment horizontal="center"/>
    </xf>
    <xf numFmtId="2" fontId="18" fillId="0" borderId="25" xfId="7" applyNumberFormat="1" applyFont="1" applyBorder="1" applyAlignment="1">
      <alignment horizontal="center" vertical="center"/>
    </xf>
    <xf numFmtId="2" fontId="18" fillId="0" borderId="25" xfId="7" applyNumberFormat="1" applyFont="1" applyBorder="1" applyAlignment="1">
      <alignment horizontal="center"/>
    </xf>
    <xf numFmtId="169" fontId="19" fillId="0" borderId="12" xfId="7" applyNumberFormat="1" applyFont="1" applyBorder="1" applyAlignment="1">
      <alignment horizontal="center" vertical="center"/>
    </xf>
    <xf numFmtId="0" fontId="26" fillId="0" borderId="17" xfId="7" applyFont="1" applyBorder="1" applyAlignment="1" applyProtection="1">
      <alignment horizontal="center"/>
    </xf>
    <xf numFmtId="0" fontId="26" fillId="0" borderId="1" xfId="7" applyFont="1" applyBorder="1" applyAlignment="1" applyProtection="1">
      <alignment horizontal="center"/>
    </xf>
    <xf numFmtId="0" fontId="26" fillId="0" borderId="0" xfId="7" applyFont="1" applyBorder="1" applyAlignment="1" applyProtection="1">
      <alignment horizontal="center"/>
    </xf>
    <xf numFmtId="0" fontId="27" fillId="0" borderId="3" xfId="7" applyFont="1" applyBorder="1"/>
    <xf numFmtId="0" fontId="18" fillId="0" borderId="0" xfId="7" applyFont="1" applyBorder="1"/>
    <xf numFmtId="0" fontId="27" fillId="0" borderId="1" xfId="7" applyFont="1" applyBorder="1"/>
    <xf numFmtId="0" fontId="26" fillId="0" borderId="2" xfId="7" applyFont="1" applyBorder="1" applyAlignment="1" applyProtection="1">
      <alignment horizontal="center"/>
    </xf>
    <xf numFmtId="0" fontId="25" fillId="0" borderId="0" xfId="7" applyFont="1"/>
    <xf numFmtId="0" fontId="18" fillId="0" borderId="0" xfId="7" applyFont="1" applyFill="1" applyBorder="1" applyAlignment="1">
      <alignment horizontal="center" vertical="center"/>
    </xf>
    <xf numFmtId="0" fontId="18" fillId="0" borderId="0" xfId="7" applyFont="1" applyAlignment="1">
      <alignment horizontal="center"/>
    </xf>
    <xf numFmtId="0" fontId="18" fillId="0" borderId="0" xfId="7" applyFont="1"/>
    <xf numFmtId="0" fontId="26" fillId="0" borderId="2" xfId="7" applyFont="1" applyFill="1" applyBorder="1" applyAlignment="1" applyProtection="1">
      <alignment horizontal="center"/>
    </xf>
    <xf numFmtId="0" fontId="18" fillId="0" borderId="1" xfId="7" applyFont="1" applyBorder="1" applyAlignment="1">
      <alignment horizontal="center"/>
    </xf>
    <xf numFmtId="0" fontId="18" fillId="0" borderId="2" xfId="7" applyFont="1" applyBorder="1" applyAlignment="1">
      <alignment horizontal="center"/>
    </xf>
    <xf numFmtId="0" fontId="18" fillId="0" borderId="0" xfId="7" applyFont="1" applyBorder="1" applyAlignment="1">
      <alignment horizontal="center"/>
    </xf>
    <xf numFmtId="0" fontId="21" fillId="0" borderId="2" xfId="7" applyFont="1" applyBorder="1" applyAlignment="1" applyProtection="1">
      <alignment horizontal="center"/>
    </xf>
    <xf numFmtId="2" fontId="1" fillId="0" borderId="0" xfId="7" applyNumberFormat="1"/>
    <xf numFmtId="0" fontId="28" fillId="0" borderId="0" xfId="7" applyFont="1" applyFill="1" applyBorder="1" applyAlignment="1">
      <alignment horizontal="center" vertical="center"/>
    </xf>
    <xf numFmtId="0" fontId="26" fillId="0" borderId="6" xfId="7" applyFont="1" applyFill="1" applyBorder="1" applyAlignment="1" applyProtection="1">
      <alignment horizontal="center"/>
    </xf>
    <xf numFmtId="0" fontId="26" fillId="0" borderId="5" xfId="7" applyFont="1" applyFill="1" applyBorder="1" applyAlignment="1" applyProtection="1">
      <alignment horizontal="center"/>
    </xf>
    <xf numFmtId="170" fontId="26" fillId="0" borderId="4" xfId="7" applyNumberFormat="1" applyFont="1" applyFill="1" applyBorder="1" applyAlignment="1" applyProtection="1">
      <alignment horizontal="center"/>
    </xf>
    <xf numFmtId="0" fontId="27" fillId="0" borderId="26" xfId="7" applyFont="1" applyBorder="1"/>
    <xf numFmtId="0" fontId="18" fillId="0" borderId="24" xfId="7" applyFont="1" applyBorder="1"/>
    <xf numFmtId="0" fontId="27" fillId="0" borderId="27" xfId="7" applyFont="1" applyBorder="1"/>
    <xf numFmtId="0" fontId="30" fillId="0" borderId="17" xfId="7" applyFont="1" applyBorder="1" applyAlignment="1">
      <alignment horizontal="center" vertical="center"/>
    </xf>
    <xf numFmtId="0" fontId="18" fillId="0" borderId="3" xfId="7" applyFont="1" applyBorder="1"/>
    <xf numFmtId="0" fontId="18" fillId="0" borderId="35" xfId="7" applyFont="1" applyBorder="1"/>
    <xf numFmtId="0" fontId="21" fillId="2" borderId="11" xfId="7" applyFont="1" applyFill="1" applyBorder="1" applyAlignment="1">
      <alignment horizontal="center"/>
    </xf>
    <xf numFmtId="0" fontId="21" fillId="2" borderId="25" xfId="7" applyFont="1" applyFill="1" applyBorder="1" applyAlignment="1">
      <alignment horizontal="center"/>
    </xf>
    <xf numFmtId="0" fontId="18" fillId="2" borderId="25" xfId="7" applyFont="1" applyFill="1" applyBorder="1" applyAlignment="1">
      <alignment horizontal="center" vertical="center"/>
    </xf>
    <xf numFmtId="0" fontId="28" fillId="2" borderId="12" xfId="7" applyFont="1" applyFill="1" applyBorder="1" applyAlignment="1">
      <alignment horizontal="center" vertical="center"/>
    </xf>
    <xf numFmtId="0" fontId="30" fillId="0" borderId="2" xfId="7" applyFont="1" applyBorder="1" applyAlignment="1">
      <alignment horizontal="center" vertical="center"/>
    </xf>
    <xf numFmtId="0" fontId="18" fillId="0" borderId="2" xfId="7" applyFont="1" applyBorder="1"/>
    <xf numFmtId="0" fontId="21" fillId="0" borderId="25" xfId="7" applyFont="1" applyBorder="1" applyAlignment="1">
      <alignment horizontal="center"/>
    </xf>
    <xf numFmtId="0" fontId="18" fillId="0" borderId="25" xfId="7" applyFont="1" applyBorder="1" applyAlignment="1">
      <alignment horizontal="center" vertical="center"/>
    </xf>
    <xf numFmtId="0" fontId="18" fillId="0" borderId="12" xfId="7" applyFont="1" applyBorder="1" applyAlignment="1">
      <alignment horizontal="center" vertical="center"/>
    </xf>
    <xf numFmtId="169" fontId="18" fillId="0" borderId="0" xfId="7" applyNumberFormat="1" applyFont="1" applyAlignment="1">
      <alignment horizontal="center" vertical="center"/>
    </xf>
    <xf numFmtId="0" fontId="30" fillId="0" borderId="6" xfId="7" applyFont="1" applyBorder="1" applyAlignment="1">
      <alignment horizontal="center" vertical="center"/>
    </xf>
    <xf numFmtId="0" fontId="18" fillId="0" borderId="7" xfId="7" applyFont="1" applyBorder="1"/>
    <xf numFmtId="0" fontId="31" fillId="0" borderId="17" xfId="7" applyFont="1" applyBorder="1" applyAlignment="1">
      <alignment horizontal="center" vertical="center"/>
    </xf>
    <xf numFmtId="169" fontId="18" fillId="0" borderId="13" xfId="7" applyNumberFormat="1" applyFont="1" applyBorder="1"/>
    <xf numFmtId="169" fontId="18" fillId="0" borderId="14" xfId="7" applyNumberFormat="1" applyFont="1" applyBorder="1"/>
    <xf numFmtId="169" fontId="18" fillId="0" borderId="15" xfId="7" applyNumberFormat="1" applyFont="1" applyBorder="1"/>
    <xf numFmtId="0" fontId="31" fillId="0" borderId="6" xfId="7" applyFont="1" applyBorder="1" applyAlignment="1">
      <alignment horizontal="center" vertical="center"/>
    </xf>
    <xf numFmtId="169" fontId="18" fillId="0" borderId="7" xfId="7" applyNumberFormat="1" applyFont="1" applyBorder="1"/>
    <xf numFmtId="169" fontId="18" fillId="0" borderId="4" xfId="7" applyNumberFormat="1" applyFont="1" applyBorder="1"/>
    <xf numFmtId="169" fontId="18" fillId="0" borderId="5" xfId="7" applyNumberFormat="1" applyFont="1" applyBorder="1"/>
    <xf numFmtId="0" fontId="19" fillId="0" borderId="14" xfId="7" applyFont="1" applyBorder="1" applyAlignment="1">
      <alignment horizontal="center" vertical="center"/>
    </xf>
    <xf numFmtId="0" fontId="5" fillId="3" borderId="13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" fontId="0" fillId="0" borderId="16" xfId="0" applyNumberForma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5" fillId="3" borderId="36" xfId="0" applyFont="1" applyFill="1" applyBorder="1" applyAlignment="1">
      <alignment horizontal="center" vertical="center"/>
    </xf>
    <xf numFmtId="0" fontId="8" fillId="0" borderId="33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11" fontId="2" fillId="0" borderId="2" xfId="0" applyNumberFormat="1" applyFont="1" applyBorder="1" applyAlignment="1">
      <alignment horizontal="center" vertical="center"/>
    </xf>
    <xf numFmtId="11" fontId="2" fillId="0" borderId="17" xfId="0" applyNumberFormat="1" applyFont="1" applyBorder="1" applyAlignment="1">
      <alignment horizontal="center" vertical="center"/>
    </xf>
    <xf numFmtId="11" fontId="2" fillId="0" borderId="35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11" fontId="10" fillId="0" borderId="2" xfId="6" applyNumberFormat="1" applyFont="1" applyFill="1" applyBorder="1" applyAlignment="1">
      <alignment horizontal="center" vertical="center"/>
    </xf>
    <xf numFmtId="1" fontId="10" fillId="0" borderId="35" xfId="6" applyNumberFormat="1" applyFont="1" applyFill="1" applyBorder="1" applyAlignment="1">
      <alignment horizontal="center" vertical="center"/>
    </xf>
    <xf numFmtId="1" fontId="10" fillId="0" borderId="2" xfId="6" applyNumberFormat="1" applyFont="1" applyFill="1" applyBorder="1" applyAlignment="1">
      <alignment horizontal="center" vertical="center"/>
    </xf>
    <xf numFmtId="1" fontId="10" fillId="0" borderId="17" xfId="0" applyNumberFormat="1" applyFont="1" applyBorder="1" applyAlignment="1">
      <alignment horizontal="center" vertical="center"/>
    </xf>
    <xf numFmtId="1" fontId="10" fillId="3" borderId="17" xfId="0" applyNumberFormat="1" applyFont="1" applyFill="1" applyBorder="1" applyAlignment="1" applyProtection="1">
      <alignment horizontal="center" vertical="center"/>
    </xf>
    <xf numFmtId="0" fontId="12" fillId="0" borderId="17" xfId="0" applyFont="1" applyBorder="1" applyAlignment="1">
      <alignment horizontal="center" vertical="center"/>
    </xf>
    <xf numFmtId="11" fontId="10" fillId="0" borderId="17" xfId="6" applyNumberFormat="1" applyFont="1" applyFill="1" applyBorder="1" applyAlignment="1">
      <alignment horizontal="center" vertical="center"/>
    </xf>
    <xf numFmtId="1" fontId="10" fillId="0" borderId="18" xfId="0" applyNumberFormat="1" applyFont="1" applyBorder="1" applyAlignment="1">
      <alignment horizontal="center" vertical="center"/>
    </xf>
    <xf numFmtId="0" fontId="10" fillId="4" borderId="37" xfId="0" applyFont="1" applyFill="1" applyBorder="1" applyAlignment="1">
      <alignment horizontal="center" vertical="center"/>
    </xf>
    <xf numFmtId="0" fontId="10" fillId="4" borderId="32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1" fontId="10" fillId="0" borderId="2" xfId="0" applyNumberFormat="1" applyFont="1" applyBorder="1" applyAlignment="1">
      <alignment horizontal="center" vertical="center"/>
    </xf>
    <xf numFmtId="1" fontId="10" fillId="3" borderId="17" xfId="0" applyNumberFormat="1" applyFont="1" applyFill="1" applyBorder="1" applyAlignment="1">
      <alignment horizontal="center" vertical="center"/>
    </xf>
    <xf numFmtId="1" fontId="10" fillId="0" borderId="6" xfId="0" applyNumberFormat="1" applyFont="1" applyBorder="1" applyAlignment="1">
      <alignment horizontal="center" vertical="center"/>
    </xf>
    <xf numFmtId="1" fontId="10" fillId="0" borderId="9" xfId="6" applyNumberFormat="1" applyFont="1" applyFill="1" applyBorder="1" applyAlignment="1">
      <alignment horizontal="center" vertical="center"/>
    </xf>
    <xf numFmtId="0" fontId="12" fillId="0" borderId="36" xfId="0" applyFont="1" applyBorder="1" applyAlignment="1">
      <alignment horizontal="center" vertical="center"/>
    </xf>
    <xf numFmtId="1" fontId="10" fillId="0" borderId="15" xfId="0" applyNumberFormat="1" applyFont="1" applyBorder="1" applyAlignment="1">
      <alignment horizontal="center" vertical="center"/>
    </xf>
    <xf numFmtId="0" fontId="12" fillId="0" borderId="38" xfId="0" applyFont="1" applyBorder="1" applyAlignment="1">
      <alignment horizontal="center" vertical="center"/>
    </xf>
    <xf numFmtId="1" fontId="10" fillId="0" borderId="5" xfId="0" applyNumberFormat="1" applyFont="1" applyBorder="1" applyAlignment="1">
      <alignment horizontal="center" vertical="center"/>
    </xf>
    <xf numFmtId="2" fontId="10" fillId="0" borderId="2" xfId="6" applyNumberFormat="1" applyFont="1" applyFill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11" fontId="2" fillId="0" borderId="6" xfId="0" applyNumberFormat="1" applyFont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10" fillId="3" borderId="17" xfId="0" applyFont="1" applyFill="1" applyBorder="1" applyAlignment="1" applyProtection="1">
      <alignment horizontal="center" vertical="center"/>
    </xf>
    <xf numFmtId="0" fontId="10" fillId="3" borderId="17" xfId="0" applyFont="1" applyFill="1" applyBorder="1" applyAlignment="1">
      <alignment horizontal="center" vertical="center"/>
    </xf>
    <xf numFmtId="11" fontId="10" fillId="0" borderId="0" xfId="6" applyNumberFormat="1" applyFont="1" applyFill="1" applyBorder="1" applyAlignment="1">
      <alignment horizontal="center" vertical="center"/>
    </xf>
    <xf numFmtId="11" fontId="10" fillId="0" borderId="14" xfId="6" applyNumberFormat="1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0" fillId="3" borderId="14" xfId="0" applyFont="1" applyFill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8" fillId="5" borderId="11" xfId="7" applyFont="1" applyFill="1" applyBorder="1" applyAlignment="1">
      <alignment horizontal="center" vertical="center"/>
    </xf>
    <xf numFmtId="0" fontId="18" fillId="5" borderId="25" xfId="7" applyFont="1" applyFill="1" applyBorder="1" applyAlignment="1">
      <alignment horizontal="center" vertical="center"/>
    </xf>
    <xf numFmtId="0" fontId="18" fillId="5" borderId="12" xfId="7" applyFont="1" applyFill="1" applyBorder="1" applyAlignment="1">
      <alignment horizontal="center" vertical="center"/>
    </xf>
    <xf numFmtId="0" fontId="29" fillId="0" borderId="17" xfId="7" applyFont="1" applyBorder="1" applyAlignment="1">
      <alignment horizontal="center" vertical="center" textRotation="180" wrapText="1"/>
    </xf>
    <xf numFmtId="0" fontId="29" fillId="0" borderId="2" xfId="7" applyFont="1" applyBorder="1" applyAlignment="1">
      <alignment horizontal="center" vertical="center" textRotation="180" wrapText="1"/>
    </xf>
    <xf numFmtId="0" fontId="29" fillId="0" borderId="6" xfId="7" applyFont="1" applyBorder="1" applyAlignment="1">
      <alignment horizontal="center" vertical="center" textRotation="180" wrapText="1"/>
    </xf>
    <xf numFmtId="0" fontId="29" fillId="0" borderId="17" xfId="7" applyFont="1" applyBorder="1" applyAlignment="1">
      <alignment horizontal="center" textRotation="180"/>
    </xf>
    <xf numFmtId="0" fontId="29" fillId="0" borderId="2" xfId="7" applyFont="1" applyBorder="1" applyAlignment="1">
      <alignment horizontal="center" textRotation="180"/>
    </xf>
    <xf numFmtId="0" fontId="29" fillId="0" borderId="6" xfId="7" applyFont="1" applyBorder="1" applyAlignment="1">
      <alignment horizontal="center" textRotation="180"/>
    </xf>
    <xf numFmtId="0" fontId="30" fillId="0" borderId="11" xfId="7" applyFont="1" applyBorder="1" applyAlignment="1">
      <alignment horizontal="center"/>
    </xf>
    <xf numFmtId="0" fontId="30" fillId="0" borderId="25" xfId="7" applyFont="1" applyBorder="1" applyAlignment="1">
      <alignment horizontal="center"/>
    </xf>
    <xf numFmtId="0" fontId="30" fillId="0" borderId="12" xfId="7" applyFont="1" applyBorder="1" applyAlignment="1">
      <alignment horizontal="center"/>
    </xf>
    <xf numFmtId="0" fontId="3" fillId="3" borderId="13" xfId="0" applyFont="1" applyFill="1" applyBorder="1" applyAlignment="1">
      <alignment horizontal="center"/>
    </xf>
    <xf numFmtId="0" fontId="3" fillId="3" borderId="14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</cellXfs>
  <cellStyles count="8">
    <cellStyle name="Euro" xfId="1"/>
    <cellStyle name="Milliers [0]_Nitrification model" xfId="2"/>
    <cellStyle name="Milliers_Nitrification model" xfId="3"/>
    <cellStyle name="Monétaire [0]_Nitrification model" xfId="4"/>
    <cellStyle name="Monétaire_Nitrification model" xfId="5"/>
    <cellStyle name="Normal" xfId="0" builtinId="0"/>
    <cellStyle name="Normal 2" xfId="6"/>
    <cellStyle name="Normal 3" xfId="7"/>
  </cellStyles>
  <dxfs count="80"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ont>
        <color theme="0" tint="-0.499984740745262"/>
      </font>
    </dxf>
    <dxf>
      <font>
        <color rgb="FFFF0000"/>
      </font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ont>
        <color theme="0" tint="-0.499984740745262"/>
      </font>
    </dxf>
    <dxf>
      <font>
        <color rgb="FFFF0000"/>
      </font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ont>
        <color theme="0" tint="-0.499984740745262"/>
      </font>
    </dxf>
    <dxf>
      <font>
        <color rgb="FFFF0000"/>
      </font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ont>
        <color rgb="FFFF0000"/>
      </font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ont>
        <color rgb="FFFF0000"/>
      </font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ont>
        <color theme="0" tint="-0.499984740745262"/>
      </font>
    </dxf>
    <dxf>
      <font>
        <color rgb="FFFF0000"/>
      </font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ont>
        <color theme="0" tint="-0.499984740745262"/>
      </font>
    </dxf>
    <dxf>
      <font>
        <color rgb="FFFF0000"/>
      </font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ont>
        <color rgb="FFFF0000"/>
      </font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ont>
        <color theme="0" tint="-0.499984740745262"/>
      </font>
    </dxf>
    <dxf>
      <font>
        <color rgb="FFFF0000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24994659260841701"/>
      </font>
    </dxf>
    <dxf>
      <font>
        <color rgb="FFFF0000"/>
      </font>
    </dxf>
    <dxf>
      <font>
        <color theme="0" tint="-0.24994659260841701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2:AE28"/>
  <sheetViews>
    <sheetView topLeftCell="E1" zoomScale="90" zoomScaleNormal="90" zoomScalePageLayoutView="125" workbookViewId="0">
      <selection activeCell="V5" sqref="V5"/>
    </sheetView>
  </sheetViews>
  <sheetFormatPr defaultColWidth="8.85546875" defaultRowHeight="15" x14ac:dyDescent="0.25"/>
  <cols>
    <col min="1" max="1" width="2.7109375" style="91" customWidth="1"/>
    <col min="2" max="2" width="46.85546875" style="91" customWidth="1"/>
    <col min="3" max="3" width="23.42578125" style="91" customWidth="1"/>
    <col min="4" max="5" width="18.85546875" style="91" customWidth="1"/>
    <col min="6" max="6" width="7.85546875" style="91" customWidth="1"/>
    <col min="7" max="7" width="8" style="92" customWidth="1"/>
    <col min="8" max="8" width="8.85546875" style="91"/>
    <col min="9" max="9" width="15" style="91" customWidth="1"/>
    <col min="10" max="10" width="15.7109375" style="91" customWidth="1"/>
    <col min="11" max="11" width="6.140625" style="91" customWidth="1"/>
    <col min="12" max="12" width="4.85546875" style="91" customWidth="1"/>
    <col min="13" max="14" width="4.42578125" style="91" customWidth="1"/>
    <col min="15" max="15" width="5" style="91" customWidth="1"/>
    <col min="16" max="17" width="4.7109375" style="91" customWidth="1"/>
    <col min="18" max="18" width="7.42578125" style="91" customWidth="1"/>
    <col min="19" max="19" width="16.42578125" style="91" customWidth="1"/>
    <col min="20" max="20" width="14.28515625" style="91" customWidth="1"/>
    <col min="21" max="21" width="16.42578125" style="91" customWidth="1"/>
    <col min="22" max="22" width="18" style="91" customWidth="1"/>
    <col min="23" max="24" width="14.28515625" style="91" customWidth="1"/>
    <col min="25" max="25" width="16.140625" style="91" customWidth="1"/>
    <col min="26" max="26" width="15.140625" style="91" customWidth="1"/>
    <col min="27" max="27" width="8.85546875" style="91"/>
    <col min="28" max="28" width="14.85546875" style="91" customWidth="1"/>
    <col min="29" max="16384" width="8.85546875" style="91"/>
  </cols>
  <sheetData>
    <row r="2" spans="2:31" ht="21.75" customHeight="1" x14ac:dyDescent="0.25">
      <c r="S2" s="213" t="s">
        <v>110</v>
      </c>
      <c r="T2" s="214"/>
      <c r="U2" s="214"/>
      <c r="V2" s="215"/>
      <c r="W2" s="213"/>
      <c r="X2" s="214"/>
      <c r="Y2" s="214"/>
      <c r="Z2" s="215"/>
      <c r="AB2" s="93" t="s">
        <v>63</v>
      </c>
      <c r="AC2" s="94" t="s">
        <v>64</v>
      </c>
      <c r="AD2" s="94" t="s">
        <v>65</v>
      </c>
      <c r="AE2" s="95" t="s">
        <v>66</v>
      </c>
    </row>
    <row r="3" spans="2:31" ht="20.25" x14ac:dyDescent="0.35">
      <c r="B3" s="96" t="s">
        <v>67</v>
      </c>
      <c r="C3" s="97" t="s">
        <v>68</v>
      </c>
      <c r="D3" s="97" t="s">
        <v>69</v>
      </c>
      <c r="E3" s="97" t="s">
        <v>70</v>
      </c>
      <c r="F3" s="98" t="s">
        <v>71</v>
      </c>
      <c r="G3" s="99" t="s">
        <v>52</v>
      </c>
      <c r="I3" s="100" t="s">
        <v>72</v>
      </c>
      <c r="J3" s="101" t="s">
        <v>73</v>
      </c>
      <c r="K3" s="102" t="s">
        <v>23</v>
      </c>
      <c r="L3" s="103" t="s">
        <v>74</v>
      </c>
      <c r="M3" s="103" t="s">
        <v>21</v>
      </c>
      <c r="N3" s="103" t="s">
        <v>75</v>
      </c>
      <c r="O3" s="103" t="s">
        <v>76</v>
      </c>
      <c r="P3" s="103" t="s">
        <v>0</v>
      </c>
      <c r="Q3" s="103" t="s">
        <v>3</v>
      </c>
      <c r="R3" s="104" t="s">
        <v>77</v>
      </c>
      <c r="S3" s="105" t="s">
        <v>78</v>
      </c>
      <c r="T3" s="106" t="s">
        <v>79</v>
      </c>
      <c r="U3" s="106" t="s">
        <v>80</v>
      </c>
      <c r="V3" s="107" t="s">
        <v>81</v>
      </c>
      <c r="W3" s="105"/>
      <c r="X3" s="106"/>
      <c r="Y3" s="106"/>
      <c r="Z3" s="107"/>
      <c r="AB3" s="108" t="s">
        <v>82</v>
      </c>
      <c r="AC3" s="109" t="s">
        <v>83</v>
      </c>
      <c r="AD3" s="109">
        <v>96.484999999999999</v>
      </c>
      <c r="AE3" s="109" t="s">
        <v>84</v>
      </c>
    </row>
    <row r="4" spans="2:31" ht="15.75" x14ac:dyDescent="0.25">
      <c r="B4" s="110" t="s">
        <v>110</v>
      </c>
      <c r="C4" s="111">
        <f>S22</f>
        <v>-2942.4230601313348</v>
      </c>
      <c r="D4" s="111">
        <f>V22</f>
        <v>-27.60819216776115</v>
      </c>
      <c r="E4" s="112">
        <f>200 + 18*(6-E15)^(1.8)+EXP((((-0.2-F15)^2)^(0.16))*(3.6+0.4*E15))</f>
        <v>661.43306678975034</v>
      </c>
      <c r="F4" s="111">
        <f t="shared" ref="F4" si="0">(D4+E4)/(-C4)</f>
        <v>0.21540915825805773</v>
      </c>
      <c r="G4" s="113">
        <f t="shared" ref="G4" si="1">1/F4</f>
        <v>4.6423281539497561</v>
      </c>
      <c r="I4" s="114" t="s">
        <v>85</v>
      </c>
      <c r="J4" s="115">
        <v>-915.9</v>
      </c>
      <c r="K4" s="114">
        <v>0</v>
      </c>
      <c r="L4" s="116">
        <v>6</v>
      </c>
      <c r="M4" s="116">
        <v>12</v>
      </c>
      <c r="N4" s="116">
        <v>6</v>
      </c>
      <c r="O4" s="116">
        <v>0</v>
      </c>
      <c r="P4" s="116">
        <v>0</v>
      </c>
      <c r="Q4" s="116">
        <v>0</v>
      </c>
      <c r="R4" s="116">
        <v>0</v>
      </c>
      <c r="S4" s="117">
        <v>-1</v>
      </c>
      <c r="T4" s="118">
        <f>-1/6</f>
        <v>-0.16666666666666666</v>
      </c>
      <c r="U4" s="118">
        <v>-1</v>
      </c>
      <c r="V4" s="119">
        <f>T4+U4*(-$T$10/$U$10)</f>
        <v>-0.17499999999999999</v>
      </c>
      <c r="W4" s="117"/>
      <c r="X4" s="118"/>
      <c r="Y4" s="118"/>
      <c r="Z4" s="119"/>
      <c r="AB4" s="108" t="s">
        <v>86</v>
      </c>
      <c r="AC4" s="109" t="s">
        <v>87</v>
      </c>
      <c r="AD4" s="109">
        <v>8.3140000000000002E-3</v>
      </c>
      <c r="AE4" s="109" t="s">
        <v>12</v>
      </c>
    </row>
    <row r="5" spans="2:31" ht="15.75" x14ac:dyDescent="0.25">
      <c r="B5" s="110"/>
      <c r="C5" s="111"/>
      <c r="D5" s="111"/>
      <c r="E5" s="112"/>
      <c r="F5" s="111"/>
      <c r="G5" s="113"/>
      <c r="I5" s="120" t="s">
        <v>48</v>
      </c>
      <c r="J5" s="115">
        <v>16.399999999999999</v>
      </c>
      <c r="K5" s="120">
        <v>0</v>
      </c>
      <c r="L5" s="116">
        <v>0</v>
      </c>
      <c r="M5" s="116">
        <v>0</v>
      </c>
      <c r="N5" s="116">
        <v>2</v>
      </c>
      <c r="O5" s="116">
        <v>0</v>
      </c>
      <c r="P5" s="116">
        <v>0</v>
      </c>
      <c r="Q5" s="116">
        <v>0</v>
      </c>
      <c r="R5" s="116">
        <v>0</v>
      </c>
      <c r="S5" s="117">
        <v>-6</v>
      </c>
      <c r="T5" s="118">
        <v>0</v>
      </c>
      <c r="U5" s="118">
        <v>0</v>
      </c>
      <c r="V5" s="119">
        <f>T5+U5*(-$T$10/$U$10)</f>
        <v>0</v>
      </c>
      <c r="W5" s="117"/>
      <c r="X5" s="118"/>
      <c r="Y5" s="118"/>
      <c r="Z5" s="119"/>
      <c r="AB5" s="121" t="s">
        <v>88</v>
      </c>
      <c r="AC5" s="122" t="s">
        <v>1</v>
      </c>
      <c r="AD5" s="123">
        <v>298.14999999999998</v>
      </c>
      <c r="AE5" s="123" t="s">
        <v>2</v>
      </c>
    </row>
    <row r="6" spans="2:31" ht="15.75" x14ac:dyDescent="0.25">
      <c r="I6" s="125" t="s">
        <v>89</v>
      </c>
      <c r="J6" s="126">
        <v>-26.57</v>
      </c>
      <c r="K6" s="127">
        <v>-3</v>
      </c>
      <c r="L6" s="128">
        <v>0</v>
      </c>
      <c r="M6" s="128">
        <v>3</v>
      </c>
      <c r="N6" s="128">
        <v>0</v>
      </c>
      <c r="O6" s="128">
        <v>1</v>
      </c>
      <c r="P6" s="128">
        <v>0</v>
      </c>
      <c r="Q6" s="128">
        <v>0</v>
      </c>
      <c r="R6" s="128">
        <v>0</v>
      </c>
      <c r="S6" s="117">
        <v>0</v>
      </c>
      <c r="T6" s="118">
        <v>-0.2</v>
      </c>
      <c r="U6" s="118">
        <v>0</v>
      </c>
      <c r="V6" s="119">
        <f>T6+U6*(-$T$10/$U$10)</f>
        <v>-0.2</v>
      </c>
      <c r="W6" s="117"/>
      <c r="X6" s="118"/>
      <c r="Y6" s="118"/>
      <c r="Z6" s="119"/>
    </row>
    <row r="7" spans="2:31" ht="15.75" x14ac:dyDescent="0.25">
      <c r="B7" s="123"/>
      <c r="E7" s="130"/>
      <c r="I7" s="129" t="s">
        <v>90</v>
      </c>
      <c r="J7" s="115">
        <v>-586.70000000000005</v>
      </c>
      <c r="K7" s="120">
        <v>4</v>
      </c>
      <c r="L7" s="116">
        <v>1</v>
      </c>
      <c r="M7" s="116">
        <v>1</v>
      </c>
      <c r="N7" s="116">
        <v>3</v>
      </c>
      <c r="O7" s="116">
        <v>0</v>
      </c>
      <c r="P7" s="116">
        <v>0</v>
      </c>
      <c r="Q7" s="116">
        <v>0</v>
      </c>
      <c r="R7" s="116">
        <v>-1</v>
      </c>
      <c r="S7" s="117">
        <v>6</v>
      </c>
      <c r="T7" s="118">
        <v>0</v>
      </c>
      <c r="U7" s="118">
        <v>6</v>
      </c>
      <c r="V7" s="119">
        <f>T7+U7*(-$T$10/$U$10)</f>
        <v>0.05</v>
      </c>
      <c r="W7" s="117"/>
      <c r="X7" s="118"/>
      <c r="Y7" s="118"/>
      <c r="Z7" s="119"/>
    </row>
    <row r="8" spans="2:31" ht="15.75" x14ac:dyDescent="0.25">
      <c r="B8" s="123"/>
      <c r="E8" s="130"/>
      <c r="I8" s="120" t="s">
        <v>20</v>
      </c>
      <c r="J8" s="115">
        <v>-237.18</v>
      </c>
      <c r="K8" s="120">
        <v>-2</v>
      </c>
      <c r="L8" s="116">
        <v>0</v>
      </c>
      <c r="M8" s="116">
        <v>2</v>
      </c>
      <c r="N8" s="116">
        <v>1</v>
      </c>
      <c r="O8" s="116">
        <v>0</v>
      </c>
      <c r="P8" s="116">
        <v>0</v>
      </c>
      <c r="Q8" s="116">
        <v>0</v>
      </c>
      <c r="R8" s="116">
        <v>0</v>
      </c>
      <c r="S8" s="117">
        <v>0</v>
      </c>
      <c r="T8" s="118">
        <v>0.5</v>
      </c>
      <c r="U8" s="118">
        <v>-12</v>
      </c>
      <c r="V8" s="119">
        <f>T8+U8*(-$T$10/$U$10)</f>
        <v>0.4</v>
      </c>
      <c r="W8" s="117"/>
      <c r="X8" s="118"/>
      <c r="Y8" s="118"/>
      <c r="Z8" s="119"/>
    </row>
    <row r="9" spans="2:31" ht="15.75" x14ac:dyDescent="0.25">
      <c r="B9" s="123"/>
      <c r="I9" s="120" t="s">
        <v>91</v>
      </c>
      <c r="J9" s="115">
        <v>0</v>
      </c>
      <c r="K9" s="120">
        <v>1</v>
      </c>
      <c r="L9" s="116">
        <v>0</v>
      </c>
      <c r="M9" s="116">
        <v>1</v>
      </c>
      <c r="N9" s="116">
        <v>0</v>
      </c>
      <c r="O9" s="116">
        <v>0</v>
      </c>
      <c r="P9" s="116">
        <v>0</v>
      </c>
      <c r="Q9" s="116">
        <v>0</v>
      </c>
      <c r="R9" s="116">
        <v>1</v>
      </c>
      <c r="S9" s="117">
        <v>6</v>
      </c>
      <c r="T9" s="118">
        <v>-0.2</v>
      </c>
      <c r="U9" s="118">
        <v>30</v>
      </c>
      <c r="V9" s="119">
        <f>T9+U9*(-$T$10/$U$10)</f>
        <v>4.9999999999999989E-2</v>
      </c>
      <c r="W9" s="117"/>
      <c r="X9" s="118"/>
      <c r="Y9" s="118"/>
      <c r="Z9" s="119"/>
    </row>
    <row r="10" spans="2:31" ht="15.75" x14ac:dyDescent="0.25">
      <c r="I10" s="120" t="s">
        <v>92</v>
      </c>
      <c r="J10" s="115">
        <v>0</v>
      </c>
      <c r="K10" s="120">
        <v>-1</v>
      </c>
      <c r="L10" s="116">
        <v>0</v>
      </c>
      <c r="M10" s="116">
        <v>0</v>
      </c>
      <c r="N10" s="116">
        <v>0</v>
      </c>
      <c r="O10" s="116">
        <v>0</v>
      </c>
      <c r="P10" s="116">
        <v>0</v>
      </c>
      <c r="Q10" s="116">
        <v>0</v>
      </c>
      <c r="R10" s="116">
        <v>-1</v>
      </c>
      <c r="S10" s="117">
        <v>0</v>
      </c>
      <c r="T10" s="118">
        <v>-0.2</v>
      </c>
      <c r="U10" s="118">
        <v>24</v>
      </c>
      <c r="V10" s="119">
        <f>T10+U10*(-$T$10/$U$10)</f>
        <v>0</v>
      </c>
      <c r="W10" s="117"/>
      <c r="X10" s="118"/>
      <c r="Y10" s="118"/>
      <c r="Z10" s="119"/>
    </row>
    <row r="11" spans="2:31" ht="16.5" thickBot="1" x14ac:dyDescent="0.3">
      <c r="B11" s="123"/>
      <c r="F11" s="131"/>
      <c r="I11" s="132" t="s">
        <v>93</v>
      </c>
      <c r="J11" s="133">
        <v>-67</v>
      </c>
      <c r="K11" s="132">
        <v>-0.2</v>
      </c>
      <c r="L11" s="134">
        <v>1</v>
      </c>
      <c r="M11" s="134">
        <v>1.8</v>
      </c>
      <c r="N11" s="134">
        <v>0.5</v>
      </c>
      <c r="O11" s="134">
        <v>0.2</v>
      </c>
      <c r="P11" s="134">
        <v>0</v>
      </c>
      <c r="Q11" s="134">
        <v>0</v>
      </c>
      <c r="R11" s="134">
        <v>0</v>
      </c>
      <c r="S11" s="135">
        <v>0</v>
      </c>
      <c r="T11" s="136">
        <v>1</v>
      </c>
      <c r="U11" s="136">
        <v>0</v>
      </c>
      <c r="V11" s="137">
        <f>T11+U11*(-$T$10/$U$10)</f>
        <v>1</v>
      </c>
      <c r="W11" s="135"/>
      <c r="X11" s="136"/>
      <c r="Y11" s="136"/>
      <c r="Z11" s="137"/>
    </row>
    <row r="12" spans="2:31" x14ac:dyDescent="0.25">
      <c r="B12" s="123"/>
      <c r="F12" s="131"/>
      <c r="J12" s="216" t="s">
        <v>94</v>
      </c>
      <c r="K12" s="219" t="s">
        <v>95</v>
      </c>
      <c r="R12" s="138" t="s">
        <v>96</v>
      </c>
      <c r="S12" s="139">
        <f>SUMPRODUCT($L$4:$L$11,S4:S11)</f>
        <v>0</v>
      </c>
      <c r="T12" s="139">
        <f>SUMPRODUCT($L$4:$L$11,T4:T11)</f>
        <v>0</v>
      </c>
      <c r="U12" s="139">
        <f>SUMPRODUCT($L$4:$L$11,U4:U11)</f>
        <v>0</v>
      </c>
      <c r="V12" s="139">
        <f>SUMPRODUCT($L$4:$L$11,V4:V11)</f>
        <v>2.2204460492503131E-16</v>
      </c>
      <c r="W12" s="139"/>
      <c r="X12" s="139"/>
      <c r="Y12" s="139"/>
      <c r="Z12" s="140"/>
    </row>
    <row r="13" spans="2:31" ht="15.75" x14ac:dyDescent="0.25">
      <c r="B13" s="141" t="s">
        <v>67</v>
      </c>
      <c r="C13" s="142" t="s">
        <v>97</v>
      </c>
      <c r="D13" s="143" t="s">
        <v>98</v>
      </c>
      <c r="E13" s="143" t="s">
        <v>99</v>
      </c>
      <c r="F13" s="144" t="s">
        <v>23</v>
      </c>
      <c r="J13" s="217"/>
      <c r="K13" s="220"/>
      <c r="R13" s="145" t="s">
        <v>100</v>
      </c>
      <c r="S13" s="139">
        <f>SUMPRODUCT($M$4:$M$11,S4:S11)</f>
        <v>0</v>
      </c>
      <c r="T13" s="139">
        <f>SUMPRODUCT($M$4:$M$11,T4:T11)</f>
        <v>0</v>
      </c>
      <c r="U13" s="139">
        <f>SUMPRODUCT($M$4:$M$11,U4:U11)</f>
        <v>0</v>
      </c>
      <c r="V13" s="139">
        <f>SUMPRODUCT($M$4:$M$11,V4:V11)</f>
        <v>2.2204460492503131E-16</v>
      </c>
      <c r="W13" s="139"/>
      <c r="X13" s="139"/>
      <c r="Y13" s="139"/>
      <c r="Z13" s="146"/>
    </row>
    <row r="14" spans="2:31" ht="15.75" x14ac:dyDescent="0.25">
      <c r="B14" s="110" t="s">
        <v>110</v>
      </c>
      <c r="C14" s="147" t="s">
        <v>101</v>
      </c>
      <c r="D14" s="148" t="s">
        <v>101</v>
      </c>
      <c r="E14" s="148">
        <f>L4</f>
        <v>6</v>
      </c>
      <c r="F14" s="149">
        <f>K4</f>
        <v>0</v>
      </c>
      <c r="G14" s="150"/>
      <c r="J14" s="217"/>
      <c r="K14" s="220"/>
      <c r="R14" s="145" t="s">
        <v>102</v>
      </c>
      <c r="S14" s="139">
        <f>SUMPRODUCT($N$4:$N$11,S4:S11)</f>
        <v>0</v>
      </c>
      <c r="T14" s="139">
        <f>SUMPRODUCT($N$4:$N$11,T4:T11)</f>
        <v>0</v>
      </c>
      <c r="U14" s="139">
        <f>SUMPRODUCT($N$4:$N$11,U4:U11)</f>
        <v>0</v>
      </c>
      <c r="V14" s="139">
        <f>SUMPRODUCT($N$4:$N$11,V4:V11)</f>
        <v>2.2204460492503131E-16</v>
      </c>
      <c r="W14" s="139"/>
      <c r="X14" s="139"/>
      <c r="Y14" s="139"/>
      <c r="Z14" s="146"/>
    </row>
    <row r="15" spans="2:31" ht="15.75" x14ac:dyDescent="0.25">
      <c r="B15" s="110"/>
      <c r="C15" s="147"/>
      <c r="D15" s="148"/>
      <c r="E15" s="148"/>
      <c r="F15" s="149"/>
      <c r="G15" s="150"/>
      <c r="J15" s="217"/>
      <c r="K15" s="220"/>
      <c r="R15" s="145" t="s">
        <v>103</v>
      </c>
      <c r="S15" s="139">
        <f>SUMPRODUCT($O$4:$O$11,S4:S11)</f>
        <v>0</v>
      </c>
      <c r="T15" s="139">
        <f>SUMPRODUCT($O$4:$O$11,T4:T11)</f>
        <v>0</v>
      </c>
      <c r="U15" s="139">
        <f>SUMPRODUCT($O$4:$O$11,U4:U11)</f>
        <v>0</v>
      </c>
      <c r="V15" s="139">
        <f>SUMPRODUCT($O$4:$O$11,V4:V11)</f>
        <v>0</v>
      </c>
      <c r="W15" s="139"/>
      <c r="X15" s="139"/>
      <c r="Y15" s="139"/>
      <c r="Z15" s="146"/>
    </row>
    <row r="16" spans="2:31" x14ac:dyDescent="0.25">
      <c r="G16" s="150"/>
      <c r="J16" s="217"/>
      <c r="K16" s="220"/>
      <c r="R16" s="145" t="s">
        <v>104</v>
      </c>
      <c r="S16" s="139">
        <f>SUMPRODUCT($P$4:$P$11,S4:S11)</f>
        <v>0</v>
      </c>
      <c r="T16" s="139">
        <f>SUMPRODUCT($P$4:$P$11,T4:T11)</f>
        <v>0</v>
      </c>
      <c r="U16" s="139">
        <f>SUMPRODUCT($P$4:$P$11,U4:U11)</f>
        <v>0</v>
      </c>
      <c r="V16" s="139">
        <f>SUMPRODUCT($P$4:$P$11,V4:V11)</f>
        <v>0</v>
      </c>
      <c r="W16" s="139"/>
      <c r="X16" s="139"/>
      <c r="Y16" s="139"/>
      <c r="Z16" s="146"/>
    </row>
    <row r="17" spans="7:26" x14ac:dyDescent="0.25">
      <c r="G17" s="150"/>
      <c r="J17" s="217"/>
      <c r="K17" s="220"/>
      <c r="R17" s="145" t="s">
        <v>105</v>
      </c>
      <c r="S17" s="139">
        <f>SUMPRODUCT($Q$4:$Q$11,S4:S11)</f>
        <v>0</v>
      </c>
      <c r="T17" s="139">
        <f>SUMPRODUCT($Q$4:$Q$11,T4:T11)</f>
        <v>0</v>
      </c>
      <c r="U17" s="139">
        <f>SUMPRODUCT($Q$4:$Q$11,U4:U11)</f>
        <v>0</v>
      </c>
      <c r="V17" s="139">
        <f>SUMPRODUCT($Q$4:$Q$11,V4:V11)</f>
        <v>0</v>
      </c>
      <c r="W17" s="139"/>
      <c r="X17" s="139"/>
      <c r="Y17" s="139"/>
      <c r="Z17" s="146"/>
    </row>
    <row r="18" spans="7:26" x14ac:dyDescent="0.25">
      <c r="G18" s="150"/>
      <c r="J18" s="217"/>
      <c r="K18" s="220"/>
      <c r="R18" s="151" t="s">
        <v>77</v>
      </c>
      <c r="S18" s="152">
        <f>SUMPRODUCT($R$4:$R$11,S4:S11)</f>
        <v>0</v>
      </c>
      <c r="T18" s="152">
        <f>SUMPRODUCT($R$4:$R$11,T4:T11)</f>
        <v>0</v>
      </c>
      <c r="U18" s="152">
        <f>SUMPRODUCT($R$4:$R$11,U4:U11)</f>
        <v>0</v>
      </c>
      <c r="V18" s="152">
        <f>SUMPRODUCT($R$4:$R$11,V4:V11)</f>
        <v>-1.3877787807814457E-17</v>
      </c>
      <c r="W18" s="152"/>
      <c r="X18" s="152"/>
      <c r="Y18" s="152"/>
      <c r="Z18" s="146"/>
    </row>
    <row r="19" spans="7:26" x14ac:dyDescent="0.25">
      <c r="G19" s="150"/>
      <c r="J19" s="217"/>
      <c r="K19" s="220"/>
      <c r="Z19" s="161"/>
    </row>
    <row r="20" spans="7:26" x14ac:dyDescent="0.25">
      <c r="G20" s="150"/>
      <c r="J20" s="217"/>
      <c r="K20" s="220"/>
    </row>
    <row r="21" spans="7:26" ht="18.75" customHeight="1" x14ac:dyDescent="0.25">
      <c r="G21" s="150"/>
      <c r="J21" s="217"/>
      <c r="K21" s="220"/>
      <c r="N21" s="222" t="s">
        <v>106</v>
      </c>
      <c r="O21" s="223"/>
      <c r="P21" s="223"/>
      <c r="Q21" s="224"/>
      <c r="R21" s="153" t="s">
        <v>107</v>
      </c>
      <c r="S21" s="154">
        <f>SUMPRODUCT($J$4:$J$11,S4:S11)</f>
        <v>-2702.7000000000003</v>
      </c>
      <c r="T21" s="155">
        <f>SUMPRODUCT($J$4:$J$11,T4:T11)</f>
        <v>-27.626000000000033</v>
      </c>
      <c r="U21" s="155">
        <f>SUMPRODUCT($J$4:$J$11,U4:U11)</f>
        <v>241.85999999999967</v>
      </c>
      <c r="V21" s="156">
        <f>SUMPRODUCT($J$4:$J$11,V4:V11)</f>
        <v>-25.61050000000003</v>
      </c>
      <c r="W21" s="154"/>
      <c r="X21" s="155"/>
      <c r="Y21" s="155"/>
      <c r="Z21" s="156"/>
    </row>
    <row r="22" spans="7:26" ht="18" x14ac:dyDescent="0.25">
      <c r="G22" s="150"/>
      <c r="J22" s="217"/>
      <c r="K22" s="220"/>
      <c r="N22" s="222" t="s">
        <v>108</v>
      </c>
      <c r="O22" s="223"/>
      <c r="P22" s="223"/>
      <c r="Q22" s="224"/>
      <c r="R22" s="157" t="s">
        <v>109</v>
      </c>
      <c r="S22" s="158">
        <f>S21+$AD$4*$AD$5*LN(0.0000001^(S9))</f>
        <v>-2942.4230601313348</v>
      </c>
      <c r="T22" s="159">
        <f>T21+$AD$4*$AD$5*LN(0.0000001^(T9))</f>
        <v>-19.635231328955548</v>
      </c>
      <c r="U22" s="159">
        <f>U21+$AD$4*$AD$5*LN(0.0000001^(U9))</f>
        <v>-956.75530065667272</v>
      </c>
      <c r="V22" s="160">
        <f>V21+$AD$4*$AD$5*LN(0.0000001^(V9))</f>
        <v>-27.60819216776115</v>
      </c>
      <c r="W22" s="158"/>
      <c r="X22" s="159"/>
      <c r="Y22" s="159"/>
      <c r="Z22" s="160"/>
    </row>
    <row r="23" spans="7:26" x14ac:dyDescent="0.25">
      <c r="J23" s="217"/>
      <c r="K23" s="220"/>
      <c r="O23" s="124"/>
      <c r="P23" s="124"/>
      <c r="Q23" s="124"/>
    </row>
    <row r="24" spans="7:26" x14ac:dyDescent="0.25">
      <c r="J24" s="217"/>
      <c r="K24" s="220"/>
    </row>
    <row r="25" spans="7:26" x14ac:dyDescent="0.25">
      <c r="J25" s="217"/>
      <c r="K25" s="220"/>
    </row>
    <row r="26" spans="7:26" x14ac:dyDescent="0.25">
      <c r="J26" s="217"/>
      <c r="K26" s="220"/>
    </row>
    <row r="27" spans="7:26" x14ac:dyDescent="0.25">
      <c r="J27" s="217"/>
      <c r="K27" s="220"/>
    </row>
    <row r="28" spans="7:26" x14ac:dyDescent="0.25">
      <c r="J28" s="218"/>
      <c r="K28" s="221"/>
    </row>
  </sheetData>
  <mergeCells count="6">
    <mergeCell ref="W2:Z2"/>
    <mergeCell ref="S2:V2"/>
    <mergeCell ref="J12:J28"/>
    <mergeCell ref="K12:K28"/>
    <mergeCell ref="N21:Q21"/>
    <mergeCell ref="N22:Q22"/>
  </mergeCells>
  <conditionalFormatting sqref="S4:Z11">
    <cfRule type="cellIs" dxfId="79" priority="1" operator="equal">
      <formula>0</formula>
    </cfRule>
  </conditionalFormatting>
  <conditionalFormatting sqref="S12:Z18">
    <cfRule type="cellIs" dxfId="78" priority="2" operator="notBetween">
      <formula>0.0000000001</formula>
      <formula>-0.0000000001</formula>
    </cfRule>
    <cfRule type="cellIs" dxfId="77" priority="3" operator="between">
      <formula>0.0000000001</formula>
      <formula>-0.0000000001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abSelected="1" zoomScale="90" zoomScaleNormal="9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H31" sqref="H31"/>
    </sheetView>
  </sheetViews>
  <sheetFormatPr defaultColWidth="11.42578125" defaultRowHeight="12.75" x14ac:dyDescent="0.2"/>
  <cols>
    <col min="1" max="1" width="8.42578125" customWidth="1"/>
    <col min="2" max="2" width="16.28515625" customWidth="1"/>
    <col min="3" max="3" width="16" customWidth="1"/>
    <col min="4" max="4" width="15.28515625" customWidth="1"/>
  </cols>
  <sheetData>
    <row r="1" spans="1:4" x14ac:dyDescent="0.2">
      <c r="B1" s="225" t="s">
        <v>112</v>
      </c>
      <c r="C1" s="226"/>
      <c r="D1" s="227"/>
    </row>
    <row r="2" spans="1:4" x14ac:dyDescent="0.2">
      <c r="B2" s="3" t="s">
        <v>4</v>
      </c>
      <c r="C2" s="53" t="s">
        <v>5</v>
      </c>
      <c r="D2" s="4" t="s">
        <v>47</v>
      </c>
    </row>
    <row r="3" spans="1:4" s="23" customFormat="1" x14ac:dyDescent="0.2">
      <c r="A3" s="162" t="s">
        <v>85</v>
      </c>
      <c r="B3" s="27">
        <f>Reactions!S4</f>
        <v>-1</v>
      </c>
      <c r="C3" s="25">
        <f>Reactions!V4</f>
        <v>-0.17499999999999999</v>
      </c>
      <c r="D3" s="28">
        <v>0</v>
      </c>
    </row>
    <row r="4" spans="1:4" s="23" customFormat="1" x14ac:dyDescent="0.2">
      <c r="A4" s="35" t="s">
        <v>48</v>
      </c>
      <c r="B4" s="27">
        <f>Reactions!S5</f>
        <v>-6</v>
      </c>
      <c r="C4" s="25">
        <f>Reactions!V5</f>
        <v>0</v>
      </c>
      <c r="D4" s="28">
        <v>0</v>
      </c>
    </row>
    <row r="5" spans="1:4" x14ac:dyDescent="0.2">
      <c r="A5" s="35" t="s">
        <v>89</v>
      </c>
      <c r="B5" s="27">
        <f>Reactions!S6</f>
        <v>0</v>
      </c>
      <c r="C5" s="25">
        <f>Reactions!V6</f>
        <v>-0.2</v>
      </c>
      <c r="D5" s="2">
        <v>0</v>
      </c>
    </row>
    <row r="6" spans="1:4" x14ac:dyDescent="0.2">
      <c r="A6" s="35" t="s">
        <v>115</v>
      </c>
      <c r="B6" s="27">
        <f>Reactions!S7</f>
        <v>6</v>
      </c>
      <c r="C6" s="25">
        <f>Reactions!V7</f>
        <v>0.05</v>
      </c>
      <c r="D6" s="2">
        <v>0</v>
      </c>
    </row>
    <row r="7" spans="1:4" x14ac:dyDescent="0.2">
      <c r="A7" s="35" t="s">
        <v>17</v>
      </c>
      <c r="B7" s="1">
        <v>0</v>
      </c>
      <c r="C7" s="164">
        <v>0</v>
      </c>
      <c r="D7" s="2">
        <v>0</v>
      </c>
    </row>
    <row r="8" spans="1:4" x14ac:dyDescent="0.2">
      <c r="A8" s="35" t="s">
        <v>114</v>
      </c>
      <c r="B8" s="1">
        <v>0</v>
      </c>
      <c r="C8" s="164">
        <v>0</v>
      </c>
      <c r="D8" s="2">
        <v>0</v>
      </c>
    </row>
    <row r="9" spans="1:4" x14ac:dyDescent="0.2">
      <c r="A9" s="35" t="s">
        <v>62</v>
      </c>
      <c r="B9" s="1">
        <v>0</v>
      </c>
      <c r="C9" s="164">
        <v>0</v>
      </c>
      <c r="D9" s="2">
        <v>0</v>
      </c>
    </row>
    <row r="10" spans="1:4" x14ac:dyDescent="0.2">
      <c r="A10" s="35" t="s">
        <v>20</v>
      </c>
      <c r="B10" s="27">
        <f>Reactions!S8</f>
        <v>0</v>
      </c>
      <c r="C10" s="164">
        <f>Reactions!V9</f>
        <v>4.9999999999999989E-2</v>
      </c>
      <c r="D10" s="2">
        <v>0</v>
      </c>
    </row>
    <row r="11" spans="1:4" x14ac:dyDescent="0.2">
      <c r="A11" s="35" t="s">
        <v>21</v>
      </c>
      <c r="B11" s="1">
        <f>Reactions!S9</f>
        <v>6</v>
      </c>
      <c r="C11" s="164">
        <f>Reactions!V10</f>
        <v>0</v>
      </c>
      <c r="D11" s="2">
        <v>0</v>
      </c>
    </row>
    <row r="12" spans="1:4" x14ac:dyDescent="0.2">
      <c r="A12" s="162" t="s">
        <v>112</v>
      </c>
      <c r="B12" s="80">
        <v>0</v>
      </c>
      <c r="C12" s="78">
        <v>1</v>
      </c>
      <c r="D12" s="79">
        <v>-1</v>
      </c>
    </row>
    <row r="13" spans="1:4" x14ac:dyDescent="0.2">
      <c r="A13" s="163"/>
      <c r="B13" s="66"/>
      <c r="C13" s="33"/>
      <c r="D13" s="34"/>
    </row>
  </sheetData>
  <mergeCells count="1">
    <mergeCell ref="B1:D1"/>
  </mergeCells>
  <conditionalFormatting sqref="B12:D12 C7:C9 B3:D6">
    <cfRule type="cellIs" dxfId="76" priority="17" operator="equal">
      <formula>0</formula>
    </cfRule>
  </conditionalFormatting>
  <conditionalFormatting sqref="B13:D13">
    <cfRule type="cellIs" dxfId="75" priority="14" operator="equal">
      <formula>0</formula>
    </cfRule>
  </conditionalFormatting>
  <conditionalFormatting sqref="B7:B9">
    <cfRule type="cellIs" dxfId="74" priority="11" operator="equal">
      <formula>0</formula>
    </cfRule>
  </conditionalFormatting>
  <conditionalFormatting sqref="D7:D9">
    <cfRule type="cellIs" dxfId="73" priority="10" operator="equal">
      <formula>0</formula>
    </cfRule>
  </conditionalFormatting>
  <conditionalFormatting sqref="B10">
    <cfRule type="cellIs" dxfId="72" priority="7" operator="equal">
      <formula>0</formula>
    </cfRule>
  </conditionalFormatting>
  <conditionalFormatting sqref="B11">
    <cfRule type="cellIs" dxfId="71" priority="6" operator="equal">
      <formula>0</formula>
    </cfRule>
  </conditionalFormatting>
  <conditionalFormatting sqref="C10:C11">
    <cfRule type="cellIs" dxfId="70" priority="5" operator="equal">
      <formula>0</formula>
    </cfRule>
  </conditionalFormatting>
  <conditionalFormatting sqref="D10:D11">
    <cfRule type="cellIs" dxfId="69" priority="4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G5" sqref="G5"/>
    </sheetView>
  </sheetViews>
  <sheetFormatPr defaultColWidth="11.42578125" defaultRowHeight="12.75" x14ac:dyDescent="0.2"/>
  <cols>
    <col min="1" max="1" width="8.7109375" customWidth="1"/>
    <col min="2" max="2" width="12" style="8" customWidth="1"/>
    <col min="3" max="4" width="10.85546875" customWidth="1"/>
    <col min="5" max="5" width="14.42578125" customWidth="1"/>
  </cols>
  <sheetData>
    <row r="1" spans="1:8" x14ac:dyDescent="0.2">
      <c r="B1" s="11" t="s">
        <v>19</v>
      </c>
      <c r="C1" s="10" t="s">
        <v>61</v>
      </c>
      <c r="D1" s="29" t="s">
        <v>45</v>
      </c>
      <c r="E1" s="29" t="s">
        <v>43</v>
      </c>
      <c r="F1" s="29" t="s">
        <v>52</v>
      </c>
      <c r="G1" s="29" t="s">
        <v>53</v>
      </c>
      <c r="H1" s="29" t="s">
        <v>60</v>
      </c>
    </row>
    <row r="2" spans="1:8" x14ac:dyDescent="0.2">
      <c r="A2" s="162" t="s">
        <v>112</v>
      </c>
      <c r="B2" s="75">
        <f>1*10^(-2)/1000</f>
        <v>1.0000000000000001E-5</v>
      </c>
      <c r="C2" s="30">
        <v>0.5</v>
      </c>
      <c r="D2" s="76">
        <v>0</v>
      </c>
      <c r="E2" s="165">
        <f>Reactions!E4</f>
        <v>661.43306678975034</v>
      </c>
      <c r="F2" s="31">
        <f>Reactions!G4</f>
        <v>4.6423281539497561</v>
      </c>
      <c r="G2" s="31">
        <v>4.5</v>
      </c>
      <c r="H2" s="31" t="s">
        <v>85</v>
      </c>
    </row>
    <row r="3" spans="1:8" x14ac:dyDescent="0.2">
      <c r="B3" s="12"/>
    </row>
    <row r="4" spans="1:8" x14ac:dyDescent="0.2">
      <c r="B4"/>
    </row>
    <row r="5" spans="1:8" x14ac:dyDescent="0.2">
      <c r="B5" s="12"/>
    </row>
    <row r="6" spans="1:8" x14ac:dyDescent="0.2">
      <c r="B6"/>
    </row>
    <row r="7" spans="1:8" x14ac:dyDescent="0.2">
      <c r="B7"/>
    </row>
    <row r="8" spans="1:8" x14ac:dyDescent="0.2">
      <c r="B8"/>
    </row>
    <row r="9" spans="1:8" x14ac:dyDescent="0.2">
      <c r="B9"/>
    </row>
    <row r="10" spans="1:8" x14ac:dyDescent="0.2">
      <c r="B10"/>
    </row>
    <row r="11" spans="1:8" x14ac:dyDescent="0.2">
      <c r="B11"/>
    </row>
    <row r="12" spans="1:8" x14ac:dyDescent="0.2">
      <c r="B12"/>
    </row>
    <row r="13" spans="1:8" x14ac:dyDescent="0.2">
      <c r="B13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workbookViewId="0">
      <selection activeCell="J21" sqref="J21"/>
    </sheetView>
  </sheetViews>
  <sheetFormatPr defaultColWidth="11.42578125" defaultRowHeight="12.75" x14ac:dyDescent="0.2"/>
  <cols>
    <col min="1" max="1" width="7.85546875" customWidth="1"/>
    <col min="2" max="2" width="12.42578125" bestFit="1" customWidth="1"/>
    <col min="3" max="3" width="5.85546875" style="5" customWidth="1"/>
    <col min="4" max="4" width="3.5703125" style="14" customWidth="1"/>
  </cols>
  <sheetData>
    <row r="1" spans="1:12" x14ac:dyDescent="0.2">
      <c r="A1" s="173" t="s">
        <v>85</v>
      </c>
      <c r="B1" s="176">
        <f>1/(1000)</f>
        <v>1E-3</v>
      </c>
      <c r="C1" s="168" t="s">
        <v>6</v>
      </c>
      <c r="D1" s="166" t="s">
        <v>8</v>
      </c>
    </row>
    <row r="2" spans="1:12" x14ac:dyDescent="0.2">
      <c r="A2" s="85" t="s">
        <v>48</v>
      </c>
      <c r="B2" s="174">
        <f>9/(32*1000)</f>
        <v>2.8124999999999998E-4</v>
      </c>
      <c r="C2" s="169" t="s">
        <v>6</v>
      </c>
      <c r="D2" s="81" t="s">
        <v>8</v>
      </c>
    </row>
    <row r="3" spans="1:12" x14ac:dyDescent="0.2">
      <c r="A3" s="85" t="s">
        <v>111</v>
      </c>
      <c r="B3" s="174">
        <v>1E-3</v>
      </c>
      <c r="C3" s="169" t="s">
        <v>6</v>
      </c>
      <c r="D3" s="81" t="s">
        <v>8</v>
      </c>
    </row>
    <row r="4" spans="1:12" x14ac:dyDescent="0.2">
      <c r="A4" s="85" t="s">
        <v>89</v>
      </c>
      <c r="B4" s="174">
        <v>1E-4</v>
      </c>
      <c r="C4" s="169" t="s">
        <v>6</v>
      </c>
      <c r="D4" s="81" t="s">
        <v>8</v>
      </c>
    </row>
    <row r="5" spans="1:12" x14ac:dyDescent="0.2">
      <c r="A5" s="85" t="s">
        <v>115</v>
      </c>
      <c r="B5" s="174">
        <v>1.0000000000000001E-5</v>
      </c>
      <c r="C5" s="169" t="s">
        <v>6</v>
      </c>
      <c r="D5" s="81" t="s">
        <v>8</v>
      </c>
    </row>
    <row r="6" spans="1:12" x14ac:dyDescent="0.2">
      <c r="A6" s="85" t="s">
        <v>17</v>
      </c>
      <c r="B6" s="174">
        <f>B2/(1.34*10^(-3))</f>
        <v>0.20988805970149252</v>
      </c>
      <c r="C6" s="170" t="s">
        <v>15</v>
      </c>
      <c r="D6" s="81" t="s">
        <v>16</v>
      </c>
      <c r="E6" s="6"/>
    </row>
    <row r="7" spans="1:12" x14ac:dyDescent="0.2">
      <c r="A7" s="85" t="s">
        <v>114</v>
      </c>
      <c r="B7" s="174">
        <f>0.2*B5/3.4*10^(-2)</f>
        <v>5.882352941176472E-9</v>
      </c>
      <c r="C7" s="170" t="s">
        <v>15</v>
      </c>
      <c r="D7" s="81" t="s">
        <v>16</v>
      </c>
    </row>
    <row r="8" spans="1:12" x14ac:dyDescent="0.2">
      <c r="A8" s="85" t="s">
        <v>62</v>
      </c>
      <c r="B8" s="174">
        <f>Parameters!B4-(B6+B7)</f>
        <v>0.79011193441615457</v>
      </c>
      <c r="C8" s="170" t="s">
        <v>15</v>
      </c>
      <c r="D8" s="81" t="s">
        <v>16</v>
      </c>
      <c r="H8" s="6"/>
    </row>
    <row r="9" spans="1:12" x14ac:dyDescent="0.2">
      <c r="A9" s="90" t="s">
        <v>112</v>
      </c>
      <c r="B9" s="175">
        <v>0</v>
      </c>
      <c r="C9" s="171" t="s">
        <v>6</v>
      </c>
      <c r="D9" s="172" t="s">
        <v>3</v>
      </c>
    </row>
    <row r="10" spans="1:12" x14ac:dyDescent="0.2">
      <c r="C10"/>
      <c r="D10"/>
      <c r="I10" s="6"/>
    </row>
    <row r="11" spans="1:12" x14ac:dyDescent="0.2">
      <c r="C11"/>
      <c r="D11"/>
      <c r="I11" s="6"/>
    </row>
    <row r="12" spans="1:12" x14ac:dyDescent="0.2">
      <c r="C12"/>
      <c r="D12"/>
      <c r="L12" s="6"/>
    </row>
    <row r="13" spans="1:12" x14ac:dyDescent="0.2">
      <c r="C13"/>
      <c r="D13"/>
    </row>
    <row r="14" spans="1:12" x14ac:dyDescent="0.2">
      <c r="C14"/>
      <c r="D14"/>
    </row>
    <row r="15" spans="1:12" x14ac:dyDescent="0.2">
      <c r="C15"/>
      <c r="D15"/>
      <c r="L15" s="6"/>
    </row>
    <row r="16" spans="1:12" x14ac:dyDescent="0.2">
      <c r="C16"/>
      <c r="D16"/>
    </row>
    <row r="17" spans="3:4" x14ac:dyDescent="0.2">
      <c r="C17"/>
      <c r="D17"/>
    </row>
    <row r="18" spans="3:4" x14ac:dyDescent="0.2">
      <c r="C18"/>
      <c r="D18" t="s">
        <v>113</v>
      </c>
    </row>
    <row r="19" spans="3:4" x14ac:dyDescent="0.2">
      <c r="D19" s="15"/>
    </row>
    <row r="20" spans="3:4" x14ac:dyDescent="0.2">
      <c r="D20" s="15"/>
    </row>
    <row r="21" spans="3:4" x14ac:dyDescent="0.2">
      <c r="D21" s="15"/>
    </row>
    <row r="22" spans="3:4" x14ac:dyDescent="0.2">
      <c r="D22" s="1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workbookViewId="0">
      <selection activeCell="H10" sqref="H10"/>
    </sheetView>
  </sheetViews>
  <sheetFormatPr defaultColWidth="11.42578125" defaultRowHeight="15" x14ac:dyDescent="0.2"/>
  <cols>
    <col min="1" max="2" width="11.42578125" customWidth="1"/>
    <col min="3" max="6" width="11.42578125" style="58"/>
    <col min="7" max="7" width="2.85546875" style="56" customWidth="1"/>
    <col min="8" max="8" width="3.5703125" style="14" customWidth="1"/>
  </cols>
  <sheetData>
    <row r="1" spans="1:11" ht="15.75" thickBot="1" x14ac:dyDescent="0.25">
      <c r="A1" s="61" t="s">
        <v>44</v>
      </c>
      <c r="B1" s="62">
        <v>0</v>
      </c>
      <c r="C1" s="63">
        <v>0</v>
      </c>
      <c r="D1" s="187">
        <v>-1</v>
      </c>
      <c r="E1" s="63">
        <v>-2</v>
      </c>
      <c r="F1" s="188">
        <v>-3</v>
      </c>
    </row>
    <row r="2" spans="1:11" x14ac:dyDescent="0.2">
      <c r="A2" s="68" t="s">
        <v>85</v>
      </c>
      <c r="B2" s="177" t="s">
        <v>41</v>
      </c>
      <c r="C2" s="179">
        <v>-915.9</v>
      </c>
      <c r="D2" s="60" t="s">
        <v>41</v>
      </c>
      <c r="E2" s="179" t="s">
        <v>41</v>
      </c>
      <c r="F2" s="207" t="s">
        <v>41</v>
      </c>
      <c r="G2" s="211">
        <v>2</v>
      </c>
      <c r="H2" s="166" t="s">
        <v>8</v>
      </c>
      <c r="J2" s="65"/>
      <c r="K2" s="64"/>
    </row>
    <row r="3" spans="1:11" x14ac:dyDescent="0.2">
      <c r="A3" s="68" t="s">
        <v>48</v>
      </c>
      <c r="B3" s="177" t="s">
        <v>41</v>
      </c>
      <c r="C3" s="179">
        <v>16.399999999999999</v>
      </c>
      <c r="D3" s="60" t="s">
        <v>41</v>
      </c>
      <c r="E3" s="179" t="s">
        <v>41</v>
      </c>
      <c r="F3" s="207" t="s">
        <v>41</v>
      </c>
      <c r="G3" s="212">
        <v>2</v>
      </c>
      <c r="H3" s="81" t="s">
        <v>8</v>
      </c>
      <c r="J3" s="65"/>
      <c r="K3" s="64"/>
    </row>
    <row r="4" spans="1:11" x14ac:dyDescent="0.2">
      <c r="A4" s="68" t="s">
        <v>89</v>
      </c>
      <c r="B4" s="15" t="s">
        <v>41</v>
      </c>
      <c r="C4" s="179">
        <v>-79.37</v>
      </c>
      <c r="D4" s="60">
        <v>-26.57</v>
      </c>
      <c r="E4" s="179" t="s">
        <v>41</v>
      </c>
      <c r="F4" s="207" t="s">
        <v>41</v>
      </c>
      <c r="G4" s="212">
        <v>2</v>
      </c>
      <c r="H4" s="81" t="s">
        <v>8</v>
      </c>
      <c r="J4" s="65"/>
      <c r="K4" s="64"/>
    </row>
    <row r="5" spans="1:11" x14ac:dyDescent="0.2">
      <c r="A5" s="68" t="s">
        <v>115</v>
      </c>
      <c r="B5" s="198">
        <v>-386</v>
      </c>
      <c r="C5" s="198">
        <v>-623.16</v>
      </c>
      <c r="D5" s="198">
        <v>-586.85</v>
      </c>
      <c r="E5" s="198">
        <v>-527.79999999999995</v>
      </c>
      <c r="F5" s="207" t="s">
        <v>41</v>
      </c>
      <c r="G5" s="212">
        <v>3</v>
      </c>
      <c r="H5" s="81" t="s">
        <v>8</v>
      </c>
      <c r="J5" s="65"/>
      <c r="K5" s="64"/>
    </row>
    <row r="6" spans="1:11" x14ac:dyDescent="0.2">
      <c r="A6" s="68" t="s">
        <v>17</v>
      </c>
      <c r="B6" s="177" t="s">
        <v>41</v>
      </c>
      <c r="C6" s="179">
        <v>0</v>
      </c>
      <c r="D6" s="60" t="s">
        <v>41</v>
      </c>
      <c r="E6" s="179" t="s">
        <v>41</v>
      </c>
      <c r="F6" s="207" t="s">
        <v>41</v>
      </c>
      <c r="G6" s="212">
        <v>2</v>
      </c>
      <c r="H6" s="81" t="s">
        <v>16</v>
      </c>
      <c r="J6" s="65"/>
      <c r="K6" s="64"/>
    </row>
    <row r="7" spans="1:11" x14ac:dyDescent="0.2">
      <c r="A7" s="68" t="s">
        <v>114</v>
      </c>
      <c r="B7" s="15" t="s">
        <v>41</v>
      </c>
      <c r="C7" s="179">
        <v>-394.35899999999998</v>
      </c>
      <c r="D7" s="179" t="s">
        <v>41</v>
      </c>
      <c r="E7" s="179" t="s">
        <v>41</v>
      </c>
      <c r="F7" s="207" t="s">
        <v>41</v>
      </c>
      <c r="G7" s="212">
        <v>2</v>
      </c>
      <c r="H7" s="81" t="s">
        <v>16</v>
      </c>
      <c r="J7" s="64"/>
      <c r="K7" s="64"/>
    </row>
    <row r="8" spans="1:11" x14ac:dyDescent="0.2">
      <c r="A8" s="68" t="s">
        <v>62</v>
      </c>
      <c r="B8" s="177" t="s">
        <v>41</v>
      </c>
      <c r="C8" s="179">
        <v>0</v>
      </c>
      <c r="D8" s="60" t="s">
        <v>41</v>
      </c>
      <c r="E8" s="179" t="s">
        <v>41</v>
      </c>
      <c r="F8" s="207" t="s">
        <v>41</v>
      </c>
      <c r="G8" s="212">
        <v>2</v>
      </c>
      <c r="H8" s="81" t="s">
        <v>16</v>
      </c>
      <c r="J8" s="64"/>
      <c r="K8" s="64"/>
    </row>
    <row r="9" spans="1:11" s="56" customFormat="1" x14ac:dyDescent="0.2">
      <c r="A9" s="86" t="s">
        <v>20</v>
      </c>
      <c r="B9" s="184" t="s">
        <v>41</v>
      </c>
      <c r="C9" s="185">
        <v>-237.18</v>
      </c>
      <c r="D9" s="185">
        <v>-157.30000000000001</v>
      </c>
      <c r="E9" s="185" t="s">
        <v>41</v>
      </c>
      <c r="F9" s="208" t="s">
        <v>41</v>
      </c>
      <c r="G9" s="212">
        <v>2</v>
      </c>
      <c r="H9" s="81" t="s">
        <v>8</v>
      </c>
    </row>
    <row r="10" spans="1:11" s="56" customFormat="1" x14ac:dyDescent="0.2">
      <c r="A10" s="82" t="s">
        <v>21</v>
      </c>
      <c r="B10" s="178" t="s">
        <v>41</v>
      </c>
      <c r="C10" s="189">
        <v>0</v>
      </c>
      <c r="D10" s="189" t="s">
        <v>41</v>
      </c>
      <c r="E10" s="189" t="s">
        <v>41</v>
      </c>
      <c r="F10" s="209" t="s">
        <v>41</v>
      </c>
      <c r="G10" s="212">
        <v>2</v>
      </c>
      <c r="H10" s="81" t="s">
        <v>8</v>
      </c>
    </row>
    <row r="11" spans="1:11" s="56" customFormat="1" ht="15.75" thickBot="1" x14ac:dyDescent="0.25">
      <c r="A11" s="167" t="s">
        <v>112</v>
      </c>
      <c r="B11" s="77" t="s">
        <v>41</v>
      </c>
      <c r="C11" s="205">
        <v>-67</v>
      </c>
      <c r="D11" s="206" t="s">
        <v>41</v>
      </c>
      <c r="E11" s="206" t="s">
        <v>41</v>
      </c>
      <c r="F11" s="210" t="s">
        <v>41</v>
      </c>
      <c r="G11" s="212">
        <v>2</v>
      </c>
      <c r="H11" s="81" t="s">
        <v>3</v>
      </c>
    </row>
    <row r="12" spans="1:11" s="56" customFormat="1" x14ac:dyDescent="0.2">
      <c r="A12" s="83" t="s">
        <v>85</v>
      </c>
      <c r="B12" s="84" t="s">
        <v>42</v>
      </c>
      <c r="C12" s="180">
        <v>0</v>
      </c>
      <c r="D12" s="87" t="s">
        <v>42</v>
      </c>
      <c r="E12" s="180" t="s">
        <v>42</v>
      </c>
      <c r="F12" s="88" t="s">
        <v>42</v>
      </c>
      <c r="H12" s="14"/>
    </row>
    <row r="13" spans="1:11" s="56" customFormat="1" x14ac:dyDescent="0.2">
      <c r="A13" s="68" t="s">
        <v>48</v>
      </c>
      <c r="B13" s="177" t="s">
        <v>42</v>
      </c>
      <c r="C13" s="181">
        <v>0</v>
      </c>
      <c r="D13" s="57" t="s">
        <v>42</v>
      </c>
      <c r="E13" s="181" t="s">
        <v>42</v>
      </c>
      <c r="F13" s="69" t="s">
        <v>42</v>
      </c>
      <c r="H13" s="14"/>
    </row>
    <row r="14" spans="1:11" s="56" customFormat="1" x14ac:dyDescent="0.2">
      <c r="A14" s="68" t="s">
        <v>111</v>
      </c>
      <c r="B14" s="177" t="s">
        <v>42</v>
      </c>
      <c r="C14" s="181">
        <v>0</v>
      </c>
      <c r="D14" s="181" t="s">
        <v>42</v>
      </c>
      <c r="E14" s="181" t="s">
        <v>42</v>
      </c>
      <c r="F14" s="69" t="s">
        <v>42</v>
      </c>
      <c r="H14" s="14"/>
    </row>
    <row r="15" spans="1:11" s="56" customFormat="1" x14ac:dyDescent="0.2">
      <c r="A15" s="68" t="s">
        <v>89</v>
      </c>
      <c r="B15" s="178" t="s">
        <v>42</v>
      </c>
      <c r="C15" s="181">
        <v>1</v>
      </c>
      <c r="D15" s="181">
        <v>0</v>
      </c>
      <c r="E15" s="181" t="s">
        <v>42</v>
      </c>
      <c r="F15" s="69" t="s">
        <v>42</v>
      </c>
      <c r="H15" s="14"/>
    </row>
    <row r="16" spans="1:11" s="56" customFormat="1" x14ac:dyDescent="0.2">
      <c r="A16" s="68" t="s">
        <v>115</v>
      </c>
      <c r="B16" s="190">
        <v>0</v>
      </c>
      <c r="C16" s="190">
        <v>0</v>
      </c>
      <c r="D16" s="190">
        <v>-1</v>
      </c>
      <c r="E16" s="190">
        <v>-2</v>
      </c>
      <c r="F16" s="186" t="s">
        <v>42</v>
      </c>
      <c r="H16" s="14"/>
    </row>
    <row r="17" spans="1:8" s="56" customFormat="1" x14ac:dyDescent="0.2">
      <c r="A17" s="68" t="s">
        <v>17</v>
      </c>
      <c r="B17" s="57" t="s">
        <v>42</v>
      </c>
      <c r="C17" s="190">
        <v>0</v>
      </c>
      <c r="D17" s="181" t="s">
        <v>42</v>
      </c>
      <c r="E17" s="181" t="s">
        <v>42</v>
      </c>
      <c r="F17" s="193" t="s">
        <v>42</v>
      </c>
      <c r="H17" s="14"/>
    </row>
    <row r="18" spans="1:8" s="56" customFormat="1" x14ac:dyDescent="0.2">
      <c r="A18" s="68" t="s">
        <v>114</v>
      </c>
      <c r="B18" s="57" t="s">
        <v>42</v>
      </c>
      <c r="C18" s="190">
        <v>0</v>
      </c>
      <c r="D18" s="181" t="s">
        <v>42</v>
      </c>
      <c r="E18" s="181" t="s">
        <v>42</v>
      </c>
      <c r="F18" s="193" t="s">
        <v>42</v>
      </c>
      <c r="H18" s="14"/>
    </row>
    <row r="19" spans="1:8" s="56" customFormat="1" x14ac:dyDescent="0.2">
      <c r="A19" s="68" t="s">
        <v>62</v>
      </c>
      <c r="B19" s="57" t="s">
        <v>42</v>
      </c>
      <c r="C19" s="190">
        <v>0</v>
      </c>
      <c r="D19" s="181" t="s">
        <v>42</v>
      </c>
      <c r="E19" s="181" t="s">
        <v>42</v>
      </c>
      <c r="F19" s="193" t="s">
        <v>42</v>
      </c>
    </row>
    <row r="20" spans="1:8" s="56" customFormat="1" x14ac:dyDescent="0.2">
      <c r="A20" s="194" t="s">
        <v>20</v>
      </c>
      <c r="B20" s="182" t="s">
        <v>42</v>
      </c>
      <c r="C20" s="195">
        <v>0</v>
      </c>
      <c r="D20" s="59">
        <v>-1</v>
      </c>
      <c r="E20" s="182" t="s">
        <v>42</v>
      </c>
      <c r="F20" s="70" t="s">
        <v>42</v>
      </c>
    </row>
    <row r="21" spans="1:8" s="56" customFormat="1" x14ac:dyDescent="0.2">
      <c r="A21" s="196" t="s">
        <v>21</v>
      </c>
      <c r="B21" s="192" t="s">
        <v>42</v>
      </c>
      <c r="C21" s="197">
        <v>1</v>
      </c>
      <c r="D21" s="192" t="s">
        <v>42</v>
      </c>
      <c r="E21" s="192" t="s">
        <v>42</v>
      </c>
      <c r="F21" s="186" t="s">
        <v>42</v>
      </c>
    </row>
    <row r="22" spans="1:8" s="56" customFormat="1" x14ac:dyDescent="0.2">
      <c r="A22" s="167" t="s">
        <v>112</v>
      </c>
      <c r="B22" s="77" t="s">
        <v>42</v>
      </c>
      <c r="C22" s="183">
        <v>0</v>
      </c>
      <c r="D22" s="191" t="s">
        <v>42</v>
      </c>
      <c r="E22" s="55" t="s">
        <v>42</v>
      </c>
      <c r="F22" s="89" t="s">
        <v>42</v>
      </c>
    </row>
    <row r="23" spans="1:8" s="56" customFormat="1" ht="12.75" x14ac:dyDescent="0.2">
      <c r="C23" s="14"/>
    </row>
    <row r="24" spans="1:8" s="56" customFormat="1" ht="12.75" x14ac:dyDescent="0.2">
      <c r="C24" s="14"/>
    </row>
    <row r="25" spans="1:8" s="56" customFormat="1" ht="12.75" x14ac:dyDescent="0.2">
      <c r="C25" s="14"/>
    </row>
    <row r="26" spans="1:8" s="56" customFormat="1" ht="12.75" x14ac:dyDescent="0.2">
      <c r="C26" s="14"/>
    </row>
    <row r="27" spans="1:8" s="56" customFormat="1" ht="12.75" x14ac:dyDescent="0.2">
      <c r="C27" s="14"/>
    </row>
    <row r="28" spans="1:8" s="56" customFormat="1" ht="12.75" x14ac:dyDescent="0.2">
      <c r="C28" s="14"/>
    </row>
    <row r="29" spans="1:8" s="56" customFormat="1" ht="12.75" x14ac:dyDescent="0.2">
      <c r="C29" s="14"/>
    </row>
    <row r="30" spans="1:8" s="56" customFormat="1" ht="12.75" x14ac:dyDescent="0.2">
      <c r="C30" s="14"/>
    </row>
    <row r="31" spans="1:8" s="56" customFormat="1" ht="12.75" x14ac:dyDescent="0.2">
      <c r="C31" s="14"/>
    </row>
    <row r="32" spans="1:8" ht="12.75" x14ac:dyDescent="0.2">
      <c r="A32" s="56"/>
      <c r="B32" s="56"/>
      <c r="C32" s="14"/>
      <c r="D32" s="56"/>
      <c r="E32" s="56"/>
      <c r="F32" s="56"/>
      <c r="H32" s="56"/>
    </row>
    <row r="33" spans="1:8" ht="12.75" x14ac:dyDescent="0.2">
      <c r="A33" s="56"/>
      <c r="B33" s="56"/>
      <c r="C33" s="14"/>
      <c r="D33" s="56"/>
      <c r="E33" s="56"/>
      <c r="F33" s="56"/>
      <c r="H33" s="56"/>
    </row>
    <row r="34" spans="1:8" ht="12.75" x14ac:dyDescent="0.2">
      <c r="A34" s="56"/>
      <c r="B34" s="56"/>
      <c r="C34" s="14"/>
      <c r="D34" s="56"/>
      <c r="E34" s="56"/>
      <c r="F34" s="56"/>
      <c r="H34" s="56"/>
    </row>
    <row r="35" spans="1:8" ht="12.75" x14ac:dyDescent="0.2">
      <c r="A35" s="56"/>
      <c r="B35" s="56"/>
      <c r="C35" s="14"/>
      <c r="D35" s="56"/>
      <c r="E35" s="56"/>
      <c r="F35" s="56"/>
      <c r="H35" s="56"/>
    </row>
    <row r="36" spans="1:8" ht="12.75" x14ac:dyDescent="0.2">
      <c r="A36" s="56"/>
      <c r="B36" s="56"/>
      <c r="C36" s="14"/>
      <c r="D36" s="56"/>
      <c r="E36" s="56"/>
      <c r="F36" s="56"/>
      <c r="H36" s="56"/>
    </row>
  </sheetData>
  <conditionalFormatting sqref="C9:F9 C15:F15 C3:E3 C12:F12 C13 C6">
    <cfRule type="containsText" dxfId="68" priority="80" operator="containsText" text="FALTA">
      <formula>NOT(ISERROR(SEARCH("FALTA",C3)))</formula>
    </cfRule>
  </conditionalFormatting>
  <conditionalFormatting sqref="C13 C6">
    <cfRule type="cellIs" dxfId="67" priority="79" operator="greaterThan">
      <formula>1000000000</formula>
    </cfRule>
  </conditionalFormatting>
  <conditionalFormatting sqref="C3:E3 B6:F6 B15:F16 B9:F13">
    <cfRule type="containsText" dxfId="66" priority="70" operator="containsText" text="NA">
      <formula>NOT(ISERROR(SEARCH("NA",B3)))</formula>
    </cfRule>
    <cfRule type="containsText" dxfId="65" priority="71" operator="containsText" text="Inf">
      <formula>NOT(ISERROR(SEARCH("Inf",B3)))</formula>
    </cfRule>
  </conditionalFormatting>
  <conditionalFormatting sqref="B3">
    <cfRule type="containsText" dxfId="64" priority="75" operator="containsText" text="NA">
      <formula>NOT(ISERROR(SEARCH("NA",B3)))</formula>
    </cfRule>
    <cfRule type="containsText" dxfId="63" priority="76" operator="containsText" text="Inf">
      <formula>NOT(ISERROR(SEARCH("Inf",B3)))</formula>
    </cfRule>
  </conditionalFormatting>
  <conditionalFormatting sqref="F3">
    <cfRule type="containsText" dxfId="62" priority="65" operator="containsText" text="FALTA">
      <formula>NOT(ISERROR(SEARCH("FALTA",F3)))</formula>
    </cfRule>
  </conditionalFormatting>
  <conditionalFormatting sqref="F3">
    <cfRule type="containsText" dxfId="61" priority="63" operator="containsText" text="NA">
      <formula>NOT(ISERROR(SEARCH("NA",F3)))</formula>
    </cfRule>
    <cfRule type="containsText" dxfId="60" priority="64" operator="containsText" text="Inf">
      <formula>NOT(ISERROR(SEARCH("Inf",F3)))</formula>
    </cfRule>
  </conditionalFormatting>
  <conditionalFormatting sqref="B22:F22">
    <cfRule type="containsText" dxfId="59" priority="59" operator="containsText" text="NA">
      <formula>NOT(ISERROR(SEARCH("NA",B22)))</formula>
    </cfRule>
    <cfRule type="containsText" dxfId="58" priority="60" operator="containsText" text="Inf">
      <formula>NOT(ISERROR(SEARCH("Inf",B22)))</formula>
    </cfRule>
  </conditionalFormatting>
  <conditionalFormatting sqref="C8">
    <cfRule type="containsText" dxfId="57" priority="58" operator="containsText" text="FALTA">
      <formula>NOT(ISERROR(SEARCH("FALTA",C8)))</formula>
    </cfRule>
  </conditionalFormatting>
  <conditionalFormatting sqref="C8">
    <cfRule type="cellIs" dxfId="56" priority="57" operator="greaterThan">
      <formula>1000000000</formula>
    </cfRule>
  </conditionalFormatting>
  <conditionalFormatting sqref="B8:F8">
    <cfRule type="containsText" dxfId="55" priority="55" operator="containsText" text="NA">
      <formula>NOT(ISERROR(SEARCH("NA",B8)))</formula>
    </cfRule>
    <cfRule type="containsText" dxfId="54" priority="56" operator="containsText" text="Inf">
      <formula>NOT(ISERROR(SEARCH("Inf",B8)))</formula>
    </cfRule>
  </conditionalFormatting>
  <conditionalFormatting sqref="C14">
    <cfRule type="containsText" dxfId="53" priority="54" operator="containsText" text="FALTA">
      <formula>NOT(ISERROR(SEARCH("FALTA",C14)))</formula>
    </cfRule>
  </conditionalFormatting>
  <conditionalFormatting sqref="C14">
    <cfRule type="cellIs" dxfId="52" priority="53" operator="greaterThan">
      <formula>1000000000</formula>
    </cfRule>
  </conditionalFormatting>
  <conditionalFormatting sqref="B14:F14">
    <cfRule type="containsText" dxfId="51" priority="51" operator="containsText" text="NA">
      <formula>NOT(ISERROR(SEARCH("NA",B14)))</formula>
    </cfRule>
    <cfRule type="containsText" dxfId="50" priority="52" operator="containsText" text="Inf">
      <formula>NOT(ISERROR(SEARCH("Inf",B14)))</formula>
    </cfRule>
  </conditionalFormatting>
  <conditionalFormatting sqref="C2:E2">
    <cfRule type="containsText" dxfId="49" priority="50" operator="containsText" text="FALTA">
      <formula>NOT(ISERROR(SEARCH("FALTA",C2)))</formula>
    </cfRule>
  </conditionalFormatting>
  <conditionalFormatting sqref="C2:E2">
    <cfRule type="containsText" dxfId="48" priority="46" operator="containsText" text="NA">
      <formula>NOT(ISERROR(SEARCH("NA",C2)))</formula>
    </cfRule>
    <cfRule type="containsText" dxfId="47" priority="47" operator="containsText" text="Inf">
      <formula>NOT(ISERROR(SEARCH("Inf",C2)))</formula>
    </cfRule>
  </conditionalFormatting>
  <conditionalFormatting sqref="B2">
    <cfRule type="containsText" dxfId="46" priority="48" operator="containsText" text="NA">
      <formula>NOT(ISERROR(SEARCH("NA",B2)))</formula>
    </cfRule>
    <cfRule type="containsText" dxfId="45" priority="49" operator="containsText" text="Inf">
      <formula>NOT(ISERROR(SEARCH("Inf",B2)))</formula>
    </cfRule>
  </conditionalFormatting>
  <conditionalFormatting sqref="F2">
    <cfRule type="containsText" dxfId="44" priority="45" operator="containsText" text="FALTA">
      <formula>NOT(ISERROR(SEARCH("FALTA",F2)))</formula>
    </cfRule>
  </conditionalFormatting>
  <conditionalFormatting sqref="F2">
    <cfRule type="containsText" dxfId="43" priority="43" operator="containsText" text="NA">
      <formula>NOT(ISERROR(SEARCH("NA",F2)))</formula>
    </cfRule>
    <cfRule type="containsText" dxfId="42" priority="44" operator="containsText" text="Inf">
      <formula>NOT(ISERROR(SEARCH("Inf",F2)))</formula>
    </cfRule>
  </conditionalFormatting>
  <conditionalFormatting sqref="C17">
    <cfRule type="containsText" dxfId="41" priority="41" operator="containsText" text="NA">
      <formula>NOT(ISERROR(SEARCH("NA",C17)))</formula>
    </cfRule>
    <cfRule type="containsText" dxfId="40" priority="42" operator="containsText" text="Inf">
      <formula>NOT(ISERROR(SEARCH("Inf",C17)))</formula>
    </cfRule>
  </conditionalFormatting>
  <conditionalFormatting sqref="C18">
    <cfRule type="containsText" dxfId="39" priority="39" operator="containsText" text="NA">
      <formula>NOT(ISERROR(SEARCH("NA",C18)))</formula>
    </cfRule>
    <cfRule type="containsText" dxfId="38" priority="40" operator="containsText" text="Inf">
      <formula>NOT(ISERROR(SEARCH("Inf",C18)))</formula>
    </cfRule>
  </conditionalFormatting>
  <conditionalFormatting sqref="C19">
    <cfRule type="containsText" dxfId="37" priority="37" operator="containsText" text="NA">
      <formula>NOT(ISERROR(SEARCH("NA",C19)))</formula>
    </cfRule>
    <cfRule type="containsText" dxfId="36" priority="38" operator="containsText" text="Inf">
      <formula>NOT(ISERROR(SEARCH("Inf",C19)))</formula>
    </cfRule>
  </conditionalFormatting>
  <conditionalFormatting sqref="B17:B19">
    <cfRule type="containsText" dxfId="35" priority="35" operator="containsText" text="NA">
      <formula>NOT(ISERROR(SEARCH("NA",B17)))</formula>
    </cfRule>
    <cfRule type="containsText" dxfId="34" priority="36" operator="containsText" text="Inf">
      <formula>NOT(ISERROR(SEARCH("Inf",B17)))</formula>
    </cfRule>
  </conditionalFormatting>
  <conditionalFormatting sqref="C20:D20">
    <cfRule type="containsText" dxfId="33" priority="33" operator="containsText" text="NA">
      <formula>NOT(ISERROR(SEARCH("NA",C20)))</formula>
    </cfRule>
    <cfRule type="containsText" dxfId="32" priority="34" operator="containsText" text="Inf">
      <formula>NOT(ISERROR(SEARCH("Inf",C20)))</formula>
    </cfRule>
  </conditionalFormatting>
  <conditionalFormatting sqref="F20:F21">
    <cfRule type="containsText" dxfId="31" priority="31" operator="containsText" text="NA">
      <formula>NOT(ISERROR(SEARCH("NA",F20)))</formula>
    </cfRule>
    <cfRule type="containsText" dxfId="30" priority="32" operator="containsText" text="Inf">
      <formula>NOT(ISERROR(SEARCH("Inf",F20)))</formula>
    </cfRule>
  </conditionalFormatting>
  <conditionalFormatting sqref="E20:E21 B21:D21 B20">
    <cfRule type="containsText" dxfId="29" priority="29" operator="containsText" text="NA">
      <formula>NOT(ISERROR(SEARCH("NA",B20)))</formula>
    </cfRule>
    <cfRule type="containsText" dxfId="28" priority="30" operator="containsText" text="Inf">
      <formula>NOT(ISERROR(SEARCH("Inf",B20)))</formula>
    </cfRule>
  </conditionalFormatting>
  <conditionalFormatting sqref="D17">
    <cfRule type="containsText" dxfId="27" priority="27" operator="containsText" text="NA">
      <formula>NOT(ISERROR(SEARCH("NA",D17)))</formula>
    </cfRule>
    <cfRule type="containsText" dxfId="26" priority="28" operator="containsText" text="Inf">
      <formula>NOT(ISERROR(SEARCH("Inf",D17)))</formula>
    </cfRule>
  </conditionalFormatting>
  <conditionalFormatting sqref="D18">
    <cfRule type="containsText" dxfId="25" priority="25" operator="containsText" text="NA">
      <formula>NOT(ISERROR(SEARCH("NA",D18)))</formula>
    </cfRule>
    <cfRule type="containsText" dxfId="24" priority="26" operator="containsText" text="Inf">
      <formula>NOT(ISERROR(SEARCH("Inf",D18)))</formula>
    </cfRule>
  </conditionalFormatting>
  <conditionalFormatting sqref="D19">
    <cfRule type="containsText" dxfId="23" priority="23" operator="containsText" text="NA">
      <formula>NOT(ISERROR(SEARCH("NA",D19)))</formula>
    </cfRule>
    <cfRule type="containsText" dxfId="22" priority="24" operator="containsText" text="Inf">
      <formula>NOT(ISERROR(SEARCH("Inf",D19)))</formula>
    </cfRule>
  </conditionalFormatting>
  <conditionalFormatting sqref="E17:E19">
    <cfRule type="containsText" dxfId="21" priority="21" operator="containsText" text="NA">
      <formula>NOT(ISERROR(SEARCH("NA",E17)))</formula>
    </cfRule>
    <cfRule type="containsText" dxfId="20" priority="22" operator="containsText" text="Inf">
      <formula>NOT(ISERROR(SEARCH("Inf",E17)))</formula>
    </cfRule>
  </conditionalFormatting>
  <conditionalFormatting sqref="F17:F19">
    <cfRule type="containsText" dxfId="19" priority="19" operator="containsText" text="NA">
      <formula>NOT(ISERROR(SEARCH("NA",F17)))</formula>
    </cfRule>
    <cfRule type="containsText" dxfId="18" priority="20" operator="containsText" text="Inf">
      <formula>NOT(ISERROR(SEARCH("Inf",F17)))</formula>
    </cfRule>
  </conditionalFormatting>
  <conditionalFormatting sqref="C4">
    <cfRule type="containsText" dxfId="13" priority="14" operator="containsText" text="FALTA">
      <formula>NOT(ISERROR(SEARCH("FALTA",C4)))</formula>
    </cfRule>
  </conditionalFormatting>
  <conditionalFormatting sqref="C4">
    <cfRule type="cellIs" dxfId="12" priority="13" operator="greaterThan">
      <formula>1000000000</formula>
    </cfRule>
  </conditionalFormatting>
  <conditionalFormatting sqref="B4:F4">
    <cfRule type="containsText" dxfId="11" priority="11" operator="containsText" text="NA">
      <formula>NOT(ISERROR(SEARCH("NA",B4)))</formula>
    </cfRule>
    <cfRule type="containsText" dxfId="10" priority="12" operator="containsText" text="Inf">
      <formula>NOT(ISERROR(SEARCH("Inf",B4)))</formula>
    </cfRule>
  </conditionalFormatting>
  <conditionalFormatting sqref="F5">
    <cfRule type="containsText" dxfId="9" priority="9" operator="containsText" text="NA">
      <formula>NOT(ISERROR(SEARCH("NA",F5)))</formula>
    </cfRule>
    <cfRule type="containsText" dxfId="8" priority="10" operator="containsText" text="Inf">
      <formula>NOT(ISERROR(SEARCH("Inf",F5)))</formula>
    </cfRule>
  </conditionalFormatting>
  <conditionalFormatting sqref="B5 D5:E5">
    <cfRule type="containsText" dxfId="7" priority="7" operator="containsText" text="NA">
      <formula>NOT(ISERROR(SEARCH("NA",B5)))</formula>
    </cfRule>
    <cfRule type="containsText" dxfId="6" priority="8" operator="containsText" text="Inf">
      <formula>NOT(ISERROR(SEARCH("Inf",B5)))</formula>
    </cfRule>
  </conditionalFormatting>
  <conditionalFormatting sqref="C5">
    <cfRule type="containsText" dxfId="5" priority="5" operator="containsText" text="NA">
      <formula>NOT(ISERROR(SEARCH("NA",C5)))</formula>
    </cfRule>
    <cfRule type="containsText" dxfId="4" priority="6" operator="containsText" text="Inf">
      <formula>NOT(ISERROR(SEARCH("Inf",C5)))</formula>
    </cfRule>
  </conditionalFormatting>
  <conditionalFormatting sqref="C7">
    <cfRule type="containsText" dxfId="3" priority="4" operator="containsText" text="FALTA">
      <formula>NOT(ISERROR(SEARCH("FALTA",C7)))</formula>
    </cfRule>
  </conditionalFormatting>
  <conditionalFormatting sqref="C7">
    <cfRule type="cellIs" dxfId="2" priority="3" operator="greaterThan">
      <formula>1000000000</formula>
    </cfRule>
  </conditionalFormatting>
  <conditionalFormatting sqref="B7:F7">
    <cfRule type="containsText" dxfId="1" priority="1" operator="containsText" text="NA">
      <formula>NOT(ISERROR(SEARCH("NA",B7)))</formula>
    </cfRule>
    <cfRule type="containsText" dxfId="0" priority="2" operator="containsText" text="Inf">
      <formula>NOT(ISERROR(SEARCH("Inf",B7)))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9"/>
  <sheetViews>
    <sheetView workbookViewId="0">
      <selection activeCell="E31" sqref="E31"/>
    </sheetView>
  </sheetViews>
  <sheetFormatPr defaultRowHeight="12.75" x14ac:dyDescent="0.2"/>
  <cols>
    <col min="1" max="1" width="14.85546875" customWidth="1"/>
    <col min="2" max="2" width="10.5703125" customWidth="1"/>
    <col min="4" max="4" width="12.42578125" bestFit="1" customWidth="1"/>
  </cols>
  <sheetData>
    <row r="1" spans="1:4" x14ac:dyDescent="0.2">
      <c r="A1" s="203" t="s">
        <v>22</v>
      </c>
      <c r="B1" s="40">
        <f>((4/3)*PI()*B3^3)*B4</f>
        <v>7.2057705385739907E-14</v>
      </c>
      <c r="C1" s="21" t="s">
        <v>23</v>
      </c>
    </row>
    <row r="2" spans="1:4" x14ac:dyDescent="0.2">
      <c r="A2" s="7" t="s">
        <v>46</v>
      </c>
      <c r="B2" s="39">
        <f>0.01*B1</f>
        <v>7.2057705385739908E-16</v>
      </c>
      <c r="C2" s="22" t="s">
        <v>23</v>
      </c>
    </row>
    <row r="3" spans="1:4" x14ac:dyDescent="0.2">
      <c r="A3" s="7" t="s">
        <v>32</v>
      </c>
      <c r="B3" s="39">
        <f>0.39*10^(-6)</f>
        <v>3.8999999999999997E-7</v>
      </c>
      <c r="C3" s="22" t="s">
        <v>24</v>
      </c>
    </row>
    <row r="4" spans="1:4" x14ac:dyDescent="0.2">
      <c r="A4" s="7" t="s">
        <v>25</v>
      </c>
      <c r="B4" s="39">
        <f>290*1000</f>
        <v>290000</v>
      </c>
      <c r="C4" s="22" t="s">
        <v>55</v>
      </c>
    </row>
    <row r="5" spans="1:4" x14ac:dyDescent="0.2">
      <c r="A5" s="7" t="s">
        <v>26</v>
      </c>
      <c r="B5" s="9">
        <v>24.6</v>
      </c>
      <c r="C5" s="22" t="s">
        <v>27</v>
      </c>
    </row>
    <row r="6" spans="1:4" x14ac:dyDescent="0.2">
      <c r="A6" s="204" t="s">
        <v>28</v>
      </c>
      <c r="B6" s="39">
        <f>ROUNDUP(((Discretization!B2/10^(-6))^2)/(B3*2/10^(-6)),0)</f>
        <v>51283</v>
      </c>
      <c r="C6" s="22" t="s">
        <v>9</v>
      </c>
    </row>
    <row r="7" spans="1:4" x14ac:dyDescent="0.2">
      <c r="A7" s="35" t="s">
        <v>29</v>
      </c>
      <c r="B7" s="9">
        <v>1.3</v>
      </c>
      <c r="C7" s="22" t="s">
        <v>9</v>
      </c>
    </row>
    <row r="8" spans="1:4" x14ac:dyDescent="0.2">
      <c r="A8" s="35" t="s">
        <v>30</v>
      </c>
      <c r="B8" s="39">
        <f>5*10^(-6)</f>
        <v>4.9999999999999996E-6</v>
      </c>
      <c r="C8" s="22" t="s">
        <v>24</v>
      </c>
    </row>
    <row r="9" spans="1:4" x14ac:dyDescent="0.2">
      <c r="A9" s="36" t="s">
        <v>31</v>
      </c>
      <c r="B9" s="37">
        <f>1*10^(-8)</f>
        <v>1E-8</v>
      </c>
      <c r="C9" s="38" t="s">
        <v>24</v>
      </c>
    </row>
    <row r="13" spans="1:4" x14ac:dyDescent="0.2">
      <c r="B13" s="41"/>
    </row>
    <row r="14" spans="1:4" x14ac:dyDescent="0.2">
      <c r="B14" s="12"/>
    </row>
    <row r="16" spans="1:4" x14ac:dyDescent="0.2">
      <c r="C16" s="12"/>
      <c r="D16" s="74"/>
    </row>
    <row r="17" spans="4:5" x14ac:dyDescent="0.2">
      <c r="D17" s="12"/>
    </row>
    <row r="19" spans="4:5" x14ac:dyDescent="0.2">
      <c r="E19" s="12"/>
    </row>
  </sheetData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D11" sqref="D11"/>
    </sheetView>
  </sheetViews>
  <sheetFormatPr defaultColWidth="11.42578125" defaultRowHeight="12.75" x14ac:dyDescent="0.2"/>
  <cols>
    <col min="1" max="1" width="10.42578125" customWidth="1"/>
    <col min="3" max="3" width="12.140625" customWidth="1"/>
  </cols>
  <sheetData>
    <row r="1" spans="1:4" x14ac:dyDescent="0.2">
      <c r="A1" s="18" t="s">
        <v>1</v>
      </c>
      <c r="B1" s="13">
        <v>298.14999999999998</v>
      </c>
      <c r="C1" s="21" t="s">
        <v>2</v>
      </c>
    </row>
    <row r="2" spans="1:4" x14ac:dyDescent="0.2">
      <c r="A2" s="19" t="s">
        <v>11</v>
      </c>
      <c r="B2" s="9">
        <f>8.3144/1000</f>
        <v>8.3143999999999996E-3</v>
      </c>
      <c r="C2" s="22" t="s">
        <v>12</v>
      </c>
    </row>
    <row r="3" spans="1:4" x14ac:dyDescent="0.2">
      <c r="A3" s="19" t="s">
        <v>13</v>
      </c>
      <c r="B3" s="9">
        <v>8.2057459999999999E-2</v>
      </c>
      <c r="C3" s="22" t="s">
        <v>14</v>
      </c>
    </row>
    <row r="4" spans="1:4" x14ac:dyDescent="0.2">
      <c r="A4" s="19" t="s">
        <v>0</v>
      </c>
      <c r="B4" s="9">
        <v>1</v>
      </c>
      <c r="C4" s="22" t="s">
        <v>15</v>
      </c>
    </row>
    <row r="5" spans="1:4" x14ac:dyDescent="0.2">
      <c r="A5" s="7" t="s">
        <v>18</v>
      </c>
      <c r="B5" s="39">
        <f>Discretization!B2*Discretization!B2*Discretization!B4</f>
        <v>7.9999999999999987E-14</v>
      </c>
      <c r="C5" s="26" t="s">
        <v>8</v>
      </c>
    </row>
    <row r="6" spans="1:4" x14ac:dyDescent="0.2">
      <c r="A6" s="19" t="s">
        <v>7</v>
      </c>
      <c r="B6" s="39">
        <f>B5</f>
        <v>7.9999999999999987E-14</v>
      </c>
      <c r="C6" s="22" t="s">
        <v>8</v>
      </c>
    </row>
    <row r="7" spans="1:4" x14ac:dyDescent="0.2">
      <c r="A7" s="20" t="s">
        <v>10</v>
      </c>
      <c r="B7" s="16">
        <v>7</v>
      </c>
      <c r="C7" s="24" t="s">
        <v>9</v>
      </c>
    </row>
    <row r="8" spans="1:4" x14ac:dyDescent="0.2">
      <c r="A8" s="17"/>
    </row>
    <row r="16" spans="1:4" x14ac:dyDescent="0.2">
      <c r="D16" s="1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workbookViewId="0">
      <selection activeCell="E19" sqref="E19"/>
    </sheetView>
  </sheetViews>
  <sheetFormatPr defaultRowHeight="12.75" x14ac:dyDescent="0.2"/>
  <cols>
    <col min="1" max="1" width="15.42578125" customWidth="1"/>
    <col min="6" max="6" width="12.42578125" bestFit="1" customWidth="1"/>
  </cols>
  <sheetData>
    <row r="1" spans="1:5" x14ac:dyDescent="0.2">
      <c r="A1" s="50" t="s">
        <v>33</v>
      </c>
      <c r="B1" s="45">
        <v>50</v>
      </c>
      <c r="C1" s="46" t="s">
        <v>9</v>
      </c>
    </row>
    <row r="2" spans="1:5" x14ac:dyDescent="0.2">
      <c r="A2" s="51" t="s">
        <v>34</v>
      </c>
      <c r="B2" s="41">
        <f>200*10^(-6)</f>
        <v>1.9999999999999998E-4</v>
      </c>
      <c r="C2" s="47" t="s">
        <v>24</v>
      </c>
    </row>
    <row r="3" spans="1:5" x14ac:dyDescent="0.2">
      <c r="A3" s="51" t="s">
        <v>56</v>
      </c>
      <c r="B3" s="41">
        <f>B2/B1</f>
        <v>3.9999999999999998E-6</v>
      </c>
      <c r="C3" s="47" t="s">
        <v>24</v>
      </c>
    </row>
    <row r="4" spans="1:5" x14ac:dyDescent="0.2">
      <c r="A4" s="51" t="s">
        <v>58</v>
      </c>
      <c r="B4" s="41">
        <f>2*10^(-6)</f>
        <v>1.9999999999999999E-6</v>
      </c>
      <c r="C4" s="47" t="s">
        <v>24</v>
      </c>
    </row>
    <row r="5" spans="1:5" x14ac:dyDescent="0.2">
      <c r="A5" s="51" t="s">
        <v>57</v>
      </c>
      <c r="B5" s="41">
        <f>40*10^(-6)</f>
        <v>3.9999999999999996E-5</v>
      </c>
      <c r="C5" s="47" t="s">
        <v>24</v>
      </c>
    </row>
    <row r="6" spans="1:5" x14ac:dyDescent="0.2">
      <c r="A6" s="51" t="s">
        <v>36</v>
      </c>
      <c r="B6" s="32">
        <f>24*20</f>
        <v>480</v>
      </c>
      <c r="C6" s="47" t="s">
        <v>37</v>
      </c>
    </row>
    <row r="7" spans="1:5" x14ac:dyDescent="0.2">
      <c r="A7" s="51" t="s">
        <v>38</v>
      </c>
      <c r="B7" s="41">
        <v>9.9999999999999995E-7</v>
      </c>
      <c r="C7" s="47" t="s">
        <v>37</v>
      </c>
    </row>
    <row r="8" spans="1:5" x14ac:dyDescent="0.2">
      <c r="A8" s="51" t="s">
        <v>59</v>
      </c>
      <c r="B8" s="41">
        <f>B7*1</f>
        <v>9.9999999999999995E-7</v>
      </c>
      <c r="C8" s="47" t="s">
        <v>37</v>
      </c>
    </row>
    <row r="9" spans="1:5" x14ac:dyDescent="0.2">
      <c r="A9" s="51" t="s">
        <v>39</v>
      </c>
      <c r="B9" s="32">
        <f>60*1/60</f>
        <v>1</v>
      </c>
      <c r="C9" s="47" t="s">
        <v>37</v>
      </c>
    </row>
    <row r="10" spans="1:5" ht="13.5" thickBot="1" x14ac:dyDescent="0.25">
      <c r="A10" s="52" t="s">
        <v>40</v>
      </c>
      <c r="B10" s="48">
        <f>B9*2</f>
        <v>2</v>
      </c>
      <c r="C10" s="49" t="s">
        <v>37</v>
      </c>
    </row>
    <row r="11" spans="1:5" ht="13.5" thickBot="1" x14ac:dyDescent="0.25">
      <c r="A11" s="73" t="s">
        <v>54</v>
      </c>
      <c r="B11" s="71">
        <f>10^(-3)</f>
        <v>1E-3</v>
      </c>
      <c r="C11" s="72" t="s">
        <v>9</v>
      </c>
    </row>
    <row r="12" spans="1:5" x14ac:dyDescent="0.2">
      <c r="A12" s="43"/>
      <c r="B12" s="25"/>
      <c r="C12" s="42"/>
    </row>
    <row r="13" spans="1:5" x14ac:dyDescent="0.2">
      <c r="A13" s="44"/>
    </row>
    <row r="16" spans="1:5" x14ac:dyDescent="0.2">
      <c r="D16" s="12"/>
      <c r="E16" s="12"/>
    </row>
    <row r="24" spans="5:5" x14ac:dyDescent="0.2">
      <c r="E24" s="12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A3" sqref="A3"/>
    </sheetView>
  </sheetViews>
  <sheetFormatPr defaultRowHeight="12.75" x14ac:dyDescent="0.2"/>
  <cols>
    <col min="1" max="1" width="11" bestFit="1" customWidth="1"/>
    <col min="2" max="2" width="12" bestFit="1" customWidth="1"/>
    <col min="4" max="4" width="11.42578125" bestFit="1" customWidth="1"/>
  </cols>
  <sheetData>
    <row r="1" spans="1:3" x14ac:dyDescent="0.2">
      <c r="A1" s="77" t="s">
        <v>116</v>
      </c>
      <c r="B1" s="175">
        <f>0.67*10^(-9)*3600</f>
        <v>2.4120000000000004E-6</v>
      </c>
      <c r="C1" s="199" t="s">
        <v>35</v>
      </c>
    </row>
    <row r="2" spans="1:3" x14ac:dyDescent="0.2">
      <c r="A2" s="55" t="s">
        <v>49</v>
      </c>
      <c r="B2" s="174">
        <f>2*10^(-9)*3600</f>
        <v>7.2000000000000005E-6</v>
      </c>
      <c r="C2" s="200" t="s">
        <v>35</v>
      </c>
    </row>
    <row r="3" spans="1:3" x14ac:dyDescent="0.2">
      <c r="A3" s="55" t="s">
        <v>117</v>
      </c>
      <c r="B3" s="174">
        <f>1.29*10^(-9)*3600</f>
        <v>4.6439999999999999E-6</v>
      </c>
      <c r="C3" s="200" t="s">
        <v>35</v>
      </c>
    </row>
    <row r="4" spans="1:3" x14ac:dyDescent="0.2">
      <c r="A4" s="55" t="s">
        <v>118</v>
      </c>
      <c r="B4" s="174">
        <f>1.64*10^(-9)*3600</f>
        <v>5.9039999999999997E-6</v>
      </c>
      <c r="C4" s="200" t="s">
        <v>35</v>
      </c>
    </row>
    <row r="5" spans="1:3" x14ac:dyDescent="0.2">
      <c r="A5" s="54" t="s">
        <v>119</v>
      </c>
      <c r="B5" s="202">
        <f>1.92*10^(-9)*3600</f>
        <v>6.9120000000000001E-6</v>
      </c>
      <c r="C5" s="201" t="s">
        <v>35</v>
      </c>
    </row>
    <row r="6" spans="1:3" ht="14.25" x14ac:dyDescent="0.2">
      <c r="A6" s="162" t="s">
        <v>50</v>
      </c>
      <c r="B6" s="175">
        <v>20</v>
      </c>
      <c r="C6" s="171" t="s">
        <v>51</v>
      </c>
    </row>
    <row r="7" spans="1:3" ht="14.25" x14ac:dyDescent="0.2">
      <c r="A7" s="163" t="s">
        <v>120</v>
      </c>
      <c r="B7" s="202">
        <v>20</v>
      </c>
      <c r="C7" s="67" t="s">
        <v>51</v>
      </c>
    </row>
    <row r="11" spans="1:3" x14ac:dyDescent="0.2">
      <c r="A11" s="1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Reactions</vt:lpstr>
      <vt:lpstr>ReactionMatrix</vt:lpstr>
      <vt:lpstr>SpecParam</vt:lpstr>
      <vt:lpstr>States</vt:lpstr>
      <vt:lpstr>ThermoParam</vt:lpstr>
      <vt:lpstr>Bacteria</vt:lpstr>
      <vt:lpstr>Parameters</vt:lpstr>
      <vt:lpstr>Discretization</vt:lpstr>
      <vt:lpstr>Diffusion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</dc:creator>
  <cp:lastModifiedBy>Valentina Gogulancea</cp:lastModifiedBy>
  <dcterms:created xsi:type="dcterms:W3CDTF">2008-02-06T12:16:03Z</dcterms:created>
  <dcterms:modified xsi:type="dcterms:W3CDTF">2018-01-17T14:20:48Z</dcterms:modified>
</cp:coreProperties>
</file>