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ownloads\"/>
    </mc:Choice>
  </mc:AlternateContent>
  <bookViews>
    <workbookView xWindow="0" yWindow="0" windowWidth="28800" windowHeight="12300" activeTab="3"/>
  </bookViews>
  <sheets>
    <sheet name="Reactions" sheetId="18" r:id="rId1"/>
    <sheet name="SpecParam" sheetId="13" r:id="rId2"/>
    <sheet name="ReactionMatrix" sheetId="21" r:id="rId3"/>
    <sheet name="Influent" sheetId="29" r:id="rId4"/>
    <sheet name="States" sheetId="22" r:id="rId5"/>
    <sheet name="ThermoParam" sheetId="24" r:id="rId6"/>
    <sheet name="Bacteria" sheetId="25" r:id="rId7"/>
    <sheet name="Parameters" sheetId="26" r:id="rId8"/>
    <sheet name="Discretization" sheetId="27" r:id="rId9"/>
    <sheet name="Diffusion" sheetId="28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B3" i="29" l="1"/>
  <c r="B1" i="29"/>
  <c r="B7" i="28" l="1"/>
  <c r="B5" i="28" l="1"/>
  <c r="B1" i="26" l="1"/>
  <c r="B2" i="28"/>
  <c r="B1" i="28"/>
  <c r="B2" i="25" l="1"/>
  <c r="B4" i="25"/>
  <c r="B8" i="22"/>
  <c r="B1" i="22"/>
  <c r="F2" i="13"/>
  <c r="E2" i="13"/>
  <c r="B2" i="13"/>
  <c r="C12" i="21"/>
  <c r="B12" i="21"/>
  <c r="C11" i="21"/>
  <c r="B11" i="21"/>
  <c r="C7" i="21"/>
  <c r="B7" i="21"/>
  <c r="C6" i="21"/>
  <c r="B6" i="21"/>
  <c r="C5" i="21"/>
  <c r="D5" i="21" s="1"/>
  <c r="B5" i="21"/>
  <c r="C4" i="21"/>
  <c r="B4" i="21"/>
  <c r="C3" i="21"/>
  <c r="D3" i="21" s="1"/>
  <c r="B3" i="21"/>
  <c r="B3" i="27" l="1"/>
  <c r="B4" i="27" l="1"/>
  <c r="B8" i="27" l="1"/>
  <c r="B9" i="26" l="1"/>
  <c r="B7" i="27" l="1"/>
  <c r="B9" i="25" l="1"/>
  <c r="B3" i="28" l="1"/>
  <c r="B4" i="28"/>
  <c r="B3" i="25" l="1"/>
  <c r="B3" i="26"/>
  <c r="B1" i="25" l="1"/>
  <c r="B8" i="25"/>
  <c r="B7" i="26" l="1"/>
  <c r="AI12" i="18"/>
  <c r="B10" i="26" l="1"/>
  <c r="B6" i="26"/>
  <c r="V4" i="18"/>
  <c r="B6" i="27" l="1"/>
  <c r="B5" i="27"/>
  <c r="X37" i="18" l="1"/>
  <c r="W37" i="18"/>
  <c r="V37" i="18"/>
  <c r="X36" i="18"/>
  <c r="W36" i="18"/>
  <c r="V36" i="18"/>
  <c r="X35" i="18"/>
  <c r="W35" i="18"/>
  <c r="V35" i="18"/>
  <c r="X34" i="18"/>
  <c r="W34" i="18"/>
  <c r="V34" i="18"/>
  <c r="AH5" i="18" l="1"/>
  <c r="AI5" i="18" s="1"/>
  <c r="AH6" i="18"/>
  <c r="AH7" i="18"/>
  <c r="AI7" i="18" s="1"/>
  <c r="AH8" i="18"/>
  <c r="AH9" i="18"/>
  <c r="AH10" i="18"/>
  <c r="AI10" i="18" s="1"/>
  <c r="AH11" i="18"/>
  <c r="AI11" i="18" s="1"/>
  <c r="AH12" i="18"/>
  <c r="AH13" i="18"/>
  <c r="AH14" i="18"/>
  <c r="AH15" i="18"/>
  <c r="AH4" i="18"/>
  <c r="AG25" i="18"/>
  <c r="AG26" i="18" s="1"/>
  <c r="AF25" i="18"/>
  <c r="AF26" i="18" s="1"/>
  <c r="AG22" i="18"/>
  <c r="AF22" i="18"/>
  <c r="AG21" i="18"/>
  <c r="AF21" i="18"/>
  <c r="AG20" i="18"/>
  <c r="AF20" i="18"/>
  <c r="AG19" i="18"/>
  <c r="AF19" i="18"/>
  <c r="AG18" i="18"/>
  <c r="AF18" i="18"/>
  <c r="AG17" i="18"/>
  <c r="AF17" i="18"/>
  <c r="AG16" i="18"/>
  <c r="AF16" i="18"/>
  <c r="AI21" i="18" l="1"/>
  <c r="AI19" i="18"/>
  <c r="AI20" i="18"/>
  <c r="AI16" i="18"/>
  <c r="AI22" i="18"/>
  <c r="AI18" i="18"/>
  <c r="AI17" i="18"/>
  <c r="AH25" i="18"/>
  <c r="AH26" i="18" s="1"/>
  <c r="D7" i="18" s="1"/>
  <c r="AH17" i="18"/>
  <c r="AH19" i="18"/>
  <c r="AH21" i="18"/>
  <c r="AH16" i="18"/>
  <c r="AH18" i="18"/>
  <c r="AH20" i="18"/>
  <c r="AH22" i="18"/>
  <c r="E16" i="18" l="1"/>
  <c r="E17" i="18"/>
  <c r="E18" i="18"/>
  <c r="AA7" i="18" l="1"/>
  <c r="Z7" i="18"/>
  <c r="V7" i="18"/>
  <c r="V8" i="18"/>
  <c r="Z8" i="18"/>
  <c r="AA8" i="18"/>
  <c r="AE8" i="18" s="1"/>
  <c r="AD8" i="18"/>
  <c r="AA4" i="18"/>
  <c r="AE4" i="18" s="1"/>
  <c r="AA5" i="18"/>
  <c r="AE5" i="18" s="1"/>
  <c r="AA6" i="18"/>
  <c r="AA12" i="18"/>
  <c r="AA14" i="18"/>
  <c r="AE14" i="18" s="1"/>
  <c r="AA15" i="18"/>
  <c r="AE15" i="18" s="1"/>
  <c r="Z4" i="18"/>
  <c r="Z5" i="18"/>
  <c r="Z6" i="18"/>
  <c r="Z12" i="18"/>
  <c r="Z13" i="18"/>
  <c r="Z14" i="18"/>
  <c r="AB25" i="18"/>
  <c r="AB26" i="18" s="1"/>
  <c r="Y25" i="18"/>
  <c r="Y26" i="18" s="1"/>
  <c r="W25" i="18"/>
  <c r="W26" i="18" s="1"/>
  <c r="C5" i="18" s="1"/>
  <c r="C17" i="18" s="1"/>
  <c r="C18" i="18" s="1"/>
  <c r="U25" i="18"/>
  <c r="U26" i="18" s="1"/>
  <c r="T25" i="18"/>
  <c r="T26" i="18" s="1"/>
  <c r="S25" i="18"/>
  <c r="S26" i="18" s="1"/>
  <c r="C4" i="18" s="1"/>
  <c r="AB22" i="18"/>
  <c r="Y22" i="18"/>
  <c r="X22" i="18"/>
  <c r="W22" i="18"/>
  <c r="U22" i="18"/>
  <c r="T22" i="18"/>
  <c r="S22" i="18"/>
  <c r="AB21" i="18"/>
  <c r="Y21" i="18"/>
  <c r="W21" i="18"/>
  <c r="U21" i="18"/>
  <c r="T21" i="18"/>
  <c r="S21" i="18"/>
  <c r="AB20" i="18"/>
  <c r="Y20" i="18"/>
  <c r="W20" i="18"/>
  <c r="U20" i="18"/>
  <c r="T20" i="18"/>
  <c r="S20" i="18"/>
  <c r="AB19" i="18"/>
  <c r="Y19" i="18"/>
  <c r="W19" i="18"/>
  <c r="U19" i="18"/>
  <c r="T19" i="18"/>
  <c r="S19" i="18"/>
  <c r="AB18" i="18"/>
  <c r="Y18" i="18"/>
  <c r="X18" i="18"/>
  <c r="W18" i="18"/>
  <c r="U18" i="18"/>
  <c r="T18" i="18"/>
  <c r="S18" i="18"/>
  <c r="AB17" i="18"/>
  <c r="Y17" i="18"/>
  <c r="W17" i="18"/>
  <c r="U17" i="18"/>
  <c r="T17" i="18"/>
  <c r="S17" i="18"/>
  <c r="AB16" i="18"/>
  <c r="Y16" i="18"/>
  <c r="W16" i="18"/>
  <c r="U16" i="18"/>
  <c r="T16" i="18"/>
  <c r="S16" i="18"/>
  <c r="Z15" i="18"/>
  <c r="V15" i="18"/>
  <c r="V14" i="18"/>
  <c r="V13" i="18"/>
  <c r="V12" i="18"/>
  <c r="V6" i="18"/>
  <c r="V5" i="18"/>
  <c r="AD15" i="18"/>
  <c r="AA16" i="18"/>
  <c r="X19" i="18"/>
  <c r="X16" i="18"/>
  <c r="X20" i="18"/>
  <c r="X25" i="18"/>
  <c r="X26" i="18" s="1"/>
  <c r="X17" i="18"/>
  <c r="X21" i="18"/>
  <c r="AA19" i="18" l="1"/>
  <c r="AA18" i="18"/>
  <c r="AA21" i="18"/>
  <c r="AE25" i="18"/>
  <c r="AE26" i="18" s="1"/>
  <c r="C7" i="18" s="1"/>
  <c r="AE16" i="18"/>
  <c r="AE20" i="18"/>
  <c r="AE17" i="18"/>
  <c r="AE21" i="18"/>
  <c r="AE18" i="18"/>
  <c r="AE22" i="18"/>
  <c r="AE19" i="18"/>
  <c r="AA22" i="18"/>
  <c r="AA17" i="18"/>
  <c r="AA25" i="18"/>
  <c r="AA26" i="18" s="1"/>
  <c r="C6" i="18" s="1"/>
  <c r="AA20" i="18"/>
  <c r="AD5" i="18"/>
  <c r="AD4" i="18"/>
  <c r="AC21" i="18"/>
  <c r="AC17" i="18"/>
  <c r="V25" i="18"/>
  <c r="V26" i="18" s="1"/>
  <c r="D4" i="18" s="1"/>
  <c r="AC25" i="18"/>
  <c r="AC26" i="18" s="1"/>
  <c r="V22" i="18"/>
  <c r="V18" i="18"/>
  <c r="AC19" i="18"/>
  <c r="AD13" i="18"/>
  <c r="AD6" i="18"/>
  <c r="AD14" i="18"/>
  <c r="AD7" i="18"/>
  <c r="V20" i="18"/>
  <c r="V21" i="18"/>
  <c r="V19" i="18"/>
  <c r="V16" i="18"/>
  <c r="V17" i="18"/>
  <c r="AC16" i="18"/>
  <c r="AD12" i="18"/>
  <c r="AC18" i="18"/>
  <c r="AC20" i="18"/>
  <c r="AC22" i="18"/>
  <c r="Z16" i="18"/>
  <c r="Z18" i="18"/>
  <c r="Z25" i="18"/>
  <c r="Z26" i="18" s="1"/>
  <c r="D5" i="18" s="1"/>
  <c r="Z20" i="18"/>
  <c r="Z22" i="18"/>
  <c r="Z21" i="18"/>
  <c r="Z17" i="18"/>
  <c r="Z19" i="18"/>
  <c r="F7" i="18" l="1"/>
  <c r="G7" i="18" s="1"/>
  <c r="F4" i="18"/>
  <c r="G4" i="18" s="1"/>
  <c r="D16" i="18"/>
  <c r="F16" i="18" s="1"/>
  <c r="G16" i="18" s="1"/>
  <c r="F5" i="18"/>
  <c r="G5" i="18" s="1"/>
  <c r="D17" i="18"/>
  <c r="F17" i="18" s="1"/>
  <c r="G17" i="18" s="1"/>
  <c r="AD21" i="18"/>
  <c r="AD25" i="18"/>
  <c r="AD26" i="18" s="1"/>
  <c r="D6" i="18" s="1"/>
  <c r="AD19" i="18"/>
  <c r="AD22" i="18"/>
  <c r="AD18" i="18"/>
  <c r="AD17" i="18"/>
  <c r="AD20" i="18"/>
  <c r="AD16" i="18"/>
  <c r="D18" i="18" l="1"/>
  <c r="F18" i="18" s="1"/>
  <c r="G18" i="18" s="1"/>
  <c r="F6" i="18"/>
  <c r="G6" i="18" s="1"/>
</calcChain>
</file>

<file path=xl/sharedStrings.xml><?xml version="1.0" encoding="utf-8"?>
<sst xmlns="http://schemas.openxmlformats.org/spreadsheetml/2006/main" count="351" uniqueCount="140">
  <si>
    <t>P</t>
  </si>
  <si>
    <t>T</t>
  </si>
  <si>
    <t>K</t>
  </si>
  <si>
    <t>S</t>
  </si>
  <si>
    <t>Cat</t>
  </si>
  <si>
    <t>Anab</t>
  </si>
  <si>
    <t>kJ/molK</t>
  </si>
  <si>
    <t>gO2</t>
  </si>
  <si>
    <t>H2O</t>
  </si>
  <si>
    <t>H</t>
  </si>
  <si>
    <t>g</t>
  </si>
  <si>
    <t>Decay</t>
  </si>
  <si>
    <t>O2</t>
  </si>
  <si>
    <t>Yield</t>
  </si>
  <si>
    <t>Maintenance</t>
  </si>
  <si>
    <t>NH3</t>
  </si>
  <si>
    <t>CO2</t>
  </si>
  <si>
    <t>gCO2</t>
  </si>
  <si>
    <t>AOB/AOA</t>
  </si>
  <si>
    <t>NOBs</t>
  </si>
  <si>
    <t>Name</t>
  </si>
  <si>
    <t>Constant</t>
  </si>
  <si>
    <t>Value</t>
  </si>
  <si>
    <t>Units</t>
  </si>
  <si>
    <t>Functional Group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</si>
  <si>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>cat</t>
    </r>
    <r>
      <rPr>
        <sz val="12"/>
        <color theme="1"/>
        <rFont val="Arial"/>
        <family val="2"/>
      </rPr>
      <t xml:space="preserve"> (kJ/moleDonor)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</si>
  <si>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 xml:space="preserve">ana </t>
    </r>
    <r>
      <rPr>
        <sz val="12"/>
        <color theme="1"/>
        <rFont val="Arial"/>
        <family val="2"/>
      </rPr>
      <t>(kJ/molX)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</si>
  <si>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bscript"/>
        <sz val="12"/>
        <color theme="1"/>
        <rFont val="Arial"/>
        <family val="2"/>
      </rPr>
      <t>dis</t>
    </r>
    <r>
      <rPr>
        <sz val="12"/>
        <color theme="1"/>
        <rFont val="Arial"/>
        <family val="2"/>
      </rPr>
      <t xml:space="preserve"> (kJ/molX)</t>
    </r>
  </si>
  <si>
    <t>l</t>
  </si>
  <si>
    <t>Component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</si>
  <si>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</t>
    </r>
    <r>
      <rPr>
        <vertAlign val="subscript"/>
        <sz val="12"/>
        <color theme="1"/>
        <rFont val="Arial"/>
        <family val="2"/>
      </rPr>
      <t>formation</t>
    </r>
  </si>
  <si>
    <t>C</t>
  </si>
  <si>
    <t>O</t>
  </si>
  <si>
    <t>N</t>
  </si>
  <si>
    <t>Charge</t>
  </si>
  <si>
    <t>Catabolism</t>
  </si>
  <si>
    <t>Anabolism*</t>
  </si>
  <si>
    <t>Anabolism eD</t>
  </si>
  <si>
    <t>Anabolism</t>
  </si>
  <si>
    <t>Faraday</t>
  </si>
  <si>
    <t>F</t>
  </si>
  <si>
    <t>kC/mole</t>
  </si>
  <si>
    <t>Gases Cte.</t>
  </si>
  <si>
    <t>R</t>
  </si>
  <si>
    <t>Temperature</t>
  </si>
  <si>
    <t>AOBs/AOAs</t>
  </si>
  <si>
    <t>NO2-</t>
  </si>
  <si>
    <t>NO3-</t>
  </si>
  <si>
    <t>HCO3-</t>
  </si>
  <si>
    <t>H+</t>
  </si>
  <si>
    <t>e-</t>
  </si>
  <si>
    <t>Biomass</t>
  </si>
  <si>
    <t>Alberty RA. Thermodynamics of Biochemical Reactions 2003 // Thauer 1977 Energy conservation in chemotrophic anaerobic bact</t>
  </si>
  <si>
    <t>Kleerebezem &amp; van Loosdrecht 2010 Critical Review</t>
  </si>
  <si>
    <t>C-bal</t>
  </si>
  <si>
    <t>H-bal</t>
  </si>
  <si>
    <t>O-bal</t>
  </si>
  <si>
    <t>N-bal</t>
  </si>
  <si>
    <t>P-bal</t>
  </si>
  <si>
    <t>S-bal</t>
  </si>
  <si>
    <t>Autotrophs</t>
  </si>
  <si>
    <t>kJ/mol eDonor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</si>
  <si>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>0</t>
    </r>
  </si>
  <si>
    <t>pH 7 correction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</si>
  <si>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 xml:space="preserve">01 </t>
    </r>
  </si>
  <si>
    <t>Commamox</t>
  </si>
  <si>
    <t>eD</t>
  </si>
  <si>
    <t>gN2</t>
  </si>
  <si>
    <t>Comamox</t>
  </si>
  <si>
    <r>
      <t>H</t>
    </r>
    <r>
      <rPr>
        <b/>
        <vertAlign val="superscript"/>
        <sz val="14"/>
        <color theme="1"/>
        <rFont val="Calibri"/>
        <family val="2"/>
        <scheme val="minor"/>
      </rPr>
      <t>+</t>
    </r>
    <r>
      <rPr>
        <b/>
        <sz val="14"/>
        <color theme="1"/>
        <rFont val="Calibri"/>
        <family val="2"/>
        <scheme val="minor"/>
      </rPr>
      <t>pump</t>
    </r>
  </si>
  <si>
    <t>Anammox</t>
  </si>
  <si>
    <t>Comammox</t>
  </si>
  <si>
    <t>DGdis</t>
  </si>
  <si>
    <t>muAOB</t>
  </si>
  <si>
    <t>muNOB</t>
  </si>
  <si>
    <t>bAOB</t>
  </si>
  <si>
    <t>bNOB</t>
  </si>
  <si>
    <t>mol/L</t>
  </si>
  <si>
    <t>L</t>
  </si>
  <si>
    <t>bar</t>
  </si>
  <si>
    <t>G</t>
  </si>
  <si>
    <t>FORMS</t>
  </si>
  <si>
    <t>Inf</t>
  </si>
  <si>
    <t>NA</t>
  </si>
  <si>
    <t>bac_mmax</t>
  </si>
  <si>
    <t>bac_mmin</t>
  </si>
  <si>
    <t>bac_rmax</t>
  </si>
  <si>
    <t>m</t>
  </si>
  <si>
    <t>bac_rho</t>
  </si>
  <si>
    <t>g/m3</t>
  </si>
  <si>
    <t>bac_MW</t>
  </si>
  <si>
    <t>g/mol</t>
  </si>
  <si>
    <t>bac_nmax</t>
  </si>
  <si>
    <t>-</t>
  </si>
  <si>
    <t>k</t>
  </si>
  <si>
    <t>s_dist</t>
  </si>
  <si>
    <t>overlap</t>
  </si>
  <si>
    <t>Rth</t>
  </si>
  <si>
    <t>Rg</t>
  </si>
  <si>
    <t>atm·L/mol·K</t>
  </si>
  <si>
    <t>Vgas</t>
  </si>
  <si>
    <t>m3</t>
  </si>
  <si>
    <t>Vr</t>
  </si>
  <si>
    <t>pH</t>
  </si>
  <si>
    <t>HRT</t>
  </si>
  <si>
    <t>h</t>
  </si>
  <si>
    <t>Qliq</t>
  </si>
  <si>
    <t>L/h</t>
  </si>
  <si>
    <t>nx</t>
  </si>
  <si>
    <t>ny</t>
  </si>
  <si>
    <t>maxx</t>
  </si>
  <si>
    <t>maxy</t>
  </si>
  <si>
    <t>dx</t>
  </si>
  <si>
    <t>dy</t>
  </si>
  <si>
    <t>dz</t>
  </si>
  <si>
    <t>T_blayer</t>
  </si>
  <si>
    <t>maxT</t>
  </si>
  <si>
    <t>dT</t>
  </si>
  <si>
    <t>dT_bac</t>
  </si>
  <si>
    <t>dT_Print</t>
  </si>
  <si>
    <t>Diff_NH3</t>
  </si>
  <si>
    <t>m2/h</t>
  </si>
  <si>
    <t>Diff_CO2</t>
  </si>
  <si>
    <t>kLa_CO2</t>
  </si>
  <si>
    <t>DECAY</t>
  </si>
  <si>
    <t>Tol</t>
  </si>
  <si>
    <t>XGlu-Ac</t>
  </si>
  <si>
    <t>Glu</t>
  </si>
  <si>
    <t>AcH</t>
  </si>
  <si>
    <t>H2</t>
  </si>
  <si>
    <t>gH2</t>
  </si>
  <si>
    <t>Ks</t>
  </si>
  <si>
    <t>q_max</t>
  </si>
  <si>
    <t>Kdec</t>
  </si>
  <si>
    <r>
      <t>h</t>
    </r>
    <r>
      <rPr>
        <i/>
        <vertAlign val="superscript"/>
        <sz val="10"/>
        <color theme="0" tint="-0.34998626667073579"/>
        <rFont val="Arial"/>
        <family val="2"/>
      </rPr>
      <t>-1</t>
    </r>
  </si>
  <si>
    <t>kLa_H2</t>
  </si>
  <si>
    <t>Diff_Glu</t>
  </si>
  <si>
    <t>Diff_AcH</t>
  </si>
  <si>
    <t>Glusp</t>
  </si>
  <si>
    <t>Diff_H2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</si>
</sst>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[$€]* #,##0.00_-;\-[$€]* #,##0.00_-;_-[$€]* &quot;-&quot;??_-;_-@_-"/>
    <numFmt numFmtId="165" formatCode="_-* #,##0\ &quot;pta&quot;_-;\-* #,##0\ &quot;pta&quot;_-;_-* &quot;-&quot;\ &quot;pta&quot;_-;_-@_-"/>
    <numFmt numFmtId="166" formatCode="_-* #,##0\ _p_t_a_-;\-* #,##0\ _p_t_a_-;_-* &quot;-&quot;\ _p_t_a_-;_-@_-"/>
    <numFmt numFmtId="167" formatCode="_-* #,##0.00\ &quot;pta&quot;_-;\-* #,##0.00\ &quot;pta&quot;_-;_-* &quot;-&quot;??\ &quot;pta&quot;_-;_-@_-"/>
    <numFmt numFmtId="168" formatCode="_-* #,##0.00\ _p_t_a_-;\-* #,##0.00\ _p_t_a_-;_-* &quot;-&quot;??\ _p_t_a_-;_-@_-"/>
    <numFmt numFmtId="169" formatCode="0.000"/>
    <numFmt numFmtId="170" formatCode="0.0"/>
    <numFmt numFmtId="171" formatCode="0.0000E+00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Symbol"/>
      <family val="1"/>
      <charset val="2"/>
    </font>
    <font>
      <vertAlign val="superscript"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name val="Arial"/>
      <family val="2"/>
    </font>
    <font>
      <b/>
      <sz val="11"/>
      <color rgb="FF002060"/>
      <name val="Arial"/>
      <family val="2"/>
    </font>
    <font>
      <sz val="11"/>
      <color theme="1"/>
      <name val="Symbol"/>
      <family val="1"/>
      <charset val="2"/>
    </font>
    <font>
      <i/>
      <sz val="11"/>
      <color rgb="FFFF0000"/>
      <name val="Arial"/>
      <family val="2"/>
    </font>
    <font>
      <sz val="11"/>
      <color rgb="FFFF0000"/>
      <name val="Arial"/>
      <family val="2"/>
    </font>
    <font>
      <sz val="12"/>
      <color rgb="FFFF0000"/>
      <name val="Calibri"/>
      <family val="2"/>
    </font>
    <font>
      <sz val="12"/>
      <color rgb="FFFF0000"/>
      <name val="Symbol"/>
      <family val="1"/>
      <charset val="2"/>
    </font>
    <font>
      <sz val="12"/>
      <color rgb="FFFF0000"/>
      <name val="Arial"/>
      <family val="2"/>
    </font>
    <font>
      <vertAlign val="superscript"/>
      <sz val="12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u/>
      <sz val="10"/>
      <name val="Arial"/>
      <family val="2"/>
    </font>
    <font>
      <i/>
      <sz val="10"/>
      <color theme="0" tint="-0.34998626667073579"/>
      <name val="Arial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sz val="10"/>
      <color theme="0" tint="-0.499984740745262"/>
      <name val="Arial"/>
      <family val="2"/>
    </font>
    <font>
      <b/>
      <i/>
      <sz val="10"/>
      <name val="Calibri"/>
      <family val="2"/>
      <scheme val="minor"/>
    </font>
    <font>
      <sz val="10"/>
      <name val="Times New Roman"/>
      <family val="1"/>
    </font>
    <font>
      <i/>
      <vertAlign val="superscript"/>
      <sz val="10"/>
      <color theme="0" tint="-0.3499862666707357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8B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1" fillId="0" borderId="0"/>
  </cellStyleXfs>
  <cellXfs count="244">
    <xf numFmtId="0" fontId="0" fillId="0" borderId="0" xfId="0"/>
    <xf numFmtId="0" fontId="1" fillId="0" borderId="0" xfId="7"/>
    <xf numFmtId="169" fontId="1" fillId="0" borderId="0" xfId="7" applyNumberFormat="1"/>
    <xf numFmtId="0" fontId="5" fillId="4" borderId="13" xfId="7" applyFont="1" applyFill="1" applyBorder="1" applyAlignment="1">
      <alignment horizontal="left" vertical="center"/>
    </xf>
    <xf numFmtId="0" fontId="4" fillId="4" borderId="19" xfId="7" applyFont="1" applyFill="1" applyBorder="1" applyAlignment="1">
      <alignment horizontal="center" vertical="center"/>
    </xf>
    <xf numFmtId="0" fontId="5" fillId="4" borderId="9" xfId="7" applyFont="1" applyFill="1" applyBorder="1" applyAlignment="1">
      <alignment horizontal="center" vertical="center"/>
    </xf>
    <xf numFmtId="0" fontId="6" fillId="4" borderId="13" xfId="7" applyFont="1" applyFill="1" applyBorder="1" applyAlignment="1">
      <alignment horizontal="center"/>
    </xf>
    <xf numFmtId="0" fontId="7" fillId="3" borderId="19" xfId="7" applyFont="1" applyFill="1" applyBorder="1" applyAlignment="1">
      <alignment horizontal="center"/>
    </xf>
    <xf numFmtId="0" fontId="8" fillId="3" borderId="19" xfId="7" applyFont="1" applyFill="1" applyBorder="1" applyAlignment="1">
      <alignment horizontal="center"/>
    </xf>
    <xf numFmtId="169" fontId="6" fillId="3" borderId="9" xfId="7" applyNumberFormat="1" applyFont="1" applyFill="1" applyBorder="1" applyAlignment="1">
      <alignment horizontal="center"/>
    </xf>
    <xf numFmtId="0" fontId="7" fillId="3" borderId="13" xfId="7" applyFont="1" applyFill="1" applyBorder="1" applyAlignment="1">
      <alignment horizontal="center" vertical="center"/>
    </xf>
    <xf numFmtId="0" fontId="7" fillId="3" borderId="13" xfId="7" applyFont="1" applyFill="1" applyBorder="1" applyAlignment="1">
      <alignment horizontal="center"/>
    </xf>
    <xf numFmtId="0" fontId="8" fillId="5" borderId="13" xfId="7" applyFont="1" applyFill="1" applyBorder="1" applyAlignment="1">
      <alignment horizontal="center"/>
    </xf>
    <xf numFmtId="0" fontId="7" fillId="4" borderId="13" xfId="7" applyFont="1" applyFill="1" applyBorder="1" applyAlignment="1">
      <alignment horizontal="center"/>
    </xf>
    <xf numFmtId="0" fontId="3" fillId="4" borderId="13" xfId="7" applyFont="1" applyFill="1" applyBorder="1" applyAlignment="1">
      <alignment horizontal="center"/>
    </xf>
    <xf numFmtId="0" fontId="7" fillId="6" borderId="13" xfId="7" applyFont="1" applyFill="1" applyBorder="1" applyAlignment="1">
      <alignment horizontal="center" vertical="center"/>
    </xf>
    <xf numFmtId="0" fontId="7" fillId="7" borderId="13" xfId="7" applyFont="1" applyFill="1" applyBorder="1" applyAlignment="1">
      <alignment horizontal="center" vertical="center"/>
    </xf>
    <xf numFmtId="0" fontId="7" fillId="8" borderId="13" xfId="7" applyFont="1" applyFill="1" applyBorder="1" applyAlignment="1">
      <alignment horizontal="center" vertical="center"/>
    </xf>
    <xf numFmtId="0" fontId="11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7" fillId="0" borderId="13" xfId="7" applyFont="1" applyBorder="1" applyAlignment="1">
      <alignment horizontal="center"/>
    </xf>
    <xf numFmtId="2" fontId="4" fillId="0" borderId="19" xfId="7" applyNumberFormat="1" applyFont="1" applyBorder="1" applyAlignment="1">
      <alignment horizontal="center" vertical="center"/>
    </xf>
    <xf numFmtId="2" fontId="4" fillId="0" borderId="19" xfId="7" applyNumberFormat="1" applyFont="1" applyBorder="1" applyAlignment="1">
      <alignment horizontal="center"/>
    </xf>
    <xf numFmtId="169" fontId="5" fillId="0" borderId="9" xfId="7" applyNumberFormat="1" applyFont="1" applyBorder="1" applyAlignment="1">
      <alignment horizontal="center" vertical="center"/>
    </xf>
    <xf numFmtId="0" fontId="12" fillId="0" borderId="1" xfId="7" applyFont="1" applyBorder="1" applyAlignment="1" applyProtection="1">
      <alignment horizontal="center"/>
    </xf>
    <xf numFmtId="0" fontId="12" fillId="0" borderId="0" xfId="7" applyFont="1" applyBorder="1" applyAlignment="1" applyProtection="1">
      <alignment horizontal="center"/>
    </xf>
    <xf numFmtId="0" fontId="13" fillId="0" borderId="3" xfId="7" applyFont="1" applyBorder="1"/>
    <xf numFmtId="0" fontId="4" fillId="0" borderId="0" xfId="7" applyFont="1" applyBorder="1"/>
    <xf numFmtId="0" fontId="13" fillId="0" borderId="1" xfId="7" applyFont="1" applyBorder="1"/>
    <xf numFmtId="0" fontId="12" fillId="0" borderId="2" xfId="7" applyFont="1" applyBorder="1" applyAlignment="1" applyProtection="1">
      <alignment horizontal="center"/>
    </xf>
    <xf numFmtId="0" fontId="11" fillId="0" borderId="0" xfId="7" applyFont="1"/>
    <xf numFmtId="0" fontId="4" fillId="0" borderId="0" xfId="7" applyFont="1" applyFill="1" applyBorder="1" applyAlignment="1">
      <alignment horizontal="center" vertical="center"/>
    </xf>
    <xf numFmtId="0" fontId="4" fillId="0" borderId="0" xfId="7" applyFont="1" applyAlignment="1">
      <alignment horizontal="center"/>
    </xf>
    <xf numFmtId="0" fontId="4" fillId="0" borderId="0" xfId="7" applyFont="1"/>
    <xf numFmtId="0" fontId="4" fillId="0" borderId="2" xfId="7" applyFont="1" applyBorder="1" applyAlignment="1">
      <alignment horizontal="center"/>
    </xf>
    <xf numFmtId="0" fontId="4" fillId="0" borderId="1" xfId="7" applyFont="1" applyBorder="1" applyAlignment="1">
      <alignment horizontal="center"/>
    </xf>
    <xf numFmtId="0" fontId="4" fillId="0" borderId="0" xfId="7" applyFont="1" applyBorder="1" applyAlignment="1">
      <alignment horizontal="center"/>
    </xf>
    <xf numFmtId="0" fontId="12" fillId="0" borderId="2" xfId="7" applyFont="1" applyFill="1" applyBorder="1" applyAlignment="1" applyProtection="1">
      <alignment horizontal="center"/>
    </xf>
    <xf numFmtId="2" fontId="1" fillId="0" borderId="0" xfId="7" applyNumberFormat="1"/>
    <xf numFmtId="0" fontId="7" fillId="0" borderId="2" xfId="7" applyFont="1" applyBorder="1" applyAlignment="1" applyProtection="1">
      <alignment horizontal="center"/>
    </xf>
    <xf numFmtId="0" fontId="14" fillId="0" borderId="0" xfId="7" applyFont="1" applyFill="1" applyBorder="1" applyAlignment="1">
      <alignment horizontal="center" vertical="center"/>
    </xf>
    <xf numFmtId="0" fontId="12" fillId="0" borderId="6" xfId="7" applyFont="1" applyFill="1" applyBorder="1" applyAlignment="1" applyProtection="1">
      <alignment horizontal="center"/>
    </xf>
    <xf numFmtId="0" fontId="12" fillId="0" borderId="5" xfId="7" applyFont="1" applyFill="1" applyBorder="1" applyAlignment="1" applyProtection="1">
      <alignment horizontal="center"/>
    </xf>
    <xf numFmtId="170" fontId="12" fillId="0" borderId="4" xfId="7" applyNumberFormat="1" applyFont="1" applyFill="1" applyBorder="1" applyAlignment="1" applyProtection="1">
      <alignment horizontal="center"/>
    </xf>
    <xf numFmtId="0" fontId="13" fillId="0" borderId="20" xfId="7" applyFont="1" applyBorder="1"/>
    <xf numFmtId="0" fontId="4" fillId="0" borderId="18" xfId="7" applyFont="1" applyBorder="1"/>
    <xf numFmtId="0" fontId="13" fillId="0" borderId="21" xfId="7" applyFont="1" applyBorder="1"/>
    <xf numFmtId="0" fontId="16" fillId="0" borderId="14" xfId="7" applyFont="1" applyBorder="1" applyAlignment="1">
      <alignment horizontal="center" vertical="center"/>
    </xf>
    <xf numFmtId="0" fontId="4" fillId="0" borderId="3" xfId="7" applyFont="1" applyBorder="1"/>
    <xf numFmtId="0" fontId="4" fillId="0" borderId="22" xfId="7" applyFont="1" applyBorder="1"/>
    <xf numFmtId="0" fontId="16" fillId="0" borderId="2" xfId="7" applyFont="1" applyBorder="1" applyAlignment="1">
      <alignment horizontal="center" vertical="center"/>
    </xf>
    <xf numFmtId="0" fontId="4" fillId="0" borderId="2" xfId="7" applyFont="1" applyBorder="1"/>
    <xf numFmtId="0" fontId="16" fillId="0" borderId="6" xfId="7" applyFont="1" applyBorder="1" applyAlignment="1">
      <alignment horizontal="center" vertical="center"/>
    </xf>
    <xf numFmtId="0" fontId="4" fillId="0" borderId="7" xfId="7" applyFont="1" applyBorder="1"/>
    <xf numFmtId="0" fontId="4" fillId="0" borderId="6" xfId="7" applyFont="1" applyBorder="1"/>
    <xf numFmtId="0" fontId="5" fillId="0" borderId="13" xfId="7" applyFont="1" applyBorder="1" applyAlignment="1">
      <alignment horizontal="center" vertical="center"/>
    </xf>
    <xf numFmtId="0" fontId="17" fillId="0" borderId="14" xfId="7" applyFont="1" applyBorder="1" applyAlignment="1">
      <alignment horizontal="center" vertical="center"/>
    </xf>
    <xf numFmtId="169" fontId="4" fillId="0" borderId="11" xfId="7" applyNumberFormat="1" applyFont="1" applyBorder="1"/>
    <xf numFmtId="169" fontId="4" fillId="0" borderId="12" xfId="7" applyNumberFormat="1" applyFont="1" applyBorder="1"/>
    <xf numFmtId="0" fontId="17" fillId="0" borderId="6" xfId="7" applyFont="1" applyBorder="1" applyAlignment="1">
      <alignment horizontal="center" vertical="center"/>
    </xf>
    <xf numFmtId="169" fontId="4" fillId="0" borderId="4" xfId="7" applyNumberFormat="1" applyFont="1" applyBorder="1"/>
    <xf numFmtId="169" fontId="4" fillId="0" borderId="5" xfId="7" applyNumberFormat="1" applyFont="1" applyBorder="1"/>
    <xf numFmtId="0" fontId="1" fillId="0" borderId="0" xfId="7" applyFill="1" applyBorder="1"/>
    <xf numFmtId="169" fontId="1" fillId="0" borderId="0" xfId="7" applyNumberFormat="1" applyFill="1" applyBorder="1"/>
    <xf numFmtId="0" fontId="7" fillId="0" borderId="0" xfId="7" applyFont="1" applyFill="1" applyBorder="1" applyAlignment="1">
      <alignment horizontal="center"/>
    </xf>
    <xf numFmtId="169" fontId="4" fillId="0" borderId="0" xfId="7" applyNumberFormat="1" applyFont="1" applyFill="1" applyBorder="1" applyAlignment="1">
      <alignment horizontal="center" vertical="center"/>
    </xf>
    <xf numFmtId="0" fontId="21" fillId="0" borderId="9" xfId="7" applyFont="1" applyBorder="1"/>
    <xf numFmtId="0" fontId="21" fillId="0" borderId="13" xfId="7" applyFont="1" applyBorder="1"/>
    <xf numFmtId="0" fontId="23" fillId="0" borderId="0" xfId="0" applyFont="1"/>
    <xf numFmtId="0" fontId="25" fillId="0" borderId="0" xfId="0" applyFont="1" applyFill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7" fillId="0" borderId="0" xfId="0" applyFont="1"/>
    <xf numFmtId="0" fontId="25" fillId="2" borderId="6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Border="1"/>
    <xf numFmtId="0" fontId="23" fillId="0" borderId="0" xfId="0" applyFont="1" applyFill="1" applyBorder="1"/>
    <xf numFmtId="0" fontId="29" fillId="0" borderId="0" xfId="0" applyFont="1"/>
    <xf numFmtId="0" fontId="30" fillId="2" borderId="14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2" fontId="29" fillId="0" borderId="0" xfId="0" applyNumberFormat="1" applyFont="1"/>
    <xf numFmtId="11" fontId="29" fillId="0" borderId="0" xfId="0" applyNumberFormat="1" applyFont="1"/>
    <xf numFmtId="0" fontId="31" fillId="0" borderId="0" xfId="0" applyFont="1"/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11" fontId="23" fillId="0" borderId="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1" fontId="23" fillId="0" borderId="0" xfId="0" applyNumberFormat="1" applyFont="1"/>
    <xf numFmtId="11" fontId="23" fillId="0" borderId="14" xfId="0" applyNumberFormat="1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" fillId="0" borderId="0" xfId="0" applyFont="1"/>
    <xf numFmtId="0" fontId="28" fillId="0" borderId="0" xfId="0" applyFont="1"/>
    <xf numFmtId="0" fontId="25" fillId="9" borderId="26" xfId="0" applyFont="1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33" fillId="9" borderId="28" xfId="0" applyFont="1" applyFill="1" applyBorder="1" applyAlignment="1">
      <alignment horizontal="center" vertical="center"/>
    </xf>
    <xf numFmtId="0" fontId="33" fillId="9" borderId="27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9" xfId="0" applyFont="1" applyFill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2" fontId="33" fillId="0" borderId="2" xfId="6" applyNumberFormat="1" applyFont="1" applyFill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6" fillId="0" borderId="35" xfId="0" applyFont="1" applyBorder="1" applyAlignment="1">
      <alignment horizontal="center" vertical="center"/>
    </xf>
    <xf numFmtId="0" fontId="25" fillId="2" borderId="33" xfId="0" applyFont="1" applyFill="1" applyBorder="1" applyAlignment="1">
      <alignment horizontal="center" vertical="center"/>
    </xf>
    <xf numFmtId="0" fontId="25" fillId="2" borderId="31" xfId="0" applyFont="1" applyFill="1" applyBorder="1" applyAlignment="1">
      <alignment horizontal="center" vertical="center"/>
    </xf>
    <xf numFmtId="0" fontId="33" fillId="2" borderId="14" xfId="0" applyFont="1" applyFill="1" applyBorder="1" applyAlignment="1">
      <alignment horizontal="center" vertical="center"/>
    </xf>
    <xf numFmtId="0" fontId="33" fillId="2" borderId="15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25" fillId="10" borderId="3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37" fillId="2" borderId="6" xfId="6" applyFont="1" applyFill="1" applyBorder="1" applyAlignment="1">
      <alignment horizontal="center"/>
    </xf>
    <xf numFmtId="0" fontId="30" fillId="0" borderId="6" xfId="0" applyFont="1" applyBorder="1" applyAlignment="1">
      <alignment horizontal="center" vertical="center"/>
    </xf>
    <xf numFmtId="11" fontId="23" fillId="0" borderId="0" xfId="0" applyNumberFormat="1" applyFont="1" applyBorder="1" applyAlignment="1">
      <alignment horizontal="center" vertical="center"/>
    </xf>
    <xf numFmtId="0" fontId="23" fillId="0" borderId="0" xfId="0" applyNumberFormat="1" applyFont="1"/>
    <xf numFmtId="0" fontId="25" fillId="10" borderId="14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25" fillId="10" borderId="2" xfId="0" applyFont="1" applyFill="1" applyBorder="1" applyAlignment="1">
      <alignment horizontal="center" vertical="center"/>
    </xf>
    <xf numFmtId="0" fontId="25" fillId="10" borderId="6" xfId="0" applyFont="1" applyFill="1" applyBorder="1" applyAlignment="1">
      <alignment horizontal="center" vertical="center"/>
    </xf>
    <xf numFmtId="11" fontId="23" fillId="0" borderId="6" xfId="0" applyNumberFormat="1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25" fillId="10" borderId="39" xfId="0" applyFont="1" applyFill="1" applyBorder="1" applyAlignment="1">
      <alignment horizontal="center" vertical="center"/>
    </xf>
    <xf numFmtId="11" fontId="23" fillId="0" borderId="23" xfId="0" applyNumberFormat="1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25" fillId="10" borderId="40" xfId="0" applyFont="1" applyFill="1" applyBorder="1" applyAlignment="1">
      <alignment horizontal="center" vertical="center"/>
    </xf>
    <xf numFmtId="11" fontId="23" fillId="0" borderId="24" xfId="0" applyNumberFormat="1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5" fillId="10" borderId="41" xfId="0" applyFont="1" applyFill="1" applyBorder="1" applyAlignment="1">
      <alignment horizontal="center" vertical="center"/>
    </xf>
    <xf numFmtId="0" fontId="23" fillId="0" borderId="0" xfId="0" applyFont="1" applyFill="1"/>
    <xf numFmtId="0" fontId="25" fillId="2" borderId="29" xfId="0" applyFont="1" applyFill="1" applyBorder="1" applyAlignment="1">
      <alignment horizontal="center" vertical="center"/>
    </xf>
    <xf numFmtId="11" fontId="23" fillId="0" borderId="22" xfId="0" applyNumberFormat="1" applyFont="1" applyBorder="1" applyAlignment="1">
      <alignment horizontal="center" vertical="center"/>
    </xf>
    <xf numFmtId="0" fontId="32" fillId="0" borderId="30" xfId="0" applyFont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11" fontId="0" fillId="0" borderId="2" xfId="0" applyNumberFormat="1" applyFont="1" applyBorder="1" applyAlignment="1">
      <alignment horizontal="center" vertical="center"/>
    </xf>
    <xf numFmtId="11" fontId="2" fillId="0" borderId="4" xfId="0" applyNumberFormat="1" applyFont="1" applyBorder="1" applyAlignment="1">
      <alignment horizontal="center" vertical="center"/>
    </xf>
    <xf numFmtId="2" fontId="23" fillId="0" borderId="2" xfId="0" applyNumberFormat="1" applyFont="1" applyBorder="1" applyAlignment="1">
      <alignment horizontal="center" vertical="center"/>
    </xf>
    <xf numFmtId="0" fontId="0" fillId="0" borderId="11" xfId="0" applyBorder="1"/>
    <xf numFmtId="0" fontId="0" fillId="0" borderId="34" xfId="0" applyBorder="1"/>
    <xf numFmtId="0" fontId="0" fillId="0" borderId="4" xfId="0" applyBorder="1"/>
    <xf numFmtId="0" fontId="0" fillId="0" borderId="36" xfId="0" applyBorder="1"/>
    <xf numFmtId="0" fontId="0" fillId="0" borderId="29" xfId="0" applyBorder="1"/>
    <xf numFmtId="0" fontId="0" fillId="0" borderId="33" xfId="0" applyBorder="1"/>
    <xf numFmtId="0" fontId="0" fillId="0" borderId="35" xfId="0" applyBorder="1"/>
    <xf numFmtId="0" fontId="0" fillId="0" borderId="37" xfId="0" applyBorder="1"/>
    <xf numFmtId="0" fontId="7" fillId="9" borderId="13" xfId="7" applyFont="1" applyFill="1" applyBorder="1" applyAlignment="1">
      <alignment horizontal="center" vertical="center"/>
    </xf>
    <xf numFmtId="0" fontId="13" fillId="0" borderId="0" xfId="7" applyFont="1" applyBorder="1"/>
    <xf numFmtId="0" fontId="7" fillId="0" borderId="0" xfId="7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2" fontId="23" fillId="0" borderId="0" xfId="0" applyNumberFormat="1" applyFont="1"/>
    <xf numFmtId="11" fontId="29" fillId="0" borderId="0" xfId="0" applyNumberFormat="1" applyFont="1" applyAlignment="1">
      <alignment horizontal="center" vertical="center"/>
    </xf>
    <xf numFmtId="171" fontId="23" fillId="0" borderId="14" xfId="0" applyNumberFormat="1" applyFont="1" applyBorder="1" applyAlignment="1">
      <alignment horizontal="center" vertical="center"/>
    </xf>
    <xf numFmtId="11" fontId="0" fillId="0" borderId="24" xfId="0" applyNumberFormat="1" applyFont="1" applyBorder="1" applyAlignment="1">
      <alignment horizontal="center" vertical="center"/>
    </xf>
    <xf numFmtId="11" fontId="23" fillId="0" borderId="42" xfId="0" applyNumberFormat="1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1" fontId="0" fillId="0" borderId="9" xfId="0" applyNumberFormat="1" applyFill="1" applyBorder="1" applyAlignment="1">
      <alignment horizontal="center" vertical="center"/>
    </xf>
    <xf numFmtId="169" fontId="0" fillId="0" borderId="13" xfId="0" applyNumberFormat="1" applyFill="1" applyBorder="1" applyAlignment="1">
      <alignment horizontal="center" vertical="center"/>
    </xf>
    <xf numFmtId="0" fontId="0" fillId="0" borderId="13" xfId="0" applyNumberForma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1" fontId="2" fillId="0" borderId="39" xfId="0" applyNumberFormat="1" applyFont="1" applyBorder="1" applyAlignment="1">
      <alignment horizontal="center" vertical="center"/>
    </xf>
    <xf numFmtId="11" fontId="2" fillId="0" borderId="40" xfId="0" applyNumberFormat="1" applyFont="1" applyBorder="1" applyAlignment="1">
      <alignment horizontal="center" vertical="center"/>
    </xf>
    <xf numFmtId="11" fontId="2" fillId="0" borderId="43" xfId="0" applyNumberFormat="1" applyFont="1" applyBorder="1" applyAlignment="1">
      <alignment horizontal="center" vertical="center"/>
    </xf>
    <xf numFmtId="0" fontId="33" fillId="9" borderId="44" xfId="0" applyFont="1" applyFill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11" fontId="33" fillId="0" borderId="22" xfId="6" applyNumberFormat="1" applyFont="1" applyFill="1" applyBorder="1" applyAlignment="1">
      <alignment horizontal="center" vertical="center"/>
    </xf>
    <xf numFmtId="11" fontId="33" fillId="0" borderId="38" xfId="6" applyNumberFormat="1" applyFont="1" applyFill="1" applyBorder="1" applyAlignment="1">
      <alignment horizontal="center" vertical="center"/>
    </xf>
    <xf numFmtId="11" fontId="33" fillId="0" borderId="17" xfId="6" applyNumberFormat="1" applyFont="1" applyFill="1" applyBorder="1" applyAlignment="1">
      <alignment horizontal="center" vertical="center"/>
    </xf>
    <xf numFmtId="0" fontId="35" fillId="0" borderId="38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11" fontId="33" fillId="0" borderId="2" xfId="6" applyNumberFormat="1" applyFont="1" applyFill="1" applyBorder="1" applyAlignment="1">
      <alignment horizontal="center" vertical="center"/>
    </xf>
    <xf numFmtId="11" fontId="33" fillId="0" borderId="1" xfId="6" applyNumberFormat="1" applyFont="1" applyFill="1" applyBorder="1" applyAlignment="1">
      <alignment horizontal="center" vertical="center"/>
    </xf>
    <xf numFmtId="11" fontId="33" fillId="0" borderId="15" xfId="6" applyNumberFormat="1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19" xfId="0" applyFont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33" fillId="2" borderId="2" xfId="0" applyFont="1" applyFill="1" applyBorder="1" applyAlignment="1" applyProtection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3" fillId="2" borderId="2" xfId="0" applyFont="1" applyFill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1" fontId="33" fillId="0" borderId="22" xfId="6" applyNumberFormat="1" applyFont="1" applyFill="1" applyBorder="1" applyAlignment="1">
      <alignment horizontal="center" vertical="center"/>
    </xf>
    <xf numFmtId="1" fontId="33" fillId="0" borderId="17" xfId="6" applyNumberFormat="1" applyFont="1" applyFill="1" applyBorder="1" applyAlignment="1">
      <alignment horizontal="center" vertical="center"/>
    </xf>
    <xf numFmtId="1" fontId="33" fillId="0" borderId="2" xfId="6" applyNumberFormat="1" applyFont="1" applyFill="1" applyBorder="1" applyAlignment="1">
      <alignment horizontal="center" vertical="center"/>
    </xf>
    <xf numFmtId="1" fontId="33" fillId="0" borderId="15" xfId="6" applyNumberFormat="1" applyFont="1" applyFill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" fontId="33" fillId="0" borderId="14" xfId="0" applyNumberFormat="1" applyFont="1" applyBorder="1" applyAlignment="1">
      <alignment horizontal="center" vertical="center"/>
    </xf>
    <xf numFmtId="1" fontId="33" fillId="0" borderId="12" xfId="0" applyNumberFormat="1" applyFont="1" applyBorder="1" applyAlignment="1">
      <alignment horizontal="center" vertical="center"/>
    </xf>
    <xf numFmtId="1" fontId="33" fillId="0" borderId="34" xfId="0" applyNumberFormat="1" applyFont="1" applyBorder="1" applyAlignment="1">
      <alignment horizontal="center" vertical="center"/>
    </xf>
    <xf numFmtId="0" fontId="25" fillId="2" borderId="12" xfId="0" applyFont="1" applyFill="1" applyBorder="1" applyAlignment="1">
      <alignment horizontal="center" vertical="center"/>
    </xf>
    <xf numFmtId="0" fontId="33" fillId="2" borderId="14" xfId="0" applyFont="1" applyFill="1" applyBorder="1" applyAlignment="1" applyProtection="1">
      <alignment horizontal="center" vertical="center"/>
    </xf>
    <xf numFmtId="0" fontId="33" fillId="2" borderId="12" xfId="0" applyFont="1" applyFill="1" applyBorder="1" applyAlignment="1">
      <alignment horizontal="center" vertical="center"/>
    </xf>
    <xf numFmtId="0" fontId="33" fillId="2" borderId="34" xfId="0" applyFont="1" applyFill="1" applyBorder="1" applyAlignment="1">
      <alignment horizontal="center" vertical="center"/>
    </xf>
    <xf numFmtId="11" fontId="2" fillId="0" borderId="14" xfId="0" applyNumberFormat="1" applyFont="1" applyBorder="1" applyAlignment="1">
      <alignment horizontal="center" vertical="center"/>
    </xf>
    <xf numFmtId="11" fontId="2" fillId="0" borderId="6" xfId="0" applyNumberFormat="1" applyFont="1" applyBorder="1" applyAlignment="1">
      <alignment horizontal="center" vertical="center"/>
    </xf>
    <xf numFmtId="0" fontId="25" fillId="0" borderId="0" xfId="0" applyFont="1"/>
    <xf numFmtId="0" fontId="4" fillId="3" borderId="13" xfId="7" applyFont="1" applyFill="1" applyBorder="1" applyAlignment="1">
      <alignment horizontal="center" vertical="center"/>
    </xf>
    <xf numFmtId="0" fontId="15" fillId="0" borderId="14" xfId="7" applyFont="1" applyBorder="1" applyAlignment="1">
      <alignment horizontal="center" vertical="center" textRotation="180" wrapText="1"/>
    </xf>
    <xf numFmtId="0" fontId="15" fillId="0" borderId="2" xfId="7" applyFont="1" applyBorder="1" applyAlignment="1">
      <alignment horizontal="center" vertical="center" textRotation="180" wrapText="1"/>
    </xf>
    <xf numFmtId="0" fontId="15" fillId="0" borderId="6" xfId="7" applyFont="1" applyBorder="1" applyAlignment="1">
      <alignment horizontal="center" vertical="center" textRotation="180" wrapText="1"/>
    </xf>
    <xf numFmtId="0" fontId="15" fillId="0" borderId="14" xfId="7" applyFont="1" applyBorder="1" applyAlignment="1">
      <alignment horizontal="center" textRotation="180"/>
    </xf>
    <xf numFmtId="0" fontId="15" fillId="0" borderId="2" xfId="7" applyFont="1" applyBorder="1" applyAlignment="1">
      <alignment horizontal="center" textRotation="180"/>
    </xf>
    <xf numFmtId="0" fontId="15" fillId="0" borderId="6" xfId="7" applyFont="1" applyBorder="1" applyAlignment="1">
      <alignment horizontal="center" textRotation="180"/>
    </xf>
    <xf numFmtId="0" fontId="16" fillId="0" borderId="8" xfId="7" applyFont="1" applyBorder="1" applyAlignment="1">
      <alignment horizontal="center"/>
    </xf>
    <xf numFmtId="0" fontId="16" fillId="0" borderId="19" xfId="7" applyFont="1" applyBorder="1" applyAlignment="1">
      <alignment horizontal="center"/>
    </xf>
    <xf numFmtId="0" fontId="16" fillId="0" borderId="9" xfId="7" applyFont="1" applyBorder="1" applyAlignment="1">
      <alignment horizontal="center"/>
    </xf>
    <xf numFmtId="0" fontId="24" fillId="2" borderId="10" xfId="0" applyFont="1" applyFill="1" applyBorder="1" applyAlignment="1">
      <alignment horizontal="center"/>
    </xf>
    <xf numFmtId="0" fontId="24" fillId="2" borderId="11" xfId="0" applyFont="1" applyFill="1" applyBorder="1" applyAlignment="1">
      <alignment horizontal="center"/>
    </xf>
    <xf numFmtId="0" fontId="24" fillId="2" borderId="12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</cellXfs>
  <cellStyles count="8">
    <cellStyle name="Euro" xfId="1"/>
    <cellStyle name="Milliers [0]_Nitrification model" xfId="2"/>
    <cellStyle name="Milliers_Nitrification model" xfId="3"/>
    <cellStyle name="Monétaire [0]_Nitrification model" xfId="4"/>
    <cellStyle name="Monétaire_Nitrification model" xfId="5"/>
    <cellStyle name="Normal" xfId="0" builtinId="0"/>
    <cellStyle name="Normal 2" xfId="6"/>
    <cellStyle name="Normal 3" xfId="7"/>
  </cellStyles>
  <dxfs count="67"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rgb="FFFF0000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rgb="FFFF0000"/>
      </font>
    </dxf>
    <dxf>
      <font>
        <color rgb="FFFF0000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rgb="FFFF0000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rgb="FFFF0000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rgb="FFFF0000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rgb="FFFF0000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rgb="FFFF0000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rgb="FFFF0000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499984740745262"/>
      </font>
    </dxf>
    <dxf>
      <font>
        <color rgb="FFFF0000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499984740745262"/>
      </font>
    </dxf>
    <dxf>
      <font>
        <color rgb="FFFF0000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rgb="FFFF0000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499984740745262"/>
      </font>
    </dxf>
    <dxf>
      <font>
        <color rgb="FFFF0000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ofilm-NUFEB/NUFEB-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  <sheetName val="ReactionMatrix"/>
      <sheetName val="SpecParam"/>
      <sheetName val="States"/>
      <sheetName val="ThermoParam"/>
      <sheetName val="Bacteria"/>
      <sheetName val="Parameters"/>
      <sheetName val="Discretization"/>
      <sheetName val="Diffusion"/>
    </sheetNames>
    <sheetDataSet>
      <sheetData sheetId="0">
        <row r="4">
          <cell r="E4">
            <v>236.0508843710162</v>
          </cell>
          <cell r="G4">
            <v>0.65627329974945314</v>
          </cell>
          <cell r="S4">
            <v>-1</v>
          </cell>
          <cell r="V4">
            <v>-0.17499999999999999</v>
          </cell>
        </row>
        <row r="5">
          <cell r="S5">
            <v>2</v>
          </cell>
          <cell r="V5">
            <v>0</v>
          </cell>
        </row>
        <row r="7">
          <cell r="S7">
            <v>0</v>
          </cell>
          <cell r="V7">
            <v>-0.2</v>
          </cell>
        </row>
        <row r="9">
          <cell r="S9">
            <v>2</v>
          </cell>
          <cell r="V9">
            <v>0.05</v>
          </cell>
        </row>
        <row r="10">
          <cell r="S10">
            <v>4</v>
          </cell>
          <cell r="V10">
            <v>0</v>
          </cell>
        </row>
        <row r="11">
          <cell r="S11">
            <v>-4</v>
          </cell>
          <cell r="V11">
            <v>0.4</v>
          </cell>
        </row>
        <row r="12">
          <cell r="S12">
            <v>4</v>
          </cell>
          <cell r="V12">
            <v>4.9999999999999989E-2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AN38"/>
  <sheetViews>
    <sheetView topLeftCell="N1" zoomScale="90" zoomScaleNormal="90" zoomScalePageLayoutView="125" workbookViewId="0">
      <selection activeCell="AA37" sqref="AA37"/>
    </sheetView>
  </sheetViews>
  <sheetFormatPr defaultColWidth="8.85546875" defaultRowHeight="15" x14ac:dyDescent="0.25"/>
  <cols>
    <col min="1" max="1" width="2.7109375" style="1" customWidth="1"/>
    <col min="2" max="2" width="46.85546875" style="1" customWidth="1"/>
    <col min="3" max="3" width="24.28515625" style="1" customWidth="1"/>
    <col min="4" max="5" width="18.85546875" style="1" customWidth="1"/>
    <col min="6" max="6" width="7.85546875" style="1" customWidth="1"/>
    <col min="7" max="7" width="8" style="2" customWidth="1"/>
    <col min="8" max="8" width="8.85546875" style="1"/>
    <col min="9" max="9" width="15" style="1" customWidth="1"/>
    <col min="10" max="10" width="15.7109375" style="1" customWidth="1"/>
    <col min="11" max="11" width="6.140625" style="1" customWidth="1"/>
    <col min="12" max="12" width="4.85546875" style="1" customWidth="1"/>
    <col min="13" max="14" width="4.42578125" style="1" customWidth="1"/>
    <col min="15" max="15" width="5" style="1" customWidth="1"/>
    <col min="16" max="17" width="4.7109375" style="1" customWidth="1"/>
    <col min="18" max="18" width="7.42578125" style="1" customWidth="1"/>
    <col min="19" max="20" width="12.85546875" style="1" customWidth="1"/>
    <col min="21" max="21" width="15.7109375" style="1" customWidth="1"/>
    <col min="22" max="22" width="11.7109375" style="1" customWidth="1"/>
    <col min="23" max="24" width="12.28515625" style="1" customWidth="1"/>
    <col min="25" max="25" width="15.28515625" style="1" customWidth="1"/>
    <col min="26" max="26" width="11.42578125" style="1" customWidth="1"/>
    <col min="27" max="28" width="12.7109375" style="1" customWidth="1"/>
    <col min="29" max="29" width="15.7109375" style="1" customWidth="1"/>
    <col min="30" max="30" width="12.28515625" style="1" customWidth="1"/>
    <col min="31" max="32" width="12.7109375" style="1" customWidth="1"/>
    <col min="33" max="33" width="15.7109375" style="1" customWidth="1"/>
    <col min="34" max="34" width="12.28515625" style="1" customWidth="1"/>
    <col min="35" max="36" width="8.85546875" style="1"/>
    <col min="37" max="37" width="14.85546875" style="1" customWidth="1"/>
    <col min="38" max="16384" width="8.85546875" style="1"/>
  </cols>
  <sheetData>
    <row r="2" spans="2:40" ht="21.75" customHeight="1" x14ac:dyDescent="0.25">
      <c r="S2" s="230" t="s">
        <v>18</v>
      </c>
      <c r="T2" s="230"/>
      <c r="U2" s="230"/>
      <c r="V2" s="230"/>
      <c r="W2" s="230" t="s">
        <v>19</v>
      </c>
      <c r="X2" s="230"/>
      <c r="Y2" s="230"/>
      <c r="Z2" s="230"/>
      <c r="AA2" s="230" t="s">
        <v>68</v>
      </c>
      <c r="AB2" s="230"/>
      <c r="AC2" s="230"/>
      <c r="AD2" s="230"/>
      <c r="AE2" s="230" t="s">
        <v>70</v>
      </c>
      <c r="AF2" s="230"/>
      <c r="AG2" s="230"/>
      <c r="AH2" s="230"/>
      <c r="AK2" s="3" t="s">
        <v>20</v>
      </c>
      <c r="AL2" s="4" t="s">
        <v>21</v>
      </c>
      <c r="AM2" s="4" t="s">
        <v>22</v>
      </c>
      <c r="AN2" s="5" t="s">
        <v>23</v>
      </c>
    </row>
    <row r="3" spans="2:40" ht="20.25" x14ac:dyDescent="0.35">
      <c r="B3" s="6" t="s">
        <v>24</v>
      </c>
      <c r="C3" s="7" t="s">
        <v>25</v>
      </c>
      <c r="D3" s="7" t="s">
        <v>26</v>
      </c>
      <c r="E3" s="7" t="s">
        <v>27</v>
      </c>
      <c r="F3" s="8" t="s">
        <v>28</v>
      </c>
      <c r="G3" s="9" t="s">
        <v>13</v>
      </c>
      <c r="I3" s="10" t="s">
        <v>29</v>
      </c>
      <c r="J3" s="11" t="s">
        <v>30</v>
      </c>
      <c r="K3" s="12" t="s">
        <v>10</v>
      </c>
      <c r="L3" s="13" t="s">
        <v>31</v>
      </c>
      <c r="M3" s="13" t="s">
        <v>9</v>
      </c>
      <c r="N3" s="13" t="s">
        <v>32</v>
      </c>
      <c r="O3" s="13" t="s">
        <v>33</v>
      </c>
      <c r="P3" s="13" t="s">
        <v>0</v>
      </c>
      <c r="Q3" s="13" t="s">
        <v>3</v>
      </c>
      <c r="R3" s="14" t="s">
        <v>34</v>
      </c>
      <c r="S3" s="15" t="s">
        <v>35</v>
      </c>
      <c r="T3" s="16" t="s">
        <v>36</v>
      </c>
      <c r="U3" s="16" t="s">
        <v>37</v>
      </c>
      <c r="V3" s="17" t="s">
        <v>38</v>
      </c>
      <c r="W3" s="15" t="s">
        <v>35</v>
      </c>
      <c r="X3" s="16" t="s">
        <v>36</v>
      </c>
      <c r="Y3" s="16" t="s">
        <v>37</v>
      </c>
      <c r="Z3" s="17" t="s">
        <v>38</v>
      </c>
      <c r="AA3" s="15" t="s">
        <v>35</v>
      </c>
      <c r="AB3" s="16" t="s">
        <v>36</v>
      </c>
      <c r="AC3" s="16" t="s">
        <v>37</v>
      </c>
      <c r="AD3" s="17" t="s">
        <v>38</v>
      </c>
      <c r="AE3" s="15" t="s">
        <v>35</v>
      </c>
      <c r="AF3" s="16" t="s">
        <v>36</v>
      </c>
      <c r="AG3" s="16" t="s">
        <v>37</v>
      </c>
      <c r="AH3" s="17" t="s">
        <v>38</v>
      </c>
      <c r="AI3" s="164" t="s">
        <v>124</v>
      </c>
      <c r="AJ3" s="166"/>
      <c r="AK3" s="18" t="s">
        <v>39</v>
      </c>
      <c r="AL3" s="19" t="s">
        <v>40</v>
      </c>
      <c r="AM3" s="19">
        <v>96.484999999999999</v>
      </c>
      <c r="AN3" s="19" t="s">
        <v>41</v>
      </c>
    </row>
    <row r="4" spans="2:40" ht="15.75" x14ac:dyDescent="0.25">
      <c r="B4" s="20" t="s">
        <v>45</v>
      </c>
      <c r="C4" s="21">
        <f>S26</f>
        <v>-307.36384335522246</v>
      </c>
      <c r="D4" s="21">
        <f>V26</f>
        <v>300.12884335522256</v>
      </c>
      <c r="E4" s="22">
        <v>3500</v>
      </c>
      <c r="F4" s="21">
        <f>(D4+E4)/(-C4)-V4</f>
        <v>13.263617014521088</v>
      </c>
      <c r="G4" s="23">
        <f>1/F4</f>
        <v>7.5394215537525996E-2</v>
      </c>
      <c r="I4" s="37" t="s">
        <v>15</v>
      </c>
      <c r="J4" s="35">
        <v>-26.57</v>
      </c>
      <c r="K4" s="34">
        <v>-3</v>
      </c>
      <c r="L4" s="36">
        <v>0</v>
      </c>
      <c r="M4" s="36">
        <v>3</v>
      </c>
      <c r="N4" s="36">
        <v>0</v>
      </c>
      <c r="O4" s="36">
        <v>1</v>
      </c>
      <c r="P4" s="36">
        <v>0</v>
      </c>
      <c r="Q4" s="36">
        <v>0</v>
      </c>
      <c r="R4" s="36">
        <v>0</v>
      </c>
      <c r="S4" s="26">
        <v>-1</v>
      </c>
      <c r="T4" s="27">
        <v>-0.2</v>
      </c>
      <c r="U4" s="27">
        <v>-1</v>
      </c>
      <c r="V4" s="28">
        <f>T4+U4*(-$T$14/$U$14)</f>
        <v>-0.90000000000000013</v>
      </c>
      <c r="W4" s="26">
        <v>0</v>
      </c>
      <c r="X4" s="27">
        <v>0</v>
      </c>
      <c r="Y4" s="27">
        <v>0</v>
      </c>
      <c r="Z4" s="28">
        <f>X4+Y4*(-$X$14/$Y$14)</f>
        <v>0</v>
      </c>
      <c r="AA4" s="26">
        <f t="shared" ref="AA4:AA15" si="0">S4+W4</f>
        <v>-1</v>
      </c>
      <c r="AB4" s="27">
        <v>-0.2</v>
      </c>
      <c r="AC4" s="27">
        <v>-1</v>
      </c>
      <c r="AD4" s="28">
        <f>AB4+AC4*(-$AB$14/$AC$14)</f>
        <v>-0.72500000000000009</v>
      </c>
      <c r="AE4" s="26">
        <f t="shared" ref="AE4:AE8" si="1">W4+AA4</f>
        <v>-1</v>
      </c>
      <c r="AF4" s="27">
        <v>-0.2</v>
      </c>
      <c r="AG4" s="27">
        <v>-1</v>
      </c>
      <c r="AH4" s="28">
        <f>AF4+AG4*(-$AF$14/$AG$14)</f>
        <v>-1.6</v>
      </c>
      <c r="AI4" s="28">
        <v>0.2</v>
      </c>
      <c r="AJ4" s="165"/>
      <c r="AK4" s="18" t="s">
        <v>42</v>
      </c>
      <c r="AL4" s="19" t="s">
        <v>43</v>
      </c>
      <c r="AM4" s="19">
        <v>8.3140000000000002E-3</v>
      </c>
      <c r="AN4" s="19" t="s">
        <v>6</v>
      </c>
    </row>
    <row r="5" spans="2:40" ht="15.75" x14ac:dyDescent="0.25">
      <c r="B5" s="20" t="s">
        <v>19</v>
      </c>
      <c r="C5" s="21">
        <f>W26</f>
        <v>-87.34</v>
      </c>
      <c r="D5" s="21">
        <f>Z26</f>
        <v>304.9798433552225</v>
      </c>
      <c r="E5" s="22">
        <v>3500</v>
      </c>
      <c r="F5" s="21">
        <f>(D5+E5)/(-C5)-Z5</f>
        <v>46.465145905143373</v>
      </c>
      <c r="G5" s="23">
        <f t="shared" ref="G5:G6" si="2">1/F5</f>
        <v>2.1521507799447302E-2</v>
      </c>
      <c r="I5" s="29" t="s">
        <v>46</v>
      </c>
      <c r="J5" s="24">
        <v>-32.200000000000003</v>
      </c>
      <c r="K5" s="29">
        <v>3</v>
      </c>
      <c r="L5" s="25">
        <v>0</v>
      </c>
      <c r="M5" s="25">
        <v>1</v>
      </c>
      <c r="N5" s="25">
        <v>2</v>
      </c>
      <c r="O5" s="25">
        <v>1</v>
      </c>
      <c r="P5" s="25">
        <v>0</v>
      </c>
      <c r="Q5" s="25">
        <v>0</v>
      </c>
      <c r="R5" s="25">
        <v>0</v>
      </c>
      <c r="S5" s="26">
        <v>1</v>
      </c>
      <c r="T5" s="27">
        <v>0</v>
      </c>
      <c r="U5" s="27">
        <v>1</v>
      </c>
      <c r="V5" s="28">
        <f>T5+U5*(-$T$14/$U$14)</f>
        <v>0.70000000000000007</v>
      </c>
      <c r="W5" s="26">
        <v>-1</v>
      </c>
      <c r="X5" s="27">
        <v>-0.2</v>
      </c>
      <c r="Y5" s="27">
        <v>-1</v>
      </c>
      <c r="Z5" s="28">
        <f>X5+Y5*(-$X$14/$Y$14)</f>
        <v>-2.9000000000000004</v>
      </c>
      <c r="AA5" s="26">
        <f t="shared" si="0"/>
        <v>0</v>
      </c>
      <c r="AB5" s="27">
        <v>0</v>
      </c>
      <c r="AC5" s="27">
        <v>0</v>
      </c>
      <c r="AD5" s="28">
        <f>AB5+AC5*(-$AB$14/$AC$14)</f>
        <v>0</v>
      </c>
      <c r="AE5" s="26">
        <f t="shared" si="1"/>
        <v>-1</v>
      </c>
      <c r="AF5" s="27">
        <v>0</v>
      </c>
      <c r="AG5" s="27">
        <v>0</v>
      </c>
      <c r="AH5" s="28">
        <f t="shared" ref="AH5:AI15" si="3">AF5+AG5*(-$AF$14/$AG$14)</f>
        <v>0</v>
      </c>
      <c r="AI5" s="28">
        <f t="shared" si="3"/>
        <v>0</v>
      </c>
      <c r="AJ5" s="165"/>
      <c r="AK5" s="30" t="s">
        <v>44</v>
      </c>
      <c r="AL5" s="31" t="s">
        <v>1</v>
      </c>
      <c r="AM5" s="32">
        <v>298.14999999999998</v>
      </c>
      <c r="AN5" s="32" t="s">
        <v>2</v>
      </c>
    </row>
    <row r="6" spans="2:40" ht="15.75" x14ac:dyDescent="0.25">
      <c r="B6" s="20" t="s">
        <v>71</v>
      </c>
      <c r="C6" s="21">
        <f>AA26</f>
        <v>-354.75</v>
      </c>
      <c r="D6" s="21">
        <f>AD26</f>
        <v>301.07209335522253</v>
      </c>
      <c r="E6" s="22">
        <v>3500</v>
      </c>
      <c r="F6" s="21">
        <f>(D6+E6)/(-C6)-AD4</f>
        <v>11.439790960832198</v>
      </c>
      <c r="G6" s="23">
        <f t="shared" si="2"/>
        <v>8.741418470178533E-2</v>
      </c>
      <c r="I6" s="37" t="s">
        <v>47</v>
      </c>
      <c r="J6" s="24">
        <v>-111.34</v>
      </c>
      <c r="K6" s="29">
        <v>5</v>
      </c>
      <c r="L6" s="25">
        <v>0</v>
      </c>
      <c r="M6" s="25">
        <v>1</v>
      </c>
      <c r="N6" s="25">
        <v>3</v>
      </c>
      <c r="O6" s="25">
        <v>1</v>
      </c>
      <c r="P6" s="25">
        <v>0</v>
      </c>
      <c r="Q6" s="25">
        <v>0</v>
      </c>
      <c r="R6" s="25">
        <v>0</v>
      </c>
      <c r="S6" s="26">
        <v>0</v>
      </c>
      <c r="T6" s="27">
        <v>0</v>
      </c>
      <c r="U6" s="27">
        <v>0</v>
      </c>
      <c r="V6" s="28">
        <f>T6+U6*(-$T$14/$U$14)</f>
        <v>0</v>
      </c>
      <c r="W6" s="26">
        <v>1</v>
      </c>
      <c r="X6" s="27">
        <v>0</v>
      </c>
      <c r="Y6" s="27">
        <v>1</v>
      </c>
      <c r="Z6" s="28">
        <f>X6+Y6*(-$X$14/$Y$14)</f>
        <v>2.7</v>
      </c>
      <c r="AA6" s="26">
        <f t="shared" si="0"/>
        <v>1</v>
      </c>
      <c r="AB6" s="27">
        <v>0</v>
      </c>
      <c r="AC6" s="27">
        <v>1</v>
      </c>
      <c r="AD6" s="28">
        <f>AB6+AC6*(-$AB$14/$AC$14)</f>
        <v>0.52500000000000002</v>
      </c>
      <c r="AE6" s="26">
        <v>0</v>
      </c>
      <c r="AF6" s="27">
        <v>0</v>
      </c>
      <c r="AG6" s="27">
        <v>0</v>
      </c>
      <c r="AH6" s="28">
        <f t="shared" si="3"/>
        <v>0</v>
      </c>
      <c r="AI6" s="28">
        <v>0</v>
      </c>
      <c r="AJ6" s="165"/>
      <c r="AK6" s="33"/>
      <c r="AL6" s="33"/>
      <c r="AM6" s="33"/>
      <c r="AN6" s="33"/>
    </row>
    <row r="7" spans="2:40" ht="15.75" x14ac:dyDescent="0.25">
      <c r="B7" s="20" t="s">
        <v>70</v>
      </c>
      <c r="C7" s="21">
        <f>AE26</f>
        <v>-415.59000000000003</v>
      </c>
      <c r="D7" s="21">
        <f>AH26</f>
        <v>9.2158433552223613</v>
      </c>
      <c r="E7" s="22">
        <v>3500</v>
      </c>
      <c r="F7" s="21">
        <f>(D7+E7)/(-C7)-AD5</f>
        <v>8.4439371576679463</v>
      </c>
      <c r="G7" s="23">
        <f t="shared" ref="G7" si="4">1/F7</f>
        <v>0.11842816701826105</v>
      </c>
      <c r="I7" s="29" t="s">
        <v>12</v>
      </c>
      <c r="J7" s="24">
        <v>16.399999999999999</v>
      </c>
      <c r="K7" s="29">
        <v>0</v>
      </c>
      <c r="L7" s="25">
        <v>0</v>
      </c>
      <c r="M7" s="25">
        <v>0</v>
      </c>
      <c r="N7" s="25">
        <v>2</v>
      </c>
      <c r="O7" s="25">
        <v>0</v>
      </c>
      <c r="P7" s="25">
        <v>0</v>
      </c>
      <c r="Q7" s="25">
        <v>0</v>
      </c>
      <c r="R7" s="25">
        <v>0</v>
      </c>
      <c r="S7" s="26">
        <v>-1.5</v>
      </c>
      <c r="T7" s="27">
        <v>0</v>
      </c>
      <c r="U7" s="27">
        <v>0</v>
      </c>
      <c r="V7" s="28">
        <f>T7+U7*(-$T$14/$U$14)</f>
        <v>0</v>
      </c>
      <c r="W7" s="26">
        <v>-0.5</v>
      </c>
      <c r="X7" s="27">
        <v>0</v>
      </c>
      <c r="Y7" s="27">
        <v>0</v>
      </c>
      <c r="Z7" s="28">
        <f>X7+Y7*(-$X$14/$Y$14)</f>
        <v>0</v>
      </c>
      <c r="AA7" s="26">
        <f t="shared" ref="AA7" si="5">S7+W7</f>
        <v>-2</v>
      </c>
      <c r="AB7" s="27">
        <v>0</v>
      </c>
      <c r="AC7" s="27">
        <v>0</v>
      </c>
      <c r="AD7" s="28">
        <f>AB7+AC7*(-$AB$14/$AC$14)</f>
        <v>0</v>
      </c>
      <c r="AE7" s="26">
        <v>0</v>
      </c>
      <c r="AF7" s="27">
        <v>0</v>
      </c>
      <c r="AG7" s="27">
        <v>0</v>
      </c>
      <c r="AH7" s="28">
        <f t="shared" si="3"/>
        <v>0</v>
      </c>
      <c r="AI7" s="28">
        <f t="shared" si="3"/>
        <v>0</v>
      </c>
      <c r="AJ7" s="165"/>
    </row>
    <row r="8" spans="2:40" ht="15.75" x14ac:dyDescent="0.25">
      <c r="I8" s="39" t="s">
        <v>48</v>
      </c>
      <c r="J8" s="24">
        <v>-586.70000000000005</v>
      </c>
      <c r="K8" s="29">
        <v>4</v>
      </c>
      <c r="L8" s="25">
        <v>1</v>
      </c>
      <c r="M8" s="25">
        <v>1</v>
      </c>
      <c r="N8" s="25">
        <v>3</v>
      </c>
      <c r="O8" s="25">
        <v>0</v>
      </c>
      <c r="P8" s="25">
        <v>0</v>
      </c>
      <c r="Q8" s="25">
        <v>0</v>
      </c>
      <c r="R8" s="25">
        <v>-1</v>
      </c>
      <c r="S8" s="26">
        <v>0</v>
      </c>
      <c r="T8" s="27">
        <v>-1</v>
      </c>
      <c r="U8" s="27">
        <v>0</v>
      </c>
      <c r="V8" s="28">
        <f>T8+U8*(-$T$14/$U$14)</f>
        <v>-1</v>
      </c>
      <c r="W8" s="26">
        <v>0</v>
      </c>
      <c r="X8" s="27">
        <v>-1</v>
      </c>
      <c r="Y8" s="27">
        <v>0</v>
      </c>
      <c r="Z8" s="28">
        <f>X8+Y8*(-$X$14/$Y$14)</f>
        <v>-1</v>
      </c>
      <c r="AA8" s="26">
        <f t="shared" si="0"/>
        <v>0</v>
      </c>
      <c r="AB8" s="27">
        <v>-1</v>
      </c>
      <c r="AC8" s="27">
        <v>0</v>
      </c>
      <c r="AD8" s="28">
        <f>AB8+AC8*(-$AB$14/$AC$14)</f>
        <v>-1</v>
      </c>
      <c r="AE8" s="26">
        <f t="shared" si="1"/>
        <v>0</v>
      </c>
      <c r="AF8" s="27">
        <v>-1</v>
      </c>
      <c r="AG8" s="27">
        <v>0</v>
      </c>
      <c r="AH8" s="28">
        <f t="shared" si="3"/>
        <v>-1</v>
      </c>
      <c r="AI8" s="28">
        <v>1</v>
      </c>
      <c r="AJ8" s="165"/>
    </row>
    <row r="9" spans="2:40" ht="15.75" x14ac:dyDescent="0.25">
      <c r="I9" s="39" t="s">
        <v>67</v>
      </c>
      <c r="J9" s="24">
        <v>0</v>
      </c>
      <c r="K9" s="29">
        <v>0</v>
      </c>
      <c r="L9" s="25">
        <v>0</v>
      </c>
      <c r="M9" s="25">
        <v>0</v>
      </c>
      <c r="N9" s="25">
        <v>0</v>
      </c>
      <c r="O9" s="25">
        <v>2</v>
      </c>
      <c r="P9" s="25">
        <v>0</v>
      </c>
      <c r="Q9" s="25">
        <v>0</v>
      </c>
      <c r="R9" s="25">
        <v>0</v>
      </c>
      <c r="S9" s="26">
        <v>0</v>
      </c>
      <c r="T9" s="27">
        <v>0</v>
      </c>
      <c r="U9" s="27">
        <v>0</v>
      </c>
      <c r="V9" s="28">
        <v>0</v>
      </c>
      <c r="W9" s="26">
        <v>0</v>
      </c>
      <c r="X9" s="27">
        <v>0</v>
      </c>
      <c r="Y9" s="27">
        <v>0</v>
      </c>
      <c r="Z9" s="28">
        <v>0</v>
      </c>
      <c r="AA9" s="26">
        <v>0</v>
      </c>
      <c r="AB9" s="27">
        <v>0</v>
      </c>
      <c r="AC9" s="27">
        <v>0</v>
      </c>
      <c r="AD9" s="28">
        <v>0</v>
      </c>
      <c r="AE9" s="26">
        <v>1</v>
      </c>
      <c r="AF9" s="27">
        <v>0</v>
      </c>
      <c r="AG9" s="27">
        <v>0.5</v>
      </c>
      <c r="AH9" s="28">
        <f t="shared" si="3"/>
        <v>0.70000000000000007</v>
      </c>
      <c r="AI9" s="28">
        <v>0</v>
      </c>
      <c r="AJ9" s="165"/>
    </row>
    <row r="10" spans="2:40" ht="15.75" x14ac:dyDescent="0.25">
      <c r="I10" s="39" t="s">
        <v>7</v>
      </c>
      <c r="J10" s="24">
        <v>0</v>
      </c>
      <c r="K10" s="29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6">
        <v>0</v>
      </c>
      <c r="T10" s="27">
        <v>0</v>
      </c>
      <c r="U10" s="27">
        <v>0</v>
      </c>
      <c r="V10" s="28">
        <v>0</v>
      </c>
      <c r="W10" s="26">
        <v>0</v>
      </c>
      <c r="X10" s="27">
        <v>0</v>
      </c>
      <c r="Y10" s="27">
        <v>0</v>
      </c>
      <c r="Z10" s="28">
        <v>0</v>
      </c>
      <c r="AA10" s="26">
        <v>0</v>
      </c>
      <c r="AB10" s="27">
        <v>0</v>
      </c>
      <c r="AC10" s="27">
        <v>0</v>
      </c>
      <c r="AD10" s="28">
        <v>0</v>
      </c>
      <c r="AE10" s="26">
        <v>0</v>
      </c>
      <c r="AF10" s="27">
        <v>0</v>
      </c>
      <c r="AG10" s="27">
        <v>0</v>
      </c>
      <c r="AH10" s="28">
        <f t="shared" si="3"/>
        <v>0</v>
      </c>
      <c r="AI10" s="28">
        <f t="shared" si="3"/>
        <v>0</v>
      </c>
      <c r="AJ10" s="165"/>
    </row>
    <row r="11" spans="2:40" ht="15.75" x14ac:dyDescent="0.25">
      <c r="I11" s="39" t="s">
        <v>17</v>
      </c>
      <c r="J11" s="24">
        <v>0</v>
      </c>
      <c r="K11" s="29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6">
        <v>0</v>
      </c>
      <c r="T11" s="27">
        <v>0</v>
      </c>
      <c r="U11" s="27">
        <v>0</v>
      </c>
      <c r="V11" s="28">
        <v>0</v>
      </c>
      <c r="W11" s="26">
        <v>0</v>
      </c>
      <c r="X11" s="27">
        <v>0</v>
      </c>
      <c r="Y11" s="27">
        <v>0</v>
      </c>
      <c r="Z11" s="28">
        <v>0</v>
      </c>
      <c r="AA11" s="26">
        <v>0</v>
      </c>
      <c r="AB11" s="27">
        <v>0</v>
      </c>
      <c r="AC11" s="27">
        <v>0</v>
      </c>
      <c r="AD11" s="28">
        <v>0</v>
      </c>
      <c r="AE11" s="26">
        <v>0</v>
      </c>
      <c r="AF11" s="27">
        <v>0</v>
      </c>
      <c r="AG11" s="27">
        <v>0</v>
      </c>
      <c r="AH11" s="28">
        <f t="shared" si="3"/>
        <v>0</v>
      </c>
      <c r="AI11" s="28">
        <f t="shared" si="3"/>
        <v>0</v>
      </c>
      <c r="AJ11" s="165"/>
    </row>
    <row r="12" spans="2:40" ht="21" x14ac:dyDescent="0.3">
      <c r="B12" s="67" t="s">
        <v>69</v>
      </c>
      <c r="C12" s="66">
        <v>16.691904999999998</v>
      </c>
      <c r="I12" s="29" t="s">
        <v>8</v>
      </c>
      <c r="J12" s="24">
        <v>-237.18</v>
      </c>
      <c r="K12" s="29">
        <v>-2</v>
      </c>
      <c r="L12" s="25">
        <v>0</v>
      </c>
      <c r="M12" s="25">
        <v>2</v>
      </c>
      <c r="N12" s="25">
        <v>1</v>
      </c>
      <c r="O12" s="25">
        <v>0</v>
      </c>
      <c r="P12" s="25">
        <v>0</v>
      </c>
      <c r="Q12" s="25">
        <v>0</v>
      </c>
      <c r="R12" s="25">
        <v>0</v>
      </c>
      <c r="S12" s="26">
        <v>1</v>
      </c>
      <c r="T12" s="27">
        <v>2.5</v>
      </c>
      <c r="U12" s="27">
        <v>-2</v>
      </c>
      <c r="V12" s="28">
        <f>T12+U12*(-$T$14/$U$14)</f>
        <v>1.0999999999999999</v>
      </c>
      <c r="W12" s="26">
        <v>0</v>
      </c>
      <c r="X12" s="27">
        <v>2.9</v>
      </c>
      <c r="Y12" s="27">
        <v>-1</v>
      </c>
      <c r="Z12" s="28">
        <f>X12+Y12*(-$X$14/$Y$14)</f>
        <v>0.19999999999999973</v>
      </c>
      <c r="AA12" s="26">
        <f t="shared" si="0"/>
        <v>1</v>
      </c>
      <c r="AB12" s="27">
        <v>2.5</v>
      </c>
      <c r="AC12" s="27">
        <v>-3</v>
      </c>
      <c r="AD12" s="28">
        <f>AB12+AC12*(-$AB$14/$AC$14)</f>
        <v>0.92499999999999982</v>
      </c>
      <c r="AE12" s="26">
        <v>2</v>
      </c>
      <c r="AF12" s="27">
        <v>2.5</v>
      </c>
      <c r="AG12" s="27">
        <v>0</v>
      </c>
      <c r="AH12" s="28">
        <f t="shared" si="3"/>
        <v>2.5</v>
      </c>
      <c r="AI12" s="28">
        <f>-2.5</f>
        <v>-2.5</v>
      </c>
      <c r="AJ12" s="165"/>
    </row>
    <row r="13" spans="2:40" ht="15.75" x14ac:dyDescent="0.25">
      <c r="B13" s="32"/>
      <c r="E13" s="38"/>
      <c r="I13" s="29" t="s">
        <v>49</v>
      </c>
      <c r="J13" s="24">
        <v>0</v>
      </c>
      <c r="K13" s="29">
        <v>1</v>
      </c>
      <c r="L13" s="25">
        <v>0</v>
      </c>
      <c r="M13" s="25">
        <v>1</v>
      </c>
      <c r="N13" s="25">
        <v>0</v>
      </c>
      <c r="O13" s="25">
        <v>0</v>
      </c>
      <c r="P13" s="25">
        <v>0</v>
      </c>
      <c r="Q13" s="25">
        <v>0</v>
      </c>
      <c r="R13" s="25">
        <v>1</v>
      </c>
      <c r="S13" s="26">
        <v>1</v>
      </c>
      <c r="T13" s="27">
        <v>-5.2</v>
      </c>
      <c r="U13" s="27">
        <v>6</v>
      </c>
      <c r="V13" s="28">
        <f>T13+U13*(-$T$14/$U$14)</f>
        <v>-1</v>
      </c>
      <c r="W13" s="26">
        <v>0</v>
      </c>
      <c r="X13" s="27">
        <v>-6.4</v>
      </c>
      <c r="Y13" s="27">
        <v>2</v>
      </c>
      <c r="Z13" s="28">
        <f>X13+Y13*(-$X$14/$Y$14)</f>
        <v>-1</v>
      </c>
      <c r="AA13" s="26">
        <v>0</v>
      </c>
      <c r="AB13" s="27">
        <v>-5.2</v>
      </c>
      <c r="AC13" s="27">
        <v>8</v>
      </c>
      <c r="AD13" s="28">
        <f>AB13+AC13*(-$AB$14/$AC$14)</f>
        <v>-1</v>
      </c>
      <c r="AE13" s="26">
        <v>0</v>
      </c>
      <c r="AF13" s="27">
        <v>-5.2</v>
      </c>
      <c r="AG13" s="27">
        <v>3</v>
      </c>
      <c r="AH13" s="28">
        <f t="shared" si="3"/>
        <v>-1</v>
      </c>
      <c r="AI13" s="28">
        <v>1</v>
      </c>
      <c r="AJ13" s="165"/>
    </row>
    <row r="14" spans="2:40" ht="15.75" x14ac:dyDescent="0.25">
      <c r="B14" s="32"/>
      <c r="E14" s="38"/>
      <c r="I14" s="29" t="s">
        <v>50</v>
      </c>
      <c r="J14" s="24">
        <v>0</v>
      </c>
      <c r="K14" s="29">
        <v>-1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-1</v>
      </c>
      <c r="S14" s="26">
        <v>0</v>
      </c>
      <c r="T14" s="27">
        <v>-4.2</v>
      </c>
      <c r="U14" s="27">
        <v>6</v>
      </c>
      <c r="V14" s="28">
        <f>T14+U14*(-$T$14/$U$14)</f>
        <v>0</v>
      </c>
      <c r="W14" s="26">
        <v>0</v>
      </c>
      <c r="X14" s="27">
        <v>-5.4</v>
      </c>
      <c r="Y14" s="27">
        <v>2</v>
      </c>
      <c r="Z14" s="28">
        <f>X14+Y14*(-$X$14/$Y$14)</f>
        <v>0</v>
      </c>
      <c r="AA14" s="26">
        <f t="shared" si="0"/>
        <v>0</v>
      </c>
      <c r="AB14" s="27">
        <v>-4.2</v>
      </c>
      <c r="AC14" s="27">
        <v>8</v>
      </c>
      <c r="AD14" s="28">
        <f>AB14+AC14*(-$AB$14/$AC$14)</f>
        <v>0</v>
      </c>
      <c r="AE14" s="26">
        <f t="shared" ref="AE14:AE15" si="6">W14+AA14</f>
        <v>0</v>
      </c>
      <c r="AF14" s="27">
        <v>-4.2</v>
      </c>
      <c r="AG14" s="27">
        <v>3</v>
      </c>
      <c r="AH14" s="28">
        <f t="shared" si="3"/>
        <v>0</v>
      </c>
      <c r="AI14" s="28">
        <v>0</v>
      </c>
      <c r="AJ14" s="165"/>
    </row>
    <row r="15" spans="2:40" ht="21" thickBot="1" x14ac:dyDescent="0.4">
      <c r="B15" s="6" t="s">
        <v>24</v>
      </c>
      <c r="C15" s="7" t="s">
        <v>25</v>
      </c>
      <c r="D15" s="7" t="s">
        <v>26</v>
      </c>
      <c r="E15" s="7" t="s">
        <v>27</v>
      </c>
      <c r="F15" s="8" t="s">
        <v>28</v>
      </c>
      <c r="G15" s="9" t="s">
        <v>13</v>
      </c>
      <c r="I15" s="41" t="s">
        <v>51</v>
      </c>
      <c r="J15" s="42">
        <v>-67</v>
      </c>
      <c r="K15" s="41">
        <v>-0.2</v>
      </c>
      <c r="L15" s="43">
        <v>1</v>
      </c>
      <c r="M15" s="43">
        <v>1.8</v>
      </c>
      <c r="N15" s="43">
        <v>0.5</v>
      </c>
      <c r="O15" s="43">
        <v>0.2</v>
      </c>
      <c r="P15" s="43">
        <v>0</v>
      </c>
      <c r="Q15" s="43">
        <v>0</v>
      </c>
      <c r="R15" s="43">
        <v>0</v>
      </c>
      <c r="S15" s="44">
        <v>0</v>
      </c>
      <c r="T15" s="45">
        <v>1</v>
      </c>
      <c r="U15" s="45">
        <v>0</v>
      </c>
      <c r="V15" s="46">
        <f>T15+U15*(-$T$14/$U$14)</f>
        <v>1</v>
      </c>
      <c r="W15" s="44">
        <v>0</v>
      </c>
      <c r="X15" s="45">
        <v>1</v>
      </c>
      <c r="Y15" s="45">
        <v>0</v>
      </c>
      <c r="Z15" s="46">
        <f>X15+Y15*(-$X$14/$Y$14)</f>
        <v>1</v>
      </c>
      <c r="AA15" s="45">
        <f t="shared" si="0"/>
        <v>0</v>
      </c>
      <c r="AB15" s="45">
        <v>1</v>
      </c>
      <c r="AC15" s="45">
        <v>0</v>
      </c>
      <c r="AD15" s="46">
        <f>AB15+AC15*(-$AB$14/$AC$14)</f>
        <v>1</v>
      </c>
      <c r="AE15" s="45">
        <f t="shared" si="6"/>
        <v>0</v>
      </c>
      <c r="AF15" s="45">
        <v>1</v>
      </c>
      <c r="AG15" s="45">
        <v>0</v>
      </c>
      <c r="AH15" s="46">
        <f t="shared" si="3"/>
        <v>1</v>
      </c>
      <c r="AI15" s="46">
        <v>-1</v>
      </c>
      <c r="AJ15" s="165"/>
    </row>
    <row r="16" spans="2:40" ht="15.75" x14ac:dyDescent="0.25">
      <c r="B16" s="20" t="s">
        <v>45</v>
      </c>
      <c r="C16" s="21">
        <v>-136.9</v>
      </c>
      <c r="D16" s="21">
        <f t="shared" ref="D16:E18" si="7">D4</f>
        <v>300.12884335522256</v>
      </c>
      <c r="E16" s="22">
        <f t="shared" si="7"/>
        <v>3500</v>
      </c>
      <c r="F16" s="21">
        <f>(D16+E16)/(-C16)-V4</f>
        <v>28.658428366363932</v>
      </c>
      <c r="G16" s="23">
        <f>1/F16</f>
        <v>3.4893748785390075E-2</v>
      </c>
      <c r="J16" s="231" t="s">
        <v>52</v>
      </c>
      <c r="K16" s="234" t="s">
        <v>53</v>
      </c>
      <c r="R16" s="47" t="s">
        <v>54</v>
      </c>
      <c r="S16" s="48">
        <f t="shared" ref="S16:AD16" si="8">SUMPRODUCT($L$4:$L$15,S4:S15)</f>
        <v>0</v>
      </c>
      <c r="T16" s="48">
        <f t="shared" si="8"/>
        <v>0</v>
      </c>
      <c r="U16" s="48">
        <f t="shared" si="8"/>
        <v>0</v>
      </c>
      <c r="V16" s="48">
        <f t="shared" si="8"/>
        <v>0</v>
      </c>
      <c r="W16" s="48">
        <f t="shared" si="8"/>
        <v>0</v>
      </c>
      <c r="X16" s="48">
        <f t="shared" si="8"/>
        <v>0</v>
      </c>
      <c r="Y16" s="48">
        <f t="shared" si="8"/>
        <v>0</v>
      </c>
      <c r="Z16" s="48">
        <f t="shared" si="8"/>
        <v>0</v>
      </c>
      <c r="AA16" s="48">
        <f t="shared" si="8"/>
        <v>0</v>
      </c>
      <c r="AB16" s="48">
        <f t="shared" si="8"/>
        <v>0</v>
      </c>
      <c r="AC16" s="48">
        <f t="shared" si="8"/>
        <v>0</v>
      </c>
      <c r="AD16" s="49">
        <f t="shared" si="8"/>
        <v>0</v>
      </c>
      <c r="AE16" s="48">
        <f t="shared" ref="AE16:AH16" si="9">SUMPRODUCT($L$4:$L$15,AE4:AE15)</f>
        <v>0</v>
      </c>
      <c r="AF16" s="48">
        <f t="shared" si="9"/>
        <v>0</v>
      </c>
      <c r="AG16" s="48">
        <f t="shared" si="9"/>
        <v>0</v>
      </c>
      <c r="AH16" s="49">
        <f t="shared" si="9"/>
        <v>0</v>
      </c>
      <c r="AI16" s="49">
        <f t="shared" ref="AI16" si="10">SUMPRODUCT($L$4:$L$15,AI4:AI15)</f>
        <v>0</v>
      </c>
      <c r="AJ16" s="27"/>
    </row>
    <row r="17" spans="2:36" ht="15.75" x14ac:dyDescent="0.25">
      <c r="B17" s="20" t="s">
        <v>19</v>
      </c>
      <c r="C17" s="21">
        <f>C5</f>
        <v>-87.34</v>
      </c>
      <c r="D17" s="21">
        <f t="shared" si="7"/>
        <v>304.9798433552225</v>
      </c>
      <c r="E17" s="22">
        <f t="shared" si="7"/>
        <v>3500</v>
      </c>
      <c r="F17" s="21">
        <f>(D17+E17)/(-C17)-Z5</f>
        <v>46.465145905143373</v>
      </c>
      <c r="G17" s="23">
        <f t="shared" ref="G17:G18" si="11">1/F17</f>
        <v>2.1521507799447302E-2</v>
      </c>
      <c r="J17" s="232"/>
      <c r="K17" s="235"/>
      <c r="R17" s="50" t="s">
        <v>55</v>
      </c>
      <c r="S17" s="48">
        <f t="shared" ref="S17:AD17" si="12">SUMPRODUCT($M$4:$M$15,S4:S15)</f>
        <v>1</v>
      </c>
      <c r="T17" s="48">
        <f t="shared" si="12"/>
        <v>-2.2204460492503131E-16</v>
      </c>
      <c r="U17" s="48">
        <f t="shared" si="12"/>
        <v>0</v>
      </c>
      <c r="V17" s="48">
        <f t="shared" si="12"/>
        <v>-2.2204460492503131E-16</v>
      </c>
      <c r="W17" s="48">
        <f t="shared" si="12"/>
        <v>0</v>
      </c>
      <c r="X17" s="48">
        <f t="shared" si="12"/>
        <v>-6.6613381477509392E-16</v>
      </c>
      <c r="Y17" s="48">
        <f t="shared" si="12"/>
        <v>0</v>
      </c>
      <c r="Z17" s="48">
        <f t="shared" si="12"/>
        <v>-6.6613381477509392E-16</v>
      </c>
      <c r="AA17" s="48">
        <f t="shared" si="12"/>
        <v>0</v>
      </c>
      <c r="AB17" s="48">
        <f t="shared" si="12"/>
        <v>-2.2204460492503131E-16</v>
      </c>
      <c r="AC17" s="48">
        <f t="shared" si="12"/>
        <v>0</v>
      </c>
      <c r="AD17" s="51">
        <f t="shared" si="12"/>
        <v>-6.6613381477509392E-16</v>
      </c>
      <c r="AE17" s="48">
        <f t="shared" ref="AE17:AH17" si="13">SUMPRODUCT($M$4:$M$15,AE4:AE15)</f>
        <v>0</v>
      </c>
      <c r="AF17" s="48">
        <f t="shared" si="13"/>
        <v>-2.2204460492503131E-16</v>
      </c>
      <c r="AG17" s="48">
        <f t="shared" si="13"/>
        <v>0</v>
      </c>
      <c r="AH17" s="51">
        <f t="shared" si="13"/>
        <v>-6.6613381477509392E-16</v>
      </c>
      <c r="AI17" s="51">
        <f t="shared" ref="AI17" si="14">SUMPRODUCT($M$4:$M$15,AI4:AI15)</f>
        <v>-4.2</v>
      </c>
      <c r="AJ17" s="27"/>
    </row>
    <row r="18" spans="2:36" ht="15.75" x14ac:dyDescent="0.25">
      <c r="B18" s="20" t="s">
        <v>65</v>
      </c>
      <c r="C18" s="21">
        <f>C16+C17</f>
        <v>-224.24</v>
      </c>
      <c r="D18" s="21">
        <f t="shared" si="7"/>
        <v>301.07209335522253</v>
      </c>
      <c r="E18" s="22">
        <f t="shared" si="7"/>
        <v>3500</v>
      </c>
      <c r="F18" s="21">
        <f>(D18+E18)/(-C18)-AD4</f>
        <v>17.675910155883084</v>
      </c>
      <c r="G18" s="23">
        <f t="shared" si="11"/>
        <v>5.6574173051404053E-2</v>
      </c>
      <c r="J18" s="232"/>
      <c r="K18" s="235"/>
      <c r="R18" s="50" t="s">
        <v>56</v>
      </c>
      <c r="S18" s="48">
        <f t="shared" ref="S18:AD18" si="15">SUMPRODUCT($N$4:$N$15,S4:S15)</f>
        <v>0</v>
      </c>
      <c r="T18" s="48">
        <f t="shared" si="15"/>
        <v>0</v>
      </c>
      <c r="U18" s="48">
        <f t="shared" si="15"/>
        <v>0</v>
      </c>
      <c r="V18" s="48">
        <f t="shared" si="15"/>
        <v>0</v>
      </c>
      <c r="W18" s="48">
        <f t="shared" si="15"/>
        <v>0</v>
      </c>
      <c r="X18" s="48">
        <f t="shared" si="15"/>
        <v>0</v>
      </c>
      <c r="Y18" s="48">
        <f t="shared" si="15"/>
        <v>0</v>
      </c>
      <c r="Z18" s="48">
        <f t="shared" si="15"/>
        <v>4.4408920985006262E-16</v>
      </c>
      <c r="AA18" s="48">
        <f t="shared" si="15"/>
        <v>0</v>
      </c>
      <c r="AB18" s="48">
        <f t="shared" si="15"/>
        <v>0</v>
      </c>
      <c r="AC18" s="48">
        <f t="shared" si="15"/>
        <v>0</v>
      </c>
      <c r="AD18" s="51">
        <f t="shared" si="15"/>
        <v>0</v>
      </c>
      <c r="AE18" s="48">
        <f t="shared" ref="AE18:AH18" si="16">SUMPRODUCT($N$4:$N$15,AE4:AE15)</f>
        <v>0</v>
      </c>
      <c r="AF18" s="48">
        <f t="shared" si="16"/>
        <v>0</v>
      </c>
      <c r="AG18" s="48">
        <f t="shared" si="16"/>
        <v>0</v>
      </c>
      <c r="AH18" s="51">
        <f t="shared" si="16"/>
        <v>0</v>
      </c>
      <c r="AI18" s="51">
        <f t="shared" ref="AI18" si="17">SUMPRODUCT($N$4:$N$15,AI4:AI15)</f>
        <v>0</v>
      </c>
      <c r="AJ18" s="27"/>
    </row>
    <row r="19" spans="2:36" ht="15.75" x14ac:dyDescent="0.25">
      <c r="B19" s="64"/>
      <c r="C19" s="64"/>
      <c r="D19" s="31"/>
      <c r="E19" s="31"/>
      <c r="F19" s="40"/>
      <c r="G19" s="63"/>
      <c r="J19" s="232"/>
      <c r="K19" s="235"/>
      <c r="R19" s="50" t="s">
        <v>57</v>
      </c>
      <c r="S19" s="48">
        <f t="shared" ref="S19:AD19" si="18">SUMPRODUCT($O$4:$O$15,S4:S15)</f>
        <v>0</v>
      </c>
      <c r="T19" s="48">
        <f t="shared" si="18"/>
        <v>0</v>
      </c>
      <c r="U19" s="48">
        <f t="shared" si="18"/>
        <v>0</v>
      </c>
      <c r="V19" s="48">
        <f t="shared" si="18"/>
        <v>-5.5511151231257827E-17</v>
      </c>
      <c r="W19" s="48">
        <f t="shared" si="18"/>
        <v>0</v>
      </c>
      <c r="X19" s="48">
        <f t="shared" si="18"/>
        <v>0</v>
      </c>
      <c r="Y19" s="48">
        <f t="shared" si="18"/>
        <v>0</v>
      </c>
      <c r="Z19" s="48">
        <f t="shared" si="18"/>
        <v>-1.6653345369377348E-16</v>
      </c>
      <c r="AA19" s="48">
        <f t="shared" si="18"/>
        <v>0</v>
      </c>
      <c r="AB19" s="48">
        <f t="shared" si="18"/>
        <v>0</v>
      </c>
      <c r="AC19" s="48">
        <f t="shared" si="18"/>
        <v>0</v>
      </c>
      <c r="AD19" s="51">
        <f t="shared" si="18"/>
        <v>-5.5511151231257827E-17</v>
      </c>
      <c r="AE19" s="48">
        <f t="shared" ref="AE19:AH19" si="19">SUMPRODUCT($O$4:$O$15,AE4:AE15)</f>
        <v>0</v>
      </c>
      <c r="AF19" s="48">
        <f t="shared" si="19"/>
        <v>0</v>
      </c>
      <c r="AG19" s="48">
        <f t="shared" si="19"/>
        <v>0</v>
      </c>
      <c r="AH19" s="51">
        <f t="shared" si="19"/>
        <v>5.5511151231257827E-17</v>
      </c>
      <c r="AI19" s="51">
        <f t="shared" ref="AI19" si="20">SUMPRODUCT($O$4:$O$15,AI4:AI15)</f>
        <v>0</v>
      </c>
      <c r="AJ19" s="27"/>
    </row>
    <row r="20" spans="2:36" ht="15.75" x14ac:dyDescent="0.25">
      <c r="B20" s="64"/>
      <c r="C20" s="64"/>
      <c r="D20" s="31"/>
      <c r="E20" s="31"/>
      <c r="F20" s="31"/>
      <c r="G20" s="65"/>
      <c r="J20" s="232"/>
      <c r="K20" s="235"/>
      <c r="R20" s="50" t="s">
        <v>58</v>
      </c>
      <c r="S20" s="48">
        <f t="shared" ref="S20:AD20" si="21">SUMPRODUCT($P$4:$P$15,S4:S15)</f>
        <v>0</v>
      </c>
      <c r="T20" s="48">
        <f t="shared" si="21"/>
        <v>0</v>
      </c>
      <c r="U20" s="48">
        <f t="shared" si="21"/>
        <v>0</v>
      </c>
      <c r="V20" s="48">
        <f t="shared" si="21"/>
        <v>0</v>
      </c>
      <c r="W20" s="48">
        <f t="shared" si="21"/>
        <v>0</v>
      </c>
      <c r="X20" s="48">
        <f t="shared" si="21"/>
        <v>0</v>
      </c>
      <c r="Y20" s="48">
        <f t="shared" si="21"/>
        <v>0</v>
      </c>
      <c r="Z20" s="48">
        <f t="shared" si="21"/>
        <v>0</v>
      </c>
      <c r="AA20" s="48">
        <f t="shared" si="21"/>
        <v>0</v>
      </c>
      <c r="AB20" s="48">
        <f t="shared" si="21"/>
        <v>0</v>
      </c>
      <c r="AC20" s="48">
        <f t="shared" si="21"/>
        <v>0</v>
      </c>
      <c r="AD20" s="51">
        <f t="shared" si="21"/>
        <v>0</v>
      </c>
      <c r="AE20" s="48">
        <f t="shared" ref="AE20:AH20" si="22">SUMPRODUCT($P$4:$P$15,AE4:AE15)</f>
        <v>0</v>
      </c>
      <c r="AF20" s="48">
        <f t="shared" si="22"/>
        <v>0</v>
      </c>
      <c r="AG20" s="48">
        <f t="shared" si="22"/>
        <v>0</v>
      </c>
      <c r="AH20" s="51">
        <f t="shared" si="22"/>
        <v>0</v>
      </c>
      <c r="AI20" s="51">
        <f t="shared" ref="AI20" si="23">SUMPRODUCT($P$4:$P$15,AI4:AI15)</f>
        <v>0</v>
      </c>
      <c r="AJ20" s="27"/>
    </row>
    <row r="21" spans="2:36" ht="15.75" x14ac:dyDescent="0.25">
      <c r="B21" s="64"/>
      <c r="C21" s="64"/>
      <c r="D21" s="31"/>
      <c r="E21" s="31"/>
      <c r="F21" s="31"/>
      <c r="G21" s="65"/>
      <c r="J21" s="232"/>
      <c r="K21" s="235"/>
      <c r="R21" s="50" t="s">
        <v>59</v>
      </c>
      <c r="S21" s="48">
        <f t="shared" ref="S21:AD21" si="24">SUMPRODUCT($Q$4:$Q$15,S4:S15)</f>
        <v>0</v>
      </c>
      <c r="T21" s="48">
        <f t="shared" si="24"/>
        <v>0</v>
      </c>
      <c r="U21" s="48">
        <f t="shared" si="24"/>
        <v>0</v>
      </c>
      <c r="V21" s="48">
        <f t="shared" si="24"/>
        <v>0</v>
      </c>
      <c r="W21" s="48">
        <f t="shared" si="24"/>
        <v>0</v>
      </c>
      <c r="X21" s="48">
        <f t="shared" si="24"/>
        <v>0</v>
      </c>
      <c r="Y21" s="48">
        <f t="shared" si="24"/>
        <v>0</v>
      </c>
      <c r="Z21" s="48">
        <f t="shared" si="24"/>
        <v>0</v>
      </c>
      <c r="AA21" s="48">
        <f t="shared" si="24"/>
        <v>0</v>
      </c>
      <c r="AB21" s="48">
        <f t="shared" si="24"/>
        <v>0</v>
      </c>
      <c r="AC21" s="48">
        <f t="shared" si="24"/>
        <v>0</v>
      </c>
      <c r="AD21" s="51">
        <f t="shared" si="24"/>
        <v>0</v>
      </c>
      <c r="AE21" s="48">
        <f t="shared" ref="AE21:AH21" si="25">SUMPRODUCT($Q$4:$Q$15,AE4:AE15)</f>
        <v>0</v>
      </c>
      <c r="AF21" s="48">
        <f t="shared" si="25"/>
        <v>0</v>
      </c>
      <c r="AG21" s="48">
        <f t="shared" si="25"/>
        <v>0</v>
      </c>
      <c r="AH21" s="51">
        <f t="shared" si="25"/>
        <v>0</v>
      </c>
      <c r="AI21" s="51">
        <f t="shared" ref="AI21" si="26">SUMPRODUCT($Q$4:$Q$15,AI4:AI15)</f>
        <v>0</v>
      </c>
      <c r="AJ21" s="27"/>
    </row>
    <row r="22" spans="2:36" ht="15.75" x14ac:dyDescent="0.25">
      <c r="B22" s="64"/>
      <c r="C22" s="64"/>
      <c r="D22" s="31"/>
      <c r="E22" s="31"/>
      <c r="F22" s="31"/>
      <c r="G22" s="65"/>
      <c r="J22" s="232"/>
      <c r="K22" s="235"/>
      <c r="R22" s="52" t="s">
        <v>34</v>
      </c>
      <c r="S22" s="53">
        <f t="shared" ref="S22:AD22" si="27">SUMPRODUCT($R$4:$R$15,S4:S15)</f>
        <v>1</v>
      </c>
      <c r="T22" s="53">
        <f t="shared" si="27"/>
        <v>0</v>
      </c>
      <c r="U22" s="53">
        <f t="shared" si="27"/>
        <v>0</v>
      </c>
      <c r="V22" s="53">
        <f t="shared" si="27"/>
        <v>0</v>
      </c>
      <c r="W22" s="53">
        <f t="shared" si="27"/>
        <v>0</v>
      </c>
      <c r="X22" s="53">
        <f t="shared" si="27"/>
        <v>0</v>
      </c>
      <c r="Y22" s="53">
        <f t="shared" si="27"/>
        <v>0</v>
      </c>
      <c r="Z22" s="53">
        <f t="shared" si="27"/>
        <v>0</v>
      </c>
      <c r="AA22" s="53">
        <f t="shared" si="27"/>
        <v>0</v>
      </c>
      <c r="AB22" s="53">
        <f t="shared" si="27"/>
        <v>0</v>
      </c>
      <c r="AC22" s="53">
        <f t="shared" si="27"/>
        <v>0</v>
      </c>
      <c r="AD22" s="54">
        <f t="shared" si="27"/>
        <v>0</v>
      </c>
      <c r="AE22" s="53">
        <f t="shared" ref="AE22:AH22" si="28">SUMPRODUCT($R$4:$R$15,AE4:AE15)</f>
        <v>0</v>
      </c>
      <c r="AF22" s="53">
        <f t="shared" si="28"/>
        <v>0</v>
      </c>
      <c r="AG22" s="53">
        <f t="shared" si="28"/>
        <v>0</v>
      </c>
      <c r="AH22" s="54">
        <f t="shared" si="28"/>
        <v>0</v>
      </c>
      <c r="AI22" s="54">
        <f t="shared" ref="AI22" si="29">SUMPRODUCT($R$4:$R$15,AI4:AI15)</f>
        <v>0</v>
      </c>
      <c r="AJ22" s="27"/>
    </row>
    <row r="23" spans="2:36" ht="15.75" x14ac:dyDescent="0.25">
      <c r="B23" s="64"/>
      <c r="C23" s="64"/>
      <c r="D23" s="31"/>
      <c r="E23" s="31"/>
      <c r="F23" s="31"/>
      <c r="G23" s="65"/>
      <c r="J23" s="232"/>
      <c r="K23" s="235"/>
      <c r="V23" s="55" t="s">
        <v>60</v>
      </c>
      <c r="Z23" s="55" t="s">
        <v>60</v>
      </c>
      <c r="AD23" s="55" t="s">
        <v>60</v>
      </c>
      <c r="AH23" s="55" t="s">
        <v>60</v>
      </c>
    </row>
    <row r="24" spans="2:36" ht="15.75" x14ac:dyDescent="0.25">
      <c r="B24" s="64"/>
      <c r="C24" s="64"/>
      <c r="D24" s="31"/>
      <c r="E24" s="31"/>
      <c r="F24" s="31"/>
      <c r="G24" s="65"/>
      <c r="J24" s="232"/>
      <c r="K24" s="235"/>
    </row>
    <row r="25" spans="2:36" ht="18" x14ac:dyDescent="0.25">
      <c r="B25" s="64"/>
      <c r="C25" s="64"/>
      <c r="D25" s="31"/>
      <c r="E25" s="31"/>
      <c r="F25" s="31"/>
      <c r="G25" s="65"/>
      <c r="J25" s="232"/>
      <c r="K25" s="235"/>
      <c r="N25" s="237" t="s">
        <v>61</v>
      </c>
      <c r="O25" s="238"/>
      <c r="P25" s="238"/>
      <c r="Q25" s="239"/>
      <c r="R25" s="56" t="s">
        <v>62</v>
      </c>
      <c r="S25" s="57">
        <f t="shared" ref="S25:AD25" si="30">SUMPRODUCT($J$4:$J$15,S4:S15)</f>
        <v>-267.41000000000003</v>
      </c>
      <c r="T25" s="57">
        <f t="shared" si="30"/>
        <v>-67.936000000000035</v>
      </c>
      <c r="U25" s="57">
        <f t="shared" si="30"/>
        <v>468.73</v>
      </c>
      <c r="V25" s="58">
        <f t="shared" si="30"/>
        <v>260.17500000000013</v>
      </c>
      <c r="W25" s="57">
        <f t="shared" si="30"/>
        <v>-87.34</v>
      </c>
      <c r="X25" s="57">
        <f t="shared" si="30"/>
        <v>-161.6819999999999</v>
      </c>
      <c r="Y25" s="57">
        <f t="shared" si="30"/>
        <v>158.04000000000002</v>
      </c>
      <c r="Z25" s="58">
        <f t="shared" si="30"/>
        <v>265.02600000000007</v>
      </c>
      <c r="AA25" s="57">
        <f t="shared" si="30"/>
        <v>-354.75</v>
      </c>
      <c r="AB25" s="57">
        <f t="shared" si="30"/>
        <v>-67.936000000000035</v>
      </c>
      <c r="AC25" s="57">
        <f t="shared" si="30"/>
        <v>626.77</v>
      </c>
      <c r="AD25" s="58">
        <f t="shared" si="30"/>
        <v>261.1182500000001</v>
      </c>
      <c r="AE25" s="57">
        <f t="shared" ref="AE25:AH25" si="31">SUMPRODUCT($J$4:$J$15,AE4:AE15)</f>
        <v>-415.59000000000003</v>
      </c>
      <c r="AF25" s="57">
        <f t="shared" si="31"/>
        <v>-67.936000000000035</v>
      </c>
      <c r="AG25" s="57">
        <f t="shared" si="31"/>
        <v>26.57</v>
      </c>
      <c r="AH25" s="58">
        <f t="shared" si="31"/>
        <v>-30.738000000000056</v>
      </c>
    </row>
    <row r="26" spans="2:36" ht="18.75" customHeight="1" x14ac:dyDescent="0.25">
      <c r="B26" s="64"/>
      <c r="C26" s="64"/>
      <c r="D26" s="31"/>
      <c r="E26" s="31"/>
      <c r="F26" s="31"/>
      <c r="G26" s="65"/>
      <c r="J26" s="232"/>
      <c r="K26" s="235"/>
      <c r="N26" s="237" t="s">
        <v>63</v>
      </c>
      <c r="O26" s="238"/>
      <c r="P26" s="238"/>
      <c r="Q26" s="239"/>
      <c r="R26" s="59" t="s">
        <v>64</v>
      </c>
      <c r="S26" s="60">
        <f>S25+$AM$4*$AM$5*LN(0.0000001^(S13))</f>
        <v>-307.36384335522246</v>
      </c>
      <c r="T26" s="60">
        <f t="shared" ref="T26:U26" si="32">T25+$AM$4*$AM$5*LN(0.0000001^(T13))</f>
        <v>139.82398544715653</v>
      </c>
      <c r="U26" s="60">
        <f t="shared" si="32"/>
        <v>229.00693986866554</v>
      </c>
      <c r="V26" s="61">
        <f>V25+$AM$4*$AM$5*LN(0.0000001^(V13))</f>
        <v>300.12884335522256</v>
      </c>
      <c r="W26" s="60">
        <f>W25+$AM$4*$AM$5*LN(0.0000001^(W13))</f>
        <v>-87.34</v>
      </c>
      <c r="X26" s="60">
        <f t="shared" ref="X26:Y26" si="33">X25+$AM$4*$AM$5*LN(0.0000001^(X13))</f>
        <v>94.022597473423588</v>
      </c>
      <c r="Y26" s="60">
        <f t="shared" si="33"/>
        <v>78.132313289555185</v>
      </c>
      <c r="Z26" s="61">
        <f>Z25+$AM$4*$AM$5*LN(0.0000001^(Z13))</f>
        <v>304.9798433552225</v>
      </c>
      <c r="AA26" s="60">
        <f>AA25+$AM$4*$AM$5*LN(0.0000001^(AA13))</f>
        <v>-354.75</v>
      </c>
      <c r="AB26" s="60">
        <f t="shared" ref="AB26:AC26" si="34">AB25+$AM$4*$AM$5*LN(0.0000001^(AB13))</f>
        <v>139.82398544715653</v>
      </c>
      <c r="AC26" s="60">
        <f t="shared" si="34"/>
        <v>307.13925315822064</v>
      </c>
      <c r="AD26" s="61">
        <f>AD25+$AM$4*$AM$5*LN(0.0000001^(AD13))</f>
        <v>301.07209335522253</v>
      </c>
      <c r="AE26" s="60">
        <f>AE25+$AM$4*$AM$5*LN(0.0000001^(AE13))</f>
        <v>-415.59000000000003</v>
      </c>
      <c r="AF26" s="60">
        <f t="shared" ref="AF26:AG26" si="35">AF25+$AM$4*$AM$5*LN(0.0000001^(AF13))</f>
        <v>139.82398544715653</v>
      </c>
      <c r="AG26" s="60">
        <f t="shared" si="35"/>
        <v>-93.291530065667246</v>
      </c>
      <c r="AH26" s="61">
        <f>AH25+$AM$4*$AM$5*LN(0.0000001^(AH13))</f>
        <v>9.2158433552223613</v>
      </c>
    </row>
    <row r="27" spans="2:36" ht="15.75" x14ac:dyDescent="0.25">
      <c r="B27" s="64"/>
      <c r="C27" s="64"/>
      <c r="D27" s="31"/>
      <c r="E27" s="31"/>
      <c r="F27" s="31"/>
      <c r="G27" s="65"/>
      <c r="J27" s="232"/>
      <c r="K27" s="235"/>
      <c r="O27" s="33"/>
      <c r="P27" s="33"/>
      <c r="Q27" s="33"/>
    </row>
    <row r="28" spans="2:36" ht="15.75" x14ac:dyDescent="0.25">
      <c r="B28" s="64"/>
      <c r="C28" s="64"/>
      <c r="D28" s="31"/>
      <c r="E28" s="31"/>
      <c r="F28" s="31"/>
      <c r="G28" s="65"/>
      <c r="J28" s="232"/>
      <c r="K28" s="235"/>
    </row>
    <row r="29" spans="2:36" x14ac:dyDescent="0.25">
      <c r="B29" s="62"/>
      <c r="C29" s="62"/>
      <c r="D29" s="62"/>
      <c r="E29" s="62"/>
      <c r="F29" s="62"/>
      <c r="G29" s="63"/>
      <c r="J29" s="232"/>
      <c r="K29" s="235"/>
    </row>
    <row r="30" spans="2:36" x14ac:dyDescent="0.25">
      <c r="B30" s="62"/>
      <c r="C30" s="62"/>
      <c r="D30" s="62"/>
      <c r="E30" s="62"/>
      <c r="F30" s="62"/>
      <c r="G30" s="63"/>
      <c r="J30" s="232"/>
      <c r="K30" s="235"/>
    </row>
    <row r="31" spans="2:36" x14ac:dyDescent="0.25">
      <c r="B31" s="62"/>
      <c r="C31" s="62"/>
      <c r="D31" s="62"/>
      <c r="E31" s="62"/>
      <c r="F31" s="62"/>
      <c r="G31" s="63"/>
      <c r="J31" s="232"/>
      <c r="K31" s="235"/>
    </row>
    <row r="32" spans="2:36" ht="15.75" thickBot="1" x14ac:dyDescent="0.3">
      <c r="B32" s="62"/>
      <c r="C32" s="62"/>
      <c r="D32" s="62"/>
      <c r="E32" s="62"/>
      <c r="F32" s="62"/>
      <c r="G32" s="63"/>
      <c r="J32" s="233"/>
      <c r="K32" s="236"/>
    </row>
    <row r="33" spans="2:26" x14ac:dyDescent="0.25">
      <c r="B33" s="62"/>
      <c r="C33" s="62"/>
      <c r="D33" s="62"/>
      <c r="E33" s="62"/>
      <c r="F33" s="62"/>
      <c r="G33" s="63"/>
      <c r="U33" s="160"/>
      <c r="V33" s="86">
        <v>10</v>
      </c>
      <c r="W33" s="86">
        <v>20</v>
      </c>
      <c r="X33" s="87">
        <v>30</v>
      </c>
      <c r="Y33"/>
      <c r="Z33"/>
    </row>
    <row r="34" spans="2:26" x14ac:dyDescent="0.25">
      <c r="B34" s="62"/>
      <c r="C34" s="62"/>
      <c r="D34" s="62"/>
      <c r="E34" s="62"/>
      <c r="F34" s="62"/>
      <c r="G34" s="63"/>
      <c r="U34" s="161" t="s">
        <v>73</v>
      </c>
      <c r="V34" s="156">
        <f>(1.28*10^(12))*EXP(-8183/(273+V33))/(1+((2.05*10^(-9))/(10^(-7.5)))+((10^(-7.5))/(1.66*10^(-7))))</f>
        <v>0.2823217413975958</v>
      </c>
      <c r="W34" s="156">
        <f t="shared" ref="W34:X34" si="36">(1.28*10^(12))*EXP(-8183/(273+W33))/(1+((2.05*10^(-9))/(10^(-7.5)))+((10^(-7.5))/(1.66*10^(-7))))</f>
        <v>0.75741706690483923</v>
      </c>
      <c r="X34" s="157">
        <f t="shared" si="36"/>
        <v>1.9038644750378029</v>
      </c>
      <c r="Y34"/>
      <c r="Z34"/>
    </row>
    <row r="35" spans="2:26" x14ac:dyDescent="0.25">
      <c r="B35" s="62"/>
      <c r="C35" s="62"/>
      <c r="D35" s="62"/>
      <c r="E35" s="62"/>
      <c r="F35" s="62"/>
      <c r="G35" s="63"/>
      <c r="U35" s="162" t="s">
        <v>74</v>
      </c>
      <c r="V35" s="158">
        <f>(6.69*10^(7))*EXP(-5295/(273+V33))/(1+((2.05*10^(-9))/(10^(-7.5)))+((10^(-7.5))/(1.66*10^(-7))))</f>
        <v>0.39894464591466677</v>
      </c>
      <c r="W35" s="158">
        <f t="shared" ref="W35:X35" si="37">(6.69*10^(7))*EXP(-5295/(273+W33))/(1+((2.05*10^(-9))/(10^(-7.5)))+((10^(-7.5))/(1.66*10^(-7))))</f>
        <v>0.75551351479496387</v>
      </c>
      <c r="X35" s="159">
        <f t="shared" si="37"/>
        <v>1.3717224615090331</v>
      </c>
      <c r="Y35"/>
      <c r="Z35"/>
    </row>
    <row r="36" spans="2:26" x14ac:dyDescent="0.25">
      <c r="U36" s="161" t="s">
        <v>75</v>
      </c>
      <c r="V36" s="156">
        <f>(1.651*10^(11))*EXP(-8183/(273+V33))</f>
        <v>4.5712789685116106E-2</v>
      </c>
      <c r="W36" s="156">
        <f t="shared" ref="W36:X36" si="38">(1.651*10^(11))*EXP(-8183/(273+W33))</f>
        <v>0.12263896826343848</v>
      </c>
      <c r="X36" s="157">
        <f t="shared" si="38"/>
        <v>0.30826870047461469</v>
      </c>
      <c r="Y36"/>
      <c r="Z36"/>
    </row>
    <row r="37" spans="2:26" ht="15.75" thickBot="1" x14ac:dyDescent="0.3">
      <c r="U37" s="163" t="s">
        <v>76</v>
      </c>
      <c r="V37" s="88">
        <f>(8.626*10^(6))*EXP(-5295/(273+V33))</f>
        <v>6.4573194919367791E-2</v>
      </c>
      <c r="W37" s="88">
        <f t="shared" ref="W37" si="39">(8.626*10^(6))*EXP(-5295/(273+W33))</f>
        <v>0.12228744502440833</v>
      </c>
      <c r="X37" s="89">
        <f>(8.626*10^(6))*EXP(-5295/(273+X33))</f>
        <v>0.22202704758505282</v>
      </c>
      <c r="Y37"/>
      <c r="Z37"/>
    </row>
    <row r="38" spans="2:26" x14ac:dyDescent="0.25">
      <c r="U38"/>
      <c r="V38"/>
      <c r="W38"/>
      <c r="X38"/>
      <c r="Y38"/>
      <c r="Z38"/>
    </row>
  </sheetData>
  <mergeCells count="8">
    <mergeCell ref="AE2:AH2"/>
    <mergeCell ref="S2:V2"/>
    <mergeCell ref="W2:Z2"/>
    <mergeCell ref="AA2:AD2"/>
    <mergeCell ref="J16:J32"/>
    <mergeCell ref="K16:K32"/>
    <mergeCell ref="N25:Q25"/>
    <mergeCell ref="N26:Q26"/>
  </mergeCells>
  <conditionalFormatting sqref="S4:AB6 AD4:AD6 AD8:AD15 S8:AB15">
    <cfRule type="cellIs" dxfId="66" priority="14" operator="equal">
      <formula>0</formula>
    </cfRule>
  </conditionalFormatting>
  <conditionalFormatting sqref="S16:AD22">
    <cfRule type="cellIs" dxfId="65" priority="15" operator="notBetween">
      <formula>0.0000000001</formula>
      <formula>-0.0000000001</formula>
    </cfRule>
    <cfRule type="cellIs" dxfId="64" priority="16" operator="between">
      <formula>0.0000000001</formula>
      <formula>-0.0000000001</formula>
    </cfRule>
  </conditionalFormatting>
  <conditionalFormatting sqref="S7:AB7 AD7">
    <cfRule type="cellIs" dxfId="63" priority="9" operator="equal">
      <formula>0</formula>
    </cfRule>
  </conditionalFormatting>
  <conditionalFormatting sqref="AC4:AC6 AC8:AC15">
    <cfRule type="cellIs" dxfId="62" priority="8" operator="equal">
      <formula>0</formula>
    </cfRule>
  </conditionalFormatting>
  <conditionalFormatting sqref="AC7">
    <cfRule type="cellIs" dxfId="61" priority="7" operator="equal">
      <formula>0</formula>
    </cfRule>
  </conditionalFormatting>
  <conditionalFormatting sqref="AG7">
    <cfRule type="cellIs" dxfId="60" priority="1" operator="equal">
      <formula>0</formula>
    </cfRule>
  </conditionalFormatting>
  <conditionalFormatting sqref="AE4:AF6 AE8:AF15 AH8:AI15 AH4:AJ4 AH5:AI6 AJ5:AJ15">
    <cfRule type="cellIs" dxfId="59" priority="4" operator="equal">
      <formula>0</formula>
    </cfRule>
  </conditionalFormatting>
  <conditionalFormatting sqref="AE16:AJ22">
    <cfRule type="cellIs" dxfId="58" priority="5" operator="notBetween">
      <formula>0.0000000001</formula>
      <formula>-0.0000000001</formula>
    </cfRule>
    <cfRule type="cellIs" dxfId="57" priority="6" operator="between">
      <formula>0.0000000001</formula>
      <formula>-0.0000000001</formula>
    </cfRule>
  </conditionalFormatting>
  <conditionalFormatting sqref="AE7:AF7 AH7:AI7">
    <cfRule type="cellIs" dxfId="56" priority="3" operator="equal">
      <formula>0</formula>
    </cfRule>
  </conditionalFormatting>
  <conditionalFormatting sqref="AG4:AG6 AG8:AG15">
    <cfRule type="cellIs" dxfId="55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6" sqref="B6"/>
    </sheetView>
  </sheetViews>
  <sheetFormatPr defaultColWidth="9.140625" defaultRowHeight="12.75" x14ac:dyDescent="0.2"/>
  <cols>
    <col min="1" max="1" width="9.140625" style="68"/>
    <col min="2" max="2" width="12" style="68" bestFit="1" customWidth="1"/>
    <col min="3" max="4" width="9.140625" style="68"/>
    <col min="5" max="5" width="12.42578125" style="68" bestFit="1" customWidth="1"/>
    <col min="6" max="6" width="9.140625" style="68"/>
    <col min="7" max="7" width="11.42578125" style="68" bestFit="1" customWidth="1"/>
    <col min="8" max="16384" width="9.140625" style="68"/>
  </cols>
  <sheetData>
    <row r="1" spans="1:3" x14ac:dyDescent="0.2">
      <c r="A1" s="148" t="s">
        <v>136</v>
      </c>
      <c r="B1" s="227">
        <f>0.67*10^(-9)*3600</f>
        <v>2.4120000000000004E-6</v>
      </c>
      <c r="C1" s="150" t="s">
        <v>121</v>
      </c>
    </row>
    <row r="2" spans="1:3" ht="13.5" thickBot="1" x14ac:dyDescent="0.25">
      <c r="A2" s="229" t="s">
        <v>137</v>
      </c>
      <c r="B2" s="90">
        <f>1.19*3600*0.000000001</f>
        <v>4.284E-6</v>
      </c>
      <c r="C2" s="151" t="s">
        <v>121</v>
      </c>
    </row>
    <row r="3" spans="1:3" x14ac:dyDescent="0.2">
      <c r="A3" s="148" t="s">
        <v>120</v>
      </c>
      <c r="B3" s="149">
        <f>1.957*10^(-9)*3600</f>
        <v>7.0452000000000007E-6</v>
      </c>
      <c r="C3" s="151" t="s">
        <v>121</v>
      </c>
    </row>
    <row r="4" spans="1:3" x14ac:dyDescent="0.2">
      <c r="A4" s="120" t="s">
        <v>122</v>
      </c>
      <c r="B4" s="152">
        <f>1.185*10^(-9)*3600</f>
        <v>4.2660000000000003E-6</v>
      </c>
      <c r="C4" s="151" t="s">
        <v>121</v>
      </c>
    </row>
    <row r="5" spans="1:3" x14ac:dyDescent="0.2">
      <c r="A5" s="120" t="s">
        <v>139</v>
      </c>
      <c r="B5" s="152">
        <f>4.5*10^(-9)*3600</f>
        <v>1.6200000000000001E-5</v>
      </c>
      <c r="C5" s="151" t="s">
        <v>121</v>
      </c>
    </row>
    <row r="6" spans="1:3" ht="14.25" x14ac:dyDescent="0.2">
      <c r="A6" s="70" t="s">
        <v>123</v>
      </c>
      <c r="B6" s="227">
        <v>2</v>
      </c>
      <c r="C6" s="91" t="s">
        <v>134</v>
      </c>
    </row>
    <row r="7" spans="1:3" ht="14.25" x14ac:dyDescent="0.2">
      <c r="A7" s="74" t="s">
        <v>135</v>
      </c>
      <c r="B7" s="228">
        <f>B6*B4/B5</f>
        <v>0.52666666666666673</v>
      </c>
      <c r="C7" s="98" t="s">
        <v>134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F2" sqref="F2"/>
    </sheetView>
  </sheetViews>
  <sheetFormatPr defaultColWidth="11.42578125" defaultRowHeight="12.75" x14ac:dyDescent="0.2"/>
  <cols>
    <col min="1" max="1" width="8.7109375" style="78" customWidth="1"/>
    <col min="2" max="3" width="12" style="82" customWidth="1"/>
    <col min="4" max="4" width="11.28515625" style="82" customWidth="1"/>
    <col min="5" max="6" width="12" style="82" customWidth="1"/>
    <col min="7" max="8" width="10.85546875" style="78" customWidth="1"/>
    <col min="9" max="16384" width="11.42578125" style="78"/>
  </cols>
  <sheetData>
    <row r="1" spans="1:11" x14ac:dyDescent="0.2">
      <c r="A1"/>
      <c r="B1" s="79" t="s">
        <v>131</v>
      </c>
      <c r="C1" s="80" t="s">
        <v>132</v>
      </c>
      <c r="D1" s="81" t="s">
        <v>133</v>
      </c>
      <c r="E1" s="81" t="s">
        <v>72</v>
      </c>
      <c r="F1" s="81" t="s">
        <v>13</v>
      </c>
      <c r="G1" s="81" t="s">
        <v>14</v>
      </c>
      <c r="H1" s="81" t="s">
        <v>66</v>
      </c>
      <c r="I1" s="68"/>
      <c r="J1" s="68"/>
      <c r="K1" s="68"/>
    </row>
    <row r="2" spans="1:11" x14ac:dyDescent="0.2">
      <c r="A2" s="70" t="s">
        <v>126</v>
      </c>
      <c r="B2" s="185">
        <f>100*10^(-3)/1000</f>
        <v>1E-4</v>
      </c>
      <c r="C2" s="186">
        <v>1</v>
      </c>
      <c r="D2" s="187">
        <v>0.1</v>
      </c>
      <c r="E2" s="188">
        <f>[1]Reactions!E4</f>
        <v>236.0508843710162</v>
      </c>
      <c r="F2" s="189">
        <f>[1]Reactions!G4</f>
        <v>0.65627329974945314</v>
      </c>
      <c r="G2" s="189">
        <v>4.5</v>
      </c>
      <c r="H2" s="189" t="s">
        <v>127</v>
      </c>
      <c r="I2" s="68"/>
      <c r="J2" s="68"/>
      <c r="K2" s="68"/>
    </row>
    <row r="3" spans="1:11" x14ac:dyDescent="0.2">
      <c r="A3" s="68"/>
      <c r="B3" s="68"/>
      <c r="C3" s="68"/>
      <c r="D3" s="68"/>
      <c r="E3" s="167"/>
      <c r="F3" s="68"/>
      <c r="G3" s="68"/>
      <c r="H3" s="68"/>
      <c r="I3" s="68"/>
      <c r="J3" s="68"/>
      <c r="K3" s="68"/>
    </row>
    <row r="4" spans="1:11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</row>
    <row r="5" spans="1:11" x14ac:dyDescent="0.2">
      <c r="A5" s="68"/>
      <c r="B5" s="68"/>
      <c r="C5" s="68"/>
      <c r="D5" s="68"/>
      <c r="E5" s="68"/>
      <c r="F5" s="68"/>
      <c r="G5" s="168"/>
      <c r="H5" s="168"/>
      <c r="I5" s="68"/>
      <c r="J5" s="68"/>
      <c r="K5" s="68"/>
    </row>
    <row r="6" spans="1:11" x14ac:dyDescent="0.2">
      <c r="B6" s="78"/>
      <c r="C6" s="78"/>
      <c r="D6" s="84"/>
      <c r="E6" s="84"/>
      <c r="F6" s="84"/>
      <c r="G6" s="83"/>
      <c r="H6" s="83"/>
    </row>
    <row r="7" spans="1:11" x14ac:dyDescent="0.2">
      <c r="B7" s="78"/>
      <c r="C7" s="78"/>
      <c r="D7" s="84"/>
      <c r="E7" s="84"/>
      <c r="F7" s="84"/>
      <c r="G7" s="84"/>
      <c r="H7" s="84"/>
    </row>
    <row r="8" spans="1:11" x14ac:dyDescent="0.2">
      <c r="B8" s="78"/>
      <c r="C8" s="78"/>
      <c r="D8" s="78"/>
      <c r="E8" s="78"/>
      <c r="F8" s="78"/>
    </row>
    <row r="9" spans="1:11" x14ac:dyDescent="0.2">
      <c r="B9" s="78"/>
      <c r="C9" s="78"/>
      <c r="D9" s="78"/>
      <c r="E9" s="78"/>
      <c r="F9" s="78"/>
      <c r="G9" s="85"/>
      <c r="H9" s="85"/>
    </row>
    <row r="10" spans="1:11" x14ac:dyDescent="0.2">
      <c r="B10" s="78"/>
      <c r="C10" s="78"/>
      <c r="D10" s="78"/>
      <c r="E10" s="78"/>
      <c r="F10" s="78"/>
    </row>
    <row r="11" spans="1:11" x14ac:dyDescent="0.2">
      <c r="C11" s="169"/>
    </row>
    <row r="12" spans="1:11" x14ac:dyDescent="0.2">
      <c r="C12" s="169"/>
    </row>
    <row r="23" spans="7:8" x14ac:dyDescent="0.2">
      <c r="G23" s="85"/>
      <c r="H23" s="8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3" sqref="A13"/>
    </sheetView>
  </sheetViews>
  <sheetFormatPr defaultColWidth="11.42578125" defaultRowHeight="12.75" x14ac:dyDescent="0.2"/>
  <cols>
    <col min="1" max="1" width="8.42578125" style="68" customWidth="1"/>
    <col min="2" max="2" width="13.7109375" style="68" customWidth="1"/>
    <col min="3" max="3" width="13" style="68" customWidth="1"/>
    <col min="4" max="4" width="13.7109375" style="68" customWidth="1"/>
    <col min="5" max="5" width="13" style="77" customWidth="1"/>
    <col min="6" max="6" width="14.5703125" style="77" customWidth="1"/>
    <col min="7" max="10" width="11.42578125" style="77"/>
    <col min="11" max="16384" width="11.42578125" style="68"/>
  </cols>
  <sheetData>
    <row r="1" spans="1:10" x14ac:dyDescent="0.2">
      <c r="A1"/>
      <c r="B1" s="240" t="s">
        <v>126</v>
      </c>
      <c r="C1" s="241"/>
      <c r="D1" s="242"/>
      <c r="E1" s="243"/>
      <c r="F1" s="243"/>
      <c r="G1" s="243"/>
      <c r="H1" s="243"/>
      <c r="I1" s="243"/>
      <c r="J1" s="243"/>
    </row>
    <row r="2" spans="1:10" x14ac:dyDescent="0.2">
      <c r="A2"/>
      <c r="B2" s="177" t="s">
        <v>4</v>
      </c>
      <c r="C2" s="178" t="s">
        <v>5</v>
      </c>
      <c r="D2" s="92" t="s">
        <v>11</v>
      </c>
      <c r="E2" s="69"/>
      <c r="F2" s="69"/>
      <c r="G2" s="69"/>
      <c r="H2" s="69"/>
      <c r="I2" s="69"/>
      <c r="J2" s="69"/>
    </row>
    <row r="3" spans="1:10" x14ac:dyDescent="0.2">
      <c r="A3" s="70" t="s">
        <v>127</v>
      </c>
      <c r="B3" s="179">
        <f>[1]Reactions!S4</f>
        <v>-1</v>
      </c>
      <c r="C3" s="179">
        <f>[1]Reactions!V4</f>
        <v>-0.17499999999999999</v>
      </c>
      <c r="D3" s="179">
        <f>-C3</f>
        <v>0.17499999999999999</v>
      </c>
      <c r="E3" s="71"/>
      <c r="F3" s="71"/>
      <c r="G3" s="71"/>
      <c r="H3" s="71"/>
      <c r="I3" s="71"/>
      <c r="J3" s="71"/>
    </row>
    <row r="4" spans="1:10" x14ac:dyDescent="0.2">
      <c r="A4" s="72" t="s">
        <v>128</v>
      </c>
      <c r="B4" s="180">
        <f>[1]Reactions!S5</f>
        <v>2</v>
      </c>
      <c r="C4" s="180">
        <f>[1]Reactions!V5</f>
        <v>0</v>
      </c>
      <c r="D4" s="180">
        <v>0</v>
      </c>
      <c r="E4" s="71"/>
      <c r="F4" s="71"/>
      <c r="G4" s="71"/>
      <c r="H4" s="71"/>
      <c r="I4" s="71"/>
      <c r="J4" s="71"/>
    </row>
    <row r="5" spans="1:10" x14ac:dyDescent="0.2">
      <c r="A5" s="72" t="s">
        <v>15</v>
      </c>
      <c r="B5" s="180">
        <f>[1]Reactions!S7</f>
        <v>0</v>
      </c>
      <c r="C5" s="180">
        <f>[1]Reactions!V7</f>
        <v>-0.2</v>
      </c>
      <c r="D5" s="180">
        <f>-C5</f>
        <v>0.2</v>
      </c>
      <c r="E5" s="71"/>
      <c r="F5" s="71"/>
      <c r="G5" s="71"/>
      <c r="H5" s="71"/>
      <c r="I5" s="71"/>
      <c r="J5" s="71"/>
    </row>
    <row r="6" spans="1:10" s="73" customFormat="1" x14ac:dyDescent="0.2">
      <c r="A6" s="72" t="s">
        <v>16</v>
      </c>
      <c r="B6" s="180">
        <f>[1]Reactions!S9</f>
        <v>2</v>
      </c>
      <c r="C6" s="180">
        <f>[1]Reactions!V9</f>
        <v>0.05</v>
      </c>
      <c r="D6" s="181">
        <v>0</v>
      </c>
      <c r="E6" s="71"/>
      <c r="F6" s="71"/>
      <c r="G6" s="71"/>
      <c r="H6" s="71"/>
      <c r="I6" s="71"/>
      <c r="J6" s="71"/>
    </row>
    <row r="7" spans="1:10" s="73" customFormat="1" x14ac:dyDescent="0.2">
      <c r="A7" s="72" t="s">
        <v>129</v>
      </c>
      <c r="B7" s="180">
        <f>[1]Reactions!S10</f>
        <v>4</v>
      </c>
      <c r="C7" s="180">
        <f>[1]Reactions!V10</f>
        <v>0</v>
      </c>
      <c r="D7" s="181">
        <v>0</v>
      </c>
      <c r="E7" s="71"/>
      <c r="F7" s="71"/>
      <c r="G7" s="71"/>
      <c r="H7" s="71"/>
      <c r="I7" s="71"/>
      <c r="J7" s="71"/>
    </row>
    <row r="8" spans="1:10" s="73" customFormat="1" x14ac:dyDescent="0.2">
      <c r="A8" s="72" t="s">
        <v>17</v>
      </c>
      <c r="B8" s="180">
        <v>0</v>
      </c>
      <c r="C8" s="180">
        <v>0</v>
      </c>
      <c r="D8" s="181">
        <v>0</v>
      </c>
      <c r="E8" s="71"/>
      <c r="F8" s="71"/>
      <c r="G8" s="71"/>
      <c r="H8" s="71"/>
      <c r="I8" s="71"/>
      <c r="J8" s="71"/>
    </row>
    <row r="9" spans="1:10" s="73" customFormat="1" x14ac:dyDescent="0.2">
      <c r="A9" s="72" t="s">
        <v>130</v>
      </c>
      <c r="B9" s="180">
        <v>0</v>
      </c>
      <c r="C9" s="180">
        <v>0</v>
      </c>
      <c r="D9" s="181">
        <v>0</v>
      </c>
      <c r="E9" s="71"/>
      <c r="F9" s="71"/>
      <c r="G9" s="71"/>
      <c r="H9" s="71"/>
      <c r="I9" s="71"/>
      <c r="J9" s="71"/>
    </row>
    <row r="10" spans="1:10" s="73" customFormat="1" x14ac:dyDescent="0.2">
      <c r="A10" s="72" t="s">
        <v>67</v>
      </c>
      <c r="B10" s="180">
        <v>0</v>
      </c>
      <c r="C10" s="180">
        <v>0</v>
      </c>
      <c r="D10" s="181">
        <v>0</v>
      </c>
      <c r="E10" s="71"/>
      <c r="F10" s="71"/>
      <c r="G10" s="71"/>
      <c r="H10" s="71"/>
      <c r="I10" s="71"/>
      <c r="J10" s="71"/>
    </row>
    <row r="11" spans="1:10" x14ac:dyDescent="0.2">
      <c r="A11" s="72" t="s">
        <v>8</v>
      </c>
      <c r="B11" s="181">
        <f>[1]Reactions!S11</f>
        <v>-4</v>
      </c>
      <c r="C11" s="182">
        <f>[1]Reactions!V11</f>
        <v>0.4</v>
      </c>
      <c r="D11" s="181">
        <v>0</v>
      </c>
      <c r="E11" s="71"/>
      <c r="F11" s="71"/>
      <c r="G11" s="71"/>
      <c r="H11" s="71"/>
      <c r="I11" s="71"/>
      <c r="J11" s="71"/>
    </row>
    <row r="12" spans="1:10" x14ac:dyDescent="0.2">
      <c r="A12" s="74" t="s">
        <v>9</v>
      </c>
      <c r="B12" s="183">
        <f>[1]Reactions!S12</f>
        <v>4</v>
      </c>
      <c r="C12" s="182">
        <f>[1]Reactions!V12</f>
        <v>4.9999999999999989E-2</v>
      </c>
      <c r="D12" s="181">
        <v>0</v>
      </c>
      <c r="E12" s="71"/>
      <c r="F12" s="71"/>
      <c r="G12" s="71"/>
      <c r="H12" s="71"/>
      <c r="I12" s="71"/>
      <c r="J12" s="71"/>
    </row>
    <row r="13" spans="1:10" x14ac:dyDescent="0.2">
      <c r="A13" s="70" t="s">
        <v>126</v>
      </c>
      <c r="B13" s="184">
        <v>0</v>
      </c>
      <c r="C13" s="184">
        <v>1</v>
      </c>
      <c r="D13" s="184">
        <v>-1</v>
      </c>
      <c r="E13" s="75"/>
      <c r="F13" s="75"/>
      <c r="G13" s="75"/>
      <c r="H13" s="75"/>
      <c r="I13" s="75"/>
      <c r="J13" s="75"/>
    </row>
    <row r="18" spans="6:6" x14ac:dyDescent="0.2">
      <c r="F18" s="76"/>
    </row>
  </sheetData>
  <mergeCells count="3">
    <mergeCell ref="B1:D1"/>
    <mergeCell ref="E1:G1"/>
    <mergeCell ref="H1:J1"/>
  </mergeCells>
  <conditionalFormatting sqref="D7:D11 B8:C10 E3:J13 B3:D6">
    <cfRule type="cellIs" dxfId="54" priority="31" operator="equal">
      <formula>0</formula>
    </cfRule>
  </conditionalFormatting>
  <conditionalFormatting sqref="B7:C7 B13:D13">
    <cfRule type="cellIs" dxfId="53" priority="6" operator="equal">
      <formula>0</formula>
    </cfRule>
  </conditionalFormatting>
  <conditionalFormatting sqref="D12">
    <cfRule type="cellIs" dxfId="52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E22" sqref="E22"/>
    </sheetView>
  </sheetViews>
  <sheetFormatPr defaultRowHeight="12.75" x14ac:dyDescent="0.2"/>
  <sheetData>
    <row r="1" spans="1:4" x14ac:dyDescent="0.2">
      <c r="A1" s="70" t="s">
        <v>127</v>
      </c>
      <c r="B1" s="190">
        <f>100*1.07/180/1000</f>
        <v>5.9444444444444443E-4</v>
      </c>
      <c r="C1" s="174" t="s">
        <v>77</v>
      </c>
      <c r="D1" s="101" t="s">
        <v>33</v>
      </c>
    </row>
    <row r="2" spans="1:4" x14ac:dyDescent="0.2">
      <c r="A2" s="72" t="s">
        <v>128</v>
      </c>
      <c r="B2" s="191">
        <v>9.9999999999999995E-21</v>
      </c>
      <c r="C2" s="175" t="s">
        <v>77</v>
      </c>
      <c r="D2" s="176" t="s">
        <v>33</v>
      </c>
    </row>
    <row r="3" spans="1:4" x14ac:dyDescent="0.2">
      <c r="A3" s="72" t="s">
        <v>15</v>
      </c>
      <c r="B3" s="191">
        <f>0.01</f>
        <v>0.01</v>
      </c>
      <c r="C3" s="175" t="s">
        <v>77</v>
      </c>
      <c r="D3" s="176" t="s">
        <v>33</v>
      </c>
    </row>
    <row r="4" spans="1:4" x14ac:dyDescent="0.2">
      <c r="A4" s="72" t="s">
        <v>16</v>
      </c>
      <c r="B4" s="191">
        <v>1E-4</v>
      </c>
      <c r="C4" s="175" t="s">
        <v>77</v>
      </c>
      <c r="D4" s="176" t="s">
        <v>33</v>
      </c>
    </row>
    <row r="5" spans="1:4" x14ac:dyDescent="0.2">
      <c r="A5" s="72" t="s">
        <v>129</v>
      </c>
      <c r="B5" s="191">
        <v>9.9999999999999995E-21</v>
      </c>
      <c r="C5" s="175" t="s">
        <v>77</v>
      </c>
      <c r="D5" s="176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K35" sqref="K35"/>
    </sheetView>
  </sheetViews>
  <sheetFormatPr defaultColWidth="11.42578125" defaultRowHeight="12.75" x14ac:dyDescent="0.2"/>
  <cols>
    <col min="1" max="2" width="11.42578125" style="68"/>
    <col min="3" max="3" width="7.5703125" style="68" customWidth="1"/>
    <col min="4" max="4" width="3" style="68" customWidth="1"/>
    <col min="5" max="7" width="11.42578125" style="68"/>
    <col min="8" max="8" width="12" style="68" bestFit="1" customWidth="1"/>
    <col min="9" max="16384" width="11.42578125" style="68"/>
  </cols>
  <sheetData>
    <row r="1" spans="1:8" x14ac:dyDescent="0.2">
      <c r="A1" s="70" t="s">
        <v>127</v>
      </c>
      <c r="B1" s="190">
        <f>0.0001</f>
        <v>1E-4</v>
      </c>
      <c r="C1" s="91" t="s">
        <v>77</v>
      </c>
      <c r="D1" s="92" t="s">
        <v>78</v>
      </c>
    </row>
    <row r="2" spans="1:8" x14ac:dyDescent="0.2">
      <c r="A2" s="72" t="s">
        <v>128</v>
      </c>
      <c r="B2" s="191">
        <v>9.9999999999999995E-21</v>
      </c>
      <c r="C2" s="94" t="s">
        <v>77</v>
      </c>
      <c r="D2" s="95" t="s">
        <v>78</v>
      </c>
    </row>
    <row r="3" spans="1:8" x14ac:dyDescent="0.2">
      <c r="A3" s="72" t="s">
        <v>15</v>
      </c>
      <c r="B3" s="191">
        <v>1E-4</v>
      </c>
      <c r="C3" s="94" t="s">
        <v>77</v>
      </c>
      <c r="D3" s="95" t="s">
        <v>78</v>
      </c>
    </row>
    <row r="4" spans="1:8" x14ac:dyDescent="0.2">
      <c r="A4" s="72" t="s">
        <v>16</v>
      </c>
      <c r="B4" s="191">
        <v>1E-4</v>
      </c>
      <c r="C4" s="94" t="s">
        <v>77</v>
      </c>
      <c r="D4" s="95" t="s">
        <v>78</v>
      </c>
    </row>
    <row r="5" spans="1:8" x14ac:dyDescent="0.2">
      <c r="A5" s="72" t="s">
        <v>129</v>
      </c>
      <c r="B5" s="191">
        <v>9.9999999999999995E-21</v>
      </c>
      <c r="C5" s="94" t="s">
        <v>77</v>
      </c>
      <c r="D5" s="95" t="s">
        <v>78</v>
      </c>
    </row>
    <row r="6" spans="1:8" x14ac:dyDescent="0.2">
      <c r="A6" s="72" t="s">
        <v>17</v>
      </c>
      <c r="B6" s="192">
        <v>0</v>
      </c>
      <c r="C6" s="91" t="s">
        <v>79</v>
      </c>
      <c r="D6" s="95" t="s">
        <v>78</v>
      </c>
    </row>
    <row r="7" spans="1:8" x14ac:dyDescent="0.2">
      <c r="A7" s="72" t="s">
        <v>130</v>
      </c>
      <c r="B7" s="191">
        <v>0</v>
      </c>
      <c r="C7" s="94" t="s">
        <v>79</v>
      </c>
      <c r="D7" s="95" t="s">
        <v>80</v>
      </c>
    </row>
    <row r="8" spans="1:8" x14ac:dyDescent="0.2">
      <c r="A8" s="72" t="s">
        <v>67</v>
      </c>
      <c r="B8" s="191">
        <f>1-(B6+B7)</f>
        <v>1</v>
      </c>
      <c r="C8" s="98" t="s">
        <v>79</v>
      </c>
      <c r="D8" s="99" t="s">
        <v>80</v>
      </c>
    </row>
    <row r="9" spans="1:8" x14ac:dyDescent="0.2">
      <c r="A9" s="70" t="s">
        <v>126</v>
      </c>
      <c r="B9" s="192">
        <v>0</v>
      </c>
      <c r="C9" s="100" t="s">
        <v>77</v>
      </c>
      <c r="D9" s="101" t="s">
        <v>3</v>
      </c>
    </row>
    <row r="11" spans="1:8" x14ac:dyDescent="0.2">
      <c r="G11" s="103"/>
      <c r="H11" s="9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F33" sqref="F33"/>
    </sheetView>
  </sheetViews>
  <sheetFormatPr defaultColWidth="11.42578125" defaultRowHeight="15" x14ac:dyDescent="0.2"/>
  <cols>
    <col min="1" max="2" width="11.42578125" customWidth="1"/>
    <col min="3" max="6" width="11.42578125" style="123"/>
    <col min="7" max="7" width="2.85546875" style="109" customWidth="1"/>
    <col min="8" max="8" width="3.5703125" style="110" customWidth="1"/>
  </cols>
  <sheetData>
    <row r="1" spans="1:8" ht="15.75" thickBot="1" x14ac:dyDescent="0.25">
      <c r="A1" s="105" t="s">
        <v>81</v>
      </c>
      <c r="B1" s="106">
        <v>0</v>
      </c>
      <c r="C1" s="107">
        <v>0</v>
      </c>
      <c r="D1" s="108">
        <v>-1</v>
      </c>
      <c r="E1" s="107">
        <v>-2</v>
      </c>
      <c r="F1" s="193">
        <v>-3</v>
      </c>
    </row>
    <row r="2" spans="1:8" x14ac:dyDescent="0.2">
      <c r="A2" s="111" t="s">
        <v>127</v>
      </c>
      <c r="B2" s="194" t="s">
        <v>82</v>
      </c>
      <c r="C2" s="195">
        <v>-915.9</v>
      </c>
      <c r="D2" s="196" t="s">
        <v>82</v>
      </c>
      <c r="E2" s="195" t="s">
        <v>82</v>
      </c>
      <c r="F2" s="197" t="s">
        <v>82</v>
      </c>
      <c r="G2" s="198">
        <v>2</v>
      </c>
      <c r="H2" s="112" t="s">
        <v>78</v>
      </c>
    </row>
    <row r="3" spans="1:8" x14ac:dyDescent="0.2">
      <c r="A3" s="113" t="s">
        <v>128</v>
      </c>
      <c r="B3" s="199" t="s">
        <v>82</v>
      </c>
      <c r="C3" s="200">
        <v>-396.5</v>
      </c>
      <c r="D3" s="201">
        <v>-369.3</v>
      </c>
      <c r="E3" s="200" t="s">
        <v>82</v>
      </c>
      <c r="F3" s="202" t="s">
        <v>82</v>
      </c>
      <c r="G3" s="203">
        <v>3</v>
      </c>
      <c r="H3" s="115" t="s">
        <v>78</v>
      </c>
    </row>
    <row r="4" spans="1:8" x14ac:dyDescent="0.2">
      <c r="A4" s="113" t="s">
        <v>15</v>
      </c>
      <c r="B4" s="199" t="s">
        <v>82</v>
      </c>
      <c r="C4" s="200">
        <v>-79.37</v>
      </c>
      <c r="D4" s="201">
        <v>-26.57</v>
      </c>
      <c r="E4" s="200" t="s">
        <v>82</v>
      </c>
      <c r="F4" s="202" t="s">
        <v>82</v>
      </c>
      <c r="G4" s="203">
        <v>3</v>
      </c>
      <c r="H4" s="115" t="s">
        <v>78</v>
      </c>
    </row>
    <row r="5" spans="1:8" x14ac:dyDescent="0.2">
      <c r="A5" s="113" t="s">
        <v>16</v>
      </c>
      <c r="B5" s="114">
        <v>-386</v>
      </c>
      <c r="C5" s="114">
        <v>-623.16</v>
      </c>
      <c r="D5" s="114">
        <v>-586.85</v>
      </c>
      <c r="E5" s="114">
        <v>-527.79999999999995</v>
      </c>
      <c r="F5" s="202" t="s">
        <v>82</v>
      </c>
      <c r="G5" s="203">
        <v>3</v>
      </c>
      <c r="H5" s="115" t="s">
        <v>78</v>
      </c>
    </row>
    <row r="6" spans="1:8" x14ac:dyDescent="0.2">
      <c r="A6" s="113" t="s">
        <v>129</v>
      </c>
      <c r="B6" s="199" t="s">
        <v>82</v>
      </c>
      <c r="C6" s="200">
        <v>17.55</v>
      </c>
      <c r="D6" s="200" t="s">
        <v>82</v>
      </c>
      <c r="E6" s="200" t="s">
        <v>82</v>
      </c>
      <c r="F6" s="202" t="s">
        <v>82</v>
      </c>
      <c r="G6" s="203">
        <v>2</v>
      </c>
      <c r="H6" s="115" t="s">
        <v>78</v>
      </c>
    </row>
    <row r="7" spans="1:8" x14ac:dyDescent="0.2">
      <c r="A7" s="113" t="s">
        <v>17</v>
      </c>
      <c r="B7" s="199" t="s">
        <v>82</v>
      </c>
      <c r="C7" s="200">
        <v>-394.35899999999998</v>
      </c>
      <c r="D7" s="200" t="s">
        <v>82</v>
      </c>
      <c r="E7" s="200" t="s">
        <v>82</v>
      </c>
      <c r="F7" s="202" t="s">
        <v>82</v>
      </c>
      <c r="G7" s="203">
        <v>2</v>
      </c>
      <c r="H7" s="115" t="s">
        <v>80</v>
      </c>
    </row>
    <row r="8" spans="1:8" x14ac:dyDescent="0.2">
      <c r="A8" s="113" t="s">
        <v>130</v>
      </c>
      <c r="B8" s="199" t="s">
        <v>82</v>
      </c>
      <c r="C8" s="200">
        <v>0</v>
      </c>
      <c r="D8" s="200" t="s">
        <v>82</v>
      </c>
      <c r="E8" s="200" t="s">
        <v>82</v>
      </c>
      <c r="F8" s="202" t="s">
        <v>82</v>
      </c>
      <c r="G8" s="203">
        <v>2</v>
      </c>
      <c r="H8" s="115" t="s">
        <v>80</v>
      </c>
    </row>
    <row r="9" spans="1:8" x14ac:dyDescent="0.2">
      <c r="A9" s="113" t="s">
        <v>67</v>
      </c>
      <c r="B9" s="199" t="s">
        <v>82</v>
      </c>
      <c r="C9" s="200">
        <v>0</v>
      </c>
      <c r="D9" s="200" t="s">
        <v>82</v>
      </c>
      <c r="E9" s="200" t="s">
        <v>82</v>
      </c>
      <c r="F9" s="202" t="s">
        <v>82</v>
      </c>
      <c r="G9" s="203">
        <v>2</v>
      </c>
      <c r="H9" s="115" t="s">
        <v>80</v>
      </c>
    </row>
    <row r="10" spans="1:8" s="109" customFormat="1" x14ac:dyDescent="0.2">
      <c r="A10" s="118" t="s">
        <v>8</v>
      </c>
      <c r="B10" s="204" t="s">
        <v>82</v>
      </c>
      <c r="C10" s="200">
        <v>-237.18</v>
      </c>
      <c r="D10" s="201">
        <v>-157.30000000000001</v>
      </c>
      <c r="E10" s="200" t="s">
        <v>82</v>
      </c>
      <c r="F10" s="202" t="s">
        <v>82</v>
      </c>
      <c r="G10" s="203">
        <v>2</v>
      </c>
      <c r="H10" s="115" t="s">
        <v>78</v>
      </c>
    </row>
    <row r="11" spans="1:8" s="109" customFormat="1" x14ac:dyDescent="0.2">
      <c r="A11" s="117" t="s">
        <v>9</v>
      </c>
      <c r="B11" s="205" t="s">
        <v>82</v>
      </c>
      <c r="C11" s="206">
        <v>0</v>
      </c>
      <c r="D11" s="207" t="s">
        <v>82</v>
      </c>
      <c r="E11" s="206" t="s">
        <v>82</v>
      </c>
      <c r="F11" s="208" t="s">
        <v>82</v>
      </c>
      <c r="G11" s="203">
        <v>2</v>
      </c>
      <c r="H11" s="115" t="s">
        <v>78</v>
      </c>
    </row>
    <row r="12" spans="1:8" s="109" customFormat="1" ht="15.75" thickBot="1" x14ac:dyDescent="0.25">
      <c r="A12" s="119" t="s">
        <v>126</v>
      </c>
      <c r="B12" s="209" t="s">
        <v>82</v>
      </c>
      <c r="C12" s="210">
        <v>-67</v>
      </c>
      <c r="D12" s="211" t="s">
        <v>82</v>
      </c>
      <c r="E12" s="212" t="s">
        <v>82</v>
      </c>
      <c r="F12" s="122" t="s">
        <v>82</v>
      </c>
      <c r="G12" s="203">
        <v>2</v>
      </c>
      <c r="H12" s="115" t="s">
        <v>3</v>
      </c>
    </row>
    <row r="13" spans="1:8" s="109" customFormat="1" x14ac:dyDescent="0.2">
      <c r="A13" s="111" t="s">
        <v>127</v>
      </c>
      <c r="B13" s="213" t="s">
        <v>83</v>
      </c>
      <c r="C13" s="214">
        <v>0</v>
      </c>
      <c r="D13" s="214" t="s">
        <v>83</v>
      </c>
      <c r="E13" s="214" t="s">
        <v>83</v>
      </c>
      <c r="F13" s="215" t="s">
        <v>83</v>
      </c>
      <c r="H13" s="110"/>
    </row>
    <row r="14" spans="1:8" s="109" customFormat="1" x14ac:dyDescent="0.2">
      <c r="A14" s="113" t="s">
        <v>128</v>
      </c>
      <c r="B14" s="176" t="s">
        <v>83</v>
      </c>
      <c r="C14" s="216">
        <v>0</v>
      </c>
      <c r="D14" s="216">
        <v>-1</v>
      </c>
      <c r="E14" s="216" t="s">
        <v>83</v>
      </c>
      <c r="F14" s="217" t="s">
        <v>83</v>
      </c>
      <c r="H14" s="110"/>
    </row>
    <row r="15" spans="1:8" s="109" customFormat="1" x14ac:dyDescent="0.2">
      <c r="A15" s="113" t="s">
        <v>15</v>
      </c>
      <c r="B15" s="176" t="s">
        <v>83</v>
      </c>
      <c r="C15" s="216">
        <v>1</v>
      </c>
      <c r="D15" s="216">
        <v>0</v>
      </c>
      <c r="E15" s="216" t="s">
        <v>83</v>
      </c>
      <c r="F15" s="217" t="s">
        <v>83</v>
      </c>
      <c r="H15" s="110"/>
    </row>
    <row r="16" spans="1:8" s="109" customFormat="1" x14ac:dyDescent="0.2">
      <c r="A16" s="113" t="s">
        <v>16</v>
      </c>
      <c r="B16" s="216">
        <v>0</v>
      </c>
      <c r="C16" s="216">
        <v>0</v>
      </c>
      <c r="D16" s="218">
        <v>-1</v>
      </c>
      <c r="E16" s="218">
        <v>-2</v>
      </c>
      <c r="F16" s="217" t="s">
        <v>83</v>
      </c>
      <c r="H16" s="110"/>
    </row>
    <row r="17" spans="1:8" s="109" customFormat="1" x14ac:dyDescent="0.2">
      <c r="A17" s="113" t="s">
        <v>129</v>
      </c>
      <c r="B17" s="176" t="s">
        <v>83</v>
      </c>
      <c r="C17" s="216">
        <v>0</v>
      </c>
      <c r="D17" s="176" t="s">
        <v>83</v>
      </c>
      <c r="E17" s="176" t="s">
        <v>83</v>
      </c>
      <c r="F17" s="116" t="s">
        <v>83</v>
      </c>
      <c r="H17" s="110"/>
    </row>
    <row r="18" spans="1:8" s="109" customFormat="1" x14ac:dyDescent="0.2">
      <c r="A18" s="113" t="s">
        <v>17</v>
      </c>
      <c r="B18" s="176" t="s">
        <v>83</v>
      </c>
      <c r="C18" s="216">
        <v>0</v>
      </c>
      <c r="D18" s="176" t="s">
        <v>83</v>
      </c>
      <c r="E18" s="176" t="s">
        <v>83</v>
      </c>
      <c r="F18" s="116" t="s">
        <v>83</v>
      </c>
      <c r="H18" s="110"/>
    </row>
    <row r="19" spans="1:8" s="109" customFormat="1" x14ac:dyDescent="0.2">
      <c r="A19" s="113" t="s">
        <v>130</v>
      </c>
      <c r="B19" s="176" t="s">
        <v>83</v>
      </c>
      <c r="C19" s="216">
        <v>0</v>
      </c>
      <c r="D19" s="176" t="s">
        <v>83</v>
      </c>
      <c r="E19" s="176" t="s">
        <v>83</v>
      </c>
      <c r="F19" s="116" t="s">
        <v>83</v>
      </c>
    </row>
    <row r="20" spans="1:8" s="109" customFormat="1" x14ac:dyDescent="0.2">
      <c r="A20" s="113" t="s">
        <v>67</v>
      </c>
      <c r="B20" s="176" t="s">
        <v>83</v>
      </c>
      <c r="C20" s="216">
        <v>0</v>
      </c>
      <c r="D20" s="176" t="s">
        <v>83</v>
      </c>
      <c r="E20" s="176" t="s">
        <v>83</v>
      </c>
      <c r="F20" s="116" t="s">
        <v>83</v>
      </c>
    </row>
    <row r="21" spans="1:8" s="109" customFormat="1" x14ac:dyDescent="0.2">
      <c r="A21" s="118" t="s">
        <v>8</v>
      </c>
      <c r="B21" s="102" t="s">
        <v>83</v>
      </c>
      <c r="C21" s="216">
        <v>0</v>
      </c>
      <c r="D21" s="216">
        <v>-1</v>
      </c>
      <c r="E21" s="102" t="s">
        <v>83</v>
      </c>
      <c r="F21" s="116" t="s">
        <v>83</v>
      </c>
    </row>
    <row r="22" spans="1:8" s="109" customFormat="1" x14ac:dyDescent="0.2">
      <c r="A22" s="117" t="s">
        <v>9</v>
      </c>
      <c r="B22" s="219" t="s">
        <v>83</v>
      </c>
      <c r="C22" s="220">
        <v>1</v>
      </c>
      <c r="D22" s="221" t="s">
        <v>83</v>
      </c>
      <c r="E22" s="220" t="s">
        <v>83</v>
      </c>
      <c r="F22" s="222" t="s">
        <v>83</v>
      </c>
    </row>
    <row r="23" spans="1:8" s="109" customFormat="1" x14ac:dyDescent="0.2">
      <c r="A23" s="119" t="s">
        <v>126</v>
      </c>
      <c r="B23" s="223" t="s">
        <v>82</v>
      </c>
      <c r="C23" s="224">
        <v>0</v>
      </c>
      <c r="D23" s="225" t="s">
        <v>82</v>
      </c>
      <c r="E23" s="121" t="s">
        <v>82</v>
      </c>
      <c r="F23" s="226" t="s">
        <v>82</v>
      </c>
    </row>
    <row r="24" spans="1:8" s="109" customFormat="1" ht="12.75" x14ac:dyDescent="0.2">
      <c r="C24" s="110"/>
    </row>
    <row r="25" spans="1:8" s="109" customFormat="1" ht="12.75" x14ac:dyDescent="0.2">
      <c r="C25" s="110"/>
    </row>
    <row r="26" spans="1:8" s="109" customFormat="1" ht="12.75" x14ac:dyDescent="0.2">
      <c r="C26" s="110"/>
    </row>
    <row r="27" spans="1:8" ht="12.75" x14ac:dyDescent="0.2">
      <c r="A27" s="109"/>
      <c r="B27" s="109"/>
      <c r="C27" s="110"/>
      <c r="D27" s="109"/>
      <c r="E27" s="109"/>
      <c r="F27" s="109"/>
      <c r="H27" s="109"/>
    </row>
    <row r="28" spans="1:8" ht="12.75" x14ac:dyDescent="0.2">
      <c r="A28" s="109"/>
      <c r="B28" s="109"/>
      <c r="C28" s="110"/>
      <c r="D28" s="109"/>
      <c r="E28" s="109"/>
      <c r="F28" s="109"/>
      <c r="H28" s="109"/>
    </row>
    <row r="29" spans="1:8" ht="12.75" x14ac:dyDescent="0.2">
      <c r="A29" s="109"/>
      <c r="B29" s="109"/>
      <c r="C29" s="110"/>
      <c r="D29" s="109"/>
      <c r="E29" s="109"/>
      <c r="F29" s="109"/>
      <c r="H29" s="109"/>
    </row>
    <row r="30" spans="1:8" ht="12.75" x14ac:dyDescent="0.2">
      <c r="A30" s="109"/>
      <c r="B30" s="109"/>
      <c r="C30" s="110"/>
      <c r="D30" s="109"/>
      <c r="E30" s="109"/>
      <c r="F30" s="109"/>
      <c r="H30" s="109"/>
    </row>
    <row r="31" spans="1:8" ht="12.75" x14ac:dyDescent="0.2">
      <c r="A31" s="109"/>
      <c r="B31" s="109"/>
      <c r="C31" s="110"/>
      <c r="D31" s="109"/>
      <c r="E31" s="109"/>
      <c r="F31" s="109"/>
      <c r="H31" s="109"/>
    </row>
    <row r="32" spans="1:8" ht="12.75" x14ac:dyDescent="0.2">
      <c r="A32" s="109"/>
      <c r="B32" s="109"/>
      <c r="C32" s="110"/>
      <c r="D32" s="109"/>
      <c r="E32" s="109"/>
      <c r="F32" s="109"/>
      <c r="H32" s="109"/>
    </row>
  </sheetData>
  <conditionalFormatting sqref="B6:F14 D17:F20">
    <cfRule type="containsText" dxfId="51" priority="15" operator="containsText" text="NA">
      <formula>NOT(ISERROR(SEARCH("NA",B6)))</formula>
    </cfRule>
    <cfRule type="containsText" dxfId="50" priority="16" operator="containsText" text="Inf">
      <formula>NOT(ISERROR(SEARCH("Inf",B6)))</formula>
    </cfRule>
  </conditionalFormatting>
  <conditionalFormatting sqref="C20">
    <cfRule type="containsText" dxfId="49" priority="13" operator="containsText" text="NA">
      <formula>NOT(ISERROR(SEARCH("NA",C20)))</formula>
    </cfRule>
    <cfRule type="containsText" dxfId="48" priority="14" operator="containsText" text="Inf">
      <formula>NOT(ISERROR(SEARCH("Inf",C20)))</formula>
    </cfRule>
  </conditionalFormatting>
  <conditionalFormatting sqref="C10:F10 C2:E2 C3 C13:F13 C14 C6:C9">
    <cfRule type="containsText" dxfId="47" priority="52" operator="containsText" text="FALTA">
      <formula>NOT(ISERROR(SEARCH("FALTA",C2)))</formula>
    </cfRule>
  </conditionalFormatting>
  <conditionalFormatting sqref="C3 C14 C6:C9">
    <cfRule type="cellIs" dxfId="46" priority="51" operator="greaterThan">
      <formula>1000000000</formula>
    </cfRule>
  </conditionalFormatting>
  <conditionalFormatting sqref="C2:E2 B17:B21 B3:F3 B22:F23">
    <cfRule type="containsText" dxfId="45" priority="47" operator="containsText" text="NA">
      <formula>NOT(ISERROR(SEARCH("NA",B2)))</formula>
    </cfRule>
    <cfRule type="containsText" dxfId="44" priority="48" operator="containsText" text="Inf">
      <formula>NOT(ISERROR(SEARCH("Inf",B2)))</formula>
    </cfRule>
  </conditionalFormatting>
  <conditionalFormatting sqref="B2">
    <cfRule type="containsText" dxfId="43" priority="49" operator="containsText" text="NA">
      <formula>NOT(ISERROR(SEARCH("NA",B2)))</formula>
    </cfRule>
    <cfRule type="containsText" dxfId="42" priority="50" operator="containsText" text="Inf">
      <formula>NOT(ISERROR(SEARCH("Inf",B2)))</formula>
    </cfRule>
  </conditionalFormatting>
  <conditionalFormatting sqref="F2">
    <cfRule type="containsText" dxfId="41" priority="46" operator="containsText" text="FALTA">
      <formula>NOT(ISERROR(SEARCH("FALTA",F2)))</formula>
    </cfRule>
  </conditionalFormatting>
  <conditionalFormatting sqref="F2">
    <cfRule type="containsText" dxfId="40" priority="44" operator="containsText" text="NA">
      <formula>NOT(ISERROR(SEARCH("NA",F2)))</formula>
    </cfRule>
    <cfRule type="containsText" dxfId="39" priority="45" operator="containsText" text="Inf">
      <formula>NOT(ISERROR(SEARCH("Inf",F2)))</formula>
    </cfRule>
  </conditionalFormatting>
  <conditionalFormatting sqref="C4">
    <cfRule type="containsText" dxfId="38" priority="43" operator="containsText" text="FALTA">
      <formula>NOT(ISERROR(SEARCH("FALTA",C4)))</formula>
    </cfRule>
  </conditionalFormatting>
  <conditionalFormatting sqref="C4">
    <cfRule type="cellIs" dxfId="37" priority="42" operator="greaterThan">
      <formula>1000000000</formula>
    </cfRule>
  </conditionalFormatting>
  <conditionalFormatting sqref="B4:F4 F5">
    <cfRule type="containsText" dxfId="36" priority="40" operator="containsText" text="NA">
      <formula>NOT(ISERROR(SEARCH("NA",B4)))</formula>
    </cfRule>
    <cfRule type="containsText" dxfId="35" priority="41" operator="containsText" text="Inf">
      <formula>NOT(ISERROR(SEARCH("Inf",B4)))</formula>
    </cfRule>
  </conditionalFormatting>
  <conditionalFormatting sqref="C15">
    <cfRule type="containsText" dxfId="34" priority="39" operator="containsText" text="FALTA">
      <formula>NOT(ISERROR(SEARCH("FALTA",C15)))</formula>
    </cfRule>
  </conditionalFormatting>
  <conditionalFormatting sqref="C15">
    <cfRule type="cellIs" dxfId="33" priority="38" operator="greaterThan">
      <formula>1000000000</formula>
    </cfRule>
  </conditionalFormatting>
  <conditionalFormatting sqref="B15:F15">
    <cfRule type="containsText" dxfId="32" priority="36" operator="containsText" text="NA">
      <formula>NOT(ISERROR(SEARCH("NA",B15)))</formula>
    </cfRule>
    <cfRule type="containsText" dxfId="31" priority="37" operator="containsText" text="Inf">
      <formula>NOT(ISERROR(SEARCH("Inf",B15)))</formula>
    </cfRule>
  </conditionalFormatting>
  <conditionalFormatting sqref="C16">
    <cfRule type="containsText" dxfId="30" priority="35" operator="containsText" text="FALTA">
      <formula>NOT(ISERROR(SEARCH("FALTA",C16)))</formula>
    </cfRule>
  </conditionalFormatting>
  <conditionalFormatting sqref="C16">
    <cfRule type="containsText" dxfId="29" priority="33" operator="containsText" text="NA">
      <formula>NOT(ISERROR(SEARCH("NA",C16)))</formula>
    </cfRule>
    <cfRule type="containsText" dxfId="28" priority="34" operator="containsText" text="Inf">
      <formula>NOT(ISERROR(SEARCH("Inf",C16)))</formula>
    </cfRule>
  </conditionalFormatting>
  <conditionalFormatting sqref="B16">
    <cfRule type="containsText" dxfId="27" priority="32" operator="containsText" text="FALTA">
      <formula>NOT(ISERROR(SEARCH("FALTA",B16)))</formula>
    </cfRule>
  </conditionalFormatting>
  <conditionalFormatting sqref="B16">
    <cfRule type="containsText" dxfId="26" priority="30" operator="containsText" text="NA">
      <formula>NOT(ISERROR(SEARCH("NA",B16)))</formula>
    </cfRule>
    <cfRule type="containsText" dxfId="25" priority="31" operator="containsText" text="Inf">
      <formula>NOT(ISERROR(SEARCH("Inf",B16)))</formula>
    </cfRule>
  </conditionalFormatting>
  <conditionalFormatting sqref="F16">
    <cfRule type="containsText" dxfId="24" priority="29" operator="containsText" text="FALTA">
      <formula>NOT(ISERROR(SEARCH("FALTA",F16)))</formula>
    </cfRule>
  </conditionalFormatting>
  <conditionalFormatting sqref="F16">
    <cfRule type="containsText" dxfId="23" priority="27" operator="containsText" text="NA">
      <formula>NOT(ISERROR(SEARCH("NA",F16)))</formula>
    </cfRule>
    <cfRule type="containsText" dxfId="22" priority="28" operator="containsText" text="Inf">
      <formula>NOT(ISERROR(SEARCH("Inf",F16)))</formula>
    </cfRule>
  </conditionalFormatting>
  <conditionalFormatting sqref="E21:F21">
    <cfRule type="containsText" dxfId="21" priority="25" operator="containsText" text="NA">
      <formula>NOT(ISERROR(SEARCH("NA",E21)))</formula>
    </cfRule>
    <cfRule type="containsText" dxfId="20" priority="26" operator="containsText" text="Inf">
      <formula>NOT(ISERROR(SEARCH("Inf",E21)))</formula>
    </cfRule>
  </conditionalFormatting>
  <conditionalFormatting sqref="D21">
    <cfRule type="containsText" dxfId="19" priority="7" operator="containsText" text="NA">
      <formula>NOT(ISERROR(SEARCH("NA",D21)))</formula>
    </cfRule>
    <cfRule type="containsText" dxfId="18" priority="8" operator="containsText" text="Inf">
      <formula>NOT(ISERROR(SEARCH("Inf",D21)))</formula>
    </cfRule>
  </conditionalFormatting>
  <conditionalFormatting sqref="C17">
    <cfRule type="containsText" dxfId="17" priority="24" operator="containsText" text="FALTA">
      <formula>NOT(ISERROR(SEARCH("FALTA",C17)))</formula>
    </cfRule>
  </conditionalFormatting>
  <conditionalFormatting sqref="C17">
    <cfRule type="containsText" dxfId="16" priority="22" operator="containsText" text="NA">
      <formula>NOT(ISERROR(SEARCH("NA",C17)))</formula>
    </cfRule>
    <cfRule type="containsText" dxfId="15" priority="23" operator="containsText" text="Inf">
      <formula>NOT(ISERROR(SEARCH("Inf",C17)))</formula>
    </cfRule>
  </conditionalFormatting>
  <conditionalFormatting sqref="C18">
    <cfRule type="containsText" dxfId="14" priority="21" operator="containsText" text="FALTA">
      <formula>NOT(ISERROR(SEARCH("FALTA",C18)))</formula>
    </cfRule>
  </conditionalFormatting>
  <conditionalFormatting sqref="C18">
    <cfRule type="containsText" dxfId="13" priority="19" operator="containsText" text="NA">
      <formula>NOT(ISERROR(SEARCH("NA",C18)))</formula>
    </cfRule>
    <cfRule type="containsText" dxfId="12" priority="20" operator="containsText" text="Inf">
      <formula>NOT(ISERROR(SEARCH("Inf",C18)))</formula>
    </cfRule>
  </conditionalFormatting>
  <conditionalFormatting sqref="C19">
    <cfRule type="containsText" dxfId="11" priority="18" operator="containsText" text="FALTA">
      <formula>NOT(ISERROR(SEARCH("FALTA",C19)))</formula>
    </cfRule>
  </conditionalFormatting>
  <conditionalFormatting sqref="C19">
    <cfRule type="containsText" dxfId="10" priority="17" operator="containsText" text="Inf">
      <formula>NOT(ISERROR(SEARCH("Inf",C19)))</formula>
    </cfRule>
    <cfRule type="containsText" dxfId="9" priority="53" operator="containsText" text="NA">
      <formula>NOT(ISERROR(SEARCH("NA",C19)))</formula>
    </cfRule>
  </conditionalFormatting>
  <conditionalFormatting sqref="C20">
    <cfRule type="containsText" dxfId="8" priority="54" operator="containsText" text="FALTA">
      <formula>NOT(ISERROR(SEARCH("FALTA",C20)))</formula>
    </cfRule>
  </conditionalFormatting>
  <conditionalFormatting sqref="C21">
    <cfRule type="containsText" dxfId="7" priority="12" operator="containsText" text="FALTA">
      <formula>NOT(ISERROR(SEARCH("FALTA",C21)))</formula>
    </cfRule>
  </conditionalFormatting>
  <conditionalFormatting sqref="C21">
    <cfRule type="containsText" dxfId="6" priority="10" operator="containsText" text="NA">
      <formula>NOT(ISERROR(SEARCH("NA",C21)))</formula>
    </cfRule>
    <cfRule type="containsText" dxfId="5" priority="11" operator="containsText" text="Inf">
      <formula>NOT(ISERROR(SEARCH("Inf",C21)))</formula>
    </cfRule>
  </conditionalFormatting>
  <conditionalFormatting sqref="D21">
    <cfRule type="containsText" dxfId="4" priority="9" operator="containsText" text="FALTA">
      <formula>NOT(ISERROR(SEARCH("FALTA",D21)))</formula>
    </cfRule>
  </conditionalFormatting>
  <conditionalFormatting sqref="B5 D5:E5">
    <cfRule type="containsText" dxfId="3" priority="5" operator="containsText" text="NA">
      <formula>NOT(ISERROR(SEARCH("NA",B5)))</formula>
    </cfRule>
    <cfRule type="containsText" dxfId="2" priority="6" operator="containsText" text="Inf">
      <formula>NOT(ISERROR(SEARCH("Inf",B5)))</formula>
    </cfRule>
  </conditionalFormatting>
  <conditionalFormatting sqref="C5">
    <cfRule type="containsText" dxfId="1" priority="3" operator="containsText" text="NA">
      <formula>NOT(ISERROR(SEARCH("NA",C5)))</formula>
    </cfRule>
    <cfRule type="containsText" dxfId="0" priority="4" operator="containsText" text="Inf">
      <formula>NOT(ISERROR(SEARCH("Inf",C5)))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G15" sqref="G15"/>
    </sheetView>
  </sheetViews>
  <sheetFormatPr defaultColWidth="9.140625" defaultRowHeight="12.75" x14ac:dyDescent="0.2"/>
  <cols>
    <col min="1" max="1" width="14.85546875" style="68" customWidth="1"/>
    <col min="2" max="2" width="10.5703125" style="68" customWidth="1"/>
    <col min="3" max="3" width="9.140625" style="68"/>
    <col min="4" max="4" width="12.42578125" style="68" bestFit="1" customWidth="1"/>
    <col min="5" max="16384" width="9.140625" style="68"/>
  </cols>
  <sheetData>
    <row r="1" spans="1:4" x14ac:dyDescent="0.2">
      <c r="A1" s="124" t="s">
        <v>84</v>
      </c>
      <c r="B1" s="97">
        <f>((4/3)*PI()*B3^3)*B4</f>
        <v>1.5707963267948963E-13</v>
      </c>
      <c r="C1" s="125" t="s">
        <v>10</v>
      </c>
    </row>
    <row r="2" spans="1:4" x14ac:dyDescent="0.2">
      <c r="A2" s="126" t="s">
        <v>85</v>
      </c>
      <c r="B2" s="90">
        <f>0.05*B1</f>
        <v>7.853981633974482E-15</v>
      </c>
      <c r="C2" s="127" t="s">
        <v>10</v>
      </c>
    </row>
    <row r="3" spans="1:4" x14ac:dyDescent="0.2">
      <c r="A3" s="126" t="s">
        <v>86</v>
      </c>
      <c r="B3" s="90">
        <f>0.5*10^(-6)</f>
        <v>4.9999999999999998E-7</v>
      </c>
      <c r="C3" s="127" t="s">
        <v>87</v>
      </c>
    </row>
    <row r="4" spans="1:4" x14ac:dyDescent="0.2">
      <c r="A4" s="126" t="s">
        <v>88</v>
      </c>
      <c r="B4" s="90">
        <f>300*1000</f>
        <v>300000</v>
      </c>
      <c r="C4" s="127" t="s">
        <v>89</v>
      </c>
    </row>
    <row r="5" spans="1:4" x14ac:dyDescent="0.2">
      <c r="A5" s="126" t="s">
        <v>90</v>
      </c>
      <c r="B5" s="128">
        <v>24.6</v>
      </c>
      <c r="C5" s="127" t="s">
        <v>91</v>
      </c>
    </row>
    <row r="6" spans="1:4" x14ac:dyDescent="0.2">
      <c r="A6" s="126" t="s">
        <v>92</v>
      </c>
      <c r="B6" s="155">
        <v>2000</v>
      </c>
      <c r="C6" s="127" t="s">
        <v>93</v>
      </c>
    </row>
    <row r="7" spans="1:4" x14ac:dyDescent="0.2">
      <c r="A7" s="93" t="s">
        <v>94</v>
      </c>
      <c r="B7" s="128">
        <v>1</v>
      </c>
      <c r="C7" s="127" t="s">
        <v>93</v>
      </c>
    </row>
    <row r="8" spans="1:4" x14ac:dyDescent="0.2">
      <c r="A8" s="93" t="s">
        <v>95</v>
      </c>
      <c r="B8" s="153">
        <f>2*B3</f>
        <v>9.9999999999999995E-7</v>
      </c>
      <c r="C8" s="127" t="s">
        <v>87</v>
      </c>
    </row>
    <row r="9" spans="1:4" x14ac:dyDescent="0.2">
      <c r="A9" s="129" t="s">
        <v>96</v>
      </c>
      <c r="B9" s="154">
        <f>B3*0.01</f>
        <v>5.0000000000000001E-9</v>
      </c>
      <c r="C9" s="130" t="s">
        <v>87</v>
      </c>
    </row>
    <row r="13" spans="1:4" x14ac:dyDescent="0.2">
      <c r="B13" s="131"/>
    </row>
    <row r="14" spans="1:4" x14ac:dyDescent="0.2">
      <c r="B14" s="96"/>
    </row>
    <row r="16" spans="1:4" x14ac:dyDescent="0.2">
      <c r="C16" s="96"/>
      <c r="D16" s="132"/>
    </row>
    <row r="17" spans="4:5" x14ac:dyDescent="0.2">
      <c r="D17" s="96"/>
    </row>
    <row r="19" spans="4:5" x14ac:dyDescent="0.2">
      <c r="E19" s="9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" sqref="B1"/>
    </sheetView>
  </sheetViews>
  <sheetFormatPr defaultColWidth="11.42578125" defaultRowHeight="12.75" x14ac:dyDescent="0.2"/>
  <cols>
    <col min="1" max="1" width="10.42578125" style="68" customWidth="1"/>
    <col min="2" max="2" width="11.42578125" style="68"/>
    <col min="3" max="3" width="12.140625" style="68" customWidth="1"/>
    <col min="4" max="16384" width="11.42578125" style="68"/>
  </cols>
  <sheetData>
    <row r="1" spans="1:5" x14ac:dyDescent="0.2">
      <c r="A1" s="133" t="s">
        <v>138</v>
      </c>
      <c r="B1" s="170">
        <f>0.00011</f>
        <v>1.1E-4</v>
      </c>
      <c r="C1" s="134" t="s">
        <v>77</v>
      </c>
    </row>
    <row r="2" spans="1:5" x14ac:dyDescent="0.2">
      <c r="A2" s="135" t="s">
        <v>1</v>
      </c>
      <c r="B2" s="128">
        <v>298.14999999999998</v>
      </c>
      <c r="C2" s="127" t="s">
        <v>2</v>
      </c>
    </row>
    <row r="3" spans="1:5" x14ac:dyDescent="0.2">
      <c r="A3" s="135" t="s">
        <v>97</v>
      </c>
      <c r="B3" s="128">
        <f>8.3144/1000</f>
        <v>8.3143999999999996E-3</v>
      </c>
      <c r="C3" s="127" t="s">
        <v>6</v>
      </c>
    </row>
    <row r="4" spans="1:5" x14ac:dyDescent="0.2">
      <c r="A4" s="135" t="s">
        <v>98</v>
      </c>
      <c r="B4" s="128">
        <v>8.2057459999999999E-2</v>
      </c>
      <c r="C4" s="127" t="s">
        <v>99</v>
      </c>
    </row>
    <row r="5" spans="1:5" x14ac:dyDescent="0.2">
      <c r="A5" s="135" t="s">
        <v>0</v>
      </c>
      <c r="B5" s="128">
        <v>1</v>
      </c>
      <c r="C5" s="127" t="s">
        <v>79</v>
      </c>
    </row>
    <row r="6" spans="1:5" x14ac:dyDescent="0.2">
      <c r="A6" s="135" t="s">
        <v>100</v>
      </c>
      <c r="B6" s="90">
        <f>B7</f>
        <v>1.0471975511965977E-13</v>
      </c>
      <c r="C6" s="127" t="s">
        <v>101</v>
      </c>
    </row>
    <row r="7" spans="1:5" x14ac:dyDescent="0.2">
      <c r="A7" s="135" t="s">
        <v>102</v>
      </c>
      <c r="B7" s="90">
        <f>((Bacteria!B1*Bacteria!B6)/3)/1000</f>
        <v>1.0471975511965977E-13</v>
      </c>
      <c r="C7" s="127" t="s">
        <v>101</v>
      </c>
    </row>
    <row r="8" spans="1:5" x14ac:dyDescent="0.2">
      <c r="A8" s="135" t="s">
        <v>103</v>
      </c>
      <c r="B8" s="90">
        <v>7.5</v>
      </c>
      <c r="C8" s="127" t="s">
        <v>93</v>
      </c>
    </row>
    <row r="9" spans="1:5" x14ac:dyDescent="0.2">
      <c r="A9" s="135" t="s">
        <v>104</v>
      </c>
      <c r="B9" s="90">
        <f>Discretization!B11</f>
        <v>1</v>
      </c>
      <c r="C9" s="127" t="s">
        <v>105</v>
      </c>
    </row>
    <row r="10" spans="1:5" x14ac:dyDescent="0.2">
      <c r="A10" s="136" t="s">
        <v>106</v>
      </c>
      <c r="B10" s="137">
        <f>(B7*1000)/0.01</f>
        <v>1.0471975511965976E-8</v>
      </c>
      <c r="C10" s="138" t="s">
        <v>107</v>
      </c>
    </row>
    <row r="16" spans="1:5" x14ac:dyDescent="0.2">
      <c r="E16" s="96"/>
    </row>
    <row r="17" spans="3:4" x14ac:dyDescent="0.2">
      <c r="C17" s="96"/>
    </row>
    <row r="18" spans="3:4" x14ac:dyDescent="0.2">
      <c r="D18" s="9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B9" sqref="B9"/>
    </sheetView>
  </sheetViews>
  <sheetFormatPr defaultColWidth="9.140625" defaultRowHeight="12.75" x14ac:dyDescent="0.2"/>
  <cols>
    <col min="1" max="1" width="15.42578125" style="68" customWidth="1"/>
    <col min="2" max="16384" width="9.140625" style="68"/>
  </cols>
  <sheetData>
    <row r="1" spans="1:5" x14ac:dyDescent="0.2">
      <c r="A1" s="139" t="s">
        <v>108</v>
      </c>
      <c r="B1" s="140">
        <v>10</v>
      </c>
      <c r="C1" s="141" t="s">
        <v>93</v>
      </c>
    </row>
    <row r="2" spans="1:5" x14ac:dyDescent="0.2">
      <c r="A2" s="142" t="s">
        <v>109</v>
      </c>
      <c r="B2" s="143">
        <v>300</v>
      </c>
      <c r="C2" s="144" t="s">
        <v>93</v>
      </c>
    </row>
    <row r="3" spans="1:5" x14ac:dyDescent="0.2">
      <c r="A3" s="142" t="s">
        <v>110</v>
      </c>
      <c r="B3" s="143">
        <f>20*10^(-6)</f>
        <v>1.9999999999999998E-5</v>
      </c>
      <c r="C3" s="144" t="s">
        <v>87</v>
      </c>
    </row>
    <row r="4" spans="1:5" x14ac:dyDescent="0.2">
      <c r="A4" s="142" t="s">
        <v>111</v>
      </c>
      <c r="B4" s="143">
        <f>200*10^(-6)</f>
        <v>1.9999999999999998E-4</v>
      </c>
      <c r="C4" s="144" t="s">
        <v>87</v>
      </c>
    </row>
    <row r="5" spans="1:5" x14ac:dyDescent="0.2">
      <c r="A5" s="142" t="s">
        <v>112</v>
      </c>
      <c r="B5" s="143">
        <f>B3/B1</f>
        <v>1.9999999999999999E-6</v>
      </c>
      <c r="C5" s="144" t="s">
        <v>87</v>
      </c>
    </row>
    <row r="6" spans="1:5" x14ac:dyDescent="0.2">
      <c r="A6" s="142" t="s">
        <v>113</v>
      </c>
      <c r="B6" s="143">
        <f>B4/B2</f>
        <v>6.666666666666666E-7</v>
      </c>
      <c r="C6" s="144" t="s">
        <v>87</v>
      </c>
    </row>
    <row r="7" spans="1:5" x14ac:dyDescent="0.2">
      <c r="A7" s="142" t="s">
        <v>114</v>
      </c>
      <c r="B7" s="143">
        <f>1*10^(-6)</f>
        <v>9.9999999999999995E-7</v>
      </c>
      <c r="C7" s="144" t="s">
        <v>87</v>
      </c>
      <c r="E7" s="96"/>
    </row>
    <row r="8" spans="1:5" x14ac:dyDescent="0.2">
      <c r="A8" s="142" t="s">
        <v>115</v>
      </c>
      <c r="B8" s="143">
        <f>20*10^(-6)</f>
        <v>1.9999999999999998E-5</v>
      </c>
      <c r="C8" s="144" t="s">
        <v>87</v>
      </c>
    </row>
    <row r="9" spans="1:5" x14ac:dyDescent="0.2">
      <c r="A9" s="142" t="s">
        <v>116</v>
      </c>
      <c r="B9" s="145">
        <v>500</v>
      </c>
      <c r="C9" s="144" t="s">
        <v>105</v>
      </c>
    </row>
    <row r="10" spans="1:5" x14ac:dyDescent="0.2">
      <c r="A10" s="142" t="s">
        <v>117</v>
      </c>
      <c r="B10" s="143">
        <v>9.9999999999999995E-7</v>
      </c>
      <c r="C10" s="144" t="s">
        <v>105</v>
      </c>
    </row>
    <row r="11" spans="1:5" x14ac:dyDescent="0.2">
      <c r="A11" s="142" t="s">
        <v>118</v>
      </c>
      <c r="B11" s="171">
        <v>1</v>
      </c>
      <c r="C11" s="144" t="s">
        <v>105</v>
      </c>
    </row>
    <row r="12" spans="1:5" ht="13.5" thickBot="1" x14ac:dyDescent="0.25">
      <c r="A12" s="146" t="s">
        <v>119</v>
      </c>
      <c r="B12" s="172">
        <v>2</v>
      </c>
      <c r="C12" s="173" t="s">
        <v>105</v>
      </c>
    </row>
    <row r="13" spans="1:5" ht="13.5" thickBot="1" x14ac:dyDescent="0.25">
      <c r="A13" s="146" t="s">
        <v>125</v>
      </c>
      <c r="B13" s="172">
        <v>1</v>
      </c>
      <c r="C13" s="173" t="s">
        <v>93</v>
      </c>
    </row>
    <row r="16" spans="1:5" x14ac:dyDescent="0.2">
      <c r="A16" s="147"/>
      <c r="E16" s="104"/>
    </row>
    <row r="20" spans="4:5" x14ac:dyDescent="0.2">
      <c r="D20" s="96"/>
      <c r="E20" s="96"/>
    </row>
    <row r="28" spans="4:5" x14ac:dyDescent="0.2">
      <c r="E28" s="9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Reactions</vt:lpstr>
      <vt:lpstr>SpecParam</vt:lpstr>
      <vt:lpstr>ReactionMatrix</vt:lpstr>
      <vt:lpstr>Influent</vt:lpstr>
      <vt:lpstr>States</vt:lpstr>
      <vt:lpstr>ThermoParam</vt:lpstr>
      <vt:lpstr>Bacteria</vt:lpstr>
      <vt:lpstr>Parameters</vt:lpstr>
      <vt:lpstr>Discretization</vt:lpstr>
      <vt:lpstr>Diffusion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Rebeca.Gonzalez-Cabaleiro@newcastle.ac.uk</dc:creator>
  <cp:lastModifiedBy>Valentina Gogulancea</cp:lastModifiedBy>
  <dcterms:created xsi:type="dcterms:W3CDTF">2008-02-06T12:16:03Z</dcterms:created>
  <dcterms:modified xsi:type="dcterms:W3CDTF">2018-07-16T16:52:23Z</dcterms:modified>
</cp:coreProperties>
</file>