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iofilm-IbM-Matlab\Cases\"/>
    </mc:Choice>
  </mc:AlternateContent>
  <bookViews>
    <workbookView xWindow="0" yWindow="0" windowWidth="19200" windowHeight="12180" firstSheet="1" activeTab="6"/>
  </bookViews>
  <sheets>
    <sheet name="ReactionMatrix" sheetId="9" r:id="rId1"/>
    <sheet name="SpecParam" sheetId="13" r:id="rId2"/>
    <sheet name="States" sheetId="11" r:id="rId3"/>
    <sheet name="ThermoParam" sheetId="17" r:id="rId4"/>
    <sheet name="Bacteria" sheetId="14" r:id="rId5"/>
    <sheet name="Parameters" sheetId="12" r:id="rId6"/>
    <sheet name="Discretization" sheetId="15" r:id="rId7"/>
    <sheet name="Diffusion" sheetId="16" r:id="rId8"/>
  </sheets>
  <calcPr calcId="152511"/>
</workbook>
</file>

<file path=xl/calcChain.xml><?xml version="1.0" encoding="utf-8"?>
<calcChain xmlns="http://schemas.openxmlformats.org/spreadsheetml/2006/main">
  <c r="B10" i="15" l="1"/>
  <c r="C3" i="13" l="1"/>
  <c r="C2" i="13"/>
  <c r="B6" i="15" l="1"/>
  <c r="F3" i="13" l="1"/>
  <c r="B3" i="13"/>
  <c r="B8" i="15" l="1"/>
  <c r="B9" i="15" l="1"/>
  <c r="F2" i="13" l="1"/>
  <c r="B2" i="13"/>
  <c r="B1" i="14"/>
  <c r="B4" i="15" l="1"/>
  <c r="B1" i="11" l="1"/>
  <c r="B3" i="14"/>
  <c r="B2" i="15" l="1"/>
  <c r="B5" i="12" s="1"/>
  <c r="B6" i="12" s="1"/>
  <c r="B6" i="14" l="1"/>
  <c r="B5" i="15"/>
  <c r="B4" i="14" l="1"/>
  <c r="B1" i="16" l="1"/>
  <c r="B3" i="15" l="1"/>
  <c r="B2" i="14" l="1"/>
  <c r="B9" i="14" l="1"/>
  <c r="B8" i="14"/>
  <c r="B2" i="12" l="1"/>
</calcChain>
</file>

<file path=xl/comments1.xml><?xml version="1.0" encoding="utf-8"?>
<comments xmlns="http://schemas.openxmlformats.org/spreadsheetml/2006/main">
  <authors>
    <author>Rebeca Gonzalez-Cabaleiro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Rebeca Gonzalez-Cabaleiro:</t>
        </r>
        <r>
          <rPr>
            <sz val="9"/>
            <color indexed="81"/>
            <rFont val="Tahoma"/>
            <charset val="1"/>
          </rPr>
          <t xml:space="preserve">
The smallest division of Kreft</t>
        </r>
      </text>
    </comment>
  </commentList>
</comments>
</file>

<file path=xl/sharedStrings.xml><?xml version="1.0" encoding="utf-8"?>
<sst xmlns="http://schemas.openxmlformats.org/spreadsheetml/2006/main" count="173" uniqueCount="64">
  <si>
    <t>P</t>
  </si>
  <si>
    <t>T</t>
  </si>
  <si>
    <t>K</t>
  </si>
  <si>
    <t>S</t>
  </si>
  <si>
    <t>Cat</t>
  </si>
  <si>
    <t>Anab</t>
  </si>
  <si>
    <t>mol/L</t>
  </si>
  <si>
    <t>Vr</t>
  </si>
  <si>
    <t>L</t>
  </si>
  <si>
    <t>-</t>
  </si>
  <si>
    <t>pH</t>
  </si>
  <si>
    <t>Rth</t>
  </si>
  <si>
    <t>kJ/molK</t>
  </si>
  <si>
    <t>Rg</t>
  </si>
  <si>
    <t>atm·L/mol·K</t>
  </si>
  <si>
    <t>bar</t>
  </si>
  <si>
    <t>G</t>
  </si>
  <si>
    <t>gO2</t>
  </si>
  <si>
    <t>Vgas</t>
  </si>
  <si>
    <t>Ks</t>
  </si>
  <si>
    <t>H2O</t>
  </si>
  <si>
    <t>H</t>
  </si>
  <si>
    <t>bac_mmax</t>
  </si>
  <si>
    <t>g</t>
  </si>
  <si>
    <t>m</t>
  </si>
  <si>
    <t>bac_rho</t>
  </si>
  <si>
    <t>bac_MW</t>
  </si>
  <si>
    <t>g/mol</t>
  </si>
  <si>
    <t>bac_nmax</t>
  </si>
  <si>
    <t>k</t>
  </si>
  <si>
    <t>s_dist</t>
  </si>
  <si>
    <t>overlap</t>
  </si>
  <si>
    <t>bac_rmax</t>
  </si>
  <si>
    <t>nx</t>
  </si>
  <si>
    <t>maxx</t>
  </si>
  <si>
    <t>m2/h</t>
  </si>
  <si>
    <t>maxT</t>
  </si>
  <si>
    <t>h</t>
  </si>
  <si>
    <t>dT</t>
  </si>
  <si>
    <t>dT_bac</t>
  </si>
  <si>
    <t>HETR</t>
  </si>
  <si>
    <t>dT_Print</t>
  </si>
  <si>
    <t>Inf</t>
  </si>
  <si>
    <t>NA</t>
  </si>
  <si>
    <t>DGdis</t>
  </si>
  <si>
    <t>FORMS</t>
  </si>
  <si>
    <t>Kdec</t>
  </si>
  <si>
    <t>bac_mmin</t>
  </si>
  <si>
    <t>Decay</t>
  </si>
  <si>
    <t>O2</t>
  </si>
  <si>
    <t>Diff_O2</t>
  </si>
  <si>
    <t>kLa_O2</t>
  </si>
  <si>
    <r>
      <t>h</t>
    </r>
    <r>
      <rPr>
        <i/>
        <vertAlign val="superscript"/>
        <sz val="10"/>
        <color theme="0" tint="-0.34998626667073579"/>
        <rFont val="Arial"/>
        <family val="2"/>
      </rPr>
      <t>-1</t>
    </r>
  </si>
  <si>
    <t>Yield</t>
  </si>
  <si>
    <t>Maintenance</t>
  </si>
  <si>
    <t>Tol</t>
  </si>
  <si>
    <t>g/m3</t>
  </si>
  <si>
    <t>dx</t>
  </si>
  <si>
    <t>T_blayer</t>
  </si>
  <si>
    <t>dz</t>
  </si>
  <si>
    <t>HETY</t>
  </si>
  <si>
    <t>eD</t>
  </si>
  <si>
    <t>q_max</t>
  </si>
  <si>
    <t>gN2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</si>
</sst>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[$€]* #,##0.00_-;\-[$€]* #,##0.00_-;_-[$€]* &quot;-&quot;??_-;_-@_-"/>
    <numFmt numFmtId="165" formatCode="_-* #,##0\ &quot;pta&quot;_-;\-* #,##0\ &quot;pta&quot;_-;_-* &quot;-&quot;\ &quot;pta&quot;_-;_-@_-"/>
    <numFmt numFmtId="166" formatCode="_-* #,##0\ _p_t_a_-;\-* #,##0\ _p_t_a_-;_-* &quot;-&quot;\ _p_t_a_-;_-@_-"/>
    <numFmt numFmtId="167" formatCode="_-* #,##0.00\ &quot;pta&quot;_-;\-* #,##0.00\ &quot;pta&quot;_-;_-* &quot;-&quot;??\ &quot;pta&quot;_-;_-@_-"/>
    <numFmt numFmtId="168" formatCode="_-* #,##0.00\ _p_t_a_-;\-* #,##0.00\ _p_t_a_-;_-* &quot;-&quot;??\ _p_t_a_-;_-@_-"/>
    <numFmt numFmtId="169" formatCode="0.000"/>
  </numFmts>
  <fonts count="1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i/>
      <sz val="10"/>
      <color theme="0" tint="-0.34998626667073579"/>
      <name val="Arial"/>
      <family val="2"/>
    </font>
    <font>
      <b/>
      <i/>
      <sz val="10"/>
      <name val="Calibri"/>
      <family val="2"/>
      <scheme val="minor"/>
    </font>
    <font>
      <sz val="11"/>
      <name val="Times New Roman"/>
      <family val="1"/>
    </font>
    <font>
      <b/>
      <i/>
      <sz val="10"/>
      <name val="Times New Roman"/>
      <family val="1"/>
    </font>
    <font>
      <b/>
      <i/>
      <sz val="10"/>
      <color theme="0" tint="-0.499984740745262"/>
      <name val="Arial"/>
      <family val="2"/>
    </font>
    <font>
      <b/>
      <sz val="10"/>
      <name val="Times New Roman"/>
      <family val="1"/>
    </font>
    <font>
      <i/>
      <vertAlign val="superscript"/>
      <sz val="10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</cellStyleXfs>
  <cellXfs count="154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17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3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169" fontId="0" fillId="0" borderId="16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8" fillId="3" borderId="6" xfId="6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17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6" applyFont="1" applyFill="1" applyBorder="1" applyAlignment="1">
      <alignment horizontal="center"/>
    </xf>
    <xf numFmtId="0" fontId="0" fillId="0" borderId="0" xfId="0" applyFill="1"/>
    <xf numFmtId="11" fontId="0" fillId="0" borderId="24" xfId="0" applyNumberForma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1" fontId="9" fillId="0" borderId="0" xfId="6" applyNumberFormat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9" fillId="0" borderId="3" xfId="6" applyNumberFormat="1" applyFont="1" applyFill="1" applyBorder="1" applyAlignment="1">
      <alignment horizontal="center" vertical="center"/>
    </xf>
    <xf numFmtId="1" fontId="9" fillId="0" borderId="1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1" fontId="9" fillId="0" borderId="13" xfId="0" applyNumberFormat="1" applyFont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11" fontId="9" fillId="0" borderId="1" xfId="6" applyNumberFormat="1" applyFont="1" applyFill="1" applyBorder="1" applyAlignment="1">
      <alignment horizontal="center" vertical="center"/>
    </xf>
    <xf numFmtId="11" fontId="9" fillId="0" borderId="3" xfId="6" applyNumberFormat="1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9" fillId="4" borderId="32" xfId="0" applyFont="1" applyFill="1" applyBorder="1" applyAlignment="1">
      <alignment horizontal="center" vertical="center"/>
    </xf>
    <xf numFmtId="0" fontId="0" fillId="0" borderId="0" xfId="0" applyBorder="1"/>
    <xf numFmtId="11" fontId="0" fillId="0" borderId="0" xfId="0" applyNumberFormat="1" applyBorder="1"/>
    <xf numFmtId="0" fontId="0" fillId="0" borderId="7" xfId="0" applyBorder="1" applyAlignment="1">
      <alignment horizontal="center" vertical="center"/>
    </xf>
    <xf numFmtId="11" fontId="1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9" fillId="0" borderId="19" xfId="6" applyNumberFormat="1" applyFont="1" applyFill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1" fontId="9" fillId="0" borderId="20" xfId="0" applyNumberFormat="1" applyFont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11" fontId="1" fillId="0" borderId="7" xfId="0" applyNumberFormat="1" applyFont="1" applyBorder="1" applyAlignment="1">
      <alignment horizontal="center" vertical="center"/>
    </xf>
    <xf numFmtId="11" fontId="0" fillId="0" borderId="35" xfId="0" applyNumberForma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0" fillId="0" borderId="0" xfId="0" applyNumberFormat="1"/>
    <xf numFmtId="11" fontId="0" fillId="0" borderId="16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11" fontId="1" fillId="0" borderId="38" xfId="0" applyNumberFormat="1" applyFont="1" applyBorder="1" applyAlignment="1">
      <alignment horizontal="center" vertical="center"/>
    </xf>
    <xf numFmtId="11" fontId="1" fillId="0" borderId="40" xfId="0" applyNumberFormat="1" applyFont="1" applyBorder="1" applyAlignment="1">
      <alignment horizontal="center" vertical="center"/>
    </xf>
    <xf numFmtId="11" fontId="1" fillId="0" borderId="18" xfId="0" applyNumberFormat="1" applyFont="1" applyBorder="1" applyAlignment="1">
      <alignment horizontal="center" vertical="center"/>
    </xf>
    <xf numFmtId="11" fontId="1" fillId="0" borderId="39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9" fillId="3" borderId="29" xfId="0" applyFont="1" applyFill="1" applyBorder="1" applyAlignment="1" applyProtection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9" fillId="3" borderId="3" xfId="0" applyFont="1" applyFill="1" applyBorder="1" applyAlignment="1" applyProtection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1" fontId="9" fillId="0" borderId="44" xfId="6" applyNumberFormat="1" applyFont="1" applyFill="1" applyBorder="1" applyAlignment="1">
      <alignment horizontal="center" vertical="center"/>
    </xf>
    <xf numFmtId="11" fontId="9" fillId="0" borderId="43" xfId="6" applyNumberFormat="1" applyFont="1" applyFill="1" applyBorder="1" applyAlignment="1">
      <alignment horizontal="center" vertical="center"/>
    </xf>
    <xf numFmtId="11" fontId="9" fillId="0" borderId="24" xfId="6" applyNumberFormat="1" applyFont="1" applyFill="1" applyBorder="1" applyAlignment="1">
      <alignment horizontal="center" vertical="center"/>
    </xf>
    <xf numFmtId="11" fontId="9" fillId="0" borderId="23" xfId="6" applyNumberFormat="1" applyFont="1" applyFill="1" applyBorder="1" applyAlignment="1">
      <alignment horizontal="center" vertical="center"/>
    </xf>
    <xf numFmtId="11" fontId="9" fillId="0" borderId="19" xfId="6" applyNumberFormat="1" applyFont="1" applyFill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1" fontId="9" fillId="0" borderId="15" xfId="0" applyNumberFormat="1" applyFont="1" applyBorder="1" applyAlignment="1">
      <alignment horizontal="center" vertical="center"/>
    </xf>
    <xf numFmtId="1" fontId="9" fillId="0" borderId="44" xfId="6" applyNumberFormat="1" applyFont="1" applyFill="1" applyBorder="1" applyAlignment="1">
      <alignment horizontal="center" vertical="center"/>
    </xf>
    <xf numFmtId="1" fontId="9" fillId="0" borderId="43" xfId="6" applyNumberFormat="1" applyFont="1" applyFill="1" applyBorder="1" applyAlignment="1">
      <alignment horizontal="center" vertical="center"/>
    </xf>
    <xf numFmtId="1" fontId="9" fillId="0" borderId="23" xfId="6" applyNumberFormat="1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1" fontId="9" fillId="3" borderId="14" xfId="0" applyNumberFormat="1" applyFont="1" applyFill="1" applyBorder="1" applyAlignment="1" applyProtection="1">
      <alignment horizontal="center" vertical="center"/>
    </xf>
    <xf numFmtId="1" fontId="9" fillId="3" borderId="25" xfId="0" applyNumberFormat="1" applyFont="1" applyFill="1" applyBorder="1" applyAlignment="1" applyProtection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1" fontId="9" fillId="3" borderId="15" xfId="0" applyNumberFormat="1" applyFont="1" applyFill="1" applyBorder="1" applyAlignment="1">
      <alignment horizontal="center" vertical="center"/>
    </xf>
    <xf numFmtId="1" fontId="9" fillId="3" borderId="30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</cellXfs>
  <cellStyles count="7">
    <cellStyle name="Euro" xfId="1"/>
    <cellStyle name="Milliers [0]_Nitrification model" xfId="2"/>
    <cellStyle name="Milliers_Nitrification model" xfId="3"/>
    <cellStyle name="Monétaire [0]_Nitrification model" xfId="4"/>
    <cellStyle name="Monétaire_Nitrification model" xfId="5"/>
    <cellStyle name="Normal" xfId="0" builtinId="0"/>
    <cellStyle name="Normal 2" xfId="6"/>
  </cellStyles>
  <dxfs count="24"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499984740745262"/>
      </font>
    </dxf>
    <dxf>
      <font>
        <color rgb="FFFF0000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499984740745262"/>
      </font>
    </dxf>
    <dxf>
      <font>
        <color rgb="FFFF0000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rgb="FFFF0000"/>
      </font>
    </dxf>
    <dxf>
      <font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499984740745262"/>
      </font>
    </dxf>
    <dxf>
      <font>
        <color rgb="FFFF0000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5" sqref="H5"/>
    </sheetView>
  </sheetViews>
  <sheetFormatPr defaultColWidth="11.42578125" defaultRowHeight="12.75" x14ac:dyDescent="0.2"/>
  <cols>
    <col min="1" max="1" width="8.42578125" customWidth="1"/>
    <col min="2" max="2" width="16.28515625" customWidth="1"/>
    <col min="3" max="3" width="16" customWidth="1"/>
    <col min="4" max="4" width="15.28515625" customWidth="1"/>
    <col min="5" max="5" width="14.5703125" customWidth="1"/>
    <col min="6" max="6" width="14" customWidth="1"/>
    <col min="7" max="7" width="16.85546875" customWidth="1"/>
  </cols>
  <sheetData>
    <row r="1" spans="1:7" x14ac:dyDescent="0.2">
      <c r="B1" s="151" t="s">
        <v>60</v>
      </c>
      <c r="C1" s="152"/>
      <c r="D1" s="153"/>
      <c r="E1" s="151" t="s">
        <v>40</v>
      </c>
      <c r="F1" s="152"/>
      <c r="G1" s="153"/>
    </row>
    <row r="2" spans="1:7" x14ac:dyDescent="0.2">
      <c r="B2" s="3" t="s">
        <v>4</v>
      </c>
      <c r="C2" s="59" t="s">
        <v>5</v>
      </c>
      <c r="D2" s="4" t="s">
        <v>48</v>
      </c>
      <c r="E2" s="3" t="s">
        <v>4</v>
      </c>
      <c r="F2" s="59" t="s">
        <v>5</v>
      </c>
      <c r="G2" s="4" t="s">
        <v>48</v>
      </c>
    </row>
    <row r="3" spans="1:7" s="23" customFormat="1" x14ac:dyDescent="0.2">
      <c r="A3" s="99" t="s">
        <v>49</v>
      </c>
      <c r="B3" s="100">
        <v>-1</v>
      </c>
      <c r="C3" s="101">
        <v>0</v>
      </c>
      <c r="D3" s="102">
        <v>0</v>
      </c>
      <c r="E3" s="101">
        <v>-1</v>
      </c>
      <c r="F3" s="101">
        <v>0</v>
      </c>
      <c r="G3" s="102">
        <v>0</v>
      </c>
    </row>
    <row r="4" spans="1:7" s="23" customFormat="1" x14ac:dyDescent="0.2">
      <c r="A4" s="61" t="s">
        <v>17</v>
      </c>
      <c r="B4" s="27">
        <v>0</v>
      </c>
      <c r="C4" s="25">
        <v>0</v>
      </c>
      <c r="D4" s="28">
        <v>0</v>
      </c>
      <c r="E4" s="25">
        <v>0</v>
      </c>
      <c r="F4" s="25">
        <v>0</v>
      </c>
      <c r="G4" s="28">
        <v>0</v>
      </c>
    </row>
    <row r="5" spans="1:7" s="23" customFormat="1" x14ac:dyDescent="0.2">
      <c r="A5" s="61" t="s">
        <v>63</v>
      </c>
      <c r="B5" s="27">
        <v>0</v>
      </c>
      <c r="C5" s="25">
        <v>0</v>
      </c>
      <c r="D5" s="28">
        <v>0</v>
      </c>
      <c r="E5" s="25">
        <v>0</v>
      </c>
      <c r="F5" s="25">
        <v>0</v>
      </c>
      <c r="G5" s="28">
        <v>0</v>
      </c>
    </row>
    <row r="6" spans="1:7" x14ac:dyDescent="0.2">
      <c r="A6" s="61" t="s">
        <v>20</v>
      </c>
      <c r="B6" s="1">
        <v>1</v>
      </c>
      <c r="C6" s="36">
        <v>0</v>
      </c>
      <c r="D6" s="2">
        <v>0</v>
      </c>
      <c r="E6" s="36">
        <v>1</v>
      </c>
      <c r="F6" s="36">
        <v>0</v>
      </c>
      <c r="G6" s="2">
        <v>0</v>
      </c>
    </row>
    <row r="7" spans="1:7" x14ac:dyDescent="0.2">
      <c r="A7" s="60" t="s">
        <v>21</v>
      </c>
      <c r="B7" s="82">
        <v>0</v>
      </c>
      <c r="C7" s="37">
        <v>0</v>
      </c>
      <c r="D7" s="38">
        <v>0</v>
      </c>
      <c r="E7" s="37">
        <v>0</v>
      </c>
      <c r="F7" s="37">
        <v>0</v>
      </c>
      <c r="G7" s="38">
        <v>0</v>
      </c>
    </row>
    <row r="8" spans="1:7" x14ac:dyDescent="0.2">
      <c r="A8" s="33" t="s">
        <v>60</v>
      </c>
      <c r="B8" s="105">
        <v>0</v>
      </c>
      <c r="C8" s="103">
        <v>1</v>
      </c>
      <c r="D8" s="104">
        <v>-1</v>
      </c>
      <c r="E8" s="103">
        <v>0</v>
      </c>
      <c r="F8" s="103">
        <v>0</v>
      </c>
      <c r="G8" s="104">
        <v>0</v>
      </c>
    </row>
    <row r="9" spans="1:7" x14ac:dyDescent="0.2">
      <c r="A9" s="60" t="s">
        <v>40</v>
      </c>
      <c r="B9" s="82">
        <v>0</v>
      </c>
      <c r="C9" s="37">
        <v>0</v>
      </c>
      <c r="D9" s="38">
        <v>0</v>
      </c>
      <c r="E9" s="37">
        <v>0</v>
      </c>
      <c r="F9" s="37">
        <v>1</v>
      </c>
      <c r="G9" s="38">
        <v>-1</v>
      </c>
    </row>
  </sheetData>
  <mergeCells count="2">
    <mergeCell ref="B1:D1"/>
    <mergeCell ref="E1:G1"/>
  </mergeCells>
  <conditionalFormatting sqref="B3:D8">
    <cfRule type="cellIs" dxfId="23" priority="6" operator="equal">
      <formula>0</formula>
    </cfRule>
  </conditionalFormatting>
  <conditionalFormatting sqref="B9:D9">
    <cfRule type="cellIs" dxfId="22" priority="3" operator="equal">
      <formula>0</formula>
    </cfRule>
  </conditionalFormatting>
  <conditionalFormatting sqref="E3:G8">
    <cfRule type="cellIs" dxfId="21" priority="2" operator="equal">
      <formula>0</formula>
    </cfRule>
  </conditionalFormatting>
  <conditionalFormatting sqref="E9:G9">
    <cfRule type="cellIs" dxfId="2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3" sqref="C3"/>
    </sheetView>
  </sheetViews>
  <sheetFormatPr defaultColWidth="11.42578125" defaultRowHeight="12.75" x14ac:dyDescent="0.2"/>
  <cols>
    <col min="1" max="1" width="8.7109375" customWidth="1"/>
    <col min="2" max="2" width="12" style="8" customWidth="1"/>
    <col min="3" max="4" width="10.85546875" customWidth="1"/>
    <col min="5" max="5" width="14.42578125" customWidth="1"/>
  </cols>
  <sheetData>
    <row r="1" spans="1:8" x14ac:dyDescent="0.2">
      <c r="B1" s="11" t="s">
        <v>19</v>
      </c>
      <c r="C1" s="10" t="s">
        <v>62</v>
      </c>
      <c r="D1" s="31" t="s">
        <v>46</v>
      </c>
      <c r="E1" s="31" t="s">
        <v>44</v>
      </c>
      <c r="F1" s="31" t="s">
        <v>53</v>
      </c>
      <c r="G1" s="31" t="s">
        <v>54</v>
      </c>
      <c r="H1" s="31" t="s">
        <v>61</v>
      </c>
    </row>
    <row r="2" spans="1:8" x14ac:dyDescent="0.2">
      <c r="A2" s="33" t="s">
        <v>60</v>
      </c>
      <c r="B2" s="96">
        <f>9.38*10^(-3)/1000</f>
        <v>9.3800000000000017E-6</v>
      </c>
      <c r="C2" s="34">
        <f>(13.4*0.147/24)/F2</f>
        <v>1.3716338315217391</v>
      </c>
      <c r="D2" s="97">
        <v>0</v>
      </c>
      <c r="E2" s="98">
        <v>0</v>
      </c>
      <c r="F2" s="35">
        <f>0.046*(32/24.6)</f>
        <v>5.983739837398374E-2</v>
      </c>
      <c r="G2" s="35">
        <v>0</v>
      </c>
      <c r="H2" s="35" t="s">
        <v>49</v>
      </c>
    </row>
    <row r="3" spans="1:8" x14ac:dyDescent="0.2">
      <c r="A3" s="33" t="s">
        <v>40</v>
      </c>
      <c r="B3" s="96">
        <f>2*9.38*10^(-3)/1000</f>
        <v>1.8760000000000003E-5</v>
      </c>
      <c r="C3" s="34">
        <f>(2*13.4*0.147/24)/F3</f>
        <v>5.4865353260869565</v>
      </c>
      <c r="D3" s="97">
        <v>0</v>
      </c>
      <c r="E3" s="98">
        <v>0</v>
      </c>
      <c r="F3" s="35">
        <f>0.5*0.046*(32/24.6)</f>
        <v>2.991869918699187E-2</v>
      </c>
      <c r="G3" s="35">
        <v>0</v>
      </c>
      <c r="H3" s="35" t="s">
        <v>49</v>
      </c>
    </row>
    <row r="4" spans="1:8" x14ac:dyDescent="0.2">
      <c r="B4" s="12"/>
    </row>
    <row r="5" spans="1:8" x14ac:dyDescent="0.2">
      <c r="B5"/>
    </row>
    <row r="6" spans="1:8" x14ac:dyDescent="0.2">
      <c r="B6" s="12"/>
    </row>
    <row r="7" spans="1:8" x14ac:dyDescent="0.2">
      <c r="B7"/>
    </row>
    <row r="8" spans="1:8" x14ac:dyDescent="0.2">
      <c r="B8"/>
    </row>
    <row r="9" spans="1:8" x14ac:dyDescent="0.2">
      <c r="B9"/>
    </row>
    <row r="10" spans="1:8" x14ac:dyDescent="0.2">
      <c r="B10"/>
    </row>
    <row r="11" spans="1:8" x14ac:dyDescent="0.2">
      <c r="B11"/>
    </row>
    <row r="12" spans="1:8" x14ac:dyDescent="0.2">
      <c r="B12"/>
    </row>
    <row r="13" spans="1:8" x14ac:dyDescent="0.2">
      <c r="B13"/>
    </row>
    <row r="14" spans="1:8" x14ac:dyDescent="0.2">
      <c r="B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J24" sqref="J24"/>
    </sheetView>
  </sheetViews>
  <sheetFormatPr defaultColWidth="11.42578125" defaultRowHeight="12.75" x14ac:dyDescent="0.2"/>
  <cols>
    <col min="1" max="1" width="7.85546875" customWidth="1"/>
    <col min="2" max="2" width="12.42578125" bestFit="1" customWidth="1"/>
    <col min="3" max="3" width="5.85546875" style="5" customWidth="1"/>
    <col min="4" max="4" width="3.5703125" style="14" customWidth="1"/>
  </cols>
  <sheetData>
    <row r="1" spans="1:12" x14ac:dyDescent="0.2">
      <c r="A1" s="108" t="s">
        <v>49</v>
      </c>
      <c r="B1" s="110">
        <f>1/(32*1000)</f>
        <v>3.1250000000000001E-5</v>
      </c>
      <c r="C1" s="114" t="s">
        <v>6</v>
      </c>
      <c r="D1" s="115" t="s">
        <v>8</v>
      </c>
    </row>
    <row r="2" spans="1:12" x14ac:dyDescent="0.2">
      <c r="A2" s="32" t="s">
        <v>17</v>
      </c>
      <c r="B2" s="111">
        <v>0.2</v>
      </c>
      <c r="C2" s="29" t="s">
        <v>15</v>
      </c>
      <c r="D2" s="30" t="s">
        <v>16</v>
      </c>
    </row>
    <row r="3" spans="1:12" x14ac:dyDescent="0.2">
      <c r="A3" s="32" t="s">
        <v>63</v>
      </c>
      <c r="B3" s="111">
        <v>0.8</v>
      </c>
      <c r="C3" s="29" t="s">
        <v>15</v>
      </c>
      <c r="D3" s="107" t="s">
        <v>16</v>
      </c>
    </row>
    <row r="4" spans="1:12" x14ac:dyDescent="0.2">
      <c r="A4" s="106" t="s">
        <v>60</v>
      </c>
      <c r="B4" s="112">
        <v>0</v>
      </c>
      <c r="C4" s="29" t="s">
        <v>6</v>
      </c>
      <c r="D4" s="107" t="s">
        <v>3</v>
      </c>
    </row>
    <row r="5" spans="1:12" ht="13.5" thickBot="1" x14ac:dyDescent="0.25">
      <c r="A5" s="109" t="s">
        <v>40</v>
      </c>
      <c r="B5" s="113">
        <v>0</v>
      </c>
      <c r="C5" s="40" t="s">
        <v>6</v>
      </c>
      <c r="D5" s="39" t="s">
        <v>3</v>
      </c>
    </row>
    <row r="6" spans="1:12" x14ac:dyDescent="0.2">
      <c r="C6"/>
      <c r="D6"/>
      <c r="E6" s="6"/>
    </row>
    <row r="7" spans="1:12" x14ac:dyDescent="0.2">
      <c r="C7"/>
      <c r="D7"/>
    </row>
    <row r="8" spans="1:12" x14ac:dyDescent="0.2">
      <c r="C8"/>
      <c r="D8"/>
      <c r="H8" s="6"/>
    </row>
    <row r="9" spans="1:12" x14ac:dyDescent="0.2">
      <c r="C9"/>
      <c r="D9"/>
    </row>
    <row r="10" spans="1:12" x14ac:dyDescent="0.2">
      <c r="C10"/>
      <c r="D10"/>
      <c r="H10" s="6"/>
    </row>
    <row r="11" spans="1:12" x14ac:dyDescent="0.2">
      <c r="C11"/>
      <c r="D11"/>
    </row>
    <row r="12" spans="1:12" x14ac:dyDescent="0.2">
      <c r="C12"/>
      <c r="D12"/>
      <c r="I12" s="6"/>
    </row>
    <row r="13" spans="1:12" x14ac:dyDescent="0.2">
      <c r="C13"/>
      <c r="D13"/>
      <c r="I13" s="6"/>
    </row>
    <row r="14" spans="1:12" x14ac:dyDescent="0.2">
      <c r="C14"/>
      <c r="D14"/>
      <c r="I14" s="6"/>
    </row>
    <row r="15" spans="1:12" x14ac:dyDescent="0.2">
      <c r="C15"/>
      <c r="D15"/>
      <c r="L15" s="6"/>
    </row>
    <row r="16" spans="1:12" x14ac:dyDescent="0.2">
      <c r="C16"/>
      <c r="D16"/>
    </row>
    <row r="17" spans="3:12" x14ac:dyDescent="0.2">
      <c r="C17"/>
      <c r="D17"/>
    </row>
    <row r="18" spans="3:12" x14ac:dyDescent="0.2">
      <c r="C18"/>
      <c r="D18"/>
      <c r="L18" s="6"/>
    </row>
    <row r="19" spans="3:12" x14ac:dyDescent="0.2">
      <c r="C19"/>
      <c r="D19"/>
    </row>
    <row r="20" spans="3:12" x14ac:dyDescent="0.2">
      <c r="C20"/>
      <c r="D20"/>
    </row>
    <row r="21" spans="3:12" x14ac:dyDescent="0.2">
      <c r="C21"/>
      <c r="D21"/>
    </row>
    <row r="22" spans="3:12" x14ac:dyDescent="0.2">
      <c r="D22" s="15"/>
    </row>
    <row r="23" spans="3:12" x14ac:dyDescent="0.2">
      <c r="D23" s="15"/>
    </row>
    <row r="24" spans="3:12" x14ac:dyDescent="0.2">
      <c r="D24" s="15"/>
    </row>
    <row r="25" spans="3:12" x14ac:dyDescent="0.2">
      <c r="D2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A24" sqref="A24"/>
    </sheetView>
  </sheetViews>
  <sheetFormatPr defaultColWidth="11.42578125" defaultRowHeight="15" x14ac:dyDescent="0.2"/>
  <cols>
    <col min="1" max="2" width="11.42578125" customWidth="1"/>
    <col min="3" max="6" width="11.42578125" style="68"/>
    <col min="7" max="7" width="2.85546875" style="65" customWidth="1"/>
    <col min="8" max="8" width="3.5703125" style="14" customWidth="1"/>
  </cols>
  <sheetData>
    <row r="1" spans="1:13" ht="15.75" thickBot="1" x14ac:dyDescent="0.25">
      <c r="A1" s="77" t="s">
        <v>45</v>
      </c>
      <c r="B1" s="78">
        <v>0</v>
      </c>
      <c r="C1" s="79">
        <v>0</v>
      </c>
      <c r="D1" s="79">
        <v>-1</v>
      </c>
      <c r="E1" s="79">
        <v>-2</v>
      </c>
      <c r="F1" s="79">
        <v>-3</v>
      </c>
    </row>
    <row r="2" spans="1:13" x14ac:dyDescent="0.2">
      <c r="A2" s="127" t="s">
        <v>49</v>
      </c>
      <c r="B2" s="128" t="s">
        <v>42</v>
      </c>
      <c r="C2" s="129">
        <v>16.399999999999999</v>
      </c>
      <c r="D2" s="130" t="s">
        <v>42</v>
      </c>
      <c r="E2" s="131" t="s">
        <v>42</v>
      </c>
      <c r="F2" s="132" t="s">
        <v>42</v>
      </c>
      <c r="G2" s="126">
        <v>2</v>
      </c>
      <c r="H2" s="115" t="s">
        <v>8</v>
      </c>
      <c r="J2" s="36"/>
      <c r="K2" s="80"/>
      <c r="L2" s="81"/>
      <c r="M2" s="80"/>
    </row>
    <row r="3" spans="1:13" x14ac:dyDescent="0.2">
      <c r="A3" s="85" t="s">
        <v>17</v>
      </c>
      <c r="B3" s="15" t="s">
        <v>42</v>
      </c>
      <c r="C3" s="76">
        <v>0</v>
      </c>
      <c r="D3" s="75" t="s">
        <v>42</v>
      </c>
      <c r="E3" s="62" t="s">
        <v>42</v>
      </c>
      <c r="F3" s="133" t="s">
        <v>42</v>
      </c>
      <c r="G3" s="125">
        <v>2</v>
      </c>
      <c r="H3" s="30" t="s">
        <v>16</v>
      </c>
      <c r="J3" s="25"/>
      <c r="K3" s="80"/>
      <c r="L3" s="81"/>
      <c r="M3" s="80"/>
    </row>
    <row r="4" spans="1:13" x14ac:dyDescent="0.2">
      <c r="A4" s="85" t="s">
        <v>63</v>
      </c>
      <c r="B4" s="15" t="s">
        <v>42</v>
      </c>
      <c r="C4" s="76">
        <v>0</v>
      </c>
      <c r="D4" s="75" t="s">
        <v>42</v>
      </c>
      <c r="E4" s="62" t="s">
        <v>42</v>
      </c>
      <c r="F4" s="133" t="s">
        <v>42</v>
      </c>
      <c r="G4" s="125">
        <v>2</v>
      </c>
      <c r="H4" s="30" t="s">
        <v>16</v>
      </c>
      <c r="J4" s="25"/>
      <c r="K4" s="80"/>
      <c r="L4" s="81"/>
      <c r="M4" s="80"/>
    </row>
    <row r="5" spans="1:13" x14ac:dyDescent="0.2">
      <c r="A5" s="116" t="s">
        <v>20</v>
      </c>
      <c r="B5" s="70" t="s">
        <v>42</v>
      </c>
      <c r="C5" s="76">
        <v>-237.18</v>
      </c>
      <c r="D5" s="75">
        <v>-157.30000000000001</v>
      </c>
      <c r="E5" s="62" t="s">
        <v>42</v>
      </c>
      <c r="F5" s="133" t="s">
        <v>42</v>
      </c>
      <c r="G5" s="125">
        <v>2</v>
      </c>
      <c r="H5" s="30" t="s">
        <v>8</v>
      </c>
      <c r="J5" s="36"/>
      <c r="K5" s="80"/>
      <c r="L5" s="81"/>
      <c r="M5" s="80"/>
    </row>
    <row r="6" spans="1:13" x14ac:dyDescent="0.2">
      <c r="A6" s="87" t="s">
        <v>21</v>
      </c>
      <c r="B6" s="71" t="s">
        <v>42</v>
      </c>
      <c r="C6" s="63">
        <v>0</v>
      </c>
      <c r="D6" s="72" t="s">
        <v>42</v>
      </c>
      <c r="E6" s="64" t="s">
        <v>42</v>
      </c>
      <c r="F6" s="134" t="s">
        <v>42</v>
      </c>
      <c r="G6" s="125">
        <v>2</v>
      </c>
      <c r="H6" s="30" t="s">
        <v>8</v>
      </c>
      <c r="J6" s="36"/>
      <c r="K6" s="80"/>
      <c r="L6" s="81"/>
      <c r="M6" s="80"/>
    </row>
    <row r="7" spans="1:13" x14ac:dyDescent="0.2">
      <c r="A7" s="135" t="s">
        <v>60</v>
      </c>
      <c r="B7" s="61" t="s">
        <v>42</v>
      </c>
      <c r="C7" s="119">
        <v>-68</v>
      </c>
      <c r="D7" s="120" t="s">
        <v>42</v>
      </c>
      <c r="E7" s="122" t="s">
        <v>42</v>
      </c>
      <c r="F7" s="136" t="s">
        <v>42</v>
      </c>
      <c r="G7" s="125">
        <v>2</v>
      </c>
      <c r="H7" s="30" t="s">
        <v>3</v>
      </c>
      <c r="J7" s="36"/>
      <c r="K7" s="80"/>
      <c r="L7" s="81"/>
      <c r="M7" s="80"/>
    </row>
    <row r="8" spans="1:13" ht="15.75" thickBot="1" x14ac:dyDescent="0.25">
      <c r="A8" s="89" t="s">
        <v>40</v>
      </c>
      <c r="B8" s="69" t="s">
        <v>42</v>
      </c>
      <c r="C8" s="117">
        <v>-67</v>
      </c>
      <c r="D8" s="118" t="s">
        <v>42</v>
      </c>
      <c r="E8" s="123" t="s">
        <v>42</v>
      </c>
      <c r="F8" s="137" t="s">
        <v>42</v>
      </c>
      <c r="G8" s="121">
        <v>2</v>
      </c>
      <c r="H8" s="124" t="s">
        <v>3</v>
      </c>
      <c r="J8" s="80"/>
      <c r="K8" s="80"/>
      <c r="L8" s="80"/>
      <c r="M8" s="80"/>
    </row>
    <row r="9" spans="1:13" x14ac:dyDescent="0.2">
      <c r="A9" s="127" t="s">
        <v>49</v>
      </c>
      <c r="B9" s="128" t="s">
        <v>43</v>
      </c>
      <c r="C9" s="140">
        <v>0</v>
      </c>
      <c r="D9" s="141" t="s">
        <v>43</v>
      </c>
      <c r="E9" s="140" t="s">
        <v>43</v>
      </c>
      <c r="F9" s="142" t="s">
        <v>43</v>
      </c>
      <c r="J9" s="80"/>
      <c r="K9" s="80"/>
      <c r="L9" s="80"/>
      <c r="M9" s="80"/>
    </row>
    <row r="10" spans="1:13" s="65" customFormat="1" x14ac:dyDescent="0.2">
      <c r="A10" s="85" t="s">
        <v>17</v>
      </c>
      <c r="B10" s="15" t="s">
        <v>43</v>
      </c>
      <c r="C10" s="66">
        <v>0</v>
      </c>
      <c r="D10" s="67" t="s">
        <v>43</v>
      </c>
      <c r="E10" s="66" t="s">
        <v>43</v>
      </c>
      <c r="F10" s="86" t="s">
        <v>43</v>
      </c>
      <c r="H10" s="14"/>
    </row>
    <row r="11" spans="1:13" s="65" customFormat="1" x14ac:dyDescent="0.2">
      <c r="A11" s="85" t="s">
        <v>63</v>
      </c>
      <c r="B11" s="15" t="s">
        <v>43</v>
      </c>
      <c r="C11" s="66">
        <v>0</v>
      </c>
      <c r="D11" s="67" t="s">
        <v>43</v>
      </c>
      <c r="E11" s="66" t="s">
        <v>43</v>
      </c>
      <c r="F11" s="86" t="s">
        <v>43</v>
      </c>
      <c r="H11" s="14"/>
    </row>
    <row r="12" spans="1:13" s="65" customFormat="1" x14ac:dyDescent="0.2">
      <c r="A12" s="116" t="s">
        <v>20</v>
      </c>
      <c r="B12" s="70" t="s">
        <v>43</v>
      </c>
      <c r="C12" s="66">
        <v>0</v>
      </c>
      <c r="D12" s="67">
        <v>-1</v>
      </c>
      <c r="E12" s="66" t="s">
        <v>43</v>
      </c>
      <c r="F12" s="86" t="s">
        <v>43</v>
      </c>
      <c r="H12" s="14"/>
    </row>
    <row r="13" spans="1:13" s="65" customFormat="1" x14ac:dyDescent="0.2">
      <c r="A13" s="138" t="s">
        <v>21</v>
      </c>
      <c r="B13" s="147" t="s">
        <v>43</v>
      </c>
      <c r="C13" s="73">
        <v>1</v>
      </c>
      <c r="D13" s="139" t="s">
        <v>43</v>
      </c>
      <c r="E13" s="73" t="s">
        <v>43</v>
      </c>
      <c r="F13" s="88" t="s">
        <v>43</v>
      </c>
      <c r="H13" s="14"/>
    </row>
    <row r="14" spans="1:13" s="65" customFormat="1" x14ac:dyDescent="0.2">
      <c r="A14" s="148" t="s">
        <v>60</v>
      </c>
      <c r="B14" s="99" t="s">
        <v>43</v>
      </c>
      <c r="C14" s="145">
        <v>0</v>
      </c>
      <c r="D14" s="149" t="s">
        <v>43</v>
      </c>
      <c r="E14" s="143" t="s">
        <v>43</v>
      </c>
      <c r="F14" s="144" t="s">
        <v>43</v>
      </c>
      <c r="H14" s="14"/>
    </row>
    <row r="15" spans="1:13" s="65" customFormat="1" ht="15.75" thickBot="1" x14ac:dyDescent="0.25">
      <c r="A15" s="89" t="s">
        <v>40</v>
      </c>
      <c r="B15" s="69" t="s">
        <v>43</v>
      </c>
      <c r="C15" s="146">
        <v>0</v>
      </c>
      <c r="D15" s="150" t="s">
        <v>43</v>
      </c>
      <c r="E15" s="74" t="s">
        <v>43</v>
      </c>
      <c r="F15" s="90" t="s">
        <v>43</v>
      </c>
      <c r="H15" s="14"/>
    </row>
    <row r="16" spans="1:13" s="65" customFormat="1" ht="12.75" x14ac:dyDescent="0.2">
      <c r="C16" s="14"/>
    </row>
    <row r="17" spans="3:3" s="65" customFormat="1" ht="12.75" x14ac:dyDescent="0.2">
      <c r="C17" s="14"/>
    </row>
    <row r="18" spans="3:3" s="65" customFormat="1" ht="12.75" x14ac:dyDescent="0.2">
      <c r="C18" s="14"/>
    </row>
    <row r="19" spans="3:3" s="65" customFormat="1" ht="12.75" x14ac:dyDescent="0.2">
      <c r="C19" s="14"/>
    </row>
    <row r="20" spans="3:3" s="65" customFormat="1" ht="12.75" x14ac:dyDescent="0.2">
      <c r="C20" s="14"/>
    </row>
    <row r="21" spans="3:3" s="65" customFormat="1" ht="12.75" x14ac:dyDescent="0.2">
      <c r="C21" s="14"/>
    </row>
    <row r="22" spans="3:3" s="65" customFormat="1" ht="12.75" x14ac:dyDescent="0.2">
      <c r="C22" s="14"/>
    </row>
    <row r="23" spans="3:3" s="65" customFormat="1" ht="12.75" x14ac:dyDescent="0.2">
      <c r="C23" s="14"/>
    </row>
    <row r="24" spans="3:3" s="65" customFormat="1" ht="12.75" x14ac:dyDescent="0.2">
      <c r="C24" s="14"/>
    </row>
    <row r="25" spans="3:3" s="65" customFormat="1" ht="12.75" x14ac:dyDescent="0.2">
      <c r="C25" s="14"/>
    </row>
    <row r="26" spans="3:3" s="65" customFormat="1" ht="12.75" x14ac:dyDescent="0.2">
      <c r="C26" s="14"/>
    </row>
    <row r="27" spans="3:3" s="65" customFormat="1" ht="12.75" x14ac:dyDescent="0.2">
      <c r="C27" s="14"/>
    </row>
    <row r="28" spans="3:3" s="65" customFormat="1" ht="12.75" x14ac:dyDescent="0.2">
      <c r="C28" s="14"/>
    </row>
    <row r="29" spans="3:3" s="65" customFormat="1" ht="12.75" x14ac:dyDescent="0.2">
      <c r="C29" s="14"/>
    </row>
    <row r="30" spans="3:3" s="65" customFormat="1" ht="12.75" x14ac:dyDescent="0.2">
      <c r="C30" s="14"/>
    </row>
    <row r="31" spans="3:3" s="65" customFormat="1" ht="12.75" x14ac:dyDescent="0.2">
      <c r="C31" s="14"/>
    </row>
    <row r="32" spans="3:3" s="65" customFormat="1" ht="12.75" x14ac:dyDescent="0.2">
      <c r="C32" s="14"/>
    </row>
    <row r="33" spans="3:3" s="65" customFormat="1" ht="12.75" x14ac:dyDescent="0.2">
      <c r="C33" s="14"/>
    </row>
    <row r="34" spans="3:3" s="65" customFormat="1" ht="12.75" x14ac:dyDescent="0.2">
      <c r="C34" s="14"/>
    </row>
  </sheetData>
  <conditionalFormatting sqref="C5:F5 C12:F12 C2:E2 C3 C9:F9 C10">
    <cfRule type="containsText" dxfId="19" priority="30" operator="containsText" text="FALTA">
      <formula>NOT(ISERROR(SEARCH("FALTA",C2)))</formula>
    </cfRule>
  </conditionalFormatting>
  <conditionalFormatting sqref="C3 C10">
    <cfRule type="cellIs" dxfId="18" priority="29" operator="greaterThan">
      <formula>1000000000</formula>
    </cfRule>
  </conditionalFormatting>
  <conditionalFormatting sqref="C2:E2 B3:F3 B15:F15 B5:F10 B12:F13">
    <cfRule type="containsText" dxfId="17" priority="20" operator="containsText" text="NA">
      <formula>NOT(ISERROR(SEARCH("NA",B2)))</formula>
    </cfRule>
    <cfRule type="containsText" dxfId="16" priority="21" operator="containsText" text="Inf">
      <formula>NOT(ISERROR(SEARCH("Inf",B2)))</formula>
    </cfRule>
  </conditionalFormatting>
  <conditionalFormatting sqref="B2">
    <cfRule type="containsText" dxfId="15" priority="25" operator="containsText" text="NA">
      <formula>NOT(ISERROR(SEARCH("NA",B2)))</formula>
    </cfRule>
    <cfRule type="containsText" dxfId="14" priority="26" operator="containsText" text="Inf">
      <formula>NOT(ISERROR(SEARCH("Inf",B2)))</formula>
    </cfRule>
  </conditionalFormatting>
  <conditionalFormatting sqref="J2:J7">
    <cfRule type="cellIs" dxfId="13" priority="17" operator="equal">
      <formula>0</formula>
    </cfRule>
  </conditionalFormatting>
  <conditionalFormatting sqref="F2">
    <cfRule type="containsText" dxfId="12" priority="15" operator="containsText" text="FALTA">
      <formula>NOT(ISERROR(SEARCH("FALTA",F2)))</formula>
    </cfRule>
  </conditionalFormatting>
  <conditionalFormatting sqref="F2">
    <cfRule type="containsText" dxfId="11" priority="13" operator="containsText" text="NA">
      <formula>NOT(ISERROR(SEARCH("NA",F2)))</formula>
    </cfRule>
    <cfRule type="containsText" dxfId="10" priority="14" operator="containsText" text="Inf">
      <formula>NOT(ISERROR(SEARCH("Inf",F2)))</formula>
    </cfRule>
  </conditionalFormatting>
  <conditionalFormatting sqref="B14:F14">
    <cfRule type="containsText" dxfId="9" priority="9" operator="containsText" text="NA">
      <formula>NOT(ISERROR(SEARCH("NA",B14)))</formula>
    </cfRule>
    <cfRule type="containsText" dxfId="8" priority="10" operator="containsText" text="Inf">
      <formula>NOT(ISERROR(SEARCH("Inf",B14)))</formula>
    </cfRule>
  </conditionalFormatting>
  <conditionalFormatting sqref="C4">
    <cfRule type="containsText" dxfId="7" priority="8" operator="containsText" text="FALTA">
      <formula>NOT(ISERROR(SEARCH("FALTA",C4)))</formula>
    </cfRule>
  </conditionalFormatting>
  <conditionalFormatting sqref="C4">
    <cfRule type="cellIs" dxfId="6" priority="7" operator="greaterThan">
      <formula>1000000000</formula>
    </cfRule>
  </conditionalFormatting>
  <conditionalFormatting sqref="B4:F4">
    <cfRule type="containsText" dxfId="5" priority="5" operator="containsText" text="NA">
      <formula>NOT(ISERROR(SEARCH("NA",B4)))</formula>
    </cfRule>
    <cfRule type="containsText" dxfId="4" priority="6" operator="containsText" text="Inf">
      <formula>NOT(ISERROR(SEARCH("Inf",B4)))</formula>
    </cfRule>
  </conditionalFormatting>
  <conditionalFormatting sqref="C11">
    <cfRule type="containsText" dxfId="3" priority="4" operator="containsText" text="FALTA">
      <formula>NOT(ISERROR(SEARCH("FALTA",C11)))</formula>
    </cfRule>
  </conditionalFormatting>
  <conditionalFormatting sqref="C11">
    <cfRule type="cellIs" dxfId="2" priority="3" operator="greaterThan">
      <formula>1000000000</formula>
    </cfRule>
  </conditionalFormatting>
  <conditionalFormatting sqref="B11:F11">
    <cfRule type="containsText" dxfId="1" priority="1" operator="containsText" text="NA">
      <formula>NOT(ISERROR(SEARCH("NA",B11)))</formula>
    </cfRule>
    <cfRule type="containsText" dxfId="0" priority="2" operator="containsText" text="Inf">
      <formula>NOT(ISERROR(SEARCH("Inf",B11)))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"/>
  <sheetViews>
    <sheetView workbookViewId="0">
      <selection activeCell="D20" sqref="D20"/>
    </sheetView>
  </sheetViews>
  <sheetFormatPr defaultRowHeight="12.75" x14ac:dyDescent="0.2"/>
  <cols>
    <col min="1" max="1" width="14.85546875" customWidth="1"/>
    <col min="2" max="2" width="10.5703125" customWidth="1"/>
    <col min="4" max="4" width="12.42578125" bestFit="1" customWidth="1"/>
  </cols>
  <sheetData>
    <row r="1" spans="1:4" x14ac:dyDescent="0.2">
      <c r="A1" s="18" t="s">
        <v>22</v>
      </c>
      <c r="B1" s="46">
        <f>((4/3)*PI()*B3^3)*B4</f>
        <v>7.2057705385739907E-14</v>
      </c>
      <c r="C1" s="21" t="s">
        <v>23</v>
      </c>
    </row>
    <row r="2" spans="1:4" x14ac:dyDescent="0.2">
      <c r="A2" s="19" t="s">
        <v>47</v>
      </c>
      <c r="B2" s="45">
        <f>0.01*B1</f>
        <v>7.2057705385739908E-16</v>
      </c>
      <c r="C2" s="22" t="s">
        <v>23</v>
      </c>
    </row>
    <row r="3" spans="1:4" x14ac:dyDescent="0.2">
      <c r="A3" s="19" t="s">
        <v>32</v>
      </c>
      <c r="B3" s="45">
        <f>0.39*10^(-6)</f>
        <v>3.8999999999999997E-7</v>
      </c>
      <c r="C3" s="22" t="s">
        <v>24</v>
      </c>
    </row>
    <row r="4" spans="1:4" x14ac:dyDescent="0.2">
      <c r="A4" s="19" t="s">
        <v>25</v>
      </c>
      <c r="B4" s="45">
        <f>290*1000</f>
        <v>290000</v>
      </c>
      <c r="C4" s="22" t="s">
        <v>56</v>
      </c>
    </row>
    <row r="5" spans="1:4" x14ac:dyDescent="0.2">
      <c r="A5" s="19" t="s">
        <v>26</v>
      </c>
      <c r="B5" s="9">
        <v>24.6</v>
      </c>
      <c r="C5" s="22" t="s">
        <v>27</v>
      </c>
    </row>
    <row r="6" spans="1:4" x14ac:dyDescent="0.2">
      <c r="A6" s="19" t="s">
        <v>28</v>
      </c>
      <c r="B6" s="45">
        <f>ROUNDUP(((Discretization!B2/10^(-6))^2)/(B3*2/10^(-6)),0)</f>
        <v>51283</v>
      </c>
      <c r="C6" s="22" t="s">
        <v>9</v>
      </c>
    </row>
    <row r="7" spans="1:4" x14ac:dyDescent="0.2">
      <c r="A7" s="41" t="s">
        <v>29</v>
      </c>
      <c r="B7" s="9">
        <v>1.3</v>
      </c>
      <c r="C7" s="22" t="s">
        <v>9</v>
      </c>
    </row>
    <row r="8" spans="1:4" x14ac:dyDescent="0.2">
      <c r="A8" s="41" t="s">
        <v>30</v>
      </c>
      <c r="B8" s="45">
        <f>5*10^(-6)</f>
        <v>4.9999999999999996E-6</v>
      </c>
      <c r="C8" s="22" t="s">
        <v>24</v>
      </c>
    </row>
    <row r="9" spans="1:4" x14ac:dyDescent="0.2">
      <c r="A9" s="42" t="s">
        <v>31</v>
      </c>
      <c r="B9" s="43">
        <f>1*10^(-8)</f>
        <v>1E-8</v>
      </c>
      <c r="C9" s="44" t="s">
        <v>24</v>
      </c>
    </row>
    <row r="13" spans="1:4" x14ac:dyDescent="0.2">
      <c r="B13" s="47"/>
    </row>
    <row r="14" spans="1:4" x14ac:dyDescent="0.2">
      <c r="B14" s="12"/>
    </row>
    <row r="16" spans="1:4" x14ac:dyDescent="0.2">
      <c r="C16" s="12"/>
      <c r="D16" s="95"/>
    </row>
    <row r="17" spans="4:5" x14ac:dyDescent="0.2">
      <c r="D17" s="12"/>
    </row>
    <row r="19" spans="4:5" x14ac:dyDescent="0.2">
      <c r="E19" s="12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G42" sqref="G42"/>
    </sheetView>
  </sheetViews>
  <sheetFormatPr defaultColWidth="11.42578125" defaultRowHeight="12.75" x14ac:dyDescent="0.2"/>
  <cols>
    <col min="1" max="1" width="10.42578125" customWidth="1"/>
    <col min="3" max="3" width="12.140625" customWidth="1"/>
  </cols>
  <sheetData>
    <row r="1" spans="1:4" x14ac:dyDescent="0.2">
      <c r="A1" s="18" t="s">
        <v>1</v>
      </c>
      <c r="B1" s="13">
        <v>298.14999999999998</v>
      </c>
      <c r="C1" s="21" t="s">
        <v>2</v>
      </c>
    </row>
    <row r="2" spans="1:4" x14ac:dyDescent="0.2">
      <c r="A2" s="19" t="s">
        <v>11</v>
      </c>
      <c r="B2" s="9">
        <f>8.3144/1000</f>
        <v>8.3143999999999996E-3</v>
      </c>
      <c r="C2" s="22" t="s">
        <v>12</v>
      </c>
    </row>
    <row r="3" spans="1:4" x14ac:dyDescent="0.2">
      <c r="A3" s="19" t="s">
        <v>13</v>
      </c>
      <c r="B3" s="9">
        <v>8.2057459999999999E-2</v>
      </c>
      <c r="C3" s="22" t="s">
        <v>14</v>
      </c>
    </row>
    <row r="4" spans="1:4" x14ac:dyDescent="0.2">
      <c r="A4" s="19" t="s">
        <v>0</v>
      </c>
      <c r="B4" s="9">
        <v>1</v>
      </c>
      <c r="C4" s="22" t="s">
        <v>15</v>
      </c>
    </row>
    <row r="5" spans="1:4" x14ac:dyDescent="0.2">
      <c r="A5" s="7" t="s">
        <v>18</v>
      </c>
      <c r="B5" s="45">
        <f>Discretization!B2*Discretization!B2*Discretization!B4</f>
        <v>7.9999999999999987E-14</v>
      </c>
      <c r="C5" s="26" t="s">
        <v>8</v>
      </c>
    </row>
    <row r="6" spans="1:4" x14ac:dyDescent="0.2">
      <c r="A6" s="19" t="s">
        <v>7</v>
      </c>
      <c r="B6" s="45">
        <f>B5</f>
        <v>7.9999999999999987E-14</v>
      </c>
      <c r="C6" s="22" t="s">
        <v>8</v>
      </c>
    </row>
    <row r="7" spans="1:4" x14ac:dyDescent="0.2">
      <c r="A7" s="20" t="s">
        <v>10</v>
      </c>
      <c r="B7" s="16">
        <v>7</v>
      </c>
      <c r="C7" s="24" t="s">
        <v>9</v>
      </c>
    </row>
    <row r="8" spans="1:4" x14ac:dyDescent="0.2">
      <c r="A8" s="17"/>
    </row>
    <row r="16" spans="1:4" x14ac:dyDescent="0.2">
      <c r="D16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H28" sqref="H28"/>
    </sheetView>
  </sheetViews>
  <sheetFormatPr defaultRowHeight="12.75" x14ac:dyDescent="0.2"/>
  <cols>
    <col min="1" max="1" width="15.42578125" customWidth="1"/>
    <col min="6" max="6" width="12.42578125" bestFit="1" customWidth="1"/>
  </cols>
  <sheetData>
    <row r="1" spans="1:5" x14ac:dyDescent="0.2">
      <c r="A1" s="56" t="s">
        <v>33</v>
      </c>
      <c r="B1" s="51">
        <v>50</v>
      </c>
      <c r="C1" s="52" t="s">
        <v>9</v>
      </c>
    </row>
    <row r="2" spans="1:5" x14ac:dyDescent="0.2">
      <c r="A2" s="57" t="s">
        <v>34</v>
      </c>
      <c r="B2" s="47">
        <f>200*10^(-6)</f>
        <v>1.9999999999999998E-4</v>
      </c>
      <c r="C2" s="53" t="s">
        <v>24</v>
      </c>
    </row>
    <row r="3" spans="1:5" x14ac:dyDescent="0.2">
      <c r="A3" s="57" t="s">
        <v>57</v>
      </c>
      <c r="B3" s="47">
        <f>B2/B1</f>
        <v>3.9999999999999998E-6</v>
      </c>
      <c r="C3" s="53" t="s">
        <v>24</v>
      </c>
    </row>
    <row r="4" spans="1:5" x14ac:dyDescent="0.2">
      <c r="A4" s="57" t="s">
        <v>59</v>
      </c>
      <c r="B4" s="47">
        <f>2*10^(-6)</f>
        <v>1.9999999999999999E-6</v>
      </c>
      <c r="C4" s="53" t="s">
        <v>24</v>
      </c>
    </row>
    <row r="5" spans="1:5" x14ac:dyDescent="0.2">
      <c r="A5" s="57" t="s">
        <v>58</v>
      </c>
      <c r="B5" s="47">
        <f>40*10^(-6)</f>
        <v>3.9999999999999996E-5</v>
      </c>
      <c r="C5" s="53" t="s">
        <v>24</v>
      </c>
    </row>
    <row r="6" spans="1:5" x14ac:dyDescent="0.2">
      <c r="A6" s="57" t="s">
        <v>36</v>
      </c>
      <c r="B6" s="36">
        <f>24*20</f>
        <v>480</v>
      </c>
      <c r="C6" s="53" t="s">
        <v>37</v>
      </c>
    </row>
    <row r="7" spans="1:5" x14ac:dyDescent="0.2">
      <c r="A7" s="57" t="s">
        <v>38</v>
      </c>
      <c r="B7" s="47">
        <v>9.9999999999999995E-7</v>
      </c>
      <c r="C7" s="53" t="s">
        <v>37</v>
      </c>
    </row>
    <row r="8" spans="1:5" x14ac:dyDescent="0.2">
      <c r="A8" s="57" t="s">
        <v>39</v>
      </c>
      <c r="B8" s="36">
        <f>60*1/60</f>
        <v>1</v>
      </c>
      <c r="C8" s="53" t="s">
        <v>37</v>
      </c>
    </row>
    <row r="9" spans="1:5" ht="13.5" thickBot="1" x14ac:dyDescent="0.25">
      <c r="A9" s="58" t="s">
        <v>41</v>
      </c>
      <c r="B9" s="54">
        <f>B8*2</f>
        <v>2</v>
      </c>
      <c r="C9" s="55" t="s">
        <v>37</v>
      </c>
    </row>
    <row r="10" spans="1:5" ht="13.5" thickBot="1" x14ac:dyDescent="0.25">
      <c r="A10" s="94" t="s">
        <v>55</v>
      </c>
      <c r="B10" s="92">
        <f>1</f>
        <v>1</v>
      </c>
      <c r="C10" s="93" t="s">
        <v>9</v>
      </c>
    </row>
    <row r="11" spans="1:5" x14ac:dyDescent="0.2">
      <c r="A11" s="49"/>
      <c r="B11" s="25"/>
      <c r="C11" s="48"/>
    </row>
    <row r="12" spans="1:5" x14ac:dyDescent="0.2">
      <c r="A12" s="50"/>
    </row>
    <row r="16" spans="1:5" x14ac:dyDescent="0.2">
      <c r="D16" s="12"/>
      <c r="E16" s="12"/>
    </row>
    <row r="24" spans="5:5" x14ac:dyDescent="0.2">
      <c r="E24" s="1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3" sqref="B3"/>
    </sheetView>
  </sheetViews>
  <sheetFormatPr defaultRowHeight="12.75" x14ac:dyDescent="0.2"/>
  <cols>
    <col min="5" max="5" width="11" bestFit="1" customWidth="1"/>
    <col min="8" max="8" width="11.42578125" bestFit="1" customWidth="1"/>
  </cols>
  <sheetData>
    <row r="1" spans="1:5" x14ac:dyDescent="0.2">
      <c r="A1" s="60" t="s">
        <v>50</v>
      </c>
      <c r="B1" s="83">
        <f>2*10^(-9)*3600</f>
        <v>7.2000000000000005E-6</v>
      </c>
      <c r="C1" s="84" t="s">
        <v>35</v>
      </c>
    </row>
    <row r="2" spans="1:5" ht="14.25" x14ac:dyDescent="0.2">
      <c r="A2" s="60" t="s">
        <v>51</v>
      </c>
      <c r="B2" s="91">
        <v>0</v>
      </c>
      <c r="C2" s="84" t="s">
        <v>52</v>
      </c>
    </row>
    <row r="11" spans="1:5" x14ac:dyDescent="0.2">
      <c r="E11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ReactionMatrix</vt:lpstr>
      <vt:lpstr>SpecParam</vt:lpstr>
      <vt:lpstr>States</vt:lpstr>
      <vt:lpstr>ThermoParam</vt:lpstr>
      <vt:lpstr>Bacteria</vt:lpstr>
      <vt:lpstr>Parameters</vt:lpstr>
      <vt:lpstr>Discretization</vt:lpstr>
      <vt:lpstr>Diffusion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Rebeca Gonzalez-Cabaleiro</cp:lastModifiedBy>
  <dcterms:created xsi:type="dcterms:W3CDTF">2008-02-06T12:16:03Z</dcterms:created>
  <dcterms:modified xsi:type="dcterms:W3CDTF">2017-04-20T17:00:47Z</dcterms:modified>
</cp:coreProperties>
</file>