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Nugroho Budianggoro\Documents\"/>
    </mc:Choice>
  </mc:AlternateContent>
  <xr:revisionPtr revIDLastSave="0" documentId="13_ncr:1_{9A2E1F47-D12C-445D-9760-5FEBCE8EDEBE}" xr6:coauthVersionLast="47" xr6:coauthVersionMax="47" xr10:uidLastSave="{00000000-0000-0000-0000-000000000000}"/>
  <bookViews>
    <workbookView xWindow="-110" yWindow="-110" windowWidth="19420" windowHeight="10300" firstSheet="1" activeTab="4" xr2:uid="{951194C4-9D61-46BE-B0AE-7170A8ED2BCE}"/>
  </bookViews>
  <sheets>
    <sheet name="Glossary" sheetId="2" r:id="rId1"/>
    <sheet name="Forecast Assumptions" sheetId="3" r:id="rId2"/>
    <sheet name="P&amp;L Forecast" sheetId="4" r:id="rId3"/>
    <sheet name="Cash Flow Forecast" sheetId="5" r:id="rId4"/>
    <sheet name="Outputs" sheetId="6" r:id="rId5"/>
  </sheets>
  <definedNames>
    <definedName name="Grow_Volumes">'Forecast Assumptions'!$E$13</definedName>
    <definedName name="_xlnm.Print_Area" localSheetId="3">'Cash Flow Forecast'!$A$1:$J$26</definedName>
    <definedName name="_xlnm.Print_Area" localSheetId="1">'Forecast Assumptions'!$A$1:$J$48</definedName>
    <definedName name="_xlnm.Print_Area" localSheetId="0">Glossary!$A$1:$D$18</definedName>
    <definedName name="_xlnm.Print_Area" localSheetId="4">Outputs!$A$1:$I$142</definedName>
    <definedName name="_xlnm.Print_Area" localSheetId="2">'P&amp;L Forecast'!$A$1:$J$40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5" l="1"/>
  <c r="F12" i="5" l="1"/>
  <c r="F22" i="5" s="1"/>
  <c r="F23" i="5" s="1"/>
  <c r="G21" i="5" s="1"/>
  <c r="F21" i="5"/>
  <c r="F17" i="5"/>
  <c r="G15" i="5" s="1"/>
  <c r="F15" i="5"/>
  <c r="E17" i="5"/>
  <c r="E16" i="5"/>
  <c r="F9" i="5"/>
  <c r="E23" i="5"/>
  <c r="E22" i="5"/>
  <c r="E12" i="5"/>
  <c r="G9" i="5" l="1"/>
  <c r="E9" i="5" l="1"/>
  <c r="E28" i="4" s="1"/>
  <c r="G28" i="4"/>
  <c r="F28" i="4"/>
  <c r="E15" i="5"/>
  <c r="E21" i="5"/>
  <c r="F5" i="5"/>
  <c r="G5" i="5"/>
  <c r="H5" i="5"/>
  <c r="I5" i="5"/>
  <c r="E5" i="5"/>
  <c r="E8" i="5"/>
  <c r="E10" i="5"/>
  <c r="F10" i="5" l="1"/>
  <c r="G10" i="5"/>
  <c r="H10" i="5"/>
  <c r="I10" i="5"/>
  <c r="F26" i="4"/>
  <c r="G26" i="4"/>
  <c r="H26" i="4"/>
  <c r="I26" i="4"/>
  <c r="E26" i="4"/>
  <c r="H8" i="5" l="1"/>
  <c r="I8" i="5"/>
  <c r="F8" i="5"/>
  <c r="G8" i="5"/>
  <c r="E3" i="5"/>
  <c r="F3" i="5" s="1"/>
  <c r="G3" i="5" s="1"/>
  <c r="H3" i="5" s="1"/>
  <c r="I3" i="5" s="1"/>
  <c r="F25" i="4"/>
  <c r="G25" i="4"/>
  <c r="H25" i="4"/>
  <c r="I25" i="4"/>
  <c r="E25" i="4"/>
  <c r="E21" i="4"/>
  <c r="F24" i="4"/>
  <c r="G24" i="4"/>
  <c r="H24" i="4"/>
  <c r="I24" i="4"/>
  <c r="E24" i="4"/>
  <c r="F21" i="4"/>
  <c r="G21" i="4"/>
  <c r="H21" i="4"/>
  <c r="I21" i="4"/>
  <c r="G20" i="4"/>
  <c r="H20" i="4" s="1"/>
  <c r="I20" i="4" s="1"/>
  <c r="F20" i="4"/>
  <c r="G30" i="3"/>
  <c r="H30" i="3" s="1"/>
  <c r="I30" i="3" s="1"/>
  <c r="F30" i="3"/>
  <c r="F22" i="4" l="1"/>
  <c r="H22" i="4"/>
  <c r="I22" i="4"/>
  <c r="G22" i="4"/>
  <c r="E22" i="4"/>
  <c r="F19" i="4"/>
  <c r="G19" i="4" s="1"/>
  <c r="H19" i="4" s="1"/>
  <c r="I19" i="4" s="1"/>
  <c r="F18" i="4"/>
  <c r="G18" i="4" s="1"/>
  <c r="H18" i="4" s="1"/>
  <c r="I18" i="4" s="1"/>
  <c r="F17" i="4"/>
  <c r="G17" i="4" s="1"/>
  <c r="H17" i="4" s="1"/>
  <c r="I17" i="4" s="1"/>
  <c r="F14" i="4"/>
  <c r="G14" i="4"/>
  <c r="H14" i="4"/>
  <c r="I14" i="4"/>
  <c r="I15" i="4" s="1"/>
  <c r="F15" i="4"/>
  <c r="G15" i="4"/>
  <c r="H15" i="4"/>
  <c r="E15" i="4"/>
  <c r="E14" i="4"/>
  <c r="F13" i="4"/>
  <c r="G13" i="4"/>
  <c r="H13" i="4"/>
  <c r="I13" i="4"/>
  <c r="E13" i="4"/>
  <c r="F12" i="4"/>
  <c r="G12" i="4"/>
  <c r="H12" i="4"/>
  <c r="I12" i="4"/>
  <c r="E12" i="4"/>
  <c r="F11" i="4"/>
  <c r="G11" i="4"/>
  <c r="H11" i="4"/>
  <c r="I11" i="4"/>
  <c r="E11" i="4"/>
  <c r="G9" i="4"/>
  <c r="H9" i="4"/>
  <c r="I9" i="4"/>
  <c r="F9" i="4"/>
  <c r="F8" i="4"/>
  <c r="G8" i="4"/>
  <c r="H8" i="4"/>
  <c r="I8" i="4"/>
  <c r="E8" i="4"/>
  <c r="F7" i="4"/>
  <c r="G7" i="4"/>
  <c r="H7" i="4"/>
  <c r="I7" i="4"/>
  <c r="E7" i="4"/>
  <c r="F6" i="4"/>
  <c r="G6" i="4"/>
  <c r="H6" i="4"/>
  <c r="I6" i="4"/>
  <c r="E6" i="4"/>
  <c r="E5" i="4"/>
  <c r="F5" i="4"/>
  <c r="G5" i="4"/>
  <c r="H5" i="4"/>
  <c r="I5" i="4"/>
  <c r="G29" i="4"/>
  <c r="G32" i="4" s="1"/>
  <c r="F29" i="4"/>
  <c r="F32" i="4" s="1"/>
  <c r="E29" i="4"/>
  <c r="E3" i="4"/>
  <c r="F3" i="4" s="1"/>
  <c r="G3" i="4" s="1"/>
  <c r="H3" i="4" s="1"/>
  <c r="I3" i="4" s="1"/>
  <c r="G37" i="3"/>
  <c r="H37" i="3" s="1"/>
  <c r="I37" i="3" s="1"/>
  <c r="F37" i="3"/>
  <c r="G33" i="3"/>
  <c r="H33" i="3" s="1"/>
  <c r="I33" i="3" s="1"/>
  <c r="F33" i="3"/>
  <c r="G28" i="3"/>
  <c r="H28" i="3" s="1"/>
  <c r="I28" i="3" s="1"/>
  <c r="F28" i="3"/>
  <c r="F29" i="3"/>
  <c r="G29" i="3" s="1"/>
  <c r="H29" i="3" s="1"/>
  <c r="I29" i="3" s="1"/>
  <c r="G27" i="3"/>
  <c r="H27" i="3" s="1"/>
  <c r="I27" i="3" s="1"/>
  <c r="F27" i="3"/>
  <c r="F24" i="3"/>
  <c r="G24" i="3" s="1"/>
  <c r="H24" i="3" s="1"/>
  <c r="I24" i="3" s="1"/>
  <c r="F23" i="3"/>
  <c r="G23" i="3" s="1"/>
  <c r="H23" i="3" s="1"/>
  <c r="I23" i="3" s="1"/>
  <c r="G22" i="3"/>
  <c r="H22" i="3" s="1"/>
  <c r="I22" i="3" s="1"/>
  <c r="F22" i="3"/>
  <c r="F17" i="3"/>
  <c r="G17" i="3" s="1"/>
  <c r="H17" i="3" s="1"/>
  <c r="I17" i="3" s="1"/>
  <c r="F16" i="3"/>
  <c r="G16" i="3" s="1"/>
  <c r="H16" i="3" s="1"/>
  <c r="I16" i="3" s="1"/>
  <c r="G13" i="3"/>
  <c r="H13" i="3" s="1"/>
  <c r="I13" i="3" s="1"/>
  <c r="F13" i="3"/>
  <c r="G12" i="3"/>
  <c r="H12" i="3" s="1"/>
  <c r="I12" i="3" s="1"/>
  <c r="F12" i="3"/>
  <c r="G9" i="3"/>
  <c r="H9" i="3" s="1"/>
  <c r="I9" i="3" s="1"/>
  <c r="I8" i="3"/>
  <c r="H8" i="3"/>
  <c r="G8" i="3"/>
  <c r="F8" i="3"/>
  <c r="F9" i="3"/>
  <c r="F33" i="4" l="1"/>
  <c r="F6" i="5"/>
  <c r="G33" i="4"/>
  <c r="G6" i="5"/>
  <c r="G30" i="4"/>
  <c r="E32" i="4"/>
  <c r="E6" i="5" s="1"/>
  <c r="F30" i="4"/>
  <c r="E30" i="4"/>
  <c r="E3" i="3"/>
  <c r="F3" i="3" s="1"/>
  <c r="G3" i="3" s="1"/>
  <c r="H3" i="3" s="1"/>
  <c r="I3" i="3" s="1"/>
  <c r="G37" i="4" l="1"/>
  <c r="G7" i="5" s="1"/>
  <c r="G11" i="5" s="1"/>
  <c r="G16" i="5" s="1"/>
  <c r="G17" i="5" s="1"/>
  <c r="H15" i="5" s="1"/>
  <c r="G34" i="4"/>
  <c r="F34" i="4"/>
  <c r="F37" i="4"/>
  <c r="F7" i="5" s="1"/>
  <c r="F11" i="5" s="1"/>
  <c r="F13" i="5" s="1"/>
  <c r="E33" i="4"/>
  <c r="G12" i="5" l="1"/>
  <c r="G22" i="5" s="1"/>
  <c r="G23" i="5" s="1"/>
  <c r="H21" i="5" s="1"/>
  <c r="E34" i="4"/>
  <c r="E37" i="4"/>
  <c r="E7" i="5" s="1"/>
  <c r="H9" i="5" l="1"/>
  <c r="H28" i="4" s="1"/>
  <c r="H29" i="4" s="1"/>
  <c r="G13" i="5"/>
  <c r="E11" i="5"/>
  <c r="E13" i="5" s="1"/>
  <c r="H30" i="4" l="1"/>
  <c r="H32" i="4"/>
  <c r="H6" i="5" s="1"/>
  <c r="H33" i="4" l="1"/>
  <c r="H37" i="4"/>
  <c r="H7" i="5" s="1"/>
  <c r="H11" i="5" s="1"/>
  <c r="H16" i="5" s="1"/>
  <c r="H17" i="5" s="1"/>
  <c r="I15" i="5" s="1"/>
  <c r="H34" i="4"/>
  <c r="H12" i="5" l="1"/>
  <c r="H22" i="5" s="1"/>
  <c r="H23" i="5" s="1"/>
  <c r="I21" i="5" s="1"/>
  <c r="H13" i="5" l="1"/>
  <c r="I9" i="5"/>
  <c r="I28" i="4" s="1"/>
  <c r="I29" i="4" s="1"/>
  <c r="I32" i="4" l="1"/>
  <c r="I6" i="5" s="1"/>
  <c r="I30" i="4"/>
  <c r="I33" i="4" l="1"/>
  <c r="I34" i="4"/>
  <c r="I37" i="4"/>
  <c r="I7" i="5" s="1"/>
  <c r="I11" i="5" s="1"/>
  <c r="I16" i="5" s="1"/>
  <c r="I17" i="5" s="1"/>
  <c r="I12" i="5" l="1"/>
  <c r="I22" i="5" s="1"/>
  <c r="I23" i="5" s="1"/>
  <c r="I13" i="5" l="1"/>
</calcChain>
</file>

<file path=xl/sharedStrings.xml><?xml version="1.0" encoding="utf-8"?>
<sst xmlns="http://schemas.openxmlformats.org/spreadsheetml/2006/main" count="180" uniqueCount="94">
  <si>
    <t>*</t>
  </si>
  <si>
    <t>%</t>
  </si>
  <si>
    <t>Tax Rate</t>
  </si>
  <si>
    <t>#</t>
  </si>
  <si>
    <t>EBITDA</t>
  </si>
  <si>
    <t>EBIT</t>
  </si>
  <si>
    <t>Drinks</t>
  </si>
  <si>
    <t>Cupcakes</t>
  </si>
  <si>
    <t>Ice Cream</t>
  </si>
  <si>
    <t>Unit</t>
  </si>
  <si>
    <t>Average Sale Price</t>
  </si>
  <si>
    <t>$</t>
  </si>
  <si>
    <t>Number of Units Sold</t>
  </si>
  <si>
    <t>Cost of Goods Sold (COGS)</t>
  </si>
  <si>
    <t>COGS per Cupcake</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</si>
  <si>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</si>
  <si>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</si>
  <si>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</si>
  <si>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</si>
  <si>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</si>
  <si>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</si>
  <si>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</si>
  <si>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</si>
  <si>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</si>
  <si>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</si>
  <si>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</si>
  <si>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</si>
  <si>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</si>
  <si>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</si>
  <si>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</si>
  <si>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</si>
  <si>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</si>
  <si>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</si>
  <si>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</si>
  <si>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</si>
  <si>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</si>
  <si>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</si>
  <si>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</si>
  <si>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</si>
  <si>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</si>
  <si>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</si>
  <si>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</si>
  <si>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</si>
  <si>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</si>
  <si>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</si>
  <si>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</si>
  <si>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</si>
  <si>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</si>
  <si>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</si>
  <si>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Capital Expenditure (Capex)</t>
  </si>
  <si>
    <t>Cash Flow</t>
  </si>
  <si>
    <t>Other</t>
  </si>
  <si>
    <t>F9 Key (Calculate the Workbook) / Fn+F9 on Mac</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</si>
  <si>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</si>
  <si>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An operating expense is an ongoing cost incurred in 
running a business, that is not a direct cost. Examples include head office costs, general and administrative costs, and centralised marketing costs.</t>
  </si>
  <si>
    <t>COGS per Ice Cream</t>
  </si>
  <si>
    <t>COGS per Drinks</t>
  </si>
  <si>
    <t>Staff</t>
  </si>
  <si>
    <t>Occupancy</t>
  </si>
  <si>
    <t>Marketing</t>
  </si>
  <si>
    <t>P&amp;L Forecast</t>
  </si>
  <si>
    <t>Total Revenue</t>
  </si>
  <si>
    <t>Growth</t>
  </si>
  <si>
    <t>Gross Profit</t>
  </si>
  <si>
    <t>Margin</t>
  </si>
  <si>
    <t>EBIT (Operating Income)</t>
  </si>
  <si>
    <t>Net Interest</t>
  </si>
  <si>
    <t>Profit Before Tax (PBT)</t>
  </si>
  <si>
    <t>Net Profit After Tax (NPAT)</t>
  </si>
  <si>
    <t>Gross Dividends</t>
  </si>
  <si>
    <t>COGS of Cupcake</t>
  </si>
  <si>
    <t>COGS of Ice Cream</t>
  </si>
  <si>
    <t>COGS of Drinks</t>
  </si>
  <si>
    <t>D&amp;A</t>
  </si>
  <si>
    <t>Cash Flow Forecast</t>
  </si>
  <si>
    <t>Net Cash Flow</t>
  </si>
  <si>
    <t>Debt Repayment</t>
  </si>
  <si>
    <t>Cash to Balance Sheet</t>
  </si>
  <si>
    <t>Opening Cash</t>
  </si>
  <si>
    <t>Closing Cash</t>
  </si>
  <si>
    <t>Supporting Debt Schedule</t>
  </si>
  <si>
    <t>Opening Debt</t>
  </si>
  <si>
    <t>Closing Debt</t>
  </si>
  <si>
    <t>Change in NWC</t>
  </si>
  <si>
    <t>Net Capex</t>
  </si>
  <si>
    <t>Tax Expense</t>
  </si>
  <si>
    <t>Tax</t>
  </si>
  <si>
    <t>Dividends</t>
  </si>
  <si>
    <t>Outputs</t>
  </si>
  <si>
    <t>Forecast Revenue (2020-24) - Column Chart</t>
  </si>
  <si>
    <t>Forecast Debt (2020-24) - Line Chart</t>
  </si>
  <si>
    <t>Forecast Cash (2020-24) - Area Chart</t>
  </si>
  <si>
    <t>Cupcakes Operating Metrics (2020-24) - Combination Column &amp; Line Chart</t>
  </si>
  <si>
    <t>Cupcake Volume - 2020-24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</si>
</sst>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6" formatCode="&quot;FY&quot;yy&quot;E&quot;"/>
    <numFmt numFmtId="167" formatCode="0.0%;\(0.0%\);\-"/>
    <numFmt numFmtId="168" formatCode="&quot;FY&quot;yy&quot;A&quot;"/>
    <numFmt numFmtId="169" formatCode="0.00%;\(0.00%\);\-"/>
    <numFmt numFmtId="170" formatCode="0%;\(0%\);\-"/>
  </numFmts>
  <fonts count="14"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b/>
      <sz val="14"/>
      <color theme="0"/>
      <name val="Arial"/>
      <family val="2"/>
    </font>
    <font>
      <i/>
      <sz val="10"/>
      <color theme="1"/>
      <name val="Arial"/>
      <family val="2"/>
    </font>
    <font>
      <sz val="12"/>
      <name val="Arial"/>
      <family val="2"/>
    </font>
    <font>
      <b/>
      <sz val="14"/>
      <name val="Arial"/>
      <family val="2"/>
    </font>
    <font>
      <b/>
      <sz val="10"/>
      <name val="Arial"/>
      <family val="2"/>
    </font>
    <font>
      <sz val="10"/>
      <name val="Arial"/>
      <family val="2"/>
    </font>
    <font>
      <i/>
      <sz val="10"/>
      <name val="Arial"/>
      <family val="2"/>
    </font>
    <font>
      <b/>
      <u/>
      <sz val="10"/>
      <name val="Arial"/>
      <family val="2"/>
    </font>
  </fonts>
  <fills count="5">
    <fill>
      <patternFill patternType="none"/>
    </fill>
    <fill>
      <patternFill patternType="gray125"/>
    </fill>
    <fill>
      <patternFill patternType="solid">
        <fgColor theme="1"/>
        <bgColor indexed="64"/>
      </patternFill>
    </fill>
    <fill>
      <patternFill patternType="solid">
        <fgColor theme="8" tint="0.79998168889431442"/>
        <bgColor indexed="64"/>
      </patternFill>
    </fill>
    <fill>
      <patternFill patternType="solid">
        <fgColor theme="0" tint="-0.499984740745262"/>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65">
    <xf numFmtId="0" fontId="0" fillId="0" borderId="0" xfId="0"/>
    <xf numFmtId="0" fontId="1" fillId="2" borderId="0" xfId="0" applyFont="1" applyFill="1"/>
    <xf numFmtId="0" fontId="3" fillId="0" borderId="0" xfId="0" applyFont="1"/>
    <xf numFmtId="0" fontId="6" fillId="2" borderId="0" xfId="0" applyFont="1" applyFill="1"/>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4" fillId="3" borderId="0" xfId="0" applyFont="1" applyFill="1" applyAlignment="1">
      <alignment vertical="center"/>
    </xf>
    <xf numFmtId="0" fontId="3" fillId="0" borderId="0" xfId="0" applyFont="1" applyAlignment="1">
      <alignment horizontal="left" vertical="center" wrapText="1"/>
    </xf>
    <xf numFmtId="0" fontId="1" fillId="0" borderId="0" xfId="0" applyFont="1"/>
    <xf numFmtId="0" fontId="2" fillId="0" borderId="0" xfId="0" applyFont="1"/>
    <xf numFmtId="0" fontId="3" fillId="0" borderId="0" xfId="0" applyFont="1" applyAlignment="1">
      <alignment horizontal="right"/>
    </xf>
    <xf numFmtId="0" fontId="8" fillId="0" borderId="0" xfId="0" applyFont="1"/>
    <xf numFmtId="0" fontId="9" fillId="0" borderId="0" xfId="0" applyFont="1"/>
    <xf numFmtId="0" fontId="10" fillId="0" borderId="0" xfId="0" applyFont="1"/>
    <xf numFmtId="0" fontId="11" fillId="0" borderId="0" xfId="0" applyFont="1"/>
    <xf numFmtId="0" fontId="10" fillId="0" borderId="1" xfId="0" applyFont="1" applyBorder="1"/>
    <xf numFmtId="0" fontId="10" fillId="0" borderId="1" xfId="0" applyFont="1" applyBorder="1" applyAlignment="1">
      <alignment horizontal="center"/>
    </xf>
    <xf numFmtId="168" fontId="10" fillId="0" borderId="1" xfId="0" applyNumberFormat="1" applyFont="1" applyBorder="1" applyAlignment="1">
      <alignment horizontal="right"/>
    </xf>
    <xf numFmtId="166" fontId="10" fillId="0" borderId="1" xfId="0" applyNumberFormat="1" applyFont="1" applyBorder="1" applyAlignment="1">
      <alignment horizontal="right"/>
    </xf>
    <xf numFmtId="0" fontId="11" fillId="0" borderId="0" xfId="0" applyFont="1" applyAlignment="1">
      <alignment horizontal="right"/>
    </xf>
    <xf numFmtId="0" fontId="11" fillId="0" borderId="0" xfId="0" applyFont="1" applyAlignment="1">
      <alignment horizontal="center"/>
    </xf>
    <xf numFmtId="164" fontId="11" fillId="0" borderId="0" xfId="0" applyNumberFormat="1" applyFont="1" applyAlignment="1">
      <alignment horizontal="right"/>
    </xf>
    <xf numFmtId="0" fontId="10" fillId="0" borderId="3" xfId="0" applyFont="1" applyBorder="1"/>
    <xf numFmtId="0" fontId="10" fillId="0" borderId="3" xfId="0" applyFont="1" applyBorder="1" applyAlignment="1">
      <alignment horizontal="center"/>
    </xf>
    <xf numFmtId="164" fontId="10" fillId="0" borderId="3" xfId="0" applyNumberFormat="1" applyFont="1" applyBorder="1" applyAlignment="1">
      <alignment horizontal="right"/>
    </xf>
    <xf numFmtId="0" fontId="12" fillId="0" borderId="0" xfId="0" applyFont="1" applyAlignment="1">
      <alignment horizontal="left" indent="1"/>
    </xf>
    <xf numFmtId="170" fontId="12" fillId="0" borderId="0" xfId="0" applyNumberFormat="1" applyFont="1" applyAlignment="1">
      <alignment horizontal="right"/>
    </xf>
    <xf numFmtId="3" fontId="11" fillId="0" borderId="0" xfId="0" applyNumberFormat="1" applyFont="1"/>
    <xf numFmtId="167" fontId="11" fillId="0" borderId="2" xfId="0" applyNumberFormat="1" applyFont="1" applyBorder="1" applyAlignment="1">
      <alignment horizontal="right"/>
    </xf>
    <xf numFmtId="0" fontId="10" fillId="0" borderId="0" xfId="0" applyFont="1" applyAlignment="1">
      <alignment horizontal="right"/>
    </xf>
    <xf numFmtId="0" fontId="13" fillId="0" borderId="0" xfId="0" applyFont="1"/>
    <xf numFmtId="3" fontId="11" fillId="0" borderId="2" xfId="0" applyNumberFormat="1" applyFont="1" applyBorder="1" applyAlignment="1">
      <alignment horizontal="right"/>
    </xf>
    <xf numFmtId="3" fontId="11" fillId="0" borderId="0" xfId="0" applyNumberFormat="1" applyFont="1" applyAlignment="1">
      <alignment horizontal="right"/>
    </xf>
    <xf numFmtId="2" fontId="11" fillId="0" borderId="0" xfId="0" applyNumberFormat="1" applyFont="1" applyAlignment="1">
      <alignment horizontal="right"/>
    </xf>
    <xf numFmtId="2" fontId="11" fillId="0" borderId="2" xfId="0" applyNumberFormat="1" applyFont="1" applyBorder="1" applyAlignment="1">
      <alignment horizontal="right"/>
    </xf>
    <xf numFmtId="2" fontId="11" fillId="0" borderId="0" xfId="0" applyNumberFormat="1" applyFont="1"/>
    <xf numFmtId="169" fontId="11" fillId="0" borderId="2" xfId="0" applyNumberFormat="1" applyFont="1" applyBorder="1" applyAlignment="1">
      <alignment horizontal="right"/>
    </xf>
    <xf numFmtId="0" fontId="2" fillId="2" borderId="0" xfId="0" applyFont="1" applyFill="1"/>
    <xf numFmtId="0" fontId="4" fillId="0" borderId="1" xfId="0" applyFont="1" applyBorder="1"/>
    <xf numFmtId="0" fontId="4" fillId="0" borderId="1" xfId="0" applyFont="1" applyBorder="1" applyAlignment="1">
      <alignment horizontal="center"/>
    </xf>
    <xf numFmtId="168" fontId="4" fillId="0" borderId="1" xfId="0" applyNumberFormat="1" applyFont="1" applyBorder="1" applyAlignment="1">
      <alignment horizontal="right"/>
    </xf>
    <xf numFmtId="166" fontId="4" fillId="0" borderId="1" xfId="0" applyNumberFormat="1" applyFont="1" applyBorder="1" applyAlignment="1">
      <alignment horizontal="right"/>
    </xf>
    <xf numFmtId="0" fontId="2" fillId="4" borderId="0" xfId="0" applyFont="1" applyFill="1"/>
    <xf numFmtId="0" fontId="3" fillId="2" borderId="0" xfId="0" applyFont="1" applyFill="1"/>
    <xf numFmtId="3" fontId="11" fillId="0" borderId="0" xfId="0" applyNumberFormat="1" applyFont="1" applyAlignment="1">
      <alignment horizontal="center"/>
    </xf>
    <xf numFmtId="0" fontId="3" fillId="0" borderId="0" xfId="0" applyFont="1" applyAlignment="1">
      <alignment horizontal="center"/>
    </xf>
    <xf numFmtId="3" fontId="3" fillId="0" borderId="0" xfId="0" applyNumberFormat="1" applyFont="1"/>
    <xf numFmtId="164" fontId="3" fillId="0" borderId="0" xfId="0" applyNumberFormat="1" applyFont="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xf numFmtId="164" fontId="3" fillId="0" borderId="0" xfId="0" applyNumberFormat="1" applyFont="1"/>
    <xf numFmtId="164" fontId="10" fillId="0" borderId="3" xfId="0" applyNumberFormat="1" applyFont="1" applyBorder="1"/>
    <xf numFmtId="0" fontId="4" fillId="0" borderId="4" xfId="0" applyFont="1" applyBorder="1"/>
    <xf numFmtId="0" fontId="3" fillId="0" borderId="3"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1" xfId="0" applyFont="1" applyBorder="1"/>
    <xf numFmtId="0" fontId="3" fillId="0" borderId="9" xfId="0" applyFont="1" applyBorder="1"/>
    <xf numFmtId="3" fontId="10" fillId="0" borderId="0" xfId="0" applyNumberFormat="1" applyFont="1" applyAlignment="1">
      <alignment horizontal="right"/>
    </xf>
    <xf numFmtId="4" fontId="11" fillId="0" borderId="2" xfId="0" applyNumberFormat="1" applyFont="1" applyBorder="1" applyAlignment="1">
      <alignment horizontal="right"/>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family val="2"/>
        <scheme val="none"/>
      </font>
      <fill>
        <patternFill>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Number of Units Sold</c:v>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5"/>
              <c:pt idx="0">
                <c:v>44196</c:v>
              </c:pt>
              <c:pt idx="1">
                <c:v>44561</c:v>
              </c:pt>
              <c:pt idx="2">
                <c:v>44926</c:v>
              </c:pt>
              <c:pt idx="3">
                <c:v>45291</c:v>
              </c:pt>
              <c:pt idx="4">
                <c:v>45657</c:v>
              </c:pt>
            </c:numLit>
          </c:cat>
          <c:val>
            <c:numLit>
              <c:formatCode>General</c:formatCode>
              <c:ptCount val="5"/>
              <c:pt idx="0">
                <c:v>100000</c:v>
              </c:pt>
              <c:pt idx="1">
                <c:v>110000.00000000001</c:v>
              </c:pt>
              <c:pt idx="2">
                <c:v>119900.00000000003</c:v>
              </c:pt>
              <c:pt idx="3">
                <c:v>129492.00000000004</c:v>
              </c:pt>
              <c:pt idx="4">
                <c:v>138556.44000000006</c:v>
              </c:pt>
            </c:numLit>
          </c:val>
          <c:extLst>
            <c:ext xmlns:c16="http://schemas.microsoft.com/office/drawing/2014/chart" uri="{C3380CC4-5D6E-409C-BE32-E72D297353CC}">
              <c16:uniqueId val="{00000000-B588-42D7-9F7D-A0471E286B97}"/>
            </c:ext>
          </c:extLst>
        </c:ser>
        <c:dLbls>
          <c:showLegendKey val="0"/>
          <c:showVal val="0"/>
          <c:showCatName val="0"/>
          <c:showSerName val="0"/>
          <c:showPercent val="0"/>
          <c:showBubbleSize val="0"/>
        </c:dLbls>
        <c:gapWidth val="85"/>
        <c:overlap val="-27"/>
        <c:axId val="627386767"/>
        <c:axId val="1142798159"/>
      </c:barChart>
      <c:catAx>
        <c:axId val="627386767"/>
        <c:scaling>
          <c:orientation val="minMax"/>
        </c:scaling>
        <c:delete val="0"/>
        <c:axPos val="b"/>
        <c:numFmt formatCode="General"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Algn val="ctr"/>
        <c:lblOffset val="100"/>
        <c:noMultiLvlLbl val="0"/>
      </c:cat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'P&amp;L Forecast'!$B$8:$C$8</c:f>
              <c:strCache>
                <c:ptCount val="2"/>
                <c:pt idx="0">
                  <c:v>Total Revenue</c:v>
                </c:pt>
                <c:pt idx="1">
                  <c:v>$</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'P&amp;L Forecast'!$E$3:$I$3</c:f>
              <c:numCache>
                <c:formatCode>"FY"yy"E"</c:formatCode>
                <c:ptCount val="5"/>
                <c:pt idx="0">
                  <c:v>44196</c:v>
                </c:pt>
                <c:pt idx="1">
                  <c:v>44561</c:v>
                </c:pt>
                <c:pt idx="2">
                  <c:v>44926</c:v>
                </c:pt>
                <c:pt idx="3">
                  <c:v>45291</c:v>
                </c:pt>
                <c:pt idx="4">
                  <c:v>45657</c:v>
                </c:pt>
              </c:numCache>
            </c:numRef>
          </c:cat>
          <c:val>
            <c:numRef>
              <c:f>'P&amp;L Forecast'!$D$8:$I$8</c:f>
              <c:numCache>
                <c:formatCode>#,##0;\(#,##0\);\-</c:formatCode>
                <c:ptCount val="5"/>
                <c:pt idx="0">
                  <c:v>705000</c:v>
                </c:pt>
                <c:pt idx="1">
                  <c:v>806520</c:v>
                </c:pt>
                <c:pt idx="2">
                  <c:v>914271.07199999993</c:v>
                </c:pt>
                <c:pt idx="3">
                  <c:v>1026909.2680704</c:v>
                </c:pt>
                <c:pt idx="4">
                  <c:v>1142744.6335087409</c:v>
                </c:pt>
              </c:numCache>
            </c:numRef>
          </c:val>
          <c:extLst>
            <c:ext xmlns:c16="http://schemas.microsoft.com/office/drawing/2014/chart" uri="{C3380CC4-5D6E-409C-BE32-E72D297353CC}">
              <c16:uniqueId val="{00000001-5956-43B7-BFF8-986607F782DD}"/>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dLbls>
          <c:showLegendKey val="0"/>
          <c:showVal val="0"/>
          <c:showCatName val="0"/>
          <c:showSerName val="0"/>
          <c:showPercent val="0"/>
          <c:showBubbleSize val="0"/>
        </c:dLbls>
        <c:gapWidth val="85"/>
        <c:overlap val="-27"/>
        <c:axId val="627386767"/>
        <c:axId val="1142798159"/>
        <c:extLst>
          <c:ext xmlns:c15="http://schemas.microsoft.com/office/drawing/2012/chart" uri="{02D57815-91ED-43cb-92C2-25804820EDAC}">
            <c15:filteredBarSeries>
              <c15:ser>
                <c:idx val="0"/>
                <c:order val="0"/>
                <c:tx>
                  <c:v>Number of Units Sold</c:v>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5"/>
                    <c:pt idx="0">
                      <c:v>44196</c:v>
                    </c:pt>
                    <c:pt idx="1">
                      <c:v>44561</c:v>
                    </c:pt>
                    <c:pt idx="2">
                      <c:v>44926</c:v>
                    </c:pt>
                    <c:pt idx="3">
                      <c:v>45291</c:v>
                    </c:pt>
                    <c:pt idx="4">
                      <c:v>45657</c:v>
                    </c:pt>
                  </c:numLit>
                </c:cat>
                <c:val>
                  <c:numLit>
                    <c:formatCode>General</c:formatCode>
                    <c:ptCount val="5"/>
                    <c:pt idx="0">
                      <c:v>100000</c:v>
                    </c:pt>
                    <c:pt idx="1">
                      <c:v>110000.00000000001</c:v>
                    </c:pt>
                    <c:pt idx="2">
                      <c:v>119900.00000000003</c:v>
                    </c:pt>
                    <c:pt idx="3">
                      <c:v>129492.00000000004</c:v>
                    </c:pt>
                    <c:pt idx="4">
                      <c:v>138556.44000000006</c:v>
                    </c:pt>
                  </c:numLit>
                </c:val>
                <c:extLst>
                  <c:ext xmlns:c16="http://schemas.microsoft.com/office/drawing/2014/chart" uri="{C3380CC4-5D6E-409C-BE32-E72D297353CC}">
                    <c16:uniqueId val="{00000000-BBC1-4799-93DC-FF4BE1863A99}"/>
                  </c:ext>
                </c:extLst>
              </c15:ser>
            </c15:filteredBarSeries>
          </c:ext>
        </c:extLst>
      </c:barChart>
      <c:cat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Algn val="ctr"/>
        <c:lblOffset val="100"/>
        <c:noMultiLvlLbl val="0"/>
      </c:cat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'Cash Flow Forecast'!$B$23:$C$23</c:f>
              <c:strCache>
                <c:ptCount val="2"/>
                <c:pt idx="0">
                  <c:v>Closing Debt</c:v>
                </c:pt>
                <c:pt idx="1">
                  <c:v>$</c:v>
                </c:pt>
              </c:strCache>
            </c:strRef>
          </c:tx>
          <c:spPr>
            <a:ln w="28575" cap="rnd">
              <a:solidFill>
                <a:schemeClr val="tx2"/>
              </a:solidFill>
              <a:round/>
            </a:ln>
            <a:effectLst/>
          </c:spPr>
          <c:marker>
            <c:symbol val="none"/>
          </c:marker>
          <c:cat>
            <c:numRef>
              <c:f>'Cash Flow Forecast'!$E$3:$I$3</c:f>
              <c:numCache>
                <c:formatCode>"FY"yy"E"</c:formatCode>
                <c:ptCount val="5"/>
                <c:pt idx="0">
                  <c:v>44196</c:v>
                </c:pt>
                <c:pt idx="1">
                  <c:v>44561</c:v>
                </c:pt>
                <c:pt idx="2">
                  <c:v>44926</c:v>
                </c:pt>
                <c:pt idx="3">
                  <c:v>45291</c:v>
                </c:pt>
                <c:pt idx="4">
                  <c:v>45657</c:v>
                </c:pt>
              </c:numCache>
            </c:numRef>
          </c:cat>
          <c:val>
            <c:numRef>
              <c:f>'Cash Flow Forecast'!$E$23:$I$23</c:f>
              <c:numCache>
                <c:formatCode>#,##0;\(#,##0\);\-</c:formatCode>
                <c:ptCount val="5"/>
                <c:pt idx="0">
                  <c:v>351465.6</c:v>
                </c:pt>
                <c:pt idx="1">
                  <c:v>285148.92638399993</c:v>
                </c:pt>
                <c:pt idx="2">
                  <c:v>199269.11056613372</c:v>
                </c:pt>
                <c:pt idx="3">
                  <c:v>92237.198721038032</c:v>
                </c:pt>
                <c:pt idx="4">
                  <c:v>0</c:v>
                </c:pt>
              </c:numCache>
            </c:numRef>
          </c:val>
          <c:smooth val="0"/>
          <c:extLst>
            <c:ext xmlns:c16="http://schemas.microsoft.com/office/drawing/2014/chart" uri="{C3380CC4-5D6E-409C-BE32-E72D297353CC}">
              <c16:uniqueId val="{00000003-1CAE-498F-96EC-BDC7D62FE337}"/>
            </c:ext>
          </c:extLst>
        </c:ser>
        <c:dLbls>
          <c:showLegendKey val="0"/>
          <c:showVal val="0"/>
          <c:showCatName val="0"/>
          <c:showSerName val="0"/>
          <c:showPercent val="0"/>
          <c:showBubbleSize val="0"/>
        </c:dLbls>
        <c:smooth val="0"/>
        <c:axId val="627386767"/>
        <c:axId val="1142798159"/>
      </c:line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'Cash Flow Forecast'!$B$17:$C$17</c:f>
              <c:strCache>
                <c:ptCount val="2"/>
                <c:pt idx="0">
                  <c:v>Closing Cash</c:v>
                </c:pt>
                <c:pt idx="1">
                  <c:v>$</c:v>
                </c:pt>
              </c:strCache>
            </c:strRef>
          </c:tx>
          <c:spPr>
            <a:solidFill>
              <a:srgbClr val="002060"/>
            </a:solidFill>
            <a:ln>
              <a:solidFill>
                <a:srgbClr val="002060"/>
              </a:solidFill>
            </a:ln>
            <a:effectLst/>
          </c:spPr>
          <c:cat>
            <c:numRef>
              <c:f>'Cash Flow Forecast'!$E$3:$I$3</c:f>
              <c:numCache>
                <c:formatCode>"FY"yy"E"</c:formatCode>
                <c:ptCount val="5"/>
                <c:pt idx="0">
                  <c:v>44196</c:v>
                </c:pt>
                <c:pt idx="1">
                  <c:v>44561</c:v>
                </c:pt>
                <c:pt idx="2">
                  <c:v>44926</c:v>
                </c:pt>
                <c:pt idx="3">
                  <c:v>45291</c:v>
                </c:pt>
                <c:pt idx="4">
                  <c:v>45657</c:v>
                </c:pt>
              </c:numCache>
            </c:numRef>
          </c:cat>
          <c:val>
            <c:numRef>
              <c:f>'Cash Flow Forecast'!$E$17:$I$17</c:f>
              <c:numCache>
                <c:formatCode>#,##0;\(#,##0\);\-</c:formatCode>
                <c:ptCount val="5"/>
                <c:pt idx="0">
                  <c:v>15000</c:v>
                </c:pt>
                <c:pt idx="1">
                  <c:v>15000</c:v>
                </c:pt>
                <c:pt idx="2">
                  <c:v>15000</c:v>
                </c:pt>
                <c:pt idx="3">
                  <c:v>15000</c:v>
                </c:pt>
                <c:pt idx="4">
                  <c:v>52259.377088012174</c:v>
                </c:pt>
              </c:numCache>
            </c:numRef>
          </c:val>
          <c:extLst>
            <c:ext xmlns:c16="http://schemas.microsoft.com/office/drawing/2014/chart" uri="{C3380CC4-5D6E-409C-BE32-E72D297353CC}">
              <c16:uniqueId val="{00000000-C520-4745-9B6B-B8FF5324F5CA}"/>
            </c:ext>
          </c:extLst>
        </c:ser>
        <c:dLbls>
          <c:showLegendKey val="0"/>
          <c:showVal val="0"/>
          <c:showCatName val="0"/>
          <c:showSerName val="0"/>
          <c:showPercent val="0"/>
          <c:showBubbleSize val="0"/>
        </c:dLbls>
        <c:axId val="627386767"/>
        <c:axId val="1142798159"/>
      </c:area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'Forecast Assumptions'!$B$8:$C$8</c:f>
              <c:strCache>
                <c:ptCount val="2"/>
                <c:pt idx="0">
                  <c:v>Number of Units Sold</c:v>
                </c:pt>
                <c:pt idx="1">
                  <c:v>#</c:v>
                </c:pt>
              </c:strCache>
            </c:strRef>
          </c:tx>
          <c:spPr>
            <a:solidFill>
              <a:srgbClr val="002060"/>
            </a:solidFill>
            <a:ln w="25400">
              <a:solidFill>
                <a:srgbClr val="002060"/>
              </a:solid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c:formatCode>
                <c:ptCount val="5"/>
                <c:pt idx="0">
                  <c:v>100000</c:v>
                </c:pt>
                <c:pt idx="1">
                  <c:v>110000</c:v>
                </c:pt>
                <c:pt idx="2">
                  <c:v>119900</c:v>
                </c:pt>
                <c:pt idx="3">
                  <c:v>129492</c:v>
                </c:pt>
                <c:pt idx="4">
                  <c:v>138556.44</c:v>
                </c:pt>
              </c:numCache>
            </c:numRef>
          </c:val>
          <c:extLst>
            <c:ext xmlns:c16="http://schemas.microsoft.com/office/drawing/2014/chart" uri="{C3380CC4-5D6E-409C-BE32-E72D297353CC}">
              <c16:uniqueId val="{00000000-A9E6-4406-99AC-32ED9A5EE22D}"/>
            </c:ext>
          </c:extLst>
        </c:ser>
        <c:dLbls>
          <c:showLegendKey val="0"/>
          <c:showVal val="0"/>
          <c:showCatName val="0"/>
          <c:showSerName val="0"/>
          <c:showPercent val="0"/>
          <c:showBubbleSize val="0"/>
        </c:dLbls>
        <c:gapWidth val="150"/>
        <c:axId val="627386767"/>
        <c:axId val="1142798159"/>
      </c:barChart>
      <c:lineChart>
        <c:grouping val="standard"/>
        <c:varyColors val="0"/>
        <c:ser>
          <c:idx val="1"/>
          <c:order val="1"/>
          <c:tx>
            <c:strRef>
              <c:f>'Forecast Assumptions'!$B$9</c:f>
              <c:strCache>
                <c:ptCount val="1"/>
                <c:pt idx="0">
                  <c:v>Average Sale Price</c:v>
                </c:pt>
              </c:strCache>
            </c:strRef>
          </c:tx>
          <c:spPr>
            <a:ln w="28575" cap="rnd">
              <a:solidFill>
                <a:schemeClr val="accent2"/>
              </a:solidFill>
              <a:round/>
            </a:ln>
            <a:effectLst/>
          </c:spPr>
          <c:marker>
            <c:symbol val="none"/>
          </c:marker>
          <c:dLbls>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Assumptions'!$E$9:$I$9</c:f>
              <c:numCache>
                <c:formatCode>#,##0.00</c:formatCode>
                <c:ptCount val="5"/>
                <c:pt idx="0">
                  <c:v>4</c:v>
                </c:pt>
                <c:pt idx="1">
                  <c:v>4.16</c:v>
                </c:pt>
                <c:pt idx="2">
                  <c:v>4.3263999999999996</c:v>
                </c:pt>
                <c:pt idx="3">
                  <c:v>4.4994559999999995</c:v>
                </c:pt>
                <c:pt idx="4">
                  <c:v>4.6794342399999991</c:v>
                </c:pt>
              </c:numCache>
            </c:numRef>
          </c:val>
          <c:smooth val="0"/>
          <c:extLst>
            <c:ext xmlns:c16="http://schemas.microsoft.com/office/drawing/2014/chart" uri="{C3380CC4-5D6E-409C-BE32-E72D297353CC}">
              <c16:uniqueId val="{00000001-DD8A-4068-B553-ADAD75A6EB82}"/>
            </c:ext>
          </c:extLst>
        </c:ser>
        <c:dLbls>
          <c:showLegendKey val="0"/>
          <c:showVal val="0"/>
          <c:showCatName val="0"/>
          <c:showSerName val="0"/>
          <c:showPercent val="0"/>
          <c:showBubbleSize val="0"/>
        </c:dLbls>
        <c:marker val="1"/>
        <c:smooth val="0"/>
        <c:axId val="2074649968"/>
        <c:axId val="2074650448"/>
      </c:lineChart>
      <c:dateAx>
        <c:axId val="62738676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ID"/>
                  <a:t>Number of Units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valAx>
        <c:axId val="2074650448"/>
        <c:scaling>
          <c:orientation val="minMax"/>
        </c:scaling>
        <c:delete val="0"/>
        <c:axPos val="r"/>
        <c:title>
          <c:tx>
            <c:rich>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ID"/>
                  <a:t>Average Sale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2074649968"/>
        <c:crosses val="max"/>
        <c:crossBetween val="between"/>
      </c:valAx>
      <c:dateAx>
        <c:axId val="2074649968"/>
        <c:scaling>
          <c:orientation val="minMax"/>
        </c:scaling>
        <c:delete val="1"/>
        <c:axPos val="b"/>
        <c:numFmt formatCode="&quot;FY&quot;yy&quot;E&quot;" sourceLinked="1"/>
        <c:majorTickMark val="out"/>
        <c:minorTickMark val="none"/>
        <c:tickLblPos val="nextTo"/>
        <c:crossAx val="2074650448"/>
        <c:auto val="1"/>
        <c:lblOffset val="100"/>
        <c:baseTimeUnit val="years"/>
      </c:dateAx>
      <c:spPr>
        <a:noFill/>
        <a:ln>
          <a:noFill/>
        </a:ln>
        <a:effectLst/>
      </c:spPr>
    </c:plotArea>
    <c:legend>
      <c:legendPos val="b"/>
      <c:layout>
        <c:manualLayout>
          <c:xMode val="edge"/>
          <c:yMode val="edge"/>
          <c:x val="0.29242702827583344"/>
          <c:y val="0.93331574228676628"/>
          <c:w val="0.37701017448052687"/>
          <c:h val="4.9336055619884044E-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291353</xdr:colOff>
      <xdr:row>6</xdr:row>
      <xdr:rowOff>105657</xdr:rowOff>
    </xdr:from>
    <xdr:to>
      <xdr:col>17</xdr:col>
      <xdr:colOff>1358155</xdr:colOff>
      <xdr:row>10</xdr:row>
      <xdr:rowOff>22411</xdr:rowOff>
    </xdr:to>
    <xdr:sp macro="" textlink="">
      <xdr:nvSpPr>
        <xdr:cNvPr id="2" name="Rectangle: Rounded Corners 1">
          <a:extLst>
            <a:ext uri="{FF2B5EF4-FFF2-40B4-BE49-F238E27FC236}">
              <a16:creationId xmlns:a16="http://schemas.microsoft.com/office/drawing/2014/main" id="{E24DCFB9-8213-4C2B-85CC-88E9FFD3FC78}"/>
            </a:ext>
          </a:extLst>
        </xdr:cNvPr>
        <xdr:cNvSpPr/>
      </xdr:nvSpPr>
      <xdr:spPr>
        <a:xfrm>
          <a:off x="14528053" y="1502657"/>
          <a:ext cx="11156952" cy="6787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Cupcakes: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they expect volumes of 100,000 and an average sale price of $4.00 per unit. For FY21E, they expect to grow volumes at 10% per year; for each year thereafter, the growth rate should be 1% lower than the previous year's growth rate. For price per unit, they expect this to grow at 4%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11</xdr:row>
      <xdr:rowOff>132871</xdr:rowOff>
    </xdr:from>
    <xdr:to>
      <xdr:col>17</xdr:col>
      <xdr:colOff>1358155</xdr:colOff>
      <xdr:row>17</xdr:row>
      <xdr:rowOff>1</xdr:rowOff>
    </xdr:to>
    <xdr:sp macro="" textlink="">
      <xdr:nvSpPr>
        <xdr:cNvPr id="3" name="Rectangle: Rounded Corners 2">
          <a:extLst>
            <a:ext uri="{FF2B5EF4-FFF2-40B4-BE49-F238E27FC236}">
              <a16:creationId xmlns:a16="http://schemas.microsoft.com/office/drawing/2014/main" id="{941115D9-E38F-4C18-AE27-79B5528D5517}"/>
            </a:ext>
          </a:extLst>
        </xdr:cNvPr>
        <xdr:cNvSpPr/>
      </xdr:nvSpPr>
      <xdr:spPr>
        <a:xfrm>
          <a:off x="14528053" y="2482371"/>
          <a:ext cx="11156952" cy="101013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Ice Cream &amp; Drinks: </a:t>
          </a:r>
          <a:r>
            <a:rPr lang="en-GB" sz="1100" b="0" u="none">
              <a:latin typeface="Arial" panose="020B0604020202020204" pitchFamily="34" charset="0"/>
              <a:cs typeface="Arial" panose="020B0604020202020204" pitchFamily="34" charset="0"/>
            </a:rPr>
            <a:t>Recreate</a:t>
          </a:r>
          <a:r>
            <a:rPr lang="en-GB" sz="1100" b="0" u="none" baseline="0">
              <a:latin typeface="Arial" panose="020B0604020202020204" pitchFamily="34" charset="0"/>
              <a:cs typeface="Arial" panose="020B0604020202020204" pitchFamily="34" charset="0"/>
            </a:rPr>
            <a:t> the revenue schedule for Ice Cream &amp; Drinks. For Ice Cream, management believes for FY20E, they expect volumes of 60,000 and an average sale price of $3.00 per unit. For FY21E, they expect to grow volumes at 10% per year; for each year thereafter, the growth rate should be 1% lower than the previous year's growth rate. For price per unit, they expect this to grow at 4% per year. For Drinks, management believes for FY20E, they expect volumes of 50,000 and an average sale price of $2.50 per unit. For FY21E, they expect to grow volumes at 10% per year; for each year thereafter, the growth rate should be 1% lower than the previous year's growth rate. For price per unit, they expect this to grow at 4% per year. </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20</xdr:row>
      <xdr:rowOff>160085</xdr:rowOff>
    </xdr:from>
    <xdr:to>
      <xdr:col>17</xdr:col>
      <xdr:colOff>1358155</xdr:colOff>
      <xdr:row>25</xdr:row>
      <xdr:rowOff>40821</xdr:rowOff>
    </xdr:to>
    <xdr:sp macro="" textlink="">
      <xdr:nvSpPr>
        <xdr:cNvPr id="4" name="Rectangle: Rounded Corners 3">
          <a:extLst>
            <a:ext uri="{FF2B5EF4-FFF2-40B4-BE49-F238E27FC236}">
              <a16:creationId xmlns:a16="http://schemas.microsoft.com/office/drawing/2014/main" id="{67505F58-0C79-4CA6-989C-70F4AFAE8E1D}"/>
            </a:ext>
          </a:extLst>
        </xdr:cNvPr>
        <xdr:cNvSpPr/>
      </xdr:nvSpPr>
      <xdr:spPr>
        <a:xfrm>
          <a:off x="14528053" y="4224085"/>
          <a:ext cx="11156952" cy="83323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COGS: </a:t>
          </a:r>
          <a:r>
            <a:rPr lang="en-GB" sz="1100" b="0" u="none">
              <a:latin typeface="Arial" panose="020B0604020202020204" pitchFamily="34" charset="0"/>
              <a:cs typeface="Arial" panose="020B0604020202020204" pitchFamily="34" charset="0"/>
            </a:rPr>
            <a:t>For</a:t>
          </a:r>
          <a:r>
            <a:rPr lang="en-GB" sz="1100" b="0" u="none" baseline="0">
              <a:latin typeface="Arial" panose="020B0604020202020204" pitchFamily="34" charset="0"/>
              <a:cs typeface="Arial" panose="020B0604020202020204" pitchFamily="34" charset="0"/>
            </a:rPr>
            <a:t> Cupcakes, m</a:t>
          </a:r>
          <a:r>
            <a:rPr lang="en-GB" sz="1100" b="0" u="none">
              <a:latin typeface="Arial" panose="020B0604020202020204" pitchFamily="34" charset="0"/>
              <a:cs typeface="Arial" panose="020B0604020202020204" pitchFamily="34" charset="0"/>
            </a:rPr>
            <a:t>anagement believes for FY20E, COGS per unit will be $1.50.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Please input these assumptions into the light blue boxes.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Recreate the COGS schedule for Ice Cream &amp; Drinks. For Ice Cream, management believes for FY20E, COGS per unit will be $0.80;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For Drinks, management believes for FY20E, COGS per unit will be $1.10; for the following years, assume COGS per</a:t>
          </a:r>
          <a:r>
            <a:rPr lang="en-GB" sz="1100" b="0" u="none" baseline="0">
              <a:latin typeface="Arial" panose="020B0604020202020204" pitchFamily="34" charset="0"/>
              <a:cs typeface="Arial" panose="020B0604020202020204" pitchFamily="34" charset="0"/>
            </a:rPr>
            <a:t> unit </a:t>
          </a:r>
          <a:r>
            <a:rPr lang="en-GB" sz="1100" b="0" u="none">
              <a:latin typeface="Arial" panose="020B0604020202020204" pitchFamily="34" charset="0"/>
              <a:cs typeface="Arial" panose="020B0604020202020204" pitchFamily="34" charset="0"/>
            </a:rPr>
            <a:t>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a:t>
          </a:r>
        </a:p>
      </xdr:txBody>
    </xdr:sp>
    <xdr:clientData/>
  </xdr:twoCellAnchor>
  <xdr:twoCellAnchor>
    <xdr:from>
      <xdr:col>10</xdr:col>
      <xdr:colOff>291353</xdr:colOff>
      <xdr:row>31</xdr:row>
      <xdr:rowOff>27214</xdr:rowOff>
    </xdr:from>
    <xdr:to>
      <xdr:col>17</xdr:col>
      <xdr:colOff>1290920</xdr:colOff>
      <xdr:row>33</xdr:row>
      <xdr:rowOff>163285</xdr:rowOff>
    </xdr:to>
    <xdr:sp macro="" textlink="">
      <xdr:nvSpPr>
        <xdr:cNvPr id="5" name="Rectangle: Rounded Corners 4">
          <a:extLst>
            <a:ext uri="{FF2B5EF4-FFF2-40B4-BE49-F238E27FC236}">
              <a16:creationId xmlns:a16="http://schemas.microsoft.com/office/drawing/2014/main" id="{34E9546F-604A-4477-B987-5C648620A6F8}"/>
            </a:ext>
          </a:extLst>
        </xdr:cNvPr>
        <xdr:cNvSpPr/>
      </xdr:nvSpPr>
      <xdr:spPr>
        <a:xfrm>
          <a:off x="14528053" y="6186714"/>
          <a:ext cx="1108971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D&amp;A:</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D&amp;A will be -5% of revenue. For the following years, assume this figure falls by 0.25% per annum (e.g. FY21E is -4.75%).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25</xdr:row>
      <xdr:rowOff>160085</xdr:rowOff>
    </xdr:from>
    <xdr:to>
      <xdr:col>17</xdr:col>
      <xdr:colOff>1358155</xdr:colOff>
      <xdr:row>28</xdr:row>
      <xdr:rowOff>122464</xdr:rowOff>
    </xdr:to>
    <xdr:sp macro="" textlink="">
      <xdr:nvSpPr>
        <xdr:cNvPr id="6" name="Rectangle: Rounded Corners 5">
          <a:extLst>
            <a:ext uri="{FF2B5EF4-FFF2-40B4-BE49-F238E27FC236}">
              <a16:creationId xmlns:a16="http://schemas.microsoft.com/office/drawing/2014/main" id="{24E6D22A-0382-43A1-BED5-CD9523300E16}"/>
            </a:ext>
          </a:extLst>
        </xdr:cNvPr>
        <xdr:cNvSpPr/>
      </xdr:nvSpPr>
      <xdr:spPr>
        <a:xfrm>
          <a:off x="14528053" y="5176585"/>
          <a:ext cx="11156952" cy="53387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Opex: </a:t>
          </a:r>
          <a:r>
            <a:rPr lang="en-GB" sz="1100" b="0" u="none">
              <a:latin typeface="Arial" panose="020B0604020202020204" pitchFamily="34" charset="0"/>
              <a:cs typeface="Arial" panose="020B0604020202020204" pitchFamily="34" charset="0"/>
            </a:rPr>
            <a:t>For FY20E, management expects Staff Costs</a:t>
          </a:r>
          <a:r>
            <a:rPr lang="en-GB" sz="1100" b="0" u="none" baseline="0">
              <a:latin typeface="Arial" panose="020B0604020202020204" pitchFamily="34" charset="0"/>
              <a:cs typeface="Arial" panose="020B0604020202020204" pitchFamily="34" charset="0"/>
            </a:rPr>
            <a:t> of $150,000; Occupancy Costs of $60,000; Marketing Costs of $10,000; and Other Costs of $5,000. All costs are expected to grow at 5% per year, except for Occupancy Costs at 3% per year.</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35</xdr:row>
      <xdr:rowOff>108857</xdr:rowOff>
    </xdr:from>
    <xdr:to>
      <xdr:col>17</xdr:col>
      <xdr:colOff>1290920</xdr:colOff>
      <xdr:row>38</xdr:row>
      <xdr:rowOff>54428</xdr:rowOff>
    </xdr:to>
    <xdr:sp macro="" textlink="">
      <xdr:nvSpPr>
        <xdr:cNvPr id="7" name="Rectangle: Rounded Corners 6">
          <a:extLst>
            <a:ext uri="{FF2B5EF4-FFF2-40B4-BE49-F238E27FC236}">
              <a16:creationId xmlns:a16="http://schemas.microsoft.com/office/drawing/2014/main" id="{15A1E3B8-0BDE-429D-8629-7C20BB22946E}"/>
            </a:ext>
          </a:extLst>
        </xdr:cNvPr>
        <xdr:cNvSpPr/>
      </xdr:nvSpPr>
      <xdr:spPr>
        <a:xfrm>
          <a:off x="14528053" y="7030357"/>
          <a:ext cx="1108971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Flow:</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Capex, assume % of revenue equal to the D&amp;A percentages</a:t>
          </a:r>
          <a:r>
            <a:rPr lang="en-GB" sz="1100" b="0" u="none" baseline="0">
              <a:latin typeface="Arial" panose="020B0604020202020204" pitchFamily="34" charset="0"/>
              <a:cs typeface="Arial" panose="020B0604020202020204" pitchFamily="34" charset="0"/>
            </a:rPr>
            <a:t> of revenue for each year. For Change in NWC, assume -1% of revenue for each year. For Dividend Payout Ratio, assume 60%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41</xdr:row>
      <xdr:rowOff>176893</xdr:rowOff>
    </xdr:from>
    <xdr:to>
      <xdr:col>17</xdr:col>
      <xdr:colOff>1290920</xdr:colOff>
      <xdr:row>44</xdr:row>
      <xdr:rowOff>122464</xdr:rowOff>
    </xdr:to>
    <xdr:sp macro="" textlink="">
      <xdr:nvSpPr>
        <xdr:cNvPr id="8" name="Rectangle: Rounded Corners 7">
          <a:extLst>
            <a:ext uri="{FF2B5EF4-FFF2-40B4-BE49-F238E27FC236}">
              <a16:creationId xmlns:a16="http://schemas.microsoft.com/office/drawing/2014/main" id="{5D220845-1F91-4AA8-9921-2A26B6DB39AC}"/>
            </a:ext>
          </a:extLst>
        </xdr:cNvPr>
        <xdr:cNvSpPr/>
      </xdr:nvSpPr>
      <xdr:spPr>
        <a:xfrm>
          <a:off x="14528053" y="8241393"/>
          <a:ext cx="1108971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Other:</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Tax Rate, assume 21% for all years. For Interest</a:t>
          </a:r>
          <a:r>
            <a:rPr lang="en-GB" sz="1100" b="0" u="none" baseline="0">
              <a:latin typeface="Arial" panose="020B0604020202020204" pitchFamily="34" charset="0"/>
              <a:cs typeface="Arial" panose="020B0604020202020204" pitchFamily="34" charset="0"/>
            </a:rPr>
            <a:t> Rates, assume a 4% rate on debt and a 1% rate on cash.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244929</xdr:colOff>
      <xdr:row>4</xdr:row>
      <xdr:rowOff>13607</xdr:rowOff>
    </xdr:from>
    <xdr:to>
      <xdr:col>17</xdr:col>
      <xdr:colOff>1311731</xdr:colOff>
      <xdr:row>7</xdr:row>
      <xdr:rowOff>120861</xdr:rowOff>
    </xdr:to>
    <xdr:sp macro="" textlink="">
      <xdr:nvSpPr>
        <xdr:cNvPr id="2" name="Rectangle: Rounded Corners 1">
          <a:extLst>
            <a:ext uri="{FF2B5EF4-FFF2-40B4-BE49-F238E27FC236}">
              <a16:creationId xmlns:a16="http://schemas.microsoft.com/office/drawing/2014/main" id="{587D5EF1-85D8-4B3F-8653-CF05C1616889}"/>
            </a:ext>
          </a:extLst>
        </xdr:cNvPr>
        <xdr:cNvSpPr/>
      </xdr:nvSpPr>
      <xdr:spPr>
        <a:xfrm>
          <a:off x="12849679" y="1029607"/>
          <a:ext cx="11156952" cy="6787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Revenue: </a:t>
          </a:r>
          <a:r>
            <a:rPr lang="en-GB" sz="1100" b="0" u="none">
              <a:latin typeface="Arial" panose="020B0604020202020204" pitchFamily="34" charset="0"/>
              <a:cs typeface="Arial" panose="020B0604020202020204" pitchFamily="34" charset="0"/>
            </a:rPr>
            <a:t>Use Price x Volume</a:t>
          </a:r>
          <a:r>
            <a:rPr lang="en-GB" sz="1100" b="0" u="none" baseline="0">
              <a:latin typeface="Arial" panose="020B0604020202020204" pitchFamily="34" charset="0"/>
              <a:cs typeface="Arial" panose="020B0604020202020204" pitchFamily="34" charset="0"/>
            </a:rPr>
            <a:t> to calculate revenue for each product. Then sum the product revenues to calculate total revenue. Thereafter, calculate the annual revenue growth rate for FY21E-FY24E. Be sure to include the unit for each line item throughout this sheet!</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9</xdr:row>
      <xdr:rowOff>68036</xdr:rowOff>
    </xdr:from>
    <xdr:to>
      <xdr:col>17</xdr:col>
      <xdr:colOff>1311731</xdr:colOff>
      <xdr:row>12</xdr:row>
      <xdr:rowOff>40821</xdr:rowOff>
    </xdr:to>
    <xdr:sp macro="" textlink="">
      <xdr:nvSpPr>
        <xdr:cNvPr id="3" name="Rectangle: Rounded Corners 2">
          <a:extLst>
            <a:ext uri="{FF2B5EF4-FFF2-40B4-BE49-F238E27FC236}">
              <a16:creationId xmlns:a16="http://schemas.microsoft.com/office/drawing/2014/main" id="{E3601DB9-8C89-4571-B893-B5AE676F1A41}"/>
            </a:ext>
          </a:extLst>
        </xdr:cNvPr>
        <xdr:cNvSpPr/>
      </xdr:nvSpPr>
      <xdr:spPr>
        <a:xfrm>
          <a:off x="12849679" y="2036536"/>
          <a:ext cx="1115695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COGS</a:t>
          </a:r>
          <a:r>
            <a:rPr lang="en-GB" sz="1100" b="1" u="none" baseline="0">
              <a:latin typeface="Arial" panose="020B0604020202020204" pitchFamily="34" charset="0"/>
              <a:cs typeface="Arial" panose="020B0604020202020204" pitchFamily="34" charset="0"/>
            </a:rPr>
            <a:t> &amp; Gross Profit</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Use COGS per Unit x Volume</a:t>
          </a:r>
          <a:r>
            <a:rPr lang="en-GB" sz="1100" b="0" u="none" baseline="0">
              <a:latin typeface="Arial" panose="020B0604020202020204" pitchFamily="34" charset="0"/>
              <a:cs typeface="Arial" panose="020B0604020202020204" pitchFamily="34" charset="0"/>
            </a:rPr>
            <a:t> to calculate COGS for each product. The difference between Total Revenue and Gross Profit is COGS. Thereafter, calculate the gross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16</xdr:row>
      <xdr:rowOff>27215</xdr:rowOff>
    </xdr:from>
    <xdr:to>
      <xdr:col>17</xdr:col>
      <xdr:colOff>1311731</xdr:colOff>
      <xdr:row>19</xdr:row>
      <xdr:rowOff>0</xdr:rowOff>
    </xdr:to>
    <xdr:sp macro="" textlink="">
      <xdr:nvSpPr>
        <xdr:cNvPr id="4" name="Rectangle: Rounded Corners 3">
          <a:extLst>
            <a:ext uri="{FF2B5EF4-FFF2-40B4-BE49-F238E27FC236}">
              <a16:creationId xmlns:a16="http://schemas.microsoft.com/office/drawing/2014/main" id="{74D41F45-8385-46B2-B157-739175A7CAB2}"/>
            </a:ext>
          </a:extLst>
        </xdr:cNvPr>
        <xdr:cNvSpPr/>
      </xdr:nvSpPr>
      <xdr:spPr>
        <a:xfrm>
          <a:off x="12849679" y="3329215"/>
          <a:ext cx="1115695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Opex &amp; EBITDA: </a:t>
          </a:r>
          <a:r>
            <a:rPr lang="en-GB" sz="1100" b="0" u="none">
              <a:latin typeface="Arial" panose="020B0604020202020204" pitchFamily="34" charset="0"/>
              <a:cs typeface="Arial" panose="020B0604020202020204" pitchFamily="34" charset="0"/>
            </a:rPr>
            <a:t>Use the assumptions for each opex line item</a:t>
          </a:r>
          <a:r>
            <a:rPr lang="en-GB" sz="1100" b="0" u="none" baseline="0">
              <a:latin typeface="Arial" panose="020B0604020202020204" pitchFamily="34" charset="0"/>
              <a:cs typeface="Arial" panose="020B0604020202020204" pitchFamily="34" charset="0"/>
            </a:rPr>
            <a:t> for each year. The difference between Gross Profit and EBITDA is Opex. Thereafter, calculate the EBITDA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23</xdr:row>
      <xdr:rowOff>13608</xdr:rowOff>
    </xdr:from>
    <xdr:to>
      <xdr:col>17</xdr:col>
      <xdr:colOff>1311731</xdr:colOff>
      <xdr:row>25</xdr:row>
      <xdr:rowOff>176893</xdr:rowOff>
    </xdr:to>
    <xdr:sp macro="" textlink="">
      <xdr:nvSpPr>
        <xdr:cNvPr id="5" name="Rectangle: Rounded Corners 4">
          <a:extLst>
            <a:ext uri="{FF2B5EF4-FFF2-40B4-BE49-F238E27FC236}">
              <a16:creationId xmlns:a16="http://schemas.microsoft.com/office/drawing/2014/main" id="{83864DA2-9EC1-4CEA-96CD-94CF08ADB1ED}"/>
            </a:ext>
          </a:extLst>
        </xdr:cNvPr>
        <xdr:cNvSpPr/>
      </xdr:nvSpPr>
      <xdr:spPr>
        <a:xfrm>
          <a:off x="12849679" y="4649108"/>
          <a:ext cx="1115695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D&amp;A &amp; EBIT: </a:t>
          </a:r>
          <a:r>
            <a:rPr lang="en-GB" sz="1100" b="0" u="none">
              <a:latin typeface="Arial" panose="020B0604020202020204" pitchFamily="34" charset="0"/>
              <a:cs typeface="Arial" panose="020B0604020202020204" pitchFamily="34" charset="0"/>
            </a:rPr>
            <a:t>Use the % of revenue assumption to calculate D&amp;A</a:t>
          </a:r>
          <a:r>
            <a:rPr lang="en-GB" sz="1100" b="0" u="none" baseline="0">
              <a:latin typeface="Arial" panose="020B0604020202020204" pitchFamily="34" charset="0"/>
              <a:cs typeface="Arial" panose="020B0604020202020204" pitchFamily="34" charset="0"/>
            </a:rPr>
            <a:t> for each year. The difference EBITDA and EBIT is D&amp;A. Thereafter, calculate the EBIT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27</xdr:row>
      <xdr:rowOff>2</xdr:rowOff>
    </xdr:from>
    <xdr:to>
      <xdr:col>17</xdr:col>
      <xdr:colOff>1311731</xdr:colOff>
      <xdr:row>28</xdr:row>
      <xdr:rowOff>163286</xdr:rowOff>
    </xdr:to>
    <xdr:sp macro="" textlink="">
      <xdr:nvSpPr>
        <xdr:cNvPr id="6" name="Rectangle: Rounded Corners 5">
          <a:extLst>
            <a:ext uri="{FF2B5EF4-FFF2-40B4-BE49-F238E27FC236}">
              <a16:creationId xmlns:a16="http://schemas.microsoft.com/office/drawing/2014/main" id="{42FCB3D5-5CFB-46D4-A5EE-3D08350FBBF9}"/>
            </a:ext>
          </a:extLst>
        </xdr:cNvPr>
        <xdr:cNvSpPr/>
      </xdr:nvSpPr>
      <xdr:spPr>
        <a:xfrm>
          <a:off x="12849679" y="5397502"/>
          <a:ext cx="11156952" cy="35378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Interest: </a:t>
          </a:r>
          <a:r>
            <a:rPr lang="en-GB" sz="1100" b="0" u="none">
              <a:latin typeface="Arial" panose="020B0604020202020204" pitchFamily="34" charset="0"/>
              <a:cs typeface="Arial" panose="020B0604020202020204" pitchFamily="34" charset="0"/>
            </a:rPr>
            <a:t>Leave this blank for now.</a:t>
          </a:r>
          <a:r>
            <a:rPr lang="en-GB" sz="1100" b="0" u="none" baseline="0">
              <a:latin typeface="Arial" panose="020B0604020202020204" pitchFamily="34" charset="0"/>
              <a:cs typeface="Arial" panose="020B0604020202020204" pitchFamily="34" charset="0"/>
            </a:rPr>
            <a:t> We will fill this out in later modules.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30</xdr:row>
      <xdr:rowOff>163287</xdr:rowOff>
    </xdr:from>
    <xdr:to>
      <xdr:col>17</xdr:col>
      <xdr:colOff>1311731</xdr:colOff>
      <xdr:row>33</xdr:row>
      <xdr:rowOff>136072</xdr:rowOff>
    </xdr:to>
    <xdr:sp macro="" textlink="">
      <xdr:nvSpPr>
        <xdr:cNvPr id="7" name="Rectangle: Rounded Corners 6">
          <a:extLst>
            <a:ext uri="{FF2B5EF4-FFF2-40B4-BE49-F238E27FC236}">
              <a16:creationId xmlns:a16="http://schemas.microsoft.com/office/drawing/2014/main" id="{192AC808-6E0A-4A7A-AA95-2832B9C5B2CC}"/>
            </a:ext>
          </a:extLst>
        </xdr:cNvPr>
        <xdr:cNvSpPr/>
      </xdr:nvSpPr>
      <xdr:spPr>
        <a:xfrm>
          <a:off x="12849679" y="6132287"/>
          <a:ext cx="1115695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Tax Expense</a:t>
          </a:r>
          <a:r>
            <a:rPr lang="en-GB" sz="1100" b="1" u="none" baseline="0">
              <a:latin typeface="Arial" panose="020B0604020202020204" pitchFamily="34" charset="0"/>
              <a:cs typeface="Arial" panose="020B0604020202020204" pitchFamily="34" charset="0"/>
            </a:rPr>
            <a:t> &amp; NPAT</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Use PBT for each year</a:t>
          </a:r>
          <a:r>
            <a:rPr lang="en-GB" sz="1100" b="0" u="none" baseline="0">
              <a:latin typeface="Arial" panose="020B0604020202020204" pitchFamily="34" charset="0"/>
              <a:cs typeface="Arial" panose="020B0604020202020204" pitchFamily="34" charset="0"/>
            </a:rPr>
            <a:t> and </a:t>
          </a:r>
          <a:r>
            <a:rPr lang="en-GB" sz="1100" b="0" u="none">
              <a:latin typeface="Arial" panose="020B0604020202020204" pitchFamily="34" charset="0"/>
              <a:cs typeface="Arial" panose="020B0604020202020204" pitchFamily="34" charset="0"/>
            </a:rPr>
            <a:t>the tax rate from the assumptions tab</a:t>
          </a:r>
          <a:r>
            <a:rPr lang="en-GB" sz="1100" b="0" u="none" baseline="0">
              <a:latin typeface="Arial" panose="020B0604020202020204" pitchFamily="34" charset="0"/>
              <a:cs typeface="Arial" panose="020B0604020202020204" pitchFamily="34" charset="0"/>
            </a:rPr>
            <a:t> to calculate NPAT. Thereafter, calculate the NPAT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34</xdr:row>
      <xdr:rowOff>176894</xdr:rowOff>
    </xdr:from>
    <xdr:to>
      <xdr:col>17</xdr:col>
      <xdr:colOff>1311731</xdr:colOff>
      <xdr:row>37</xdr:row>
      <xdr:rowOff>13607</xdr:rowOff>
    </xdr:to>
    <xdr:sp macro="" textlink="">
      <xdr:nvSpPr>
        <xdr:cNvPr id="8" name="Rectangle: Rounded Corners 7">
          <a:extLst>
            <a:ext uri="{FF2B5EF4-FFF2-40B4-BE49-F238E27FC236}">
              <a16:creationId xmlns:a16="http://schemas.microsoft.com/office/drawing/2014/main" id="{3116FA99-6360-4F7C-BB27-04F007FF957E}"/>
            </a:ext>
          </a:extLst>
        </xdr:cNvPr>
        <xdr:cNvSpPr/>
      </xdr:nvSpPr>
      <xdr:spPr>
        <a:xfrm>
          <a:off x="12849679" y="6907894"/>
          <a:ext cx="11156952" cy="40821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Dividends: </a:t>
          </a:r>
          <a:r>
            <a:rPr lang="en-GB" sz="1100" b="0" u="none">
              <a:latin typeface="Arial" panose="020B0604020202020204" pitchFamily="34" charset="0"/>
              <a:cs typeface="Arial" panose="020B0604020202020204" pitchFamily="34" charset="0"/>
            </a:rPr>
            <a:t>Use NPAT for each year</a:t>
          </a:r>
          <a:r>
            <a:rPr lang="en-GB" sz="1100" b="0" u="none" baseline="0">
              <a:latin typeface="Arial" panose="020B0604020202020204" pitchFamily="34" charset="0"/>
              <a:cs typeface="Arial" panose="020B0604020202020204" pitchFamily="34" charset="0"/>
            </a:rPr>
            <a:t> and </a:t>
          </a:r>
          <a:r>
            <a:rPr lang="en-GB" sz="1100" b="0" u="none">
              <a:latin typeface="Arial" panose="020B0604020202020204" pitchFamily="34" charset="0"/>
              <a:cs typeface="Arial" panose="020B0604020202020204" pitchFamily="34" charset="0"/>
            </a:rPr>
            <a:t>the Dividend Payout Ratio from the assumptions tab</a:t>
          </a:r>
          <a:r>
            <a:rPr lang="en-GB" sz="1100" b="0" u="none" baseline="0">
              <a:latin typeface="Arial" panose="020B0604020202020204" pitchFamily="34" charset="0"/>
              <a:cs typeface="Arial" panose="020B0604020202020204" pitchFamily="34" charset="0"/>
            </a:rPr>
            <a:t> to calculate Gross Dividends. </a:t>
          </a:r>
          <a:endParaRPr lang="en-GB" sz="1100" b="0" u="none">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95250</xdr:colOff>
      <xdr:row>3</xdr:row>
      <xdr:rowOff>122464</xdr:rowOff>
    </xdr:from>
    <xdr:to>
      <xdr:col>17</xdr:col>
      <xdr:colOff>1162052</xdr:colOff>
      <xdr:row>9</xdr:row>
      <xdr:rowOff>176892</xdr:rowOff>
    </xdr:to>
    <xdr:sp macro="" textlink="">
      <xdr:nvSpPr>
        <xdr:cNvPr id="2" name="Rectangle: Rounded Corners 1">
          <a:extLst>
            <a:ext uri="{FF2B5EF4-FFF2-40B4-BE49-F238E27FC236}">
              <a16:creationId xmlns:a16="http://schemas.microsoft.com/office/drawing/2014/main" id="{4E35FB12-CE7A-4FFD-9AF2-8B900E6D2B1D}"/>
            </a:ext>
          </a:extLst>
        </xdr:cNvPr>
        <xdr:cNvSpPr/>
      </xdr:nvSpPr>
      <xdr:spPr>
        <a:xfrm>
          <a:off x="14331950" y="947964"/>
          <a:ext cx="11156952" cy="11974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Cash Flow: </a:t>
          </a:r>
          <a:r>
            <a:rPr lang="en-GB" sz="1100" b="0" u="none">
              <a:latin typeface="Arial" panose="020B0604020202020204" pitchFamily="34" charset="0"/>
              <a:cs typeface="Arial" panose="020B0604020202020204" pitchFamily="34" charset="0"/>
            </a:rPr>
            <a:t>Link up EBITDA</a:t>
          </a:r>
          <a:r>
            <a:rPr lang="en-GB" sz="1100" b="0" u="none" baseline="0">
              <a:latin typeface="Arial" panose="020B0604020202020204" pitchFamily="34" charset="0"/>
              <a:cs typeface="Arial" panose="020B0604020202020204" pitchFamily="34" charset="0"/>
            </a:rPr>
            <a:t>, Taxes and Dividends from the P&amp;L (ensure the right sign for dividends given it takes cash away from the business). For Change in NWC, use the % of revenue assumption to calculate the figure for each year. For Net Interest, calculate Interest Expense (opening debt x debt interest rate --&gt; should be negative) and Interest Income (opening cash x cash interest rate), and sum them together. For Net Capex, use the % of revenue assumption to calculate the figure for each year.</a:t>
          </a:r>
          <a:br>
            <a:rPr lang="en-GB" sz="1100" b="0" u="none" baseline="0">
              <a:latin typeface="Arial" panose="020B0604020202020204" pitchFamily="34" charset="0"/>
              <a:cs typeface="Arial" panose="020B0604020202020204" pitchFamily="34" charset="0"/>
            </a:rPr>
          </a:br>
          <a:br>
            <a:rPr lang="en-GB" sz="1100" b="0" u="none" baseline="0">
              <a:latin typeface="Arial" panose="020B0604020202020204" pitchFamily="34" charset="0"/>
              <a:cs typeface="Arial" panose="020B0604020202020204" pitchFamily="34" charset="0"/>
            </a:rPr>
          </a:br>
          <a:r>
            <a:rPr lang="en-GB" sz="1100" b="0" u="none" baseline="0">
              <a:latin typeface="Arial" panose="020B0604020202020204" pitchFamily="34" charset="0"/>
              <a:cs typeface="Arial" panose="020B0604020202020204" pitchFamily="34" charset="0"/>
            </a:rPr>
            <a:t>Thereafter, sum all of the aforementioned line items to calculate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10</xdr:row>
      <xdr:rowOff>68036</xdr:rowOff>
    </xdr:from>
    <xdr:to>
      <xdr:col>17</xdr:col>
      <xdr:colOff>1162052</xdr:colOff>
      <xdr:row>12</xdr:row>
      <xdr:rowOff>149678</xdr:rowOff>
    </xdr:to>
    <xdr:sp macro="" textlink="">
      <xdr:nvSpPr>
        <xdr:cNvPr id="3" name="Rectangle: Rounded Corners 2">
          <a:extLst>
            <a:ext uri="{FF2B5EF4-FFF2-40B4-BE49-F238E27FC236}">
              <a16:creationId xmlns:a16="http://schemas.microsoft.com/office/drawing/2014/main" id="{D8F1244A-24A6-45D0-A456-242869BD11E1}"/>
            </a:ext>
          </a:extLst>
        </xdr:cNvPr>
        <xdr:cNvSpPr/>
      </xdr:nvSpPr>
      <xdr:spPr>
        <a:xfrm>
          <a:off x="14331950" y="2227036"/>
          <a:ext cx="1115695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a:t>
          </a:r>
          <a:r>
            <a:rPr lang="en-GB" sz="1100" b="1" u="none" baseline="0">
              <a:latin typeface="Arial" panose="020B0604020202020204" pitchFamily="34" charset="0"/>
              <a:cs typeface="Arial" panose="020B0604020202020204" pitchFamily="34" charset="0"/>
            </a:rPr>
            <a:t> Paydown</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Come up with a formula that takes into account</a:t>
          </a:r>
          <a:r>
            <a:rPr lang="en-GB" sz="1100" b="0" u="none" baseline="0">
              <a:latin typeface="Arial" panose="020B0604020202020204" pitchFamily="34" charset="0"/>
              <a:cs typeface="Arial" panose="020B0604020202020204" pitchFamily="34" charset="0"/>
            </a:rPr>
            <a:t> the client's wishes to use all excess net cash flow to pay down debt. HINT: Use a formula that ensures that the company pays down the entirety of its debt if it has the excess net cash flow to do so, or in the alternative, pays down whatever it can with that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14</xdr:row>
      <xdr:rowOff>1</xdr:rowOff>
    </xdr:from>
    <xdr:to>
      <xdr:col>17</xdr:col>
      <xdr:colOff>1162052</xdr:colOff>
      <xdr:row>16</xdr:row>
      <xdr:rowOff>81643</xdr:rowOff>
    </xdr:to>
    <xdr:sp macro="" textlink="">
      <xdr:nvSpPr>
        <xdr:cNvPr id="4" name="Rectangle: Rounded Corners 3">
          <a:extLst>
            <a:ext uri="{FF2B5EF4-FFF2-40B4-BE49-F238E27FC236}">
              <a16:creationId xmlns:a16="http://schemas.microsoft.com/office/drawing/2014/main" id="{A38805BD-DB7D-4217-8C72-F60B74E485D2}"/>
            </a:ext>
          </a:extLst>
        </xdr:cNvPr>
        <xdr:cNvSpPr/>
      </xdr:nvSpPr>
      <xdr:spPr>
        <a:xfrm>
          <a:off x="14331950" y="2921001"/>
          <a:ext cx="1115695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a:t>
          </a:r>
          <a:r>
            <a:rPr lang="en-GB" sz="1100" b="0" u="none">
              <a:latin typeface="Arial" panose="020B0604020202020204" pitchFamily="34" charset="0"/>
              <a:cs typeface="Arial" panose="020B0604020202020204" pitchFamily="34" charset="0"/>
            </a:rPr>
            <a:t>Ensure closing cash in one period is the opening balance in the next period. Additionally, link up cash to balance sheet</a:t>
          </a:r>
          <a:r>
            <a:rPr lang="en-GB" sz="1100" b="0" u="none" baseline="0">
              <a:latin typeface="Arial" panose="020B0604020202020204" pitchFamily="34" charset="0"/>
              <a:cs typeface="Arial" panose="020B0604020202020204" pitchFamily="34" charset="0"/>
            </a:rPr>
            <a:t> from the schedule above. Lastly, calculate closing cash for each period.</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20</xdr:row>
      <xdr:rowOff>27215</xdr:rowOff>
    </xdr:from>
    <xdr:to>
      <xdr:col>17</xdr:col>
      <xdr:colOff>1162052</xdr:colOff>
      <xdr:row>22</xdr:row>
      <xdr:rowOff>108857</xdr:rowOff>
    </xdr:to>
    <xdr:sp macro="" textlink="">
      <xdr:nvSpPr>
        <xdr:cNvPr id="5" name="Rectangle: Rounded Corners 4">
          <a:extLst>
            <a:ext uri="{FF2B5EF4-FFF2-40B4-BE49-F238E27FC236}">
              <a16:creationId xmlns:a16="http://schemas.microsoft.com/office/drawing/2014/main" id="{92D75772-FB21-4DC2-AD53-75B703631892}"/>
            </a:ext>
          </a:extLst>
        </xdr:cNvPr>
        <xdr:cNvSpPr/>
      </xdr:nvSpPr>
      <xdr:spPr>
        <a:xfrm>
          <a:off x="14331950" y="4091215"/>
          <a:ext cx="1115695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 </a:t>
          </a:r>
          <a:r>
            <a:rPr lang="en-GB" sz="1100" b="0" u="none">
              <a:latin typeface="Arial" panose="020B0604020202020204" pitchFamily="34" charset="0"/>
              <a:cs typeface="Arial" panose="020B0604020202020204" pitchFamily="34" charset="0"/>
            </a:rPr>
            <a:t>Ensure closing debt in one period is the opening balance in the next period. Additionally, link up debt repayment </a:t>
          </a:r>
          <a:r>
            <a:rPr lang="en-GB" sz="1100" b="0" u="none" baseline="0">
              <a:latin typeface="Arial" panose="020B0604020202020204" pitchFamily="34" charset="0"/>
              <a:cs typeface="Arial" panose="020B0604020202020204" pitchFamily="34" charset="0"/>
            </a:rPr>
            <a:t>from the schedule above. Lastly, calculate closing debt for each period.</a:t>
          </a:r>
          <a:endParaRPr lang="en-GB" sz="1100" b="0" u="none">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659944</xdr:colOff>
      <xdr:row>4</xdr:row>
      <xdr:rowOff>97971</xdr:rowOff>
    </xdr:from>
    <xdr:to>
      <xdr:col>7</xdr:col>
      <xdr:colOff>639535</xdr:colOff>
      <xdr:row>27</xdr:row>
      <xdr:rowOff>108857</xdr:rowOff>
    </xdr:to>
    <xdr:graphicFrame macro="">
      <xdr:nvGraphicFramePr>
        <xdr:cNvPr id="2" name="Chart 1">
          <a:extLst>
            <a:ext uri="{FF2B5EF4-FFF2-40B4-BE49-F238E27FC236}">
              <a16:creationId xmlns:a16="http://schemas.microsoft.com/office/drawing/2014/main" id="{DF87A67F-BA83-4434-AF0C-B85F075167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671285</xdr:colOff>
      <xdr:row>32</xdr:row>
      <xdr:rowOff>117928</xdr:rowOff>
    </xdr:from>
    <xdr:to>
      <xdr:col>7</xdr:col>
      <xdr:colOff>650876</xdr:colOff>
      <xdr:row>55</xdr:row>
      <xdr:rowOff>128814</xdr:rowOff>
    </xdr:to>
    <xdr:graphicFrame macro="">
      <xdr:nvGraphicFramePr>
        <xdr:cNvPr id="4" name="Chart 3">
          <a:extLst>
            <a:ext uri="{FF2B5EF4-FFF2-40B4-BE49-F238E27FC236}">
              <a16:creationId xmlns:a16="http://schemas.microsoft.com/office/drawing/2014/main" id="{56389EE2-A56A-4CFC-88ED-1B81090D4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780142</xdr:colOff>
      <xdr:row>59</xdr:row>
      <xdr:rowOff>172358</xdr:rowOff>
    </xdr:from>
    <xdr:to>
      <xdr:col>7</xdr:col>
      <xdr:colOff>759733</xdr:colOff>
      <xdr:row>82</xdr:row>
      <xdr:rowOff>183244</xdr:rowOff>
    </xdr:to>
    <xdr:graphicFrame macro="">
      <xdr:nvGraphicFramePr>
        <xdr:cNvPr id="5" name="Chart 4">
          <a:extLst>
            <a:ext uri="{FF2B5EF4-FFF2-40B4-BE49-F238E27FC236}">
              <a16:creationId xmlns:a16="http://schemas.microsoft.com/office/drawing/2014/main" id="{4FFC3E06-E885-4BC7-87CF-6DE79E139A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598713</xdr:colOff>
      <xdr:row>59</xdr:row>
      <xdr:rowOff>163286</xdr:rowOff>
    </xdr:from>
    <xdr:to>
      <xdr:col>7</xdr:col>
      <xdr:colOff>578304</xdr:colOff>
      <xdr:row>82</xdr:row>
      <xdr:rowOff>174172</xdr:rowOff>
    </xdr:to>
    <xdr:graphicFrame macro="">
      <xdr:nvGraphicFramePr>
        <xdr:cNvPr id="6" name="Chart 5">
          <a:extLst>
            <a:ext uri="{FF2B5EF4-FFF2-40B4-BE49-F238E27FC236}">
              <a16:creationId xmlns:a16="http://schemas.microsoft.com/office/drawing/2014/main" id="{764FF0CD-2EB9-494C-8A44-4137D4BBBB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607786</xdr:colOff>
      <xdr:row>88</xdr:row>
      <xdr:rowOff>127000</xdr:rowOff>
    </xdr:from>
    <xdr:to>
      <xdr:col>7</xdr:col>
      <xdr:colOff>587377</xdr:colOff>
      <xdr:row>111</xdr:row>
      <xdr:rowOff>137886</xdr:rowOff>
    </xdr:to>
    <xdr:graphicFrame macro="">
      <xdr:nvGraphicFramePr>
        <xdr:cNvPr id="7" name="Chart 6">
          <a:extLst>
            <a:ext uri="{FF2B5EF4-FFF2-40B4-BE49-F238E27FC236}">
              <a16:creationId xmlns:a16="http://schemas.microsoft.com/office/drawing/2014/main" id="{1015FE11-1C5F-4F23-926F-D8E33B1F98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498928</xdr:colOff>
      <xdr:row>117</xdr:row>
      <xdr:rowOff>54429</xdr:rowOff>
    </xdr:from>
    <xdr:to>
      <xdr:col>7</xdr:col>
      <xdr:colOff>478519</xdr:colOff>
      <xdr:row>140</xdr:row>
      <xdr:rowOff>65315</xdr:rowOff>
    </xdr:to>
    <xdr:graphicFrame macro="">
      <xdr:nvGraphicFramePr>
        <xdr:cNvPr id="8" name="Chart 7">
          <a:extLst>
            <a:ext uri="{FF2B5EF4-FFF2-40B4-BE49-F238E27FC236}">
              <a16:creationId xmlns:a16="http://schemas.microsoft.com/office/drawing/2014/main" id="{8A3B59CA-F4D4-40E0-A63B-040EAA035F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topLeftCell="A5" zoomScaleNormal="100" zoomScaleSheetLayoutView="85" workbookViewId="0">
      <selection activeCell="B9" sqref="B9"/>
    </sheetView>
  </sheetViews>
  <sheetFormatPr defaultColWidth="20.6328125" defaultRowHeight="15" customHeight="1" x14ac:dyDescent="0.25"/>
  <cols>
    <col min="1" max="1" width="2.6328125" style="2" customWidth="1"/>
    <col min="2" max="3" width="50.6328125" style="2" customWidth="1"/>
    <col min="4" max="4" width="1.6328125" style="2" customWidth="1"/>
    <col min="5" max="16384" width="20.6328125" style="2"/>
  </cols>
  <sheetData>
    <row r="1" spans="2:3" s="1" customFormat="1" ht="35.25" customHeight="1" x14ac:dyDescent="0.4">
      <c r="B1" s="3" t="s">
        <v>22</v>
      </c>
    </row>
    <row r="3" spans="2:3" ht="40" customHeight="1" x14ac:dyDescent="0.3">
      <c r="B3" s="4" t="s">
        <v>23</v>
      </c>
      <c r="C3" s="5" t="s">
        <v>24</v>
      </c>
    </row>
    <row r="4" spans="2:3" ht="25" x14ac:dyDescent="0.25">
      <c r="B4" s="8" t="s">
        <v>26</v>
      </c>
      <c r="C4" s="9" t="s">
        <v>41</v>
      </c>
    </row>
    <row r="5" spans="2:3" ht="25" x14ac:dyDescent="0.25">
      <c r="B5" s="8" t="s">
        <v>28</v>
      </c>
      <c r="C5" s="9" t="s">
        <v>40</v>
      </c>
    </row>
    <row r="6" spans="2:3" ht="50.5" x14ac:dyDescent="0.25">
      <c r="B6" s="8" t="s">
        <v>13</v>
      </c>
      <c r="C6" s="9" t="s">
        <v>53</v>
      </c>
    </row>
    <row r="7" spans="2:3" ht="25" x14ac:dyDescent="0.25">
      <c r="B7" s="8" t="s">
        <v>25</v>
      </c>
      <c r="C7" s="9" t="s">
        <v>42</v>
      </c>
    </row>
    <row r="8" spans="2:3" ht="62.5" x14ac:dyDescent="0.25">
      <c r="B8" s="8" t="s">
        <v>32</v>
      </c>
      <c r="C8" s="9" t="s">
        <v>34</v>
      </c>
    </row>
    <row r="9" spans="2:3" ht="87.5" x14ac:dyDescent="0.25">
      <c r="B9" s="8" t="s">
        <v>4</v>
      </c>
      <c r="C9" s="9" t="s">
        <v>44</v>
      </c>
    </row>
    <row r="10" spans="2:3" ht="50" x14ac:dyDescent="0.25">
      <c r="B10" s="8" t="s">
        <v>5</v>
      </c>
      <c r="C10" s="9" t="s">
        <v>43</v>
      </c>
    </row>
    <row r="11" spans="2:3" ht="50" x14ac:dyDescent="0.25">
      <c r="B11" s="8" t="s">
        <v>52</v>
      </c>
      <c r="C11" s="9" t="s">
        <v>35</v>
      </c>
    </row>
    <row r="12" spans="2:3" ht="37.5" x14ac:dyDescent="0.25">
      <c r="B12" s="8" t="s">
        <v>20</v>
      </c>
      <c r="C12" s="9" t="s">
        <v>36</v>
      </c>
    </row>
    <row r="13" spans="2:3" ht="200" x14ac:dyDescent="0.25">
      <c r="B13" s="8" t="s">
        <v>29</v>
      </c>
      <c r="C13" s="9" t="s">
        <v>39</v>
      </c>
    </row>
    <row r="14" spans="2:3" ht="50" x14ac:dyDescent="0.25">
      <c r="B14" s="8" t="s">
        <v>15</v>
      </c>
      <c r="C14" s="9" t="s">
        <v>54</v>
      </c>
    </row>
    <row r="15" spans="2:3" ht="50" x14ac:dyDescent="0.25">
      <c r="B15" s="8" t="s">
        <v>19</v>
      </c>
      <c r="C15" s="9" t="s">
        <v>37</v>
      </c>
    </row>
    <row r="16" spans="2:3" ht="50" x14ac:dyDescent="0.25">
      <c r="B16" s="8" t="s">
        <v>33</v>
      </c>
      <c r="C16" s="9" t="s">
        <v>38</v>
      </c>
    </row>
    <row r="17" spans="2:3" ht="15" customHeight="1" x14ac:dyDescent="0.25">
      <c r="B17" s="6"/>
      <c r="C17" s="7"/>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454C1-D740-46EC-B86B-368579541703}">
  <dimension ref="A1:I47"/>
  <sheetViews>
    <sheetView showGridLines="0" zoomScale="75" zoomScaleNormal="75" zoomScaleSheetLayoutView="70" workbookViewId="0">
      <pane xSplit="3" ySplit="3" topLeftCell="D4" activePane="bottomRight" state="frozenSplit"/>
      <selection pane="topRight" activeCell="C1" sqref="C1"/>
      <selection pane="bottomLeft" activeCell="A3" sqref="A3"/>
      <selection pane="bottomRight" activeCell="E9" sqref="E9:I9"/>
    </sheetView>
  </sheetViews>
  <sheetFormatPr defaultColWidth="20.6328125" defaultRowHeight="15" customHeight="1" outlineLevelCol="1" x14ac:dyDescent="0.25"/>
  <cols>
    <col min="1" max="1" width="2.6328125" style="16" customWidth="1"/>
    <col min="2" max="2" width="36" style="16" customWidth="1"/>
    <col min="3" max="3" width="23.36328125" style="16" customWidth="1"/>
    <col min="4" max="4" width="23.36328125" style="16" customWidth="1" outlineLevel="1"/>
    <col min="5" max="9" width="23.36328125" style="16" bestFit="1" customWidth="1"/>
    <col min="10" max="10" width="1.6328125" style="16" customWidth="1"/>
    <col min="11" max="16384" width="20.6328125" style="16"/>
  </cols>
  <sheetData>
    <row r="1" spans="1:9" s="13" customFormat="1" ht="35.25" customHeight="1" x14ac:dyDescent="0.4">
      <c r="B1" s="14" t="s">
        <v>45</v>
      </c>
      <c r="C1" s="15"/>
      <c r="D1" s="15"/>
      <c r="E1" s="15"/>
    </row>
    <row r="3" spans="1:9" ht="15" customHeight="1" x14ac:dyDescent="0.3">
      <c r="B3" s="17" t="s">
        <v>30</v>
      </c>
      <c r="C3" s="18" t="s">
        <v>9</v>
      </c>
      <c r="D3" s="19">
        <v>43830</v>
      </c>
      <c r="E3" s="20">
        <f t="shared" ref="E3:I3" si="0">EOMONTH(D3,12)</f>
        <v>44196</v>
      </c>
      <c r="F3" s="20">
        <f t="shared" si="0"/>
        <v>44561</v>
      </c>
      <c r="G3" s="20">
        <f t="shared" si="0"/>
        <v>44926</v>
      </c>
      <c r="H3" s="20">
        <f t="shared" si="0"/>
        <v>45291</v>
      </c>
      <c r="I3" s="20">
        <f t="shared" si="0"/>
        <v>45657</v>
      </c>
    </row>
    <row r="4" spans="1:9" ht="15" customHeight="1" x14ac:dyDescent="0.25">
      <c r="D4" s="21"/>
      <c r="E4" s="21"/>
      <c r="F4" s="21"/>
      <c r="G4" s="21"/>
      <c r="H4" s="21"/>
      <c r="I4" s="21"/>
    </row>
    <row r="5" spans="1:9" ht="15" customHeight="1" x14ac:dyDescent="0.3">
      <c r="A5" s="15" t="s">
        <v>0</v>
      </c>
      <c r="B5" s="15" t="s">
        <v>46</v>
      </c>
      <c r="D5" s="21"/>
      <c r="E5" s="21"/>
      <c r="F5" s="21"/>
      <c r="G5" s="21"/>
      <c r="H5" s="21"/>
      <c r="I5" s="21"/>
    </row>
    <row r="6" spans="1:9" ht="15" customHeight="1" x14ac:dyDescent="0.25">
      <c r="D6" s="21"/>
      <c r="E6" s="21"/>
      <c r="F6" s="21"/>
      <c r="G6" s="21"/>
      <c r="H6" s="21"/>
      <c r="I6" s="21"/>
    </row>
    <row r="7" spans="1:9" ht="15" customHeight="1" x14ac:dyDescent="0.3">
      <c r="B7" s="32" t="s">
        <v>7</v>
      </c>
      <c r="D7" s="21"/>
      <c r="E7" s="21"/>
      <c r="F7" s="21"/>
      <c r="G7" s="21"/>
      <c r="H7" s="21"/>
      <c r="I7" s="21"/>
    </row>
    <row r="8" spans="1:9" ht="15" customHeight="1" x14ac:dyDescent="0.3">
      <c r="B8" s="16" t="s">
        <v>12</v>
      </c>
      <c r="C8" s="22" t="s">
        <v>3</v>
      </c>
      <c r="D8" s="31"/>
      <c r="E8" s="33">
        <v>100000</v>
      </c>
      <c r="F8" s="33">
        <f>E8*(110 - 0) /100</f>
        <v>110000</v>
      </c>
      <c r="G8" s="33">
        <f>F8*(110 - 1) /100</f>
        <v>119900</v>
      </c>
      <c r="H8" s="33">
        <f>G8*(110 - 2) /100</f>
        <v>129492</v>
      </c>
      <c r="I8" s="33">
        <f>H8*(110 - 3) /100</f>
        <v>138556.44</v>
      </c>
    </row>
    <row r="9" spans="1:9" ht="15" customHeight="1" x14ac:dyDescent="0.3">
      <c r="B9" s="16" t="s">
        <v>10</v>
      </c>
      <c r="C9" s="22" t="s">
        <v>11</v>
      </c>
      <c r="D9" s="63"/>
      <c r="E9" s="64">
        <v>4</v>
      </c>
      <c r="F9" s="64">
        <f>E9*(100+4)/100</f>
        <v>4.16</v>
      </c>
      <c r="G9" s="64">
        <f t="shared" ref="G9:I9" si="1">F9*(100+4)/100</f>
        <v>4.3263999999999996</v>
      </c>
      <c r="H9" s="64">
        <f t="shared" si="1"/>
        <v>4.4994559999999995</v>
      </c>
      <c r="I9" s="64">
        <f t="shared" si="1"/>
        <v>4.6794342399999991</v>
      </c>
    </row>
    <row r="10" spans="1:9" ht="15" customHeight="1" x14ac:dyDescent="0.25">
      <c r="D10" s="21"/>
      <c r="E10" s="21"/>
      <c r="F10" s="21"/>
      <c r="G10" s="21"/>
      <c r="H10" s="21"/>
      <c r="I10" s="21"/>
    </row>
    <row r="11" spans="1:9" ht="15" customHeight="1" x14ac:dyDescent="0.3">
      <c r="B11" s="32" t="s">
        <v>8</v>
      </c>
      <c r="D11" s="21"/>
      <c r="F11" s="21"/>
      <c r="G11" s="21"/>
      <c r="H11" s="21"/>
      <c r="I11" s="21"/>
    </row>
    <row r="12" spans="1:9" ht="15" customHeight="1" x14ac:dyDescent="0.25">
      <c r="B12" s="16" t="s">
        <v>12</v>
      </c>
      <c r="C12" s="22" t="s">
        <v>3</v>
      </c>
      <c r="D12" s="21"/>
      <c r="E12" s="34">
        <v>60000</v>
      </c>
      <c r="F12" s="34">
        <f>E12*(110 - 0) /100</f>
        <v>66000</v>
      </c>
      <c r="G12" s="34">
        <f>F12*(110 - 1) /100</f>
        <v>71940</v>
      </c>
      <c r="H12" s="34">
        <f>G12*(110 - 2) /100</f>
        <v>77695.199999999997</v>
      </c>
      <c r="I12" s="34">
        <f>H12*(110 - 3) /100</f>
        <v>83133.864000000001</v>
      </c>
    </row>
    <row r="13" spans="1:9" ht="15" customHeight="1" x14ac:dyDescent="0.25">
      <c r="B13" s="16" t="s">
        <v>10</v>
      </c>
      <c r="C13" s="22" t="s">
        <v>11</v>
      </c>
      <c r="D13" s="21"/>
      <c r="E13" s="35">
        <v>3</v>
      </c>
      <c r="F13" s="35">
        <f>E13*(100+4)/100</f>
        <v>3.12</v>
      </c>
      <c r="G13" s="35">
        <f t="shared" ref="G13:I13" si="2">F13*(100+4)/100</f>
        <v>3.2448000000000001</v>
      </c>
      <c r="H13" s="35">
        <f t="shared" si="2"/>
        <v>3.3745920000000003</v>
      </c>
      <c r="I13" s="35">
        <f t="shared" si="2"/>
        <v>3.5095756800000002</v>
      </c>
    </row>
    <row r="14" spans="1:9" ht="15" customHeight="1" x14ac:dyDescent="0.25">
      <c r="D14" s="21"/>
      <c r="E14" s="21"/>
      <c r="F14" s="21"/>
      <c r="G14" s="21"/>
      <c r="H14" s="21"/>
      <c r="I14" s="21"/>
    </row>
    <row r="15" spans="1:9" ht="15" customHeight="1" x14ac:dyDescent="0.3">
      <c r="B15" s="32" t="s">
        <v>6</v>
      </c>
      <c r="D15" s="21"/>
      <c r="E15" s="21"/>
      <c r="F15" s="21"/>
      <c r="G15" s="21"/>
      <c r="H15" s="21"/>
      <c r="I15" s="21"/>
    </row>
    <row r="16" spans="1:9" ht="15" customHeight="1" x14ac:dyDescent="0.25">
      <c r="B16" s="16" t="s">
        <v>12</v>
      </c>
      <c r="C16" s="22" t="s">
        <v>3</v>
      </c>
      <c r="D16" s="21"/>
      <c r="E16" s="34">
        <v>50000</v>
      </c>
      <c r="F16" s="34">
        <f>E16*(110 - 0) /100</f>
        <v>55000</v>
      </c>
      <c r="G16" s="34">
        <f>F16*(110 - 1) /100</f>
        <v>59950</v>
      </c>
      <c r="H16" s="34">
        <f>G16*(110 - 2) /100</f>
        <v>64746</v>
      </c>
      <c r="I16" s="34">
        <f>H16*(110 - 3) /100</f>
        <v>69278.22</v>
      </c>
    </row>
    <row r="17" spans="1:9" ht="15" customHeight="1" x14ac:dyDescent="0.25">
      <c r="B17" s="16" t="s">
        <v>10</v>
      </c>
      <c r="C17" s="22" t="s">
        <v>11</v>
      </c>
      <c r="D17" s="21"/>
      <c r="E17" s="35">
        <v>2.5</v>
      </c>
      <c r="F17" s="35">
        <f>E17*(100+4)/100</f>
        <v>2.6</v>
      </c>
      <c r="G17" s="35">
        <f t="shared" ref="G17:I17" si="3">F17*(100+4)/100</f>
        <v>2.7040000000000002</v>
      </c>
      <c r="H17" s="35">
        <f t="shared" si="3"/>
        <v>2.81216</v>
      </c>
      <c r="I17" s="35">
        <f t="shared" si="3"/>
        <v>2.9246463999999999</v>
      </c>
    </row>
    <row r="18" spans="1:9" ht="15" customHeight="1" x14ac:dyDescent="0.25">
      <c r="D18" s="21"/>
      <c r="E18" s="21"/>
      <c r="F18" s="21"/>
      <c r="G18" s="21"/>
      <c r="H18" s="21"/>
      <c r="I18" s="21"/>
    </row>
    <row r="19" spans="1:9" ht="15" customHeight="1" x14ac:dyDescent="0.3">
      <c r="A19" s="15" t="s">
        <v>0</v>
      </c>
      <c r="B19" s="15" t="s">
        <v>47</v>
      </c>
      <c r="D19" s="21"/>
      <c r="E19" s="21"/>
      <c r="F19" s="21"/>
      <c r="G19" s="21"/>
      <c r="H19" s="21"/>
      <c r="I19" s="21"/>
    </row>
    <row r="20" spans="1:9" ht="15" customHeight="1" x14ac:dyDescent="0.25">
      <c r="D20" s="21"/>
      <c r="E20" s="21"/>
      <c r="F20" s="21"/>
      <c r="G20" s="21"/>
      <c r="H20" s="21"/>
      <c r="I20" s="21"/>
    </row>
    <row r="21" spans="1:9" ht="15" customHeight="1" x14ac:dyDescent="0.3">
      <c r="B21" s="32" t="s">
        <v>13</v>
      </c>
      <c r="D21" s="21"/>
      <c r="E21" s="21"/>
      <c r="F21" s="21"/>
      <c r="G21" s="21"/>
      <c r="H21" s="21"/>
      <c r="I21" s="21"/>
    </row>
    <row r="22" spans="1:9" ht="15" customHeight="1" x14ac:dyDescent="0.3">
      <c r="B22" s="16" t="s">
        <v>14</v>
      </c>
      <c r="C22" s="22" t="s">
        <v>11</v>
      </c>
      <c r="D22" s="31"/>
      <c r="E22" s="35">
        <v>1.5</v>
      </c>
      <c r="F22" s="36">
        <f>E22*1.02</f>
        <v>1.53</v>
      </c>
      <c r="G22" s="36">
        <f t="shared" ref="G22:I22" si="4">F22*1.02</f>
        <v>1.5606</v>
      </c>
      <c r="H22" s="36">
        <f t="shared" si="4"/>
        <v>1.591812</v>
      </c>
      <c r="I22" s="36">
        <f t="shared" si="4"/>
        <v>1.6236482400000001</v>
      </c>
    </row>
    <row r="23" spans="1:9" ht="15" customHeight="1" x14ac:dyDescent="0.3">
      <c r="B23" s="16" t="s">
        <v>55</v>
      </c>
      <c r="C23" s="22" t="s">
        <v>11</v>
      </c>
      <c r="D23" s="31"/>
      <c r="E23" s="37">
        <v>0.8</v>
      </c>
      <c r="F23" s="35">
        <f t="shared" ref="F23:I23" si="5">E23*1.02</f>
        <v>0.81600000000000006</v>
      </c>
      <c r="G23" s="35">
        <f t="shared" si="5"/>
        <v>0.83232000000000006</v>
      </c>
      <c r="H23" s="35">
        <f t="shared" si="5"/>
        <v>0.84896640000000012</v>
      </c>
      <c r="I23" s="35">
        <f t="shared" si="5"/>
        <v>0.86594572800000014</v>
      </c>
    </row>
    <row r="24" spans="1:9" ht="15" customHeight="1" x14ac:dyDescent="0.3">
      <c r="B24" s="16" t="s">
        <v>56</v>
      </c>
      <c r="C24" s="22" t="s">
        <v>11</v>
      </c>
      <c r="D24" s="31"/>
      <c r="E24" s="35">
        <v>1.1000000000000001</v>
      </c>
      <c r="F24" s="35">
        <f t="shared" ref="F24:I24" si="6">E24*1.02</f>
        <v>1.1220000000000001</v>
      </c>
      <c r="G24" s="35">
        <f t="shared" si="6"/>
        <v>1.1444400000000001</v>
      </c>
      <c r="H24" s="35">
        <f t="shared" si="6"/>
        <v>1.1673288000000002</v>
      </c>
      <c r="I24" s="35">
        <f t="shared" si="6"/>
        <v>1.1906753760000002</v>
      </c>
    </row>
    <row r="25" spans="1:9" ht="15" customHeight="1" x14ac:dyDescent="0.25">
      <c r="D25" s="21"/>
      <c r="E25" s="21"/>
      <c r="F25" s="21"/>
      <c r="G25" s="21"/>
      <c r="H25" s="21"/>
      <c r="I25" s="21"/>
    </row>
    <row r="26" spans="1:9" ht="15" customHeight="1" x14ac:dyDescent="0.3">
      <c r="B26" s="32" t="s">
        <v>15</v>
      </c>
      <c r="D26" s="21"/>
      <c r="E26" s="21"/>
      <c r="F26" s="21"/>
      <c r="G26" s="21"/>
      <c r="H26" s="21"/>
      <c r="I26" s="21"/>
    </row>
    <row r="27" spans="1:9" ht="15" customHeight="1" x14ac:dyDescent="0.25">
      <c r="B27" s="16" t="s">
        <v>57</v>
      </c>
      <c r="C27" s="22" t="s">
        <v>11</v>
      </c>
      <c r="E27" s="29">
        <v>150000</v>
      </c>
      <c r="F27" s="29">
        <f>E27*1.05</f>
        <v>157500</v>
      </c>
      <c r="G27" s="29">
        <f t="shared" ref="G27:I30" si="7">F27*1.05</f>
        <v>165375</v>
      </c>
      <c r="H27" s="29">
        <f t="shared" si="7"/>
        <v>173643.75</v>
      </c>
      <c r="I27" s="29">
        <f t="shared" si="7"/>
        <v>182325.9375</v>
      </c>
    </row>
    <row r="28" spans="1:9" ht="15" customHeight="1" x14ac:dyDescent="0.25">
      <c r="B28" s="16" t="s">
        <v>58</v>
      </c>
      <c r="C28" s="22" t="s">
        <v>11</v>
      </c>
      <c r="E28" s="29">
        <v>60000</v>
      </c>
      <c r="F28" s="29">
        <f>E28*1.03</f>
        <v>61800</v>
      </c>
      <c r="G28" s="29">
        <f t="shared" ref="G28:I28" si="8">F28*1.03</f>
        <v>63654</v>
      </c>
      <c r="H28" s="29">
        <f t="shared" si="8"/>
        <v>65563.62</v>
      </c>
      <c r="I28" s="29">
        <f t="shared" si="8"/>
        <v>67530.528599999991</v>
      </c>
    </row>
    <row r="29" spans="1:9" ht="15" customHeight="1" x14ac:dyDescent="0.25">
      <c r="B29" s="16" t="s">
        <v>59</v>
      </c>
      <c r="C29" s="22" t="s">
        <v>11</v>
      </c>
      <c r="E29" s="29">
        <v>10000</v>
      </c>
      <c r="F29" s="29">
        <f>E29*1.05</f>
        <v>10500</v>
      </c>
      <c r="G29" s="29">
        <f t="shared" si="7"/>
        <v>11025</v>
      </c>
      <c r="H29" s="29">
        <f t="shared" si="7"/>
        <v>11576.25</v>
      </c>
      <c r="I29" s="29">
        <f t="shared" si="7"/>
        <v>12155.0625</v>
      </c>
    </row>
    <row r="30" spans="1:9" ht="15" customHeight="1" x14ac:dyDescent="0.25">
      <c r="B30" s="16" t="s">
        <v>51</v>
      </c>
      <c r="C30" s="22" t="s">
        <v>11</v>
      </c>
      <c r="E30" s="29">
        <v>5000</v>
      </c>
      <c r="F30" s="29">
        <f>E30*1.05</f>
        <v>5250</v>
      </c>
      <c r="G30" s="29">
        <f t="shared" si="7"/>
        <v>5512.5</v>
      </c>
      <c r="H30" s="29">
        <f t="shared" si="7"/>
        <v>5788.125</v>
      </c>
      <c r="I30" s="29">
        <f t="shared" si="7"/>
        <v>6077.53125</v>
      </c>
    </row>
    <row r="31" spans="1:9" ht="15" customHeight="1" x14ac:dyDescent="0.25">
      <c r="D31" s="21"/>
      <c r="E31" s="21"/>
      <c r="F31" s="21"/>
      <c r="G31" s="21"/>
      <c r="H31" s="21"/>
      <c r="I31" s="21"/>
    </row>
    <row r="32" spans="1:9" ht="15" customHeight="1" x14ac:dyDescent="0.3">
      <c r="B32" s="32" t="s">
        <v>27</v>
      </c>
      <c r="D32" s="21"/>
      <c r="E32" s="21"/>
      <c r="F32" s="21"/>
      <c r="G32" s="21"/>
      <c r="H32" s="21"/>
      <c r="I32" s="21"/>
    </row>
    <row r="33" spans="1:9" ht="15" customHeight="1" x14ac:dyDescent="0.3">
      <c r="B33" s="16" t="s">
        <v>16</v>
      </c>
      <c r="C33" s="22" t="s">
        <v>17</v>
      </c>
      <c r="D33" s="31"/>
      <c r="E33" s="38">
        <v>-0.05</v>
      </c>
      <c r="F33" s="38">
        <f>E33+(0.25/100)</f>
        <v>-4.7500000000000001E-2</v>
      </c>
      <c r="G33" s="38">
        <f t="shared" ref="G33:I33" si="9">F33+(0.25/100)</f>
        <v>-4.4999999999999998E-2</v>
      </c>
      <c r="H33" s="38">
        <f t="shared" si="9"/>
        <v>-4.2499999999999996E-2</v>
      </c>
      <c r="I33" s="38">
        <f t="shared" si="9"/>
        <v>-3.9999999999999994E-2</v>
      </c>
    </row>
    <row r="34" spans="1:9" ht="15" customHeight="1" x14ac:dyDescent="0.25">
      <c r="D34" s="21"/>
      <c r="E34" s="21"/>
      <c r="F34" s="21"/>
      <c r="G34" s="21"/>
      <c r="H34" s="21"/>
      <c r="I34" s="21"/>
    </row>
    <row r="35" spans="1:9" ht="15" customHeight="1" x14ac:dyDescent="0.3">
      <c r="A35" s="15" t="s">
        <v>0</v>
      </c>
      <c r="B35" s="15" t="s">
        <v>50</v>
      </c>
      <c r="D35" s="21"/>
      <c r="E35" s="21"/>
      <c r="F35" s="21"/>
      <c r="G35" s="21"/>
      <c r="H35" s="21"/>
      <c r="I35" s="21"/>
    </row>
    <row r="36" spans="1:9" ht="15" customHeight="1" x14ac:dyDescent="0.25">
      <c r="D36" s="21"/>
      <c r="E36" s="21"/>
      <c r="F36" s="21"/>
      <c r="G36" s="21"/>
      <c r="H36" s="21"/>
      <c r="I36" s="21"/>
    </row>
    <row r="37" spans="1:9" ht="15" customHeight="1" x14ac:dyDescent="0.3">
      <c r="B37" s="16" t="s">
        <v>49</v>
      </c>
      <c r="C37" s="22" t="s">
        <v>17</v>
      </c>
      <c r="D37" s="31"/>
      <c r="E37" s="38">
        <v>-0.05</v>
      </c>
      <c r="F37" s="38">
        <f>E37+(0.25/100)</f>
        <v>-4.7500000000000001E-2</v>
      </c>
      <c r="G37" s="38">
        <f t="shared" ref="G37:I37" si="10">F37+(0.25/100)</f>
        <v>-4.4999999999999998E-2</v>
      </c>
      <c r="H37" s="38">
        <f t="shared" si="10"/>
        <v>-4.2499999999999996E-2</v>
      </c>
      <c r="I37" s="38">
        <f t="shared" si="10"/>
        <v>-3.9999999999999994E-2</v>
      </c>
    </row>
    <row r="38" spans="1:9" ht="15" customHeight="1" x14ac:dyDescent="0.3">
      <c r="B38" s="16" t="s">
        <v>48</v>
      </c>
      <c r="C38" s="22" t="s">
        <v>17</v>
      </c>
      <c r="D38" s="31"/>
      <c r="E38" s="30">
        <v>-0.01</v>
      </c>
      <c r="F38" s="30">
        <v>-0.01</v>
      </c>
      <c r="G38" s="30">
        <v>-0.01</v>
      </c>
      <c r="H38" s="30">
        <v>-0.01</v>
      </c>
      <c r="I38" s="30">
        <v>-0.01</v>
      </c>
    </row>
    <row r="39" spans="1:9" ht="15" customHeight="1" x14ac:dyDescent="0.3">
      <c r="B39" s="16" t="s">
        <v>32</v>
      </c>
      <c r="C39" s="22" t="s">
        <v>1</v>
      </c>
      <c r="D39" s="31"/>
      <c r="E39" s="30">
        <v>0.6</v>
      </c>
      <c r="F39" s="30">
        <v>0.6</v>
      </c>
      <c r="G39" s="30">
        <v>0.6</v>
      </c>
      <c r="H39" s="30">
        <v>0.6</v>
      </c>
      <c r="I39" s="30">
        <v>0.6</v>
      </c>
    </row>
    <row r="40" spans="1:9" ht="15" customHeight="1" x14ac:dyDescent="0.25">
      <c r="D40" s="21"/>
      <c r="E40" s="21"/>
      <c r="F40" s="21"/>
      <c r="G40" s="21"/>
      <c r="H40" s="21"/>
      <c r="I40" s="21"/>
    </row>
    <row r="41" spans="1:9" ht="15" customHeight="1" x14ac:dyDescent="0.3">
      <c r="A41" s="15" t="s">
        <v>0</v>
      </c>
      <c r="B41" s="15" t="s">
        <v>51</v>
      </c>
      <c r="D41" s="21"/>
      <c r="E41" s="21"/>
      <c r="F41" s="21"/>
      <c r="G41" s="21"/>
      <c r="H41" s="21"/>
      <c r="I41" s="21"/>
    </row>
    <row r="42" spans="1:9" ht="15" customHeight="1" x14ac:dyDescent="0.25">
      <c r="D42" s="21"/>
      <c r="E42" s="21"/>
      <c r="F42" s="21"/>
      <c r="G42" s="21"/>
      <c r="H42" s="21"/>
      <c r="I42" s="21"/>
    </row>
    <row r="43" spans="1:9" ht="15" customHeight="1" x14ac:dyDescent="0.3">
      <c r="B43" s="16" t="s">
        <v>2</v>
      </c>
      <c r="C43" s="22" t="s">
        <v>1</v>
      </c>
      <c r="D43" s="31"/>
      <c r="E43" s="30">
        <v>0.21</v>
      </c>
      <c r="F43" s="30">
        <v>0.21</v>
      </c>
      <c r="G43" s="30">
        <v>0.21</v>
      </c>
      <c r="H43" s="30">
        <v>0.21</v>
      </c>
      <c r="I43" s="30">
        <v>0.21</v>
      </c>
    </row>
    <row r="44" spans="1:9" ht="15" customHeight="1" x14ac:dyDescent="0.3">
      <c r="B44" s="16" t="s">
        <v>18</v>
      </c>
      <c r="C44" s="22" t="s">
        <v>1</v>
      </c>
      <c r="D44" s="31"/>
      <c r="E44" s="30">
        <v>0.04</v>
      </c>
      <c r="F44" s="30">
        <v>0.04</v>
      </c>
      <c r="G44" s="30">
        <v>0.04</v>
      </c>
      <c r="H44" s="30">
        <v>0.04</v>
      </c>
      <c r="I44" s="30">
        <v>0.04</v>
      </c>
    </row>
    <row r="45" spans="1:9" ht="15" customHeight="1" x14ac:dyDescent="0.3">
      <c r="B45" s="16" t="s">
        <v>21</v>
      </c>
      <c r="C45" s="22" t="s">
        <v>1</v>
      </c>
      <c r="D45" s="31"/>
      <c r="E45" s="30">
        <v>0.01</v>
      </c>
      <c r="F45" s="30">
        <v>0.01</v>
      </c>
      <c r="G45" s="30">
        <v>0.01</v>
      </c>
      <c r="H45" s="30">
        <v>0.01</v>
      </c>
      <c r="I45" s="30">
        <v>0.01</v>
      </c>
    </row>
    <row r="46" spans="1:9" ht="15" customHeight="1" x14ac:dyDescent="0.25">
      <c r="D46" s="21"/>
      <c r="E46" s="21"/>
      <c r="F46" s="21"/>
      <c r="G46" s="21"/>
      <c r="H46" s="21"/>
      <c r="I46" s="21"/>
    </row>
    <row r="47" spans="1:9" ht="15" customHeight="1" x14ac:dyDescent="0.3">
      <c r="A47" s="15" t="s">
        <v>0</v>
      </c>
      <c r="B47" s="15" t="s">
        <v>31</v>
      </c>
    </row>
  </sheetData>
  <pageMargins left="0.7" right="0.7" top="0.75" bottom="0.75" header="0.3" footer="0.3"/>
  <pageSetup paperSize="9" scale="18" orientation="portrait" horizontalDpi="4294967293"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7E5A6-9594-488A-903C-8441C6965E40}">
  <dimension ref="A1:I39"/>
  <sheetViews>
    <sheetView showGridLines="0" zoomScale="81" zoomScaleNormal="81" zoomScaleSheetLayoutView="70" workbookViewId="0">
      <pane xSplit="3" ySplit="3" topLeftCell="D4" activePane="bottomRight" state="frozenSplit"/>
      <selection pane="topRight" activeCell="C1" sqref="C1"/>
      <selection pane="bottomLeft" activeCell="A3" sqref="A3"/>
      <selection pane="bottomRight" activeCell="E3" sqref="E3"/>
    </sheetView>
  </sheetViews>
  <sheetFormatPr defaultColWidth="20.6328125" defaultRowHeight="15" customHeight="1" outlineLevelCol="1" x14ac:dyDescent="0.25"/>
  <cols>
    <col min="1" max="1" width="2.6328125" style="2" customWidth="1"/>
    <col min="2" max="2" width="36" style="2" bestFit="1" customWidth="1"/>
    <col min="3" max="3" width="23.36328125" style="2" bestFit="1" customWidth="1"/>
    <col min="4" max="4" width="23.36328125" style="2" hidden="1" customWidth="1" outlineLevel="1"/>
    <col min="5" max="5" width="23.36328125" style="2" bestFit="1" customWidth="1" collapsed="1"/>
    <col min="6" max="9" width="23.36328125" style="2" bestFit="1" customWidth="1"/>
    <col min="10" max="10" width="1.6328125" style="2" customWidth="1"/>
    <col min="11" max="16384" width="20.6328125" style="2"/>
  </cols>
  <sheetData>
    <row r="1" spans="1:9" s="10" customFormat="1" ht="35.25" customHeight="1" x14ac:dyDescent="0.4">
      <c r="A1" s="13"/>
      <c r="B1" s="14" t="s">
        <v>60</v>
      </c>
      <c r="C1" s="15"/>
      <c r="D1" s="15"/>
      <c r="E1" s="15"/>
      <c r="F1" s="13"/>
      <c r="G1" s="13"/>
      <c r="H1" s="13"/>
      <c r="I1" s="13"/>
    </row>
    <row r="2" spans="1:9" ht="15" customHeight="1" x14ac:dyDescent="0.25">
      <c r="A2" s="16"/>
      <c r="B2" s="16"/>
      <c r="C2" s="16"/>
      <c r="D2" s="16"/>
      <c r="E2" s="16"/>
      <c r="F2" s="16"/>
      <c r="G2" s="16"/>
      <c r="H2" s="16"/>
      <c r="I2" s="16"/>
    </row>
    <row r="3" spans="1:9" ht="15" customHeight="1" x14ac:dyDescent="0.3">
      <c r="A3" s="16"/>
      <c r="B3" s="17" t="s">
        <v>30</v>
      </c>
      <c r="C3" s="18" t="s">
        <v>9</v>
      </c>
      <c r="D3" s="19">
        <v>43830</v>
      </c>
      <c r="E3" s="20">
        <f t="shared" ref="E3:I3" si="0">EOMONTH(D3,12)</f>
        <v>44196</v>
      </c>
      <c r="F3" s="20">
        <f t="shared" si="0"/>
        <v>44561</v>
      </c>
      <c r="G3" s="20">
        <f t="shared" si="0"/>
        <v>44926</v>
      </c>
      <c r="H3" s="20">
        <f t="shared" si="0"/>
        <v>45291</v>
      </c>
      <c r="I3" s="20">
        <f t="shared" si="0"/>
        <v>45657</v>
      </c>
    </row>
    <row r="4" spans="1:9" ht="15" customHeight="1" x14ac:dyDescent="0.25">
      <c r="A4" s="16"/>
      <c r="B4" s="16"/>
      <c r="C4" s="16"/>
      <c r="D4" s="21"/>
      <c r="E4" s="21"/>
      <c r="F4" s="21"/>
      <c r="G4" s="21"/>
      <c r="H4" s="21"/>
      <c r="I4" s="21"/>
    </row>
    <row r="5" spans="1:9" ht="15" customHeight="1" x14ac:dyDescent="0.25">
      <c r="A5" s="16"/>
      <c r="B5" s="16" t="s">
        <v>7</v>
      </c>
      <c r="C5" s="22" t="s">
        <v>11</v>
      </c>
      <c r="D5" s="16"/>
      <c r="E5" s="23">
        <f>'Forecast Assumptions'!E8*'Forecast Assumptions'!E9</f>
        <v>400000</v>
      </c>
      <c r="F5" s="23">
        <f>'Forecast Assumptions'!F8*'Forecast Assumptions'!F9</f>
        <v>457600</v>
      </c>
      <c r="G5" s="23">
        <f>'Forecast Assumptions'!G8*'Forecast Assumptions'!G9</f>
        <v>518735.35999999993</v>
      </c>
      <c r="H5" s="23">
        <f>'Forecast Assumptions'!H8*'Forecast Assumptions'!H9</f>
        <v>582643.55635199999</v>
      </c>
      <c r="I5" s="23">
        <f>'Forecast Assumptions'!I8*'Forecast Assumptions'!I9</f>
        <v>648365.74950850545</v>
      </c>
    </row>
    <row r="6" spans="1:9" ht="15" customHeight="1" x14ac:dyDescent="0.25">
      <c r="A6" s="16"/>
      <c r="B6" s="16" t="s">
        <v>8</v>
      </c>
      <c r="C6" s="22" t="s">
        <v>11</v>
      </c>
      <c r="D6" s="16"/>
      <c r="E6" s="23">
        <f>'Forecast Assumptions'!E12*'Forecast Assumptions'!E13</f>
        <v>180000</v>
      </c>
      <c r="F6" s="23">
        <f>'Forecast Assumptions'!F12*'Forecast Assumptions'!F13</f>
        <v>205920</v>
      </c>
      <c r="G6" s="23">
        <f>'Forecast Assumptions'!G12*'Forecast Assumptions'!G13</f>
        <v>233430.91200000001</v>
      </c>
      <c r="H6" s="23">
        <f>'Forecast Assumptions'!H12*'Forecast Assumptions'!H13</f>
        <v>262189.60035840003</v>
      </c>
      <c r="I6" s="23">
        <f>'Forecast Assumptions'!I12*'Forecast Assumptions'!I13</f>
        <v>291764.58727882756</v>
      </c>
    </row>
    <row r="7" spans="1:9" ht="15" customHeight="1" x14ac:dyDescent="0.25">
      <c r="A7" s="16"/>
      <c r="B7" s="16" t="s">
        <v>6</v>
      </c>
      <c r="C7" s="22" t="s">
        <v>11</v>
      </c>
      <c r="D7" s="16"/>
      <c r="E7" s="23">
        <f>'Forecast Assumptions'!E16*'Forecast Assumptions'!E17</f>
        <v>125000</v>
      </c>
      <c r="F7" s="23">
        <f>'Forecast Assumptions'!F16*'Forecast Assumptions'!F17</f>
        <v>143000</v>
      </c>
      <c r="G7" s="23">
        <f>'Forecast Assumptions'!G16*'Forecast Assumptions'!G17</f>
        <v>162104.80000000002</v>
      </c>
      <c r="H7" s="23">
        <f>'Forecast Assumptions'!H16*'Forecast Assumptions'!H17</f>
        <v>182076.11136000001</v>
      </c>
      <c r="I7" s="23">
        <f>'Forecast Assumptions'!I16*'Forecast Assumptions'!I17</f>
        <v>202614.296721408</v>
      </c>
    </row>
    <row r="8" spans="1:9" ht="15" customHeight="1" x14ac:dyDescent="0.3">
      <c r="A8" s="16"/>
      <c r="B8" s="24" t="s">
        <v>61</v>
      </c>
      <c r="C8" s="25" t="s">
        <v>11</v>
      </c>
      <c r="D8" s="26"/>
      <c r="E8" s="26">
        <f>SUM(E5:E7)</f>
        <v>705000</v>
      </c>
      <c r="F8" s="26">
        <f>SUM(F5:F7)</f>
        <v>806520</v>
      </c>
      <c r="G8" s="26">
        <f t="shared" ref="G8:I8" si="1">SUM(G5:G7)</f>
        <v>914271.07199999993</v>
      </c>
      <c r="H8" s="26">
        <f t="shared" si="1"/>
        <v>1026909.2680704</v>
      </c>
      <c r="I8" s="26">
        <f t="shared" si="1"/>
        <v>1142744.6335087409</v>
      </c>
    </row>
    <row r="9" spans="1:9" ht="15" customHeight="1" x14ac:dyDescent="0.3">
      <c r="A9" s="16"/>
      <c r="B9" s="27" t="s">
        <v>62</v>
      </c>
      <c r="C9" s="22" t="s">
        <v>1</v>
      </c>
      <c r="D9" s="16"/>
      <c r="E9" s="28"/>
      <c r="F9" s="28">
        <f>(F8-E8)/E8</f>
        <v>0.14399999999999999</v>
      </c>
      <c r="G9" s="28">
        <f t="shared" ref="G9:I9" si="2">(G8-F8)/F8</f>
        <v>0.13359999999999991</v>
      </c>
      <c r="H9" s="28">
        <f t="shared" si="2"/>
        <v>0.12320000000000009</v>
      </c>
      <c r="I9" s="28">
        <f t="shared" si="2"/>
        <v>0.11279999999999982</v>
      </c>
    </row>
    <row r="10" spans="1:9" ht="15" customHeight="1" x14ac:dyDescent="0.25">
      <c r="A10" s="16"/>
      <c r="B10" s="16"/>
      <c r="C10" s="16"/>
      <c r="D10" s="16"/>
      <c r="E10" s="16"/>
      <c r="F10" s="16"/>
      <c r="G10" s="16"/>
      <c r="H10" s="16"/>
      <c r="I10" s="16"/>
    </row>
    <row r="11" spans="1:9" ht="15" customHeight="1" x14ac:dyDescent="0.25">
      <c r="A11" s="16"/>
      <c r="B11" s="16" t="s">
        <v>70</v>
      </c>
      <c r="C11" s="22" t="s">
        <v>11</v>
      </c>
      <c r="D11" s="16"/>
      <c r="E11" s="23">
        <f>'Forecast Assumptions'!E22*'Forecast Assumptions'!E8</f>
        <v>150000</v>
      </c>
      <c r="F11" s="23">
        <f>'Forecast Assumptions'!F22*'Forecast Assumptions'!F8</f>
        <v>168300</v>
      </c>
      <c r="G11" s="23">
        <f>'Forecast Assumptions'!G22*'Forecast Assumptions'!G8</f>
        <v>187115.94</v>
      </c>
      <c r="H11" s="23">
        <f>'Forecast Assumptions'!H22*'Forecast Assumptions'!H8</f>
        <v>206126.91950399999</v>
      </c>
      <c r="I11" s="23">
        <f>'Forecast Assumptions'!I22*'Forecast Assumptions'!I8</f>
        <v>224966.91994666561</v>
      </c>
    </row>
    <row r="12" spans="1:9" ht="15" customHeight="1" x14ac:dyDescent="0.25">
      <c r="A12" s="16"/>
      <c r="B12" s="16" t="s">
        <v>71</v>
      </c>
      <c r="C12" s="22" t="s">
        <v>11</v>
      </c>
      <c r="D12" s="16"/>
      <c r="E12" s="23">
        <f>'Forecast Assumptions'!E23*'Forecast Assumptions'!E12</f>
        <v>48000</v>
      </c>
      <c r="F12" s="23">
        <f>'Forecast Assumptions'!F23*'Forecast Assumptions'!F12</f>
        <v>53856.000000000007</v>
      </c>
      <c r="G12" s="23">
        <f>'Forecast Assumptions'!G23*'Forecast Assumptions'!G12</f>
        <v>59877.100800000007</v>
      </c>
      <c r="H12" s="23">
        <f>'Forecast Assumptions'!H23*'Forecast Assumptions'!H12</f>
        <v>65960.614241280011</v>
      </c>
      <c r="I12" s="23">
        <f>'Forecast Assumptions'!I23*'Forecast Assumptions'!I12</f>
        <v>71989.414382932999</v>
      </c>
    </row>
    <row r="13" spans="1:9" ht="15" customHeight="1" x14ac:dyDescent="0.25">
      <c r="A13" s="16"/>
      <c r="B13" s="16" t="s">
        <v>72</v>
      </c>
      <c r="C13" s="22" t="s">
        <v>11</v>
      </c>
      <c r="D13" s="16"/>
      <c r="E13" s="23">
        <f>'Forecast Assumptions'!E24*'Forecast Assumptions'!E16</f>
        <v>55000.000000000007</v>
      </c>
      <c r="F13" s="23">
        <f>'Forecast Assumptions'!F24*'Forecast Assumptions'!F16</f>
        <v>61710.000000000007</v>
      </c>
      <c r="G13" s="23">
        <f>'Forecast Assumptions'!G24*'Forecast Assumptions'!G16</f>
        <v>68609.178000000014</v>
      </c>
      <c r="H13" s="23">
        <f>'Forecast Assumptions'!H24*'Forecast Assumptions'!H16</f>
        <v>75579.870484800005</v>
      </c>
      <c r="I13" s="23">
        <f>'Forecast Assumptions'!I24*'Forecast Assumptions'!I16</f>
        <v>82487.870647110729</v>
      </c>
    </row>
    <row r="14" spans="1:9" ht="15" customHeight="1" x14ac:dyDescent="0.3">
      <c r="A14" s="16"/>
      <c r="B14" s="24" t="s">
        <v>63</v>
      </c>
      <c r="C14" s="25" t="s">
        <v>11</v>
      </c>
      <c r="D14" s="26"/>
      <c r="E14" s="26">
        <f>E8-SUM(E11:E13)</f>
        <v>452000</v>
      </c>
      <c r="F14" s="26">
        <f t="shared" ref="F14:I14" si="3">F8-SUM(F11:F13)</f>
        <v>522654</v>
      </c>
      <c r="G14" s="26">
        <f t="shared" si="3"/>
        <v>598668.8531999999</v>
      </c>
      <c r="H14" s="26">
        <f t="shared" si="3"/>
        <v>679241.86384031991</v>
      </c>
      <c r="I14" s="26">
        <f t="shared" si="3"/>
        <v>763300.4285320316</v>
      </c>
    </row>
    <row r="15" spans="1:9" ht="15" customHeight="1" x14ac:dyDescent="0.3">
      <c r="A15" s="16"/>
      <c r="B15" s="27" t="s">
        <v>64</v>
      </c>
      <c r="C15" s="22" t="s">
        <v>1</v>
      </c>
      <c r="D15" s="16"/>
      <c r="E15" s="28">
        <f>E14/E8</f>
        <v>0.64113475177304968</v>
      </c>
      <c r="F15" s="28">
        <f t="shared" ref="F15:I15" si="4">F14/F8</f>
        <v>0.64803600654664484</v>
      </c>
      <c r="G15" s="28">
        <f t="shared" si="4"/>
        <v>0.65480454488228623</v>
      </c>
      <c r="H15" s="28">
        <f t="shared" si="4"/>
        <v>0.6614429190191653</v>
      </c>
      <c r="I15" s="28">
        <f t="shared" si="4"/>
        <v>0.66795363211495062</v>
      </c>
    </row>
    <row r="16" spans="1:9" ht="15" customHeight="1" x14ac:dyDescent="0.25">
      <c r="A16" s="16"/>
      <c r="B16" s="16"/>
      <c r="C16" s="16"/>
      <c r="D16" s="16"/>
      <c r="E16" s="16"/>
      <c r="F16" s="16"/>
      <c r="G16" s="16"/>
      <c r="H16" s="16"/>
      <c r="I16" s="16"/>
    </row>
    <row r="17" spans="1:9" ht="15" customHeight="1" x14ac:dyDescent="0.25">
      <c r="A17" s="16"/>
      <c r="B17" s="16" t="s">
        <v>57</v>
      </c>
      <c r="C17" s="22"/>
      <c r="D17" s="16"/>
      <c r="E17" s="29">
        <v>150000</v>
      </c>
      <c r="F17" s="29">
        <f>E17*1.05</f>
        <v>157500</v>
      </c>
      <c r="G17" s="29">
        <f t="shared" ref="G17:I20" si="5">F17*1.05</f>
        <v>165375</v>
      </c>
      <c r="H17" s="29">
        <f t="shared" si="5"/>
        <v>173643.75</v>
      </c>
      <c r="I17" s="29">
        <f t="shared" si="5"/>
        <v>182325.9375</v>
      </c>
    </row>
    <row r="18" spans="1:9" ht="15" customHeight="1" x14ac:dyDescent="0.25">
      <c r="A18" s="16"/>
      <c r="B18" s="16" t="s">
        <v>58</v>
      </c>
      <c r="C18" s="22"/>
      <c r="D18" s="16"/>
      <c r="E18" s="29">
        <v>60000</v>
      </c>
      <c r="F18" s="29">
        <f>E18*1.03</f>
        <v>61800</v>
      </c>
      <c r="G18" s="29">
        <f t="shared" ref="G18:I18" si="6">F18*1.03</f>
        <v>63654</v>
      </c>
      <c r="H18" s="29">
        <f t="shared" si="6"/>
        <v>65563.62</v>
      </c>
      <c r="I18" s="29">
        <f t="shared" si="6"/>
        <v>67530.528599999991</v>
      </c>
    </row>
    <row r="19" spans="1:9" ht="15" customHeight="1" x14ac:dyDescent="0.25">
      <c r="A19" s="16"/>
      <c r="B19" s="16" t="s">
        <v>59</v>
      </c>
      <c r="C19" s="22"/>
      <c r="D19" s="16"/>
      <c r="E19" s="29">
        <v>10000</v>
      </c>
      <c r="F19" s="29">
        <f>E19*1.05</f>
        <v>10500</v>
      </c>
      <c r="G19" s="29">
        <f t="shared" si="5"/>
        <v>11025</v>
      </c>
      <c r="H19" s="29">
        <f t="shared" si="5"/>
        <v>11576.25</v>
      </c>
      <c r="I19" s="29">
        <f t="shared" si="5"/>
        <v>12155.0625</v>
      </c>
    </row>
    <row r="20" spans="1:9" ht="15" customHeight="1" x14ac:dyDescent="0.25">
      <c r="A20" s="16"/>
      <c r="B20" s="16" t="s">
        <v>51</v>
      </c>
      <c r="C20" s="22"/>
      <c r="D20" s="16"/>
      <c r="E20" s="29">
        <v>5000</v>
      </c>
      <c r="F20" s="29">
        <f>E20*1.05</f>
        <v>5250</v>
      </c>
      <c r="G20" s="29">
        <f t="shared" si="5"/>
        <v>5512.5</v>
      </c>
      <c r="H20" s="29">
        <f t="shared" si="5"/>
        <v>5788.125</v>
      </c>
      <c r="I20" s="29">
        <f t="shared" si="5"/>
        <v>6077.53125</v>
      </c>
    </row>
    <row r="21" spans="1:9" ht="15" customHeight="1" x14ac:dyDescent="0.3">
      <c r="A21" s="16"/>
      <c r="B21" s="24" t="s">
        <v>4</v>
      </c>
      <c r="C21" s="25" t="s">
        <v>11</v>
      </c>
      <c r="D21" s="26"/>
      <c r="E21" s="26">
        <f>E14-SUM(E17:E20)</f>
        <v>227000</v>
      </c>
      <c r="F21" s="26">
        <f t="shared" ref="F21:I21" si="7">F14-SUM(F17:F20)</f>
        <v>287604</v>
      </c>
      <c r="G21" s="26">
        <f t="shared" si="7"/>
        <v>353102.3531999999</v>
      </c>
      <c r="H21" s="26">
        <f t="shared" si="7"/>
        <v>422670.11884031992</v>
      </c>
      <c r="I21" s="26">
        <f t="shared" si="7"/>
        <v>495211.36868203164</v>
      </c>
    </row>
    <row r="22" spans="1:9" ht="15" customHeight="1" x14ac:dyDescent="0.3">
      <c r="A22" s="16"/>
      <c r="B22" s="27" t="s">
        <v>64</v>
      </c>
      <c r="C22" s="22" t="s">
        <v>1</v>
      </c>
      <c r="D22" s="16"/>
      <c r="E22" s="28">
        <f>E21/E8</f>
        <v>0.3219858156028369</v>
      </c>
      <c r="F22" s="28">
        <f t="shared" ref="F22:I22" si="8">F21/F8</f>
        <v>0.35659872042850765</v>
      </c>
      <c r="G22" s="28">
        <f t="shared" si="8"/>
        <v>0.38621188399582213</v>
      </c>
      <c r="H22" s="28">
        <f t="shared" si="8"/>
        <v>0.41159441440676886</v>
      </c>
      <c r="I22" s="28">
        <f t="shared" si="8"/>
        <v>0.43335260928901465</v>
      </c>
    </row>
    <row r="23" spans="1:9" ht="15" customHeight="1" x14ac:dyDescent="0.25">
      <c r="A23" s="16"/>
      <c r="B23" s="16"/>
      <c r="C23" s="16"/>
      <c r="D23" s="16"/>
      <c r="E23" s="16"/>
      <c r="F23" s="16"/>
      <c r="G23" s="16"/>
      <c r="H23" s="16"/>
      <c r="I23" s="16"/>
    </row>
    <row r="24" spans="1:9" ht="15" customHeight="1" x14ac:dyDescent="0.25">
      <c r="A24" s="16"/>
      <c r="B24" s="16" t="s">
        <v>73</v>
      </c>
      <c r="C24" s="22" t="s">
        <v>11</v>
      </c>
      <c r="D24" s="16"/>
      <c r="E24" s="23">
        <f>E8*'Forecast Assumptions'!E33</f>
        <v>-35250</v>
      </c>
      <c r="F24" s="23">
        <f>F8*'Forecast Assumptions'!F33</f>
        <v>-38309.699999999997</v>
      </c>
      <c r="G24" s="23">
        <f>G8*'Forecast Assumptions'!G33</f>
        <v>-41142.198239999998</v>
      </c>
      <c r="H24" s="23">
        <f>H8*'Forecast Assumptions'!H33</f>
        <v>-43643.643892991997</v>
      </c>
      <c r="I24" s="23">
        <f>I8*'Forecast Assumptions'!I33</f>
        <v>-45709.785340349626</v>
      </c>
    </row>
    <row r="25" spans="1:9" ht="15" customHeight="1" x14ac:dyDescent="0.3">
      <c r="A25" s="16"/>
      <c r="B25" s="24" t="s">
        <v>65</v>
      </c>
      <c r="C25" s="25" t="s">
        <v>11</v>
      </c>
      <c r="D25" s="26"/>
      <c r="E25" s="26">
        <f>E21+E24</f>
        <v>191750</v>
      </c>
      <c r="F25" s="26">
        <f t="shared" ref="F25:I25" si="9">F21+F24</f>
        <v>249294.3</v>
      </c>
      <c r="G25" s="26">
        <f t="shared" si="9"/>
        <v>311960.1549599999</v>
      </c>
      <c r="H25" s="26">
        <f t="shared" si="9"/>
        <v>379026.47494732792</v>
      </c>
      <c r="I25" s="26">
        <f t="shared" si="9"/>
        <v>449501.58334168198</v>
      </c>
    </row>
    <row r="26" spans="1:9" ht="15" customHeight="1" x14ac:dyDescent="0.3">
      <c r="A26" s="16"/>
      <c r="B26" s="27" t="s">
        <v>64</v>
      </c>
      <c r="C26" s="22" t="s">
        <v>1</v>
      </c>
      <c r="D26" s="16"/>
      <c r="E26" s="28">
        <f>E25/E8</f>
        <v>0.27198581560283686</v>
      </c>
      <c r="F26" s="28">
        <f t="shared" ref="F26:I26" si="10">F25/F8</f>
        <v>0.30909872042850767</v>
      </c>
      <c r="G26" s="28">
        <f t="shared" si="10"/>
        <v>0.34121188399582209</v>
      </c>
      <c r="H26" s="28">
        <f t="shared" si="10"/>
        <v>0.36909441440676888</v>
      </c>
      <c r="I26" s="28">
        <f t="shared" si="10"/>
        <v>0.39335260928901461</v>
      </c>
    </row>
    <row r="27" spans="1:9" ht="15" customHeight="1" x14ac:dyDescent="0.25">
      <c r="A27" s="16"/>
      <c r="B27" s="16"/>
      <c r="C27" s="16"/>
      <c r="D27" s="16"/>
      <c r="E27" s="16"/>
      <c r="F27" s="16"/>
      <c r="G27" s="16"/>
      <c r="H27" s="16"/>
      <c r="I27" s="16"/>
    </row>
    <row r="28" spans="1:9" ht="15" customHeight="1" x14ac:dyDescent="0.25">
      <c r="A28" s="16"/>
      <c r="B28" s="16" t="s">
        <v>66</v>
      </c>
      <c r="C28" s="22" t="s">
        <v>11</v>
      </c>
      <c r="D28" s="16"/>
      <c r="E28" s="23">
        <f>'Cash Flow Forecast'!E9</f>
        <v>-15850</v>
      </c>
      <c r="F28" s="23">
        <f>'Cash Flow Forecast'!F9</f>
        <v>-13908.624</v>
      </c>
      <c r="G28" s="23">
        <f>'Cash Flow Forecast'!G9</f>
        <v>-11255.957055359997</v>
      </c>
      <c r="H28" s="23">
        <f>'Cash Flow Forecast'!H9</f>
        <v>-7820.7644226453494</v>
      </c>
      <c r="I28" s="23">
        <f>'Cash Flow Forecast'!I9</f>
        <v>-3539.4879488415213</v>
      </c>
    </row>
    <row r="29" spans="1:9" ht="15" customHeight="1" x14ac:dyDescent="0.3">
      <c r="A29" s="16"/>
      <c r="B29" s="24" t="s">
        <v>67</v>
      </c>
      <c r="C29" s="25" t="s">
        <v>11</v>
      </c>
      <c r="D29" s="26"/>
      <c r="E29" s="26">
        <f t="shared" ref="E29" si="11">SUM(E25,E28)</f>
        <v>175900</v>
      </c>
      <c r="F29" s="26">
        <f>SUM(F25,F28)</f>
        <v>235385.67599999998</v>
      </c>
      <c r="G29" s="26">
        <f t="shared" ref="G29:I29" si="12">SUM(G25,G28)</f>
        <v>300704.19790463988</v>
      </c>
      <c r="H29" s="26">
        <f t="shared" si="12"/>
        <v>371205.7105246826</v>
      </c>
      <c r="I29" s="26">
        <f t="shared" si="12"/>
        <v>445962.09539284045</v>
      </c>
    </row>
    <row r="30" spans="1:9" ht="15" customHeight="1" x14ac:dyDescent="0.3">
      <c r="A30" s="16"/>
      <c r="B30" s="27" t="s">
        <v>64</v>
      </c>
      <c r="C30" s="22" t="s">
        <v>1</v>
      </c>
      <c r="D30" s="16"/>
      <c r="E30" s="28">
        <f>E29/E$8</f>
        <v>0.24950354609929079</v>
      </c>
      <c r="F30" s="28">
        <f t="shared" ref="F30:I30" si="13">F29/F$8</f>
        <v>0.29185348906412734</v>
      </c>
      <c r="G30" s="28">
        <f t="shared" si="13"/>
        <v>0.32890048379944792</v>
      </c>
      <c r="H30" s="28">
        <f t="shared" si="13"/>
        <v>0.36147858634306773</v>
      </c>
      <c r="I30" s="28">
        <f t="shared" si="13"/>
        <v>0.3902552524123748</v>
      </c>
    </row>
    <row r="31" spans="1:9" ht="15" customHeight="1" x14ac:dyDescent="0.25">
      <c r="A31" s="16"/>
      <c r="B31" s="16"/>
      <c r="C31" s="16"/>
      <c r="D31" s="16"/>
      <c r="E31" s="16"/>
      <c r="F31" s="16"/>
      <c r="G31" s="16"/>
      <c r="H31" s="16"/>
      <c r="I31" s="16"/>
    </row>
    <row r="32" spans="1:9" ht="15" customHeight="1" x14ac:dyDescent="0.25">
      <c r="A32" s="16"/>
      <c r="B32" s="16" t="s">
        <v>85</v>
      </c>
      <c r="C32" s="46" t="s">
        <v>1</v>
      </c>
      <c r="D32" s="29"/>
      <c r="E32" s="33">
        <f>E29*'Forecast Assumptions'!E43</f>
        <v>36939</v>
      </c>
      <c r="F32" s="33">
        <f>F29*'Forecast Assumptions'!F43</f>
        <v>49430.991959999992</v>
      </c>
      <c r="G32" s="33">
        <f>G29*'Forecast Assumptions'!G43</f>
        <v>63147.881559974368</v>
      </c>
      <c r="H32" s="33">
        <f>H29*'Forecast Assumptions'!H43</f>
        <v>77953.199210183346</v>
      </c>
      <c r="I32" s="33">
        <f>I29*'Forecast Assumptions'!I43</f>
        <v>93652.040032496487</v>
      </c>
    </row>
    <row r="33" spans="1:9" ht="15" customHeight="1" x14ac:dyDescent="0.3">
      <c r="A33" s="16"/>
      <c r="B33" s="24" t="s">
        <v>68</v>
      </c>
      <c r="C33" s="25" t="s">
        <v>11</v>
      </c>
      <c r="D33" s="26"/>
      <c r="E33" s="26">
        <f>E29-E32</f>
        <v>138961</v>
      </c>
      <c r="F33" s="26">
        <f t="shared" ref="F33:I33" si="14">F29-F32</f>
        <v>185954.68403999999</v>
      </c>
      <c r="G33" s="26">
        <f t="shared" si="14"/>
        <v>237556.31634466551</v>
      </c>
      <c r="H33" s="26">
        <f t="shared" si="14"/>
        <v>293252.51131449925</v>
      </c>
      <c r="I33" s="26">
        <f t="shared" si="14"/>
        <v>352310.05536034395</v>
      </c>
    </row>
    <row r="34" spans="1:9" ht="15" customHeight="1" x14ac:dyDescent="0.3">
      <c r="A34" s="16"/>
      <c r="B34" s="27" t="s">
        <v>64</v>
      </c>
      <c r="C34" s="22" t="s">
        <v>1</v>
      </c>
      <c r="D34" s="16"/>
      <c r="E34" s="28">
        <f>E33/E8</f>
        <v>0.19710780141843973</v>
      </c>
      <c r="F34" s="28">
        <f t="shared" ref="F34:I34" si="15">F33/F8</f>
        <v>0.23056425636066061</v>
      </c>
      <c r="G34" s="28">
        <f t="shared" si="15"/>
        <v>0.25983138220156388</v>
      </c>
      <c r="H34" s="28">
        <f t="shared" si="15"/>
        <v>0.2855680832110235</v>
      </c>
      <c r="I34" s="28">
        <f t="shared" si="15"/>
        <v>0.30830164940577609</v>
      </c>
    </row>
    <row r="35" spans="1:9" ht="15" customHeight="1" x14ac:dyDescent="0.25">
      <c r="A35" s="16"/>
      <c r="B35" s="16"/>
      <c r="C35" s="16"/>
      <c r="D35" s="16"/>
      <c r="E35" s="16"/>
      <c r="F35" s="16"/>
      <c r="G35" s="16"/>
      <c r="H35" s="16"/>
      <c r="I35" s="16"/>
    </row>
    <row r="36" spans="1:9" ht="15" customHeight="1" x14ac:dyDescent="0.3">
      <c r="A36" s="16"/>
      <c r="B36" s="16" t="s">
        <v>32</v>
      </c>
      <c r="C36" s="22" t="s">
        <v>1</v>
      </c>
      <c r="D36" s="31"/>
      <c r="E36" s="30">
        <v>0.6</v>
      </c>
      <c r="F36" s="30">
        <v>0.6</v>
      </c>
      <c r="G36" s="30">
        <v>0.6</v>
      </c>
      <c r="H36" s="30">
        <v>0.6</v>
      </c>
      <c r="I36" s="30">
        <v>0.6</v>
      </c>
    </row>
    <row r="37" spans="1:9" ht="15" customHeight="1" x14ac:dyDescent="0.3">
      <c r="A37" s="16"/>
      <c r="B37" s="24" t="s">
        <v>69</v>
      </c>
      <c r="C37" s="25" t="s">
        <v>11</v>
      </c>
      <c r="D37" s="26"/>
      <c r="E37" s="26">
        <f>E33*E36</f>
        <v>83376.599999999991</v>
      </c>
      <c r="F37" s="26">
        <f t="shared" ref="F37:I37" si="16">F33*F36</f>
        <v>111572.810424</v>
      </c>
      <c r="G37" s="26">
        <f t="shared" si="16"/>
        <v>142533.78980679929</v>
      </c>
      <c r="H37" s="26">
        <f t="shared" si="16"/>
        <v>175951.50678869954</v>
      </c>
      <c r="I37" s="26">
        <f t="shared" si="16"/>
        <v>211386.03321620636</v>
      </c>
    </row>
    <row r="38" spans="1:9" ht="15" customHeight="1" x14ac:dyDescent="0.25">
      <c r="D38" s="12"/>
      <c r="E38" s="12"/>
      <c r="F38" s="12"/>
      <c r="G38" s="12"/>
      <c r="H38" s="12"/>
      <c r="I38" s="12"/>
    </row>
    <row r="39" spans="1:9" ht="15" customHeight="1" x14ac:dyDescent="0.3">
      <c r="A39" s="11" t="s">
        <v>0</v>
      </c>
      <c r="B39" s="11" t="s">
        <v>31</v>
      </c>
    </row>
  </sheetData>
  <pageMargins left="0.7" right="0.7" top="0.75" bottom="0.75" header="0.3" footer="0.3"/>
  <pageSetup paperSize="9" scale="18" orientation="portrait" horizontalDpi="4294967293"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CE195-2847-40C5-A28F-71DBC6B2EA1D}">
  <dimension ref="A1:I25"/>
  <sheetViews>
    <sheetView showGridLines="0" zoomScale="70" zoomScaleNormal="70" zoomScaleSheetLayoutView="70" workbookViewId="0">
      <pane xSplit="3" ySplit="3" topLeftCell="E4" activePane="bottomRight" state="frozenSplit"/>
      <selection pane="topRight" activeCell="C1" sqref="C1"/>
      <selection pane="bottomLeft" activeCell="A3" sqref="A3"/>
      <selection pane="bottomRight" activeCell="I19" sqref="I19"/>
    </sheetView>
  </sheetViews>
  <sheetFormatPr defaultColWidth="20.6328125" defaultRowHeight="15" customHeight="1" outlineLevelCol="1" x14ac:dyDescent="0.25"/>
  <cols>
    <col min="1" max="1" width="2.6328125" style="2" customWidth="1"/>
    <col min="2" max="2" width="36" style="2" bestFit="1" customWidth="1"/>
    <col min="3" max="3" width="23.36328125" style="2" bestFit="1" customWidth="1"/>
    <col min="4" max="4" width="23.36328125" style="2" customWidth="1" outlineLevel="1"/>
    <col min="5" max="9" width="23.36328125" style="2" bestFit="1" customWidth="1"/>
    <col min="10" max="10" width="1.6328125" style="2" customWidth="1"/>
    <col min="11" max="16384" width="20.6328125" style="2"/>
  </cols>
  <sheetData>
    <row r="1" spans="2:9" s="1" customFormat="1" ht="35.25" customHeight="1" x14ac:dyDescent="0.4">
      <c r="B1" s="3" t="s">
        <v>74</v>
      </c>
      <c r="C1" s="39"/>
      <c r="D1" s="39"/>
      <c r="E1" s="39"/>
    </row>
    <row r="3" spans="2:9" ht="15" customHeight="1" x14ac:dyDescent="0.3">
      <c r="B3" s="40" t="s">
        <v>30</v>
      </c>
      <c r="C3" s="41" t="s">
        <v>9</v>
      </c>
      <c r="D3" s="42">
        <v>43830</v>
      </c>
      <c r="E3" s="43">
        <f t="shared" ref="E3:I3" si="0">EOMONTH(D3,12)</f>
        <v>44196</v>
      </c>
      <c r="F3" s="43">
        <f t="shared" si="0"/>
        <v>44561</v>
      </c>
      <c r="G3" s="43">
        <f t="shared" si="0"/>
        <v>44926</v>
      </c>
      <c r="H3" s="43">
        <f t="shared" si="0"/>
        <v>45291</v>
      </c>
      <c r="I3" s="43">
        <f t="shared" si="0"/>
        <v>45657</v>
      </c>
    </row>
    <row r="4" spans="2:9" ht="15" customHeight="1" x14ac:dyDescent="0.25">
      <c r="D4" s="12"/>
      <c r="E4" s="12"/>
      <c r="F4" s="12"/>
      <c r="G4" s="12"/>
      <c r="H4" s="12"/>
      <c r="I4" s="12"/>
    </row>
    <row r="5" spans="2:9" ht="15" customHeight="1" x14ac:dyDescent="0.25">
      <c r="B5" s="2" t="s">
        <v>4</v>
      </c>
      <c r="C5" s="47"/>
      <c r="E5" s="48">
        <f>'P&amp;L Forecast'!E21</f>
        <v>227000</v>
      </c>
      <c r="F5" s="48">
        <f>'P&amp;L Forecast'!F21</f>
        <v>287604</v>
      </c>
      <c r="G5" s="48">
        <f>'P&amp;L Forecast'!G21</f>
        <v>353102.3531999999</v>
      </c>
      <c r="H5" s="48">
        <f>'P&amp;L Forecast'!H21</f>
        <v>422670.11884031992</v>
      </c>
      <c r="I5" s="48">
        <f>'P&amp;L Forecast'!I21</f>
        <v>495211.36868203164</v>
      </c>
    </row>
    <row r="6" spans="2:9" ht="15" customHeight="1" x14ac:dyDescent="0.25">
      <c r="B6" s="2" t="s">
        <v>86</v>
      </c>
      <c r="E6" s="49">
        <f>'P&amp;L Forecast'!E32*-1</f>
        <v>-36939</v>
      </c>
      <c r="F6" s="49">
        <f>'P&amp;L Forecast'!F32*-1</f>
        <v>-49430.991959999992</v>
      </c>
      <c r="G6" s="49">
        <f>'P&amp;L Forecast'!G32*-1</f>
        <v>-63147.881559974368</v>
      </c>
      <c r="H6" s="49">
        <f>'P&amp;L Forecast'!H32*-1</f>
        <v>-77953.199210183346</v>
      </c>
      <c r="I6" s="49">
        <f>'P&amp;L Forecast'!I32*-1</f>
        <v>-93652.040032496487</v>
      </c>
    </row>
    <row r="7" spans="2:9" ht="15" customHeight="1" x14ac:dyDescent="0.25">
      <c r="B7" s="2" t="s">
        <v>87</v>
      </c>
      <c r="E7" s="49">
        <f>'P&amp;L Forecast'!E37*-1</f>
        <v>-83376.599999999991</v>
      </c>
      <c r="F7" s="49">
        <f>'P&amp;L Forecast'!F37*-1</f>
        <v>-111572.810424</v>
      </c>
      <c r="G7" s="49">
        <f>'P&amp;L Forecast'!G37*-1</f>
        <v>-142533.78980679929</v>
      </c>
      <c r="H7" s="49">
        <f>'P&amp;L Forecast'!H37*-1</f>
        <v>-175951.50678869954</v>
      </c>
      <c r="I7" s="49">
        <f>'P&amp;L Forecast'!I37*-1</f>
        <v>-211386.03321620636</v>
      </c>
    </row>
    <row r="8" spans="2:9" ht="15" customHeight="1" x14ac:dyDescent="0.25">
      <c r="B8" s="2" t="s">
        <v>83</v>
      </c>
      <c r="C8" s="47"/>
      <c r="E8" s="49">
        <f>'Forecast Assumptions'!E38*'P&amp;L Forecast'!E8</f>
        <v>-7050</v>
      </c>
      <c r="F8" s="49">
        <f>'Forecast Assumptions'!F38*'P&amp;L Forecast'!F8</f>
        <v>-8065.2</v>
      </c>
      <c r="G8" s="49">
        <f>'Forecast Assumptions'!G38*'P&amp;L Forecast'!G8</f>
        <v>-9142.7107199999991</v>
      </c>
      <c r="H8" s="49">
        <f>'Forecast Assumptions'!H38*'P&amp;L Forecast'!H8</f>
        <v>-10269.092680704</v>
      </c>
      <c r="I8" s="49">
        <f>'Forecast Assumptions'!I38*'P&amp;L Forecast'!I8</f>
        <v>-11427.44633508741</v>
      </c>
    </row>
    <row r="9" spans="2:9" ht="15" customHeight="1" x14ac:dyDescent="0.25">
      <c r="B9" s="2" t="s">
        <v>66</v>
      </c>
      <c r="C9" s="47"/>
      <c r="E9" s="49">
        <f>('Cash Flow Forecast'!E15*'Forecast Assumptions'!E45)-(E21*'Forecast Assumptions'!E44)</f>
        <v>-15850</v>
      </c>
      <c r="F9" s="49">
        <f>('Cash Flow Forecast'!F15*'Forecast Assumptions'!F45)-(F21*'Forecast Assumptions'!F44)</f>
        <v>-13908.624</v>
      </c>
      <c r="G9" s="49">
        <f>('Cash Flow Forecast'!G15*'Forecast Assumptions'!G45)-(G21*'Forecast Assumptions'!G44)</f>
        <v>-11255.957055359997</v>
      </c>
      <c r="H9" s="49">
        <f>('Cash Flow Forecast'!H15*'Forecast Assumptions'!H45)-(H21*'Forecast Assumptions'!H44)</f>
        <v>-7820.7644226453494</v>
      </c>
      <c r="I9" s="49">
        <f>('Cash Flow Forecast'!I15*'Forecast Assumptions'!I45)-(I21*'Forecast Assumptions'!I44)</f>
        <v>-3539.4879488415213</v>
      </c>
    </row>
    <row r="10" spans="2:9" ht="15" customHeight="1" x14ac:dyDescent="0.25">
      <c r="B10" s="2" t="s">
        <v>84</v>
      </c>
      <c r="C10" s="47"/>
      <c r="E10" s="49">
        <f>'P&amp;L Forecast'!E8*'Forecast Assumptions'!E37</f>
        <v>-35250</v>
      </c>
      <c r="F10" s="49">
        <f>'P&amp;L Forecast'!F8*'Forecast Assumptions'!F37</f>
        <v>-38309.699999999997</v>
      </c>
      <c r="G10" s="49">
        <f>'P&amp;L Forecast'!G8*'Forecast Assumptions'!G37</f>
        <v>-41142.198239999998</v>
      </c>
      <c r="H10" s="49">
        <f>'P&amp;L Forecast'!H8*'Forecast Assumptions'!H37</f>
        <v>-43643.643892991997</v>
      </c>
      <c r="I10" s="49">
        <f>'P&amp;L Forecast'!I8*'Forecast Assumptions'!I37</f>
        <v>-45709.785340349626</v>
      </c>
    </row>
    <row r="11" spans="2:9" ht="15" customHeight="1" x14ac:dyDescent="0.3">
      <c r="B11" s="50" t="s">
        <v>75</v>
      </c>
      <c r="C11" s="51" t="s">
        <v>11</v>
      </c>
      <c r="D11" s="50"/>
      <c r="E11" s="52">
        <f>SUM(E5:E10)</f>
        <v>48534.400000000009</v>
      </c>
      <c r="F11" s="52">
        <f t="shared" ref="F11:I11" si="1">SUM(F5:F10)</f>
        <v>66316.673616000029</v>
      </c>
      <c r="G11" s="52">
        <f t="shared" si="1"/>
        <v>85879.815817866212</v>
      </c>
      <c r="H11" s="52">
        <f t="shared" si="1"/>
        <v>107031.91184509569</v>
      </c>
      <c r="I11" s="52">
        <f t="shared" si="1"/>
        <v>129496.57580905021</v>
      </c>
    </row>
    <row r="12" spans="2:9" ht="15" customHeight="1" x14ac:dyDescent="0.3">
      <c r="B12" s="2" t="s">
        <v>76</v>
      </c>
      <c r="C12" s="47" t="s">
        <v>11</v>
      </c>
      <c r="D12" s="4"/>
      <c r="E12" s="53">
        <f>IF(E21&gt;E11, -E11, -E21)</f>
        <v>-48534.400000000009</v>
      </c>
      <c r="F12" s="53">
        <f t="shared" ref="F12:I12" si="2">IF(F21&gt;F11, -F11, -F21)</f>
        <v>-66316.673616000029</v>
      </c>
      <c r="G12" s="53">
        <f t="shared" si="2"/>
        <v>-85879.815817866212</v>
      </c>
      <c r="H12" s="53">
        <f t="shared" si="2"/>
        <v>-107031.91184509569</v>
      </c>
      <c r="I12" s="53">
        <f t="shared" si="2"/>
        <v>-92237.198721038032</v>
      </c>
    </row>
    <row r="13" spans="2:9" ht="15" customHeight="1" x14ac:dyDescent="0.3">
      <c r="B13" s="50" t="s">
        <v>77</v>
      </c>
      <c r="C13" s="51" t="s">
        <v>11</v>
      </c>
      <c r="D13" s="50"/>
      <c r="E13" s="52">
        <f>SUM(E11:E12)</f>
        <v>0</v>
      </c>
      <c r="F13" s="52">
        <f t="shared" ref="F13:I13" si="3">SUM(F11:F12)</f>
        <v>0</v>
      </c>
      <c r="G13" s="52">
        <f t="shared" si="3"/>
        <v>0</v>
      </c>
      <c r="H13" s="52">
        <f t="shared" si="3"/>
        <v>0</v>
      </c>
      <c r="I13" s="52">
        <f t="shared" si="3"/>
        <v>37259.377088012174</v>
      </c>
    </row>
    <row r="15" spans="2:9" ht="15" customHeight="1" x14ac:dyDescent="0.25">
      <c r="B15" s="2" t="s">
        <v>78</v>
      </c>
      <c r="C15" s="47" t="s">
        <v>11</v>
      </c>
      <c r="E15" s="53">
        <f>D17</f>
        <v>15000</v>
      </c>
      <c r="F15" s="53">
        <f t="shared" ref="F15:I15" si="4">E17</f>
        <v>15000</v>
      </c>
      <c r="G15" s="53">
        <f t="shared" si="4"/>
        <v>15000</v>
      </c>
      <c r="H15" s="53">
        <f t="shared" si="4"/>
        <v>15000</v>
      </c>
      <c r="I15" s="53">
        <f t="shared" si="4"/>
        <v>15000</v>
      </c>
    </row>
    <row r="16" spans="2:9" ht="15" customHeight="1" x14ac:dyDescent="0.25">
      <c r="B16" s="2" t="s">
        <v>77</v>
      </c>
      <c r="C16" s="47" t="s">
        <v>11</v>
      </c>
      <c r="E16" s="53">
        <f>IF(E21&gt;E11, 0, E11-E21)</f>
        <v>0</v>
      </c>
      <c r="F16" s="53">
        <f t="shared" ref="F16:I16" si="5">IF(F21&gt;F11, 0, F11-F21)</f>
        <v>0</v>
      </c>
      <c r="G16" s="53">
        <f t="shared" si="5"/>
        <v>0</v>
      </c>
      <c r="H16" s="53">
        <f t="shared" si="5"/>
        <v>0</v>
      </c>
      <c r="I16" s="53">
        <f t="shared" si="5"/>
        <v>37259.377088012174</v>
      </c>
    </row>
    <row r="17" spans="1:9" ht="15" customHeight="1" x14ac:dyDescent="0.3">
      <c r="B17" s="50" t="s">
        <v>79</v>
      </c>
      <c r="C17" s="51" t="s">
        <v>11</v>
      </c>
      <c r="D17" s="54">
        <v>15000</v>
      </c>
      <c r="E17" s="52">
        <f>SUM(E15:E16)</f>
        <v>15000</v>
      </c>
      <c r="F17" s="52">
        <f t="shared" ref="F17:I17" si="6">SUM(F15:F16)</f>
        <v>15000</v>
      </c>
      <c r="G17" s="52">
        <f t="shared" si="6"/>
        <v>15000</v>
      </c>
      <c r="H17" s="52">
        <f t="shared" si="6"/>
        <v>15000</v>
      </c>
      <c r="I17" s="52">
        <f t="shared" si="6"/>
        <v>52259.377088012174</v>
      </c>
    </row>
    <row r="18" spans="1:9" ht="15" customHeight="1" x14ac:dyDescent="0.25">
      <c r="D18" s="12"/>
      <c r="E18" s="12"/>
      <c r="F18" s="12"/>
      <c r="G18" s="12"/>
      <c r="H18" s="12"/>
      <c r="I18" s="12"/>
    </row>
    <row r="19" spans="1:9" ht="15" customHeight="1" x14ac:dyDescent="0.3">
      <c r="A19" s="44" t="s">
        <v>0</v>
      </c>
      <c r="B19" s="11" t="s">
        <v>80</v>
      </c>
      <c r="D19" s="12"/>
      <c r="E19" s="12"/>
      <c r="F19" s="12"/>
      <c r="G19" s="12"/>
      <c r="H19" s="12"/>
      <c r="I19" s="12"/>
    </row>
    <row r="20" spans="1:9" ht="15" customHeight="1" x14ac:dyDescent="0.25">
      <c r="D20" s="12"/>
      <c r="E20" s="12"/>
      <c r="F20" s="12"/>
      <c r="G20" s="12"/>
      <c r="H20" s="12"/>
      <c r="I20" s="12"/>
    </row>
    <row r="21" spans="1:9" ht="15" customHeight="1" x14ac:dyDescent="0.25">
      <c r="B21" s="2" t="s">
        <v>81</v>
      </c>
      <c r="C21" s="47" t="s">
        <v>11</v>
      </c>
      <c r="D21" s="48"/>
      <c r="E21" s="48">
        <f>D23</f>
        <v>400000</v>
      </c>
      <c r="F21" s="48">
        <f t="shared" ref="F21:I21" si="7">E23</f>
        <v>351465.6</v>
      </c>
      <c r="G21" s="48">
        <f t="shared" si="7"/>
        <v>285148.92638399993</v>
      </c>
      <c r="H21" s="48">
        <f t="shared" si="7"/>
        <v>199269.11056613372</v>
      </c>
      <c r="I21" s="48">
        <f t="shared" si="7"/>
        <v>92237.198721038032</v>
      </c>
    </row>
    <row r="22" spans="1:9" ht="15" customHeight="1" x14ac:dyDescent="0.25">
      <c r="B22" s="2" t="s">
        <v>76</v>
      </c>
      <c r="C22" s="47" t="s">
        <v>11</v>
      </c>
      <c r="E22" s="53">
        <f>E12</f>
        <v>-48534.400000000009</v>
      </c>
      <c r="F22" s="53">
        <f t="shared" ref="F22:I22" si="8">F12</f>
        <v>-66316.673616000029</v>
      </c>
      <c r="G22" s="53">
        <f t="shared" si="8"/>
        <v>-85879.815817866212</v>
      </c>
      <c r="H22" s="53">
        <f t="shared" si="8"/>
        <v>-107031.91184509569</v>
      </c>
      <c r="I22" s="53">
        <f t="shared" si="8"/>
        <v>-92237.198721038032</v>
      </c>
    </row>
    <row r="23" spans="1:9" ht="15" customHeight="1" x14ac:dyDescent="0.3">
      <c r="B23" s="50" t="s">
        <v>82</v>
      </c>
      <c r="C23" s="51" t="s">
        <v>11</v>
      </c>
      <c r="D23" s="54">
        <v>400000</v>
      </c>
      <c r="E23" s="52">
        <f>E21+E22</f>
        <v>351465.6</v>
      </c>
      <c r="F23" s="52">
        <f t="shared" ref="F23:I23" si="9">F21+F22</f>
        <v>285148.92638399993</v>
      </c>
      <c r="G23" s="52">
        <f t="shared" si="9"/>
        <v>199269.11056613372</v>
      </c>
      <c r="H23" s="52">
        <f t="shared" si="9"/>
        <v>92237.198721038032</v>
      </c>
      <c r="I23" s="52">
        <f t="shared" si="9"/>
        <v>0</v>
      </c>
    </row>
    <row r="24" spans="1:9" ht="15" customHeight="1" x14ac:dyDescent="0.25">
      <c r="D24" s="12"/>
      <c r="E24" s="12"/>
      <c r="F24" s="12"/>
      <c r="G24" s="12"/>
      <c r="H24" s="12"/>
      <c r="I24" s="12"/>
    </row>
    <row r="25" spans="1:9" s="45" customFormat="1" ht="15" customHeight="1" x14ac:dyDescent="0.3">
      <c r="A25" s="39" t="s">
        <v>0</v>
      </c>
      <c r="B25" s="39" t="s">
        <v>31</v>
      </c>
    </row>
  </sheetData>
  <pageMargins left="0.7" right="0.7" top="0.75" bottom="0.75" header="0.3" footer="0.3"/>
  <pageSetup paperSize="9" scale="18" orientation="portrait" horizontalDpi="4294967293"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2A76E-0890-4F55-8D37-C041F362AC81}">
  <dimension ref="B1:H141"/>
  <sheetViews>
    <sheetView showGridLines="0" tabSelected="1" topLeftCell="A108" zoomScale="70" zoomScaleNormal="70" zoomScaleSheetLayoutView="85" workbookViewId="0">
      <selection activeCell="J123" sqref="J123"/>
    </sheetView>
  </sheetViews>
  <sheetFormatPr defaultColWidth="20.6328125" defaultRowHeight="15" customHeight="1" x14ac:dyDescent="0.25"/>
  <cols>
    <col min="1" max="1" width="2.6328125" style="2" customWidth="1"/>
    <col min="2" max="2" width="36" style="2" bestFit="1" customWidth="1"/>
    <col min="3" max="3" width="23.36328125" style="2" bestFit="1" customWidth="1"/>
    <col min="4" max="4" width="23.36328125" style="2" customWidth="1"/>
    <col min="5" max="8" width="23.36328125" style="2" bestFit="1" customWidth="1"/>
    <col min="9" max="9" width="2.6328125" style="2" customWidth="1"/>
    <col min="10" max="16384" width="20.6328125" style="2"/>
  </cols>
  <sheetData>
    <row r="1" spans="2:8" s="1" customFormat="1" ht="35.25" customHeight="1" x14ac:dyDescent="0.4">
      <c r="B1" s="3" t="s">
        <v>88</v>
      </c>
      <c r="C1" s="39"/>
      <c r="D1" s="39"/>
      <c r="E1" s="39"/>
    </row>
    <row r="3" spans="2:8" ht="15" customHeight="1" x14ac:dyDescent="0.3">
      <c r="B3" s="4" t="s">
        <v>93</v>
      </c>
    </row>
    <row r="4" spans="2:8" ht="15" customHeight="1" x14ac:dyDescent="0.3">
      <c r="B4" s="55"/>
      <c r="C4" s="56"/>
      <c r="D4" s="56"/>
      <c r="E4" s="56"/>
      <c r="F4" s="56"/>
      <c r="G4" s="56"/>
      <c r="H4" s="57"/>
    </row>
    <row r="5" spans="2:8" ht="15" customHeight="1" x14ac:dyDescent="0.25">
      <c r="B5" s="58"/>
      <c r="H5" s="59"/>
    </row>
    <row r="6" spans="2:8" ht="15" customHeight="1" x14ac:dyDescent="0.25">
      <c r="B6" s="58"/>
      <c r="H6" s="59"/>
    </row>
    <row r="7" spans="2:8" ht="15" customHeight="1" x14ac:dyDescent="0.25">
      <c r="B7" s="58"/>
      <c r="H7" s="59"/>
    </row>
    <row r="8" spans="2:8" ht="15" customHeight="1" x14ac:dyDescent="0.25">
      <c r="B8" s="58"/>
      <c r="H8" s="59"/>
    </row>
    <row r="9" spans="2:8" ht="15" customHeight="1" x14ac:dyDescent="0.25">
      <c r="B9" s="58"/>
      <c r="H9" s="59"/>
    </row>
    <row r="10" spans="2:8" ht="15" customHeight="1" x14ac:dyDescent="0.25">
      <c r="B10" s="58"/>
      <c r="H10" s="59"/>
    </row>
    <row r="11" spans="2:8" ht="15" customHeight="1" x14ac:dyDescent="0.25">
      <c r="B11" s="58"/>
      <c r="H11" s="59"/>
    </row>
    <row r="12" spans="2:8" ht="15" customHeight="1" x14ac:dyDescent="0.25">
      <c r="B12" s="58"/>
      <c r="H12" s="59"/>
    </row>
    <row r="13" spans="2:8" ht="15" customHeight="1" x14ac:dyDescent="0.25">
      <c r="B13" s="58"/>
      <c r="H13" s="59"/>
    </row>
    <row r="14" spans="2:8" ht="15" customHeight="1" x14ac:dyDescent="0.25">
      <c r="B14" s="58"/>
      <c r="H14" s="59"/>
    </row>
    <row r="15" spans="2:8" ht="15" customHeight="1" x14ac:dyDescent="0.25">
      <c r="B15" s="58"/>
      <c r="H15" s="59"/>
    </row>
    <row r="16" spans="2:8" ht="15" customHeight="1" x14ac:dyDescent="0.25">
      <c r="B16" s="58"/>
      <c r="H16" s="59"/>
    </row>
    <row r="17" spans="2:8" ht="15" customHeight="1" x14ac:dyDescent="0.25">
      <c r="B17" s="58"/>
      <c r="H17" s="59"/>
    </row>
    <row r="18" spans="2:8" ht="15" customHeight="1" x14ac:dyDescent="0.25">
      <c r="B18" s="58"/>
      <c r="H18" s="59"/>
    </row>
    <row r="19" spans="2:8" ht="15" customHeight="1" x14ac:dyDescent="0.25">
      <c r="B19" s="58"/>
      <c r="H19" s="59"/>
    </row>
    <row r="20" spans="2:8" ht="15" customHeight="1" x14ac:dyDescent="0.25">
      <c r="B20" s="58"/>
      <c r="H20" s="59"/>
    </row>
    <row r="21" spans="2:8" ht="15" customHeight="1" x14ac:dyDescent="0.25">
      <c r="B21" s="58"/>
      <c r="H21" s="59"/>
    </row>
    <row r="22" spans="2:8" ht="15" customHeight="1" x14ac:dyDescent="0.25">
      <c r="B22" s="58"/>
      <c r="H22" s="59"/>
    </row>
    <row r="23" spans="2:8" ht="15" customHeight="1" x14ac:dyDescent="0.25">
      <c r="B23" s="58"/>
      <c r="H23" s="59"/>
    </row>
    <row r="24" spans="2:8" ht="15" customHeight="1" x14ac:dyDescent="0.25">
      <c r="B24" s="58"/>
      <c r="H24" s="59"/>
    </row>
    <row r="25" spans="2:8" ht="15" customHeight="1" x14ac:dyDescent="0.25">
      <c r="B25" s="58"/>
      <c r="H25" s="59"/>
    </row>
    <row r="26" spans="2:8" ht="15" customHeight="1" x14ac:dyDescent="0.25">
      <c r="B26" s="58"/>
      <c r="H26" s="59"/>
    </row>
    <row r="27" spans="2:8" ht="15" customHeight="1" x14ac:dyDescent="0.25">
      <c r="B27" s="58"/>
      <c r="H27" s="59"/>
    </row>
    <row r="28" spans="2:8" ht="15" customHeight="1" x14ac:dyDescent="0.25">
      <c r="B28" s="58"/>
      <c r="H28" s="59"/>
    </row>
    <row r="29" spans="2:8" ht="15" customHeight="1" x14ac:dyDescent="0.25">
      <c r="B29" s="60"/>
      <c r="C29" s="61"/>
      <c r="D29" s="61"/>
      <c r="E29" s="61"/>
      <c r="F29" s="61"/>
      <c r="G29" s="61"/>
      <c r="H29" s="62"/>
    </row>
    <row r="31" spans="2:8" ht="15" customHeight="1" x14ac:dyDescent="0.3">
      <c r="B31" s="4" t="s">
        <v>89</v>
      </c>
    </row>
    <row r="32" spans="2:8" ht="15" customHeight="1" x14ac:dyDescent="0.3">
      <c r="B32" s="55"/>
      <c r="C32" s="56"/>
      <c r="D32" s="56"/>
      <c r="E32" s="56"/>
      <c r="F32" s="56"/>
      <c r="G32" s="56"/>
      <c r="H32" s="57"/>
    </row>
    <row r="33" spans="2:8" ht="15" customHeight="1" x14ac:dyDescent="0.25">
      <c r="B33" s="58"/>
      <c r="H33" s="59"/>
    </row>
    <row r="34" spans="2:8" ht="15" customHeight="1" x14ac:dyDescent="0.25">
      <c r="B34" s="58"/>
      <c r="H34" s="59"/>
    </row>
    <row r="35" spans="2:8" ht="15" customHeight="1" x14ac:dyDescent="0.25">
      <c r="B35" s="58"/>
      <c r="H35" s="59"/>
    </row>
    <row r="36" spans="2:8" ht="15" customHeight="1" x14ac:dyDescent="0.25">
      <c r="B36" s="58"/>
      <c r="H36" s="59"/>
    </row>
    <row r="37" spans="2:8" ht="15" customHeight="1" x14ac:dyDescent="0.25">
      <c r="B37" s="58"/>
      <c r="H37" s="59"/>
    </row>
    <row r="38" spans="2:8" ht="15" customHeight="1" x14ac:dyDescent="0.25">
      <c r="B38" s="58"/>
      <c r="H38" s="59"/>
    </row>
    <row r="39" spans="2:8" ht="15" customHeight="1" x14ac:dyDescent="0.25">
      <c r="B39" s="58"/>
      <c r="H39" s="59"/>
    </row>
    <row r="40" spans="2:8" ht="15" customHeight="1" x14ac:dyDescent="0.25">
      <c r="B40" s="58"/>
      <c r="H40" s="59"/>
    </row>
    <row r="41" spans="2:8" ht="15" customHeight="1" x14ac:dyDescent="0.25">
      <c r="B41" s="58"/>
      <c r="H41" s="59"/>
    </row>
    <row r="42" spans="2:8" ht="15" customHeight="1" x14ac:dyDescent="0.25">
      <c r="B42" s="58"/>
      <c r="H42" s="59"/>
    </row>
    <row r="43" spans="2:8" ht="15" customHeight="1" x14ac:dyDescent="0.25">
      <c r="B43" s="58"/>
      <c r="H43" s="59"/>
    </row>
    <row r="44" spans="2:8" ht="15" customHeight="1" x14ac:dyDescent="0.25">
      <c r="B44" s="58"/>
      <c r="H44" s="59"/>
    </row>
    <row r="45" spans="2:8" ht="15" customHeight="1" x14ac:dyDescent="0.25">
      <c r="B45" s="58"/>
      <c r="H45" s="59"/>
    </row>
    <row r="46" spans="2:8" ht="15" customHeight="1" x14ac:dyDescent="0.25">
      <c r="B46" s="58"/>
      <c r="H46" s="59"/>
    </row>
    <row r="47" spans="2:8" ht="15" customHeight="1" x14ac:dyDescent="0.25">
      <c r="B47" s="58"/>
      <c r="H47" s="59"/>
    </row>
    <row r="48" spans="2:8" ht="15" customHeight="1" x14ac:dyDescent="0.25">
      <c r="B48" s="58"/>
      <c r="H48" s="59"/>
    </row>
    <row r="49" spans="2:8" ht="15" customHeight="1" x14ac:dyDescent="0.25">
      <c r="B49" s="58"/>
      <c r="H49" s="59"/>
    </row>
    <row r="50" spans="2:8" ht="15" customHeight="1" x14ac:dyDescent="0.25">
      <c r="B50" s="58"/>
      <c r="H50" s="59"/>
    </row>
    <row r="51" spans="2:8" ht="15" customHeight="1" x14ac:dyDescent="0.25">
      <c r="B51" s="58"/>
      <c r="H51" s="59"/>
    </row>
    <row r="52" spans="2:8" ht="15" customHeight="1" x14ac:dyDescent="0.25">
      <c r="B52" s="58"/>
      <c r="H52" s="59"/>
    </row>
    <row r="53" spans="2:8" ht="15" customHeight="1" x14ac:dyDescent="0.25">
      <c r="B53" s="58"/>
      <c r="H53" s="59"/>
    </row>
    <row r="54" spans="2:8" ht="15" customHeight="1" x14ac:dyDescent="0.25">
      <c r="B54" s="58"/>
      <c r="H54" s="59"/>
    </row>
    <row r="55" spans="2:8" ht="15" customHeight="1" x14ac:dyDescent="0.25">
      <c r="B55" s="58"/>
      <c r="H55" s="59"/>
    </row>
    <row r="56" spans="2:8" ht="15" customHeight="1" x14ac:dyDescent="0.25">
      <c r="B56" s="58"/>
      <c r="H56" s="59"/>
    </row>
    <row r="57" spans="2:8" ht="15" customHeight="1" x14ac:dyDescent="0.25">
      <c r="B57" s="60"/>
      <c r="C57" s="61"/>
      <c r="D57" s="61"/>
      <c r="E57" s="61"/>
      <c r="F57" s="61"/>
      <c r="G57" s="61"/>
      <c r="H57" s="62"/>
    </row>
    <row r="59" spans="2:8" ht="15" customHeight="1" x14ac:dyDescent="0.3">
      <c r="B59" s="4" t="s">
        <v>90</v>
      </c>
    </row>
    <row r="60" spans="2:8" ht="15" customHeight="1" x14ac:dyDescent="0.3">
      <c r="B60" s="55"/>
      <c r="C60" s="56"/>
      <c r="D60" s="56"/>
      <c r="E60" s="56"/>
      <c r="F60" s="56"/>
      <c r="G60" s="56"/>
      <c r="H60" s="57"/>
    </row>
    <row r="61" spans="2:8" ht="15" customHeight="1" x14ac:dyDescent="0.25">
      <c r="B61" s="58"/>
      <c r="H61" s="59"/>
    </row>
    <row r="62" spans="2:8" ht="15" customHeight="1" x14ac:dyDescent="0.25">
      <c r="B62" s="58"/>
      <c r="H62" s="59"/>
    </row>
    <row r="63" spans="2:8" ht="15" customHeight="1" x14ac:dyDescent="0.25">
      <c r="B63" s="58"/>
      <c r="H63" s="59"/>
    </row>
    <row r="64" spans="2:8" ht="15" customHeight="1" x14ac:dyDescent="0.25">
      <c r="B64" s="58"/>
      <c r="H64" s="59"/>
    </row>
    <row r="65" spans="2:8" ht="15" customHeight="1" x14ac:dyDescent="0.25">
      <c r="B65" s="58"/>
      <c r="H65" s="59"/>
    </row>
    <row r="66" spans="2:8" ht="15" customHeight="1" x14ac:dyDescent="0.25">
      <c r="B66" s="58"/>
      <c r="H66" s="59"/>
    </row>
    <row r="67" spans="2:8" ht="15" customHeight="1" x14ac:dyDescent="0.25">
      <c r="B67" s="58"/>
      <c r="H67" s="59"/>
    </row>
    <row r="68" spans="2:8" ht="15" customHeight="1" x14ac:dyDescent="0.25">
      <c r="B68" s="58"/>
      <c r="H68" s="59"/>
    </row>
    <row r="69" spans="2:8" ht="15" customHeight="1" x14ac:dyDescent="0.25">
      <c r="B69" s="58"/>
      <c r="H69" s="59"/>
    </row>
    <row r="70" spans="2:8" ht="15" customHeight="1" x14ac:dyDescent="0.25">
      <c r="B70" s="58"/>
      <c r="H70" s="59"/>
    </row>
    <row r="71" spans="2:8" ht="15" customHeight="1" x14ac:dyDescent="0.25">
      <c r="B71" s="58"/>
      <c r="H71" s="59"/>
    </row>
    <row r="72" spans="2:8" ht="15" customHeight="1" x14ac:dyDescent="0.25">
      <c r="B72" s="58"/>
      <c r="H72" s="59"/>
    </row>
    <row r="73" spans="2:8" ht="15" customHeight="1" x14ac:dyDescent="0.25">
      <c r="B73" s="58"/>
      <c r="H73" s="59"/>
    </row>
    <row r="74" spans="2:8" ht="15" customHeight="1" x14ac:dyDescent="0.25">
      <c r="B74" s="58"/>
      <c r="H74" s="59"/>
    </row>
    <row r="75" spans="2:8" ht="15" customHeight="1" x14ac:dyDescent="0.25">
      <c r="B75" s="58"/>
      <c r="H75" s="59"/>
    </row>
    <row r="76" spans="2:8" ht="15" customHeight="1" x14ac:dyDescent="0.25">
      <c r="B76" s="58"/>
      <c r="H76" s="59"/>
    </row>
    <row r="77" spans="2:8" ht="15" customHeight="1" x14ac:dyDescent="0.25">
      <c r="B77" s="58"/>
      <c r="H77" s="59"/>
    </row>
    <row r="78" spans="2:8" ht="15" customHeight="1" x14ac:dyDescent="0.25">
      <c r="B78" s="58"/>
      <c r="H78" s="59"/>
    </row>
    <row r="79" spans="2:8" ht="15" customHeight="1" x14ac:dyDescent="0.25">
      <c r="B79" s="58"/>
      <c r="H79" s="59"/>
    </row>
    <row r="80" spans="2:8" ht="15" customHeight="1" x14ac:dyDescent="0.25">
      <c r="B80" s="58"/>
      <c r="H80" s="59"/>
    </row>
    <row r="81" spans="2:8" ht="15" customHeight="1" x14ac:dyDescent="0.25">
      <c r="B81" s="58"/>
      <c r="H81" s="59"/>
    </row>
    <row r="82" spans="2:8" ht="15" customHeight="1" x14ac:dyDescent="0.25">
      <c r="B82" s="58"/>
      <c r="H82" s="59"/>
    </row>
    <row r="83" spans="2:8" ht="15" customHeight="1" x14ac:dyDescent="0.25">
      <c r="B83" s="58"/>
      <c r="H83" s="59"/>
    </row>
    <row r="84" spans="2:8" ht="15" customHeight="1" x14ac:dyDescent="0.25">
      <c r="B84" s="58"/>
      <c r="H84" s="59"/>
    </row>
    <row r="85" spans="2:8" ht="15" customHeight="1" x14ac:dyDescent="0.25">
      <c r="B85" s="60"/>
      <c r="C85" s="61"/>
      <c r="D85" s="61"/>
      <c r="E85" s="61"/>
      <c r="F85" s="61"/>
      <c r="G85" s="61"/>
      <c r="H85" s="62"/>
    </row>
    <row r="87" spans="2:8" ht="15" customHeight="1" x14ac:dyDescent="0.3">
      <c r="B87" s="4" t="s">
        <v>91</v>
      </c>
    </row>
    <row r="88" spans="2:8" ht="15" customHeight="1" x14ac:dyDescent="0.3">
      <c r="B88" s="55"/>
      <c r="C88" s="56"/>
      <c r="D88" s="56"/>
      <c r="E88" s="56"/>
      <c r="F88" s="56"/>
      <c r="G88" s="56"/>
      <c r="H88" s="57"/>
    </row>
    <row r="89" spans="2:8" ht="15" customHeight="1" x14ac:dyDescent="0.25">
      <c r="B89" s="58"/>
      <c r="H89" s="59"/>
    </row>
    <row r="90" spans="2:8" ht="15" customHeight="1" x14ac:dyDescent="0.25">
      <c r="B90" s="58"/>
      <c r="H90" s="59"/>
    </row>
    <row r="91" spans="2:8" ht="15" customHeight="1" x14ac:dyDescent="0.25">
      <c r="B91" s="58"/>
      <c r="H91" s="59"/>
    </row>
    <row r="92" spans="2:8" ht="15" customHeight="1" x14ac:dyDescent="0.25">
      <c r="B92" s="58"/>
      <c r="H92" s="59"/>
    </row>
    <row r="93" spans="2:8" ht="15" customHeight="1" x14ac:dyDescent="0.25">
      <c r="B93" s="58"/>
      <c r="H93" s="59"/>
    </row>
    <row r="94" spans="2:8" ht="15" customHeight="1" x14ac:dyDescent="0.25">
      <c r="B94" s="58"/>
      <c r="H94" s="59"/>
    </row>
    <row r="95" spans="2:8" ht="15" customHeight="1" x14ac:dyDescent="0.25">
      <c r="B95" s="58"/>
      <c r="H95" s="59"/>
    </row>
    <row r="96" spans="2:8" ht="15" customHeight="1" x14ac:dyDescent="0.25">
      <c r="B96" s="58"/>
      <c r="H96" s="59"/>
    </row>
    <row r="97" spans="2:8" ht="15" customHeight="1" x14ac:dyDescent="0.25">
      <c r="B97" s="58"/>
      <c r="H97" s="59"/>
    </row>
    <row r="98" spans="2:8" ht="15" customHeight="1" x14ac:dyDescent="0.25">
      <c r="B98" s="58"/>
      <c r="H98" s="59"/>
    </row>
    <row r="99" spans="2:8" ht="15" customHeight="1" x14ac:dyDescent="0.25">
      <c r="B99" s="58"/>
      <c r="H99" s="59"/>
    </row>
    <row r="100" spans="2:8" ht="15" customHeight="1" x14ac:dyDescent="0.25">
      <c r="B100" s="58"/>
      <c r="H100" s="59"/>
    </row>
    <row r="101" spans="2:8" ht="15" customHeight="1" x14ac:dyDescent="0.25">
      <c r="B101" s="58"/>
      <c r="H101" s="59"/>
    </row>
    <row r="102" spans="2:8" ht="15" customHeight="1" x14ac:dyDescent="0.25">
      <c r="B102" s="58"/>
      <c r="H102" s="59"/>
    </row>
    <row r="103" spans="2:8" ht="15" customHeight="1" x14ac:dyDescent="0.25">
      <c r="B103" s="58"/>
      <c r="H103" s="59"/>
    </row>
    <row r="104" spans="2:8" ht="15" customHeight="1" x14ac:dyDescent="0.25">
      <c r="B104" s="58"/>
      <c r="H104" s="59"/>
    </row>
    <row r="105" spans="2:8" ht="15" customHeight="1" x14ac:dyDescent="0.25">
      <c r="B105" s="58"/>
      <c r="H105" s="59"/>
    </row>
    <row r="106" spans="2:8" ht="15" customHeight="1" x14ac:dyDescent="0.25">
      <c r="B106" s="58"/>
      <c r="H106" s="59"/>
    </row>
    <row r="107" spans="2:8" ht="15" customHeight="1" x14ac:dyDescent="0.25">
      <c r="B107" s="58"/>
      <c r="H107" s="59"/>
    </row>
    <row r="108" spans="2:8" ht="15" customHeight="1" x14ac:dyDescent="0.25">
      <c r="B108" s="58"/>
      <c r="H108" s="59"/>
    </row>
    <row r="109" spans="2:8" ht="15" customHeight="1" x14ac:dyDescent="0.25">
      <c r="B109" s="58"/>
      <c r="H109" s="59"/>
    </row>
    <row r="110" spans="2:8" ht="15" customHeight="1" x14ac:dyDescent="0.25">
      <c r="B110" s="58"/>
      <c r="H110" s="59"/>
    </row>
    <row r="111" spans="2:8" ht="15" customHeight="1" x14ac:dyDescent="0.25">
      <c r="B111" s="58"/>
      <c r="H111" s="59"/>
    </row>
    <row r="112" spans="2:8" ht="15" customHeight="1" x14ac:dyDescent="0.25">
      <c r="B112" s="58"/>
      <c r="H112" s="59"/>
    </row>
    <row r="113" spans="2:8" ht="15" customHeight="1" x14ac:dyDescent="0.25">
      <c r="B113" s="60"/>
      <c r="C113" s="61"/>
      <c r="D113" s="61"/>
      <c r="E113" s="61"/>
      <c r="F113" s="61"/>
      <c r="G113" s="61"/>
      <c r="H113" s="62"/>
    </row>
    <row r="115" spans="2:8" ht="15" customHeight="1" x14ac:dyDescent="0.3">
      <c r="B115" s="4" t="s">
        <v>92</v>
      </c>
    </row>
    <row r="116" spans="2:8" ht="15" customHeight="1" x14ac:dyDescent="0.3">
      <c r="B116" s="55"/>
      <c r="C116" s="56"/>
      <c r="D116" s="56"/>
      <c r="E116" s="56"/>
      <c r="F116" s="56"/>
      <c r="G116" s="56"/>
      <c r="H116" s="57"/>
    </row>
    <row r="117" spans="2:8" ht="15" customHeight="1" x14ac:dyDescent="0.25">
      <c r="B117" s="58"/>
      <c r="H117" s="59"/>
    </row>
    <row r="118" spans="2:8" ht="15" customHeight="1" x14ac:dyDescent="0.25">
      <c r="B118" s="58"/>
      <c r="H118" s="59"/>
    </row>
    <row r="119" spans="2:8" ht="15" customHeight="1" x14ac:dyDescent="0.25">
      <c r="B119" s="58"/>
      <c r="H119" s="59"/>
    </row>
    <row r="120" spans="2:8" ht="15" customHeight="1" x14ac:dyDescent="0.25">
      <c r="B120" s="58"/>
      <c r="H120" s="59"/>
    </row>
    <row r="121" spans="2:8" ht="15" customHeight="1" x14ac:dyDescent="0.25">
      <c r="B121" s="58"/>
      <c r="H121" s="59"/>
    </row>
    <row r="122" spans="2:8" ht="15" customHeight="1" x14ac:dyDescent="0.25">
      <c r="B122" s="58"/>
      <c r="H122" s="59"/>
    </row>
    <row r="123" spans="2:8" ht="15" customHeight="1" x14ac:dyDescent="0.25">
      <c r="B123" s="58"/>
      <c r="H123" s="59"/>
    </row>
    <row r="124" spans="2:8" ht="15" customHeight="1" x14ac:dyDescent="0.25">
      <c r="B124" s="58"/>
      <c r="H124" s="59"/>
    </row>
    <row r="125" spans="2:8" ht="15" customHeight="1" x14ac:dyDescent="0.25">
      <c r="B125" s="58"/>
      <c r="H125" s="59"/>
    </row>
    <row r="126" spans="2:8" ht="15" customHeight="1" x14ac:dyDescent="0.25">
      <c r="B126" s="58"/>
      <c r="H126" s="59"/>
    </row>
    <row r="127" spans="2:8" ht="15" customHeight="1" x14ac:dyDescent="0.25">
      <c r="B127" s="58"/>
      <c r="H127" s="59"/>
    </row>
    <row r="128" spans="2:8" ht="15" customHeight="1" x14ac:dyDescent="0.25">
      <c r="B128" s="58"/>
      <c r="H128" s="59"/>
    </row>
    <row r="129" spans="2:8" ht="15" customHeight="1" x14ac:dyDescent="0.25">
      <c r="B129" s="58"/>
      <c r="H129" s="59"/>
    </row>
    <row r="130" spans="2:8" ht="15" customHeight="1" x14ac:dyDescent="0.25">
      <c r="B130" s="58"/>
      <c r="H130" s="59"/>
    </row>
    <row r="131" spans="2:8" ht="15" customHeight="1" x14ac:dyDescent="0.25">
      <c r="B131" s="58"/>
      <c r="H131" s="59"/>
    </row>
    <row r="132" spans="2:8" ht="15" customHeight="1" x14ac:dyDescent="0.25">
      <c r="B132" s="58"/>
      <c r="H132" s="59"/>
    </row>
    <row r="133" spans="2:8" ht="15" customHeight="1" x14ac:dyDescent="0.25">
      <c r="B133" s="58"/>
      <c r="H133" s="59"/>
    </row>
    <row r="134" spans="2:8" ht="15" customHeight="1" x14ac:dyDescent="0.25">
      <c r="B134" s="58"/>
      <c r="H134" s="59"/>
    </row>
    <row r="135" spans="2:8" ht="15" customHeight="1" x14ac:dyDescent="0.25">
      <c r="B135" s="58"/>
      <c r="H135" s="59"/>
    </row>
    <row r="136" spans="2:8" ht="15" customHeight="1" x14ac:dyDescent="0.25">
      <c r="B136" s="58"/>
      <c r="H136" s="59"/>
    </row>
    <row r="137" spans="2:8" ht="15" customHeight="1" x14ac:dyDescent="0.25">
      <c r="B137" s="58"/>
      <c r="H137" s="59"/>
    </row>
    <row r="138" spans="2:8" ht="15" customHeight="1" x14ac:dyDescent="0.25">
      <c r="B138" s="58"/>
      <c r="H138" s="59"/>
    </row>
    <row r="139" spans="2:8" ht="15" customHeight="1" x14ac:dyDescent="0.25">
      <c r="B139" s="58"/>
      <c r="H139" s="59"/>
    </row>
    <row r="140" spans="2:8" ht="15" customHeight="1" x14ac:dyDescent="0.25">
      <c r="B140" s="58"/>
      <c r="H140" s="59"/>
    </row>
    <row r="141" spans="2:8" ht="15" customHeight="1" x14ac:dyDescent="0.25">
      <c r="B141" s="60"/>
      <c r="C141" s="61"/>
      <c r="D141" s="61"/>
      <c r="E141" s="61"/>
      <c r="F141" s="61"/>
      <c r="G141" s="61"/>
      <c r="H141" s="62"/>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Glossary</vt:lpstr>
      <vt:lpstr>Forecast Assumptions</vt:lpstr>
      <vt:lpstr>P&amp;L Forecast</vt:lpstr>
      <vt:lpstr>Cash Flow Forecast</vt:lpstr>
      <vt:lpstr>Outputs</vt:lpstr>
      <vt:lpstr>Grow_Volumes</vt:lpstr>
      <vt:lpstr>'Cash Flow Forecast'!Print_Area</vt:lpstr>
      <vt:lpstr>'Forecast Assumptions'!Print_Area</vt:lpstr>
      <vt:lpstr>Glossary!Print_Area</vt:lpstr>
      <vt:lpstr>Outputs!Print_Area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Nugroho Budianggoro</cp:lastModifiedBy>
  <dcterms:created xsi:type="dcterms:W3CDTF">2020-07-20T11:12:49Z</dcterms:created>
  <dcterms:modified xsi:type="dcterms:W3CDTF">2024-12-27T06:01:18Z</dcterms:modified>
</cp:coreProperties>
</file>