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firstSheet="1" activeTab="4"/>
  </bookViews>
  <sheets>
    <sheet name="INLINE" sheetId="1" r:id="rId1"/>
    <sheet name="ENDLINE" sheetId="2" r:id="rId2"/>
    <sheet name="magic button" sheetId="3" r:id="rId3"/>
    <sheet name="Endline Dashboard" sheetId="10" r:id="rId4"/>
    <sheet name="Final Inspection" sheetId="11" r:id="rId5"/>
    <sheet name="Sheet2" sheetId="5" r:id="rId6"/>
    <sheet name="Sheet3" sheetId="6" r:id="rId7"/>
    <sheet name="normal" sheetId="7" r:id="rId8"/>
    <sheet name="Sheet1" sheetId="4" r:id="rId9"/>
    <sheet name="boost" sheetId="9" r:id="rId10"/>
  </sheets>
  <externalReferences>
    <externalReference r:id="rId11"/>
  </externalReferences>
  <definedNames>
    <definedName name="DaftarStyle" localSheetId="4">'Final Inspection'!$B$42</definedName>
  </definedNames>
  <calcPr calcId="144525"/>
</workbook>
</file>

<file path=xl/sharedStrings.xml><?xml version="1.0" encoding="utf-8"?>
<sst xmlns="http://schemas.openxmlformats.org/spreadsheetml/2006/main" count="433" uniqueCount="287">
  <si>
    <t>tannggal</t>
  </si>
  <si>
    <t>INSPECT QTY</t>
  </si>
  <si>
    <t>DEFECT QTY</t>
  </si>
  <si>
    <t>RFT</t>
  </si>
  <si>
    <t>WFT</t>
  </si>
  <si>
    <t>QTY RFT</t>
  </si>
  <si>
    <t xml:space="preserve">TOTAL </t>
  </si>
  <si>
    <t>TOP</t>
  </si>
  <si>
    <t>TOTAL DEFECT</t>
  </si>
  <si>
    <t>PERCENTAGE</t>
  </si>
  <si>
    <t>Others</t>
  </si>
  <si>
    <t>SUM</t>
  </si>
  <si>
    <t>tengah</t>
  </si>
  <si>
    <t>LINE</t>
  </si>
  <si>
    <t>Output</t>
  </si>
  <si>
    <t>EFF</t>
  </si>
  <si>
    <t>MP</t>
  </si>
  <si>
    <t>luar</t>
  </si>
  <si>
    <t>Target</t>
  </si>
  <si>
    <t>Total</t>
  </si>
  <si>
    <t>dalam</t>
  </si>
  <si>
    <t>avg</t>
  </si>
  <si>
    <t>avg RFT</t>
  </si>
  <si>
    <t>line 1</t>
  </si>
  <si>
    <t>output</t>
  </si>
  <si>
    <t>rft</t>
  </si>
  <si>
    <t>eff</t>
  </si>
  <si>
    <t>defect</t>
  </si>
  <si>
    <t>total dalam</t>
  </si>
  <si>
    <t>total luar</t>
  </si>
  <si>
    <t>mp</t>
  </si>
  <si>
    <t>smv</t>
  </si>
  <si>
    <t xml:space="preserve">    "is_panic": "1"</t>
  </si>
  <si>
    <t>}</t>
  </si>
  <si>
    <t>1. Target</t>
  </si>
  <si>
    <t>SMV</t>
  </si>
  <si>
    <t>Input</t>
  </si>
  <si>
    <t>calc</t>
  </si>
  <si>
    <t>m_target (Percentage Output)</t>
  </si>
  <si>
    <t>target 100%</t>
  </si>
  <si>
    <t>panic target = mp*60/smv</t>
  </si>
  <si>
    <t>target 75% (line_effgreen)</t>
  </si>
  <si>
    <t>bulatin bawah</t>
  </si>
  <si>
    <t>target (learning curve MPS)</t>
  </si>
  <si>
    <t>2. Perhitungan Output berdasarkan Output Adjustment (%)</t>
  </si>
  <si>
    <t>minus</t>
  </si>
  <si>
    <t>ROUNDED ATAS</t>
  </si>
  <si>
    <t>plus</t>
  </si>
  <si>
    <t>adjustment</t>
  </si>
  <si>
    <t>line 9</t>
  </si>
  <si>
    <t>selisih</t>
  </si>
  <si>
    <t>output 5%</t>
  </si>
  <si>
    <t>line 25</t>
  </si>
  <si>
    <t>OUTPUT</t>
  </si>
  <si>
    <t>line 9 =&gt; 73.42 (aktual)</t>
  </si>
  <si>
    <t>output 3%</t>
  </si>
  <si>
    <t>line 11</t>
  </si>
  <si>
    <t>line 9 =&gt; 68.33 (aktual)</t>
  </si>
  <si>
    <r>
      <rPr>
        <b/>
        <sz val="12"/>
        <color theme="1"/>
        <rFont val="Arial"/>
        <charset val="134"/>
      </rPr>
      <t>Jika angka sebelum 5 adalah Genap (0, 2, 4, 6, 8):</t>
    </r>
    <r>
      <rPr>
        <sz val="12"/>
        <color theme="1"/>
        <rFont val="Arial"/>
        <charset val="134"/>
      </rPr>
      <t xml:space="preserve"> Angka tetap (dibulatkan ke bawah).</t>
    </r>
  </si>
  <si>
    <r>
      <rPr>
        <b/>
        <sz val="12"/>
        <color theme="1"/>
        <rFont val="Arial"/>
        <charset val="134"/>
      </rPr>
      <t>Jika angka sebelum 5 adalah Ganjil (1, 3, 5, 7, 9):</t>
    </r>
    <r>
      <rPr>
        <sz val="12"/>
        <color theme="1"/>
        <rFont val="Arial"/>
        <charset val="134"/>
      </rPr>
      <t xml:space="preserve"> Angka ditambah satu (dibulatkan ke atas menjadi genap).</t>
    </r>
    <r>
      <rPr>
        <sz val="12"/>
        <color theme="1"/>
        <rFont val="Arial"/>
        <charset val="134"/>
      </rPr>
      <t xml:space="preserve"> [</t>
    </r>
    <r>
      <rPr>
        <sz val="12"/>
        <color theme="1"/>
        <rFont val="Arial"/>
        <charset val="134"/>
      </rPr>
      <t>1</t>
    </r>
    <r>
      <rPr>
        <sz val="12"/>
        <color theme="1"/>
        <rFont val="Arial"/>
        <charset val="134"/>
      </rPr>
      <t xml:space="preserve">, </t>
    </r>
    <r>
      <rPr>
        <sz val="12"/>
        <color theme="1"/>
        <rFont val="Arial"/>
        <charset val="134"/>
      </rPr>
      <t>2</t>
    </r>
    <r>
      <rPr>
        <sz val="12"/>
        <color theme="1"/>
        <rFont val="Arial"/>
        <charset val="134"/>
      </rPr>
      <t>]</t>
    </r>
  </si>
  <si>
    <t>A. Endline Performance Dashboard</t>
  </si>
  <si>
    <t>1. Summary Inline Performance</t>
  </si>
  <si>
    <t>Top Defect</t>
  </si>
  <si>
    <t>Tanggal</t>
  </si>
  <si>
    <t>Inspect Qty</t>
  </si>
  <si>
    <t>Defect Qty</t>
  </si>
  <si>
    <t>Defect</t>
  </si>
  <si>
    <t>Qty</t>
  </si>
  <si>
    <t>Persentase</t>
  </si>
  <si>
    <t>hole</t>
  </si>
  <si>
    <t>slub</t>
  </si>
  <si>
    <t>fly</t>
  </si>
  <si>
    <t>uneven</t>
  </si>
  <si>
    <t>others</t>
  </si>
  <si>
    <t>2. Weekly Endline Performance</t>
  </si>
  <si>
    <t>Week</t>
  </si>
  <si>
    <t>RFT QTY</t>
  </si>
  <si>
    <t>Inspect QTY</t>
  </si>
  <si>
    <t>Defect QTY</t>
  </si>
  <si>
    <t>Process</t>
  </si>
  <si>
    <t>Non Process</t>
  </si>
  <si>
    <t>TOP  5 DEFECT DETAIL</t>
  </si>
  <si>
    <t>% of Total Defect</t>
  </si>
  <si>
    <t>STYLE</t>
  </si>
  <si>
    <t>QTY Defect</t>
  </si>
  <si>
    <t>% of Defect</t>
  </si>
  <si>
    <t>Oil spots</t>
  </si>
  <si>
    <t>PJAC610</t>
  </si>
  <si>
    <t>NUG167</t>
  </si>
  <si>
    <t>Hole (C8)</t>
  </si>
  <si>
    <t>Seam puckering</t>
  </si>
  <si>
    <t>Uneven dye (C3)</t>
  </si>
  <si>
    <t>NUR20HO</t>
  </si>
  <si>
    <t>TN2521</t>
  </si>
  <si>
    <t>CAHY0123</t>
  </si>
  <si>
    <t>TGL</t>
  </si>
  <si>
    <t>20 line 11</t>
  </si>
  <si>
    <t>20 line 24</t>
  </si>
  <si>
    <t>21 line 11</t>
  </si>
  <si>
    <t>21 line 24</t>
  </si>
  <si>
    <t>24 line 11</t>
  </si>
  <si>
    <t>24 line 24</t>
  </si>
  <si>
    <t>total</t>
  </si>
  <si>
    <t>Category</t>
  </si>
  <si>
    <t>DEFECT</t>
  </si>
  <si>
    <t>Faulty stitching (C5)</t>
  </si>
  <si>
    <t>Oil spots (C8)</t>
  </si>
  <si>
    <t>Accessories insecure/ harmful (C2)</t>
  </si>
  <si>
    <t>Seam puckering (C4)</t>
  </si>
  <si>
    <t>Miscellaneous (C9)</t>
  </si>
  <si>
    <t>Open seam/run off (C4)</t>
  </si>
  <si>
    <t>Incorrect stitch density (C7)</t>
  </si>
  <si>
    <t>Print peel-off (C5)</t>
  </si>
  <si>
    <t>Untrimmed fabric edge (C9)</t>
  </si>
  <si>
    <t>Poor pressing (C9)</t>
  </si>
  <si>
    <t>Incorrect color (C3)</t>
  </si>
  <si>
    <t>Untrimmed sewing threads or loose threads (C9)</t>
  </si>
  <si>
    <t>Hoop, screen, or plate marks (C5)</t>
  </si>
  <si>
    <t>Over lapping stitch not aligned (C4)</t>
  </si>
  <si>
    <t>Construction detail not as specified (C7)</t>
  </si>
  <si>
    <t>Scorch mark (C9)</t>
  </si>
  <si>
    <t>Snag/pull/pick (C8)</t>
  </si>
  <si>
    <t>Fabric hand feel (C2)</t>
  </si>
  <si>
    <t>Any broken stitch (C4)</t>
  </si>
  <si>
    <t>b grade</t>
  </si>
  <si>
    <t>c grade</t>
  </si>
  <si>
    <t>Total Output</t>
  </si>
  <si>
    <t>Total Inspect</t>
  </si>
  <si>
    <t>Total Output (Adidas)</t>
  </si>
  <si>
    <t>Total Output (TNF)</t>
  </si>
  <si>
    <t>Total Inspect (Adidas)</t>
  </si>
  <si>
    <t>Total Inspect (TNF)</t>
  </si>
  <si>
    <t>WEEK 33</t>
  </si>
  <si>
    <r>
      <rPr>
        <sz val="11"/>
        <color theme="1"/>
        <rFont val="Calibri"/>
        <charset val="134"/>
        <scheme val="minor"/>
      </rPr>
      <t xml:space="preserve">3. Defect Monitoring </t>
    </r>
    <r>
      <rPr>
        <sz val="11"/>
        <color theme="1"/>
        <rFont val="Calibri"/>
        <charset val="134"/>
        <scheme val="minor"/>
      </rPr>
      <t>(WFT%)</t>
    </r>
  </si>
  <si>
    <t>per week</t>
  </si>
  <si>
    <t>per hour</t>
  </si>
  <si>
    <t>style</t>
  </si>
  <si>
    <t>persentase</t>
  </si>
  <si>
    <t>oil spots</t>
  </si>
  <si>
    <t>Hole</t>
  </si>
  <si>
    <t>seam</t>
  </si>
  <si>
    <t>ADIN</t>
  </si>
  <si>
    <t>UQLN</t>
  </si>
  <si>
    <t>990825090123</t>
  </si>
  <si>
    <t>TNF</t>
  </si>
  <si>
    <t>990825090456</t>
  </si>
  <si>
    <t>OTH493</t>
  </si>
  <si>
    <t>990823184123</t>
  </si>
  <si>
    <t>990823184456</t>
  </si>
  <si>
    <t>UQLOTH</t>
  </si>
  <si>
    <t>991380081292</t>
  </si>
  <si>
    <t>709130001389</t>
  </si>
  <si>
    <t>121380044952</t>
  </si>
  <si>
    <t>990825090871</t>
  </si>
  <si>
    <t>990825092185</t>
  </si>
  <si>
    <t>P3626-491312-158</t>
  </si>
  <si>
    <t>121380044878</t>
  </si>
  <si>
    <t>SUMMARY FINAL INSPECTION</t>
  </si>
  <si>
    <t>min 1 pcs inspect</t>
  </si>
  <si>
    <t>Buyer</t>
  </si>
  <si>
    <t>KP</t>
  </si>
  <si>
    <t>PO</t>
  </si>
  <si>
    <t>Color</t>
  </si>
  <si>
    <t>Qty Order</t>
  </si>
  <si>
    <t>Total Qty Order</t>
  </si>
  <si>
    <t>Final Inspection  Qty</t>
  </si>
  <si>
    <t>Total Qty Inspect</t>
  </si>
  <si>
    <t>FI?</t>
  </si>
  <si>
    <t>Defect FI</t>
  </si>
  <si>
    <t>defect detail FI</t>
  </si>
  <si>
    <t>ETD</t>
  </si>
  <si>
    <t>Selisih Hari</t>
  </si>
  <si>
    <t>Defect Output</t>
  </si>
  <si>
    <t>Progress Output</t>
  </si>
  <si>
    <t xml:space="preserve">Remark </t>
  </si>
  <si>
    <t>P/R?</t>
  </si>
  <si>
    <t>AD40001838</t>
  </si>
  <si>
    <t>CYAN</t>
  </si>
  <si>
    <t>v</t>
  </si>
  <si>
    <t>CORAL</t>
  </si>
  <si>
    <t>EMERALD</t>
  </si>
  <si>
    <t>AD04015706</t>
  </si>
  <si>
    <t>BLACK</t>
  </si>
  <si>
    <t>03/09/2026</t>
  </si>
  <si>
    <t>TN40003184</t>
  </si>
  <si>
    <t>x</t>
  </si>
  <si>
    <t>PEACH</t>
  </si>
  <si>
    <t>AD40008129</t>
  </si>
  <si>
    <t>GREEN</t>
  </si>
  <si>
    <t>AD40001389</t>
  </si>
  <si>
    <t>GREY</t>
  </si>
  <si>
    <t xml:space="preserve">B Grade, Incorrect color (C3)  
</t>
  </si>
  <si>
    <t>AD40004951</t>
  </si>
  <si>
    <t>FUCHSIA</t>
  </si>
  <si>
    <t>AD00008945</t>
  </si>
  <si>
    <t>NAVY</t>
  </si>
  <si>
    <t>AD04000871</t>
  </si>
  <si>
    <t>S99250</t>
  </si>
  <si>
    <t>AD40002185</t>
  </si>
  <si>
    <t>BQ4325</t>
  </si>
  <si>
    <t>UQL4002158</t>
  </si>
  <si>
    <t>(S) 09 BLACK</t>
  </si>
  <si>
    <t>(M) 09 BLACK</t>
  </si>
  <si>
    <t>(L) 09 BLACK</t>
  </si>
  <si>
    <t>AD40004877</t>
  </si>
  <si>
    <t>OLIVE</t>
  </si>
  <si>
    <t>Hole (C8), Seam Puckering</t>
  </si>
  <si>
    <t>PO Pass</t>
  </si>
  <si>
    <t>PO Reject :</t>
  </si>
  <si>
    <t>Today :</t>
  </si>
  <si>
    <t>Total PO</t>
  </si>
  <si>
    <t>Total  Qty Order</t>
  </si>
  <si>
    <t>PO Need Final</t>
  </si>
  <si>
    <t>Overdue</t>
  </si>
  <si>
    <t>Final Completed</t>
  </si>
  <si>
    <t>OQL</t>
  </si>
  <si>
    <t>Passing Rate</t>
  </si>
  <si>
    <t>Reject Rate</t>
  </si>
  <si>
    <t>po final completed pass (final completed -po reject)</t>
  </si>
  <si>
    <t>From:</t>
  </si>
  <si>
    <t>To:</t>
  </si>
  <si>
    <t>pembaginya po final completed</t>
  </si>
  <si>
    <t>GROUP BUYER</t>
  </si>
  <si>
    <t>Based on ETD→</t>
  </si>
  <si>
    <t>←Based on ETD</t>
  </si>
  <si>
    <t>PO PRIORITY</t>
  </si>
  <si>
    <t>No</t>
  </si>
  <si>
    <t>PO No.</t>
  </si>
  <si>
    <t>Style</t>
  </si>
  <si>
    <t>Article / Color</t>
  </si>
  <si>
    <t>QTY Order
(Pcs)</t>
  </si>
  <si>
    <t>Output
(Pcs)</t>
  </si>
  <si>
    <t>Progress
Output</t>
  </si>
  <si>
    <t>ETD
(Shipment Date)</t>
  </si>
  <si>
    <t>Days to
ETD</t>
  </si>
  <si>
    <t>Status</t>
  </si>
  <si>
    <t>FINAL INSPECTION OVERVIEW</t>
  </si>
  <si>
    <t>Total Output/Total Qty Order</t>
  </si>
  <si>
    <t>Based on ETD</t>
  </si>
  <si>
    <t>Status Final</t>
  </si>
  <si>
    <t>PO (Count)</t>
  </si>
  <si>
    <t>Pass</t>
  </si>
  <si>
    <t>Reject</t>
  </si>
  <si>
    <t>Not Final</t>
  </si>
  <si>
    <t>Total (P+R)</t>
  </si>
  <si>
    <t>Total (All)</t>
  </si>
  <si>
    <t>FINAL INSPECTION RESULT (QTY INSPECT)</t>
  </si>
  <si>
    <t>TOP 5 DEFECTS (FINAL INSPECTION)</t>
  </si>
  <si>
    <t>Kode Defect</t>
  </si>
  <si>
    <t>%</t>
  </si>
  <si>
    <t>FINAL INSPECTION RESULT (OQL-DEFECT RATE)</t>
  </si>
  <si>
    <t>FINAL INSPECTION RESULT (QTY ORDER)</t>
  </si>
  <si>
    <t>DEFECT BY CATEGORY (FINAL INSPECTION)</t>
  </si>
  <si>
    <t>{</t>
  </si>
  <si>
    <t xml:space="preserve">    "status": "success",</t>
  </si>
  <si>
    <t xml:space="preserve">    "output": 148,</t>
  </si>
  <si>
    <t xml:space="preserve">    "outputpercent": 82.22222222222221,</t>
  </si>
  <si>
    <t xml:space="preserve">    "rft": 98.65,</t>
  </si>
  <si>
    <t xml:space="preserve">    "eff": "66.67",</t>
  </si>
  <si>
    <t xml:space="preserve">    "target": 180,</t>
  </si>
  <si>
    <t xml:space="preserve">    "tot_worktime": 8.133333333333333,</t>
  </si>
  <si>
    <t xml:space="preserve">    "manpower": 55,</t>
  </si>
  <si>
    <t xml:space="preserve">    "smv": 120.55,</t>
  </si>
  <si>
    <t xml:space="preserve">    "wip": {</t>
  </si>
  <si>
    <t xml:space="preserve">        "wip_target": 475,</t>
  </si>
  <si>
    <t xml:space="preserve">        "wip": 7,</t>
  </si>
  <si>
    <t xml:space="preserve">        "target_day": 200,</t>
  </si>
  <si>
    <t xml:space="preserve">        "ratio": 0.01</t>
  </si>
  <si>
    <t xml:space="preserve">    },</t>
  </si>
  <si>
    <t xml:space="preserve">    "defect": 2,</t>
  </si>
  <si>
    <t xml:space="preserve">    "soil": 0,</t>
  </si>
  <si>
    <t xml:space="preserve">    "magicbtn": false,</t>
  </si>
  <si>
    <t xml:space="preserve">    "is_panic": "0"</t>
  </si>
  <si>
    <t xml:space="preserve">    "output": 181,</t>
  </si>
  <si>
    <t xml:space="preserve">    "outputpercent": 87.43961352657004,</t>
  </si>
  <si>
    <t xml:space="preserve">    "rft": "95.72",</t>
  </si>
  <si>
    <t xml:space="preserve">    "eff": "70.37",</t>
  </si>
  <si>
    <t xml:space="preserve">    "target": 207,</t>
  </si>
  <si>
    <t xml:space="preserve">    "tot_worktime": 8.1,</t>
  </si>
  <si>
    <t xml:space="preserve">    "manpower": 35,</t>
  </si>
  <si>
    <t xml:space="preserve">    "smv": 66.42,</t>
  </si>
  <si>
    <t xml:space="preserve">        "wip_target": 405,</t>
  </si>
  <si>
    <t xml:space="preserve">        "wip": 392,</t>
  </si>
  <si>
    <t xml:space="preserve">        "target_day": 230,</t>
  </si>
  <si>
    <t xml:space="preserve">        "ratio": 0.97</t>
  </si>
  <si>
    <t xml:space="preserve">    "defect": 0,</t>
  </si>
  <si>
    <t xml:space="preserve">    "magicbtn": true,</t>
  </si>
</sst>
</file>

<file path=xl/styles.xml><?xml version="1.0" encoding="utf-8"?>
<styleSheet xmlns="http://schemas.openxmlformats.org/spreadsheetml/2006/main">
  <numFmts count="10">
    <numFmt numFmtId="176" formatCode="_-&quot;Rp&quot;* #,##0_-;\-&quot;Rp&quot;* #,##0_-;_-&quot;Rp&quot;* &quot;-&quot;??_-;_-@_-"/>
    <numFmt numFmtId="177" formatCode="_(* #,##0_);_(* \(#,##0\);_(* &quot;-&quot;_);_(@_)"/>
    <numFmt numFmtId="178" formatCode="_(* #,##0.00_);_(* \(#,##0.00\);_(* &quot;-&quot;??_);_(@_)"/>
    <numFmt numFmtId="179" formatCode="_-&quot;Rp&quot;* #,##0.00_-;\-&quot;Rp&quot;* #,##0.00_-;_-&quot;Rp&quot;* &quot;-&quot;??_-;_-@_-"/>
    <numFmt numFmtId="180" formatCode="0.00_ "/>
    <numFmt numFmtId="181" formatCode="dd/mm/yyyy;@"/>
    <numFmt numFmtId="182" formatCode="0_ "/>
    <numFmt numFmtId="183" formatCode="0.00000000_ "/>
    <numFmt numFmtId="184" formatCode="0.0_ "/>
    <numFmt numFmtId="185" formatCode="_(* #,##0.00_);_(* \(#,##0.00\);_(* &quot;-&quot;??.0_);_(@_)"/>
  </numFmts>
  <fonts count="28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9"/>
      <color rgb="FFFFFFFF"/>
      <name val="Segoe UI"/>
      <charset val="134"/>
    </font>
    <font>
      <sz val="11"/>
      <color rgb="FF00B050"/>
      <name val="Calibri"/>
      <charset val="134"/>
      <scheme val="minor"/>
    </font>
    <font>
      <sz val="11"/>
      <color rgb="FFFFC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2"/>
      <color theme="1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B233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17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0" fillId="22" borderId="20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8" borderId="18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31" borderId="23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3" fillId="31" borderId="18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3" xfId="0" applyFill="1" applyBorder="1" applyAlignment="1">
      <alignment horizontal="left" vertical="center"/>
    </xf>
    <xf numFmtId="49" fontId="0" fillId="0" borderId="1" xfId="0" applyNumberFormat="1" applyFill="1" applyBorder="1">
      <alignment vertical="center"/>
    </xf>
    <xf numFmtId="0" fontId="0" fillId="0" borderId="6" xfId="0" applyNumberFormat="1" applyFill="1" applyBorder="1" applyAlignment="1">
      <alignment horizontal="left" vertical="top"/>
    </xf>
    <xf numFmtId="0" fontId="0" fillId="0" borderId="3" xfId="0" applyNumberFormat="1" applyFill="1" applyBorder="1" applyAlignment="1">
      <alignment horizontal="centerContinuous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NumberFormat="1" applyFill="1" applyBorder="1" applyAlignment="1">
      <alignment horizontal="centerContinuous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9" xfId="0" applyFill="1" applyBorder="1" applyAlignment="1">
      <alignment horizontal="left" vertical="center"/>
    </xf>
    <xf numFmtId="0" fontId="0" fillId="0" borderId="5" xfId="0" applyFill="1" applyBorder="1" applyAlignment="1">
      <alignment horizontal="centerContinuous" vertical="center"/>
    </xf>
    <xf numFmtId="49" fontId="0" fillId="0" borderId="4" xfId="0" applyNumberFormat="1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left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left" vertical="center"/>
    </xf>
    <xf numFmtId="0" fontId="0" fillId="0" borderId="11" xfId="0" applyNumberFormat="1" applyFill="1" applyBorder="1" applyAlignment="1">
      <alignment horizontal="left" vertical="center"/>
    </xf>
    <xf numFmtId="0" fontId="0" fillId="0" borderId="5" xfId="0" applyNumberForma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2" fillId="0" borderId="1" xfId="0" applyNumberFormat="1" applyFont="1" applyFill="1" applyBorder="1">
      <alignment vertical="center"/>
    </xf>
    <xf numFmtId="49" fontId="2" fillId="0" borderId="4" xfId="0" applyNumberFormat="1" applyFont="1" applyFill="1" applyBorder="1">
      <alignment vertical="center"/>
    </xf>
    <xf numFmtId="0" fontId="2" fillId="0" borderId="11" xfId="0" applyNumberFormat="1" applyFont="1" applyFill="1" applyBorder="1" applyAlignment="1">
      <alignment horizontal="left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2" xfId="0" applyFont="1" applyFill="1" applyBorder="1">
      <alignment vertical="center"/>
    </xf>
    <xf numFmtId="0" fontId="2" fillId="0" borderId="9" xfId="0" applyFont="1" applyFill="1" applyBorder="1">
      <alignment vertical="center"/>
    </xf>
    <xf numFmtId="0" fontId="2" fillId="0" borderId="10" xfId="0" applyFont="1" applyFill="1" applyBorder="1">
      <alignment vertical="center"/>
    </xf>
    <xf numFmtId="0" fontId="2" fillId="0" borderId="1" xfId="0" applyFont="1" applyFill="1" applyBorder="1">
      <alignment vertical="center"/>
    </xf>
    <xf numFmtId="49" fontId="2" fillId="0" borderId="10" xfId="0" applyNumberFormat="1" applyFont="1" applyFill="1" applyBorder="1">
      <alignment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>
      <alignment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49" fontId="2" fillId="0" borderId="3" xfId="0" applyNumberFormat="1" applyFont="1" applyFill="1" applyBorder="1">
      <alignment vertical="center"/>
    </xf>
    <xf numFmtId="0" fontId="2" fillId="0" borderId="3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8" xfId="0" applyFill="1" applyBorder="1">
      <alignment vertical="center"/>
    </xf>
    <xf numFmtId="49" fontId="0" fillId="0" borderId="5" xfId="0" applyNumberFormat="1" applyFill="1" applyBorder="1">
      <alignment vertical="center"/>
    </xf>
    <xf numFmtId="0" fontId="0" fillId="0" borderId="5" xfId="0" applyNumberFormat="1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2" xfId="0" applyFill="1" applyBorder="1">
      <alignment vertical="center"/>
    </xf>
    <xf numFmtId="49" fontId="0" fillId="0" borderId="9" xfId="0" applyNumberFormat="1" applyFill="1" applyBorder="1">
      <alignment vertical="center"/>
    </xf>
    <xf numFmtId="0" fontId="0" fillId="0" borderId="9" xfId="0" applyNumberFormat="1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58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 wrapText="1"/>
    </xf>
    <xf numFmtId="180" fontId="0" fillId="0" borderId="1" xfId="0" applyNumberFormat="1" applyBorder="1" applyAlignment="1">
      <alignment vertical="center" wrapText="1"/>
    </xf>
    <xf numFmtId="0" fontId="0" fillId="0" borderId="0" xfId="0" applyBorder="1">
      <alignment vertical="center"/>
    </xf>
    <xf numFmtId="58" fontId="0" fillId="0" borderId="0" xfId="0" applyNumberFormat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180" fontId="0" fillId="0" borderId="1" xfId="0" applyNumberFormat="1" applyBorder="1">
      <alignment vertical="center"/>
    </xf>
    <xf numFmtId="180" fontId="0" fillId="4" borderId="1" xfId="0" applyNumberFormat="1" applyFill="1" applyBorder="1" applyAlignment="1">
      <alignment vertical="center" wrapText="1"/>
    </xf>
    <xf numFmtId="180" fontId="0" fillId="4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4" borderId="0" xfId="0" applyFill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80" fontId="0" fillId="0" borderId="1" xfId="0" applyNumberForma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6" borderId="1" xfId="0" applyFill="1" applyBorder="1">
      <alignment vertical="center"/>
    </xf>
    <xf numFmtId="0" fontId="0" fillId="6" borderId="1" xfId="0" applyNumberFormat="1" applyFill="1" applyBorder="1" applyAlignment="1">
      <alignment horizontal="center" vertical="center"/>
    </xf>
    <xf numFmtId="180" fontId="0" fillId="6" borderId="1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181" fontId="0" fillId="0" borderId="4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vertical="center" wrapText="1"/>
    </xf>
    <xf numFmtId="0" fontId="0" fillId="0" borderId="14" xfId="0" applyFill="1" applyBorder="1">
      <alignment vertical="center"/>
    </xf>
    <xf numFmtId="181" fontId="0" fillId="0" borderId="0" xfId="0" applyNumberFormat="1" applyFill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9" xfId="0" applyNumberFormat="1" applyFill="1" applyBorder="1" applyAlignment="1">
      <alignment horizontal="center" vertical="center"/>
    </xf>
    <xf numFmtId="0" fontId="0" fillId="0" borderId="15" xfId="0" applyFill="1" applyBorder="1">
      <alignment vertical="center"/>
    </xf>
    <xf numFmtId="181" fontId="0" fillId="0" borderId="0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181" fontId="2" fillId="0" borderId="1" xfId="0" applyNumberFormat="1" applyFont="1" applyFill="1" applyBorder="1" applyAlignment="1">
      <alignment horizontal="center" vertical="center"/>
    </xf>
    <xf numFmtId="0" fontId="2" fillId="0" borderId="13" xfId="0" applyFont="1" applyFill="1" applyBorder="1">
      <alignment vertical="center"/>
    </xf>
    <xf numFmtId="181" fontId="2" fillId="0" borderId="3" xfId="0" applyNumberFormat="1" applyFont="1" applyFill="1" applyBorder="1" applyAlignment="1">
      <alignment horizontal="center" vertical="center"/>
    </xf>
    <xf numFmtId="181" fontId="0" fillId="0" borderId="5" xfId="0" applyNumberFormat="1" applyFill="1" applyBorder="1" applyAlignment="1">
      <alignment horizontal="center" vertical="center"/>
    </xf>
    <xf numFmtId="181" fontId="0" fillId="0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81" fontId="0" fillId="0" borderId="1" xfId="0" applyNumberFormat="1" applyBorder="1" applyAlignment="1">
      <alignment vertical="center" wrapText="1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left" vertical="center"/>
    </xf>
    <xf numFmtId="182" fontId="0" fillId="0" borderId="0" xfId="0" applyNumberFormat="1" applyFill="1" applyAlignment="1">
      <alignment horizontal="center" vertical="center"/>
    </xf>
    <xf numFmtId="0" fontId="1" fillId="0" borderId="1" xfId="0" applyFont="1" applyFill="1" applyBorder="1">
      <alignment vertical="center"/>
    </xf>
    <xf numFmtId="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6" borderId="1" xfId="0" applyNumberFormat="1" applyFill="1" applyBorder="1">
      <alignment vertical="center"/>
    </xf>
    <xf numFmtId="180" fontId="0" fillId="6" borderId="1" xfId="0" applyNumberFormat="1" applyFill="1" applyBorder="1">
      <alignment vertical="center"/>
    </xf>
    <xf numFmtId="0" fontId="0" fillId="8" borderId="11" xfId="0" applyFill="1" applyBorder="1" applyAlignment="1">
      <alignment horizontal="center" vertical="center"/>
    </xf>
    <xf numFmtId="180" fontId="0" fillId="0" borderId="11" xfId="0" applyNumberFormat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fill" vertical="center"/>
    </xf>
    <xf numFmtId="0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fill" vertical="center" wrapText="1"/>
    </xf>
    <xf numFmtId="0" fontId="2" fillId="0" borderId="1" xfId="0" applyFont="1" applyFill="1" applyBorder="1" applyAlignment="1">
      <alignment horizontal="fill" vertical="center" wrapText="1"/>
    </xf>
    <xf numFmtId="0" fontId="0" fillId="10" borderId="1" xfId="0" applyFill="1" applyBorder="1">
      <alignment vertical="center"/>
    </xf>
    <xf numFmtId="0" fontId="0" fillId="10" borderId="1" xfId="0" applyNumberFormat="1" applyFill="1" applyBorder="1">
      <alignment vertical="center"/>
    </xf>
    <xf numFmtId="0" fontId="0" fillId="0" borderId="1" xfId="0" applyNumberFormat="1" applyBorder="1">
      <alignment vertical="center"/>
    </xf>
    <xf numFmtId="0" fontId="0" fillId="6" borderId="3" xfId="0" applyFill="1" applyBorder="1">
      <alignment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vertical="center"/>
    </xf>
    <xf numFmtId="0" fontId="0" fillId="0" borderId="9" xfId="0" applyBorder="1">
      <alignment vertical="center"/>
    </xf>
    <xf numFmtId="0" fontId="0" fillId="9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8" borderId="1" xfId="0" applyNumberFormat="1" applyFill="1" applyBorder="1">
      <alignment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2" applyNumberFormat="1" applyBorder="1" applyAlignment="1">
      <alignment horizontal="center" vertical="center"/>
    </xf>
    <xf numFmtId="0" fontId="0" fillId="0" borderId="3" xfId="2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11" borderId="1" xfId="0" applyNumberFormat="1" applyFill="1" applyBorder="1">
      <alignment vertical="center"/>
    </xf>
    <xf numFmtId="49" fontId="0" fillId="0" borderId="0" xfId="0" applyNumberFormat="1">
      <alignment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>
      <alignment vertical="center"/>
    </xf>
    <xf numFmtId="178" fontId="0" fillId="0" borderId="1" xfId="2" applyNumberFormat="1" applyBorder="1">
      <alignment vertical="center"/>
    </xf>
    <xf numFmtId="0" fontId="0" fillId="0" borderId="0" xfId="0" applyNumberFormat="1" applyFill="1">
      <alignment vertical="center"/>
    </xf>
    <xf numFmtId="0" fontId="1" fillId="0" borderId="0" xfId="0" applyNumberFormat="1" applyFont="1" applyFill="1">
      <alignment vertical="center"/>
    </xf>
    <xf numFmtId="183" fontId="0" fillId="0" borderId="0" xfId="0" applyNumberFormat="1">
      <alignment vertical="center"/>
    </xf>
    <xf numFmtId="18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2" applyNumberForma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0" fillId="12" borderId="0" xfId="0" applyFill="1">
      <alignment vertical="center"/>
    </xf>
    <xf numFmtId="49" fontId="0" fillId="6" borderId="1" xfId="0" applyNumberFormat="1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11" borderId="1" xfId="0" applyNumberFormat="1" applyFill="1" applyBorder="1">
      <alignment vertical="center"/>
    </xf>
    <xf numFmtId="180" fontId="0" fillId="0" borderId="1" xfId="0" applyNumberFormat="1" applyFill="1" applyBorder="1">
      <alignment vertical="center"/>
    </xf>
    <xf numFmtId="0" fontId="1" fillId="0" borderId="0" xfId="0" applyFont="1">
      <alignment vertical="center"/>
    </xf>
    <xf numFmtId="180" fontId="1" fillId="0" borderId="1" xfId="0" applyNumberFormat="1" applyFont="1" applyBorder="1">
      <alignment vertical="center"/>
    </xf>
    <xf numFmtId="0" fontId="2" fillId="6" borderId="1" xfId="0" applyNumberFormat="1" applyFont="1" applyFill="1" applyBorder="1">
      <alignment vertical="center"/>
    </xf>
    <xf numFmtId="0" fontId="2" fillId="6" borderId="1" xfId="0" applyFont="1" applyFill="1" applyBorder="1">
      <alignment vertical="center"/>
    </xf>
    <xf numFmtId="184" fontId="0" fillId="0" borderId="0" xfId="0" applyNumberFormat="1">
      <alignment vertical="center"/>
    </xf>
    <xf numFmtId="185" fontId="0" fillId="0" borderId="0" xfId="2" applyNumberFormat="1">
      <alignment vertical="center"/>
    </xf>
    <xf numFmtId="178" fontId="0" fillId="0" borderId="0" xfId="2" applyNumberFormat="1">
      <alignment vertical="center"/>
    </xf>
    <xf numFmtId="178" fontId="0" fillId="0" borderId="0" xfId="0" applyNumberFormat="1">
      <alignment vertical="center"/>
    </xf>
    <xf numFmtId="0" fontId="2" fillId="0" borderId="0" xfId="0" applyNumberFormat="1" applyFont="1" applyFill="1" applyBorder="1" quotePrefix="1">
      <alignment vertical="center"/>
    </xf>
    <xf numFmtId="0" fontId="2" fillId="0" borderId="0" xfId="0" applyFont="1" applyFill="1" applyBorder="1" quotePrefix="1">
      <alignment vertical="center"/>
    </xf>
    <xf numFmtId="0" fontId="2" fillId="0" borderId="1" xfId="0" applyNumberFormat="1" applyFont="1" applyFill="1" applyBorder="1" quotePrefix="1">
      <alignment vertical="center"/>
    </xf>
    <xf numFmtId="0" fontId="2" fillId="0" borderId="1" xfId="0" applyFont="1" applyFill="1" applyBorder="1" quotePrefix="1">
      <alignment vertical="center"/>
    </xf>
    <xf numFmtId="0" fontId="0" fillId="0" borderId="1" xfId="0" applyFill="1" applyBorder="1" quotePrefix="1">
      <alignment vertical="center"/>
    </xf>
    <xf numFmtId="0" fontId="0" fillId="0" borderId="1" xfId="0" applyBorder="1" applyAlignment="1" quotePrefix="1">
      <alignment horizontal="lef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16.png"/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image" Target="../media/image20.png"/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58420</xdr:colOff>
      <xdr:row>59</xdr:row>
      <xdr:rowOff>24765</xdr:rowOff>
    </xdr:from>
    <xdr:ext cx="2534285" cy="440055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 Box 1"/>
            <xdr:cNvSpPr txBox="1"/>
          </xdr:nvSpPr>
          <xdr:spPr>
            <a:xfrm>
              <a:off x="58420" y="11581765"/>
              <a:ext cx="2534285" cy="44005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p>
              <a:pPr algn="l"/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fPr>
                    <m:num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𝑇𝑜𝑡𝑎𝑙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𝑄𝑡𝑦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𝐼𝑛𝑠𝑝𝑒𝑐𝑡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(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𝑃𝑎𝑠𝑠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/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𝑅𝑒𝑗𝑒𝑐𝑡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)</m:t>
                      </m:r>
                    </m:num>
                    <m:den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𝑇𝑜𝑡𝑎𝑙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𝑄𝑡𝑦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𝐼𝑛𝑠𝑝𝑒𝑐𝑡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(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𝑃𝑎𝑠𝑠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+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𝑅𝑒𝑗𝑒𝑐𝑡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)</m:t>
                      </m:r>
                    </m:den>
                  </m:f>
                </m:oMath>
              </a14:m>
              <a:r>
                <a:rPr lang="en-US" sz="1100"/>
                <a:t> x 100%</a:t>
              </a:r>
              <a:endParaRPr lang="en-US" sz="1100"/>
            </a:p>
          </xdr:txBody>
        </xdr:sp>
      </mc:Choice>
      <mc:Fallback>
        <xdr:sp>
          <xdr:nvSpPr>
            <xdr:cNvPr id="2" name="Text Box 1"/>
            <xdr:cNvSpPr txBox="1"/>
          </xdr:nvSpPr>
          <xdr:spPr>
            <a:xfrm>
              <a:off x="58420" y="11581765"/>
              <a:ext cx="2534285" cy="44005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p>
              <a:pPr algn="l"/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𝑇𝑜𝑡𝑎𝑙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𝑄𝑡𝑦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𝐼𝑛𝑠𝑝𝑒𝑐𝑡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𝑃𝑎𝑠𝑠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𝑅𝑒𝑗𝑒𝑐𝑡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𝑇𝑜𝑡𝑎𝑙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𝑄𝑡𝑦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𝐼𝑛𝑠𝑝𝑒𝑐𝑡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𝑃𝑎𝑠𝑠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+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𝑅𝑒𝑗𝑒𝑐𝑡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1100"/>
                <a:t> x 100%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29210</xdr:colOff>
      <xdr:row>68</xdr:row>
      <xdr:rowOff>0</xdr:rowOff>
    </xdr:from>
    <xdr:ext cx="2534285" cy="440055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 Box 2"/>
            <xdr:cNvSpPr txBox="1"/>
          </xdr:nvSpPr>
          <xdr:spPr>
            <a:xfrm>
              <a:off x="29210" y="13271500"/>
              <a:ext cx="2534285" cy="44005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fPr>
                    <m:num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𝑇𝑜𝑡𝑎𝑙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𝑄𝑡𝑦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𝑂𝑟𝑑𝑒𝑟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(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𝑃𝑎𝑠𝑠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)</m:t>
                      </m:r>
                    </m:num>
                    <m:den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𝑇𝑜𝑡𝑎𝑙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𝑄𝑡𝑦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𝑂𝑟𝑑𝑒𝑟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 (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𝐴𝑙𝑙</m:t>
                      </m:r>
                      <m:r>
                        <a:rPr lang="en-US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)</m:t>
                      </m:r>
                    </m:den>
                  </m:f>
                </m:oMath>
              </a14:m>
              <a:r>
                <a:rPr lang="en-US" sz="1100"/>
                <a:t> x 100%</a:t>
              </a:r>
              <a:endParaRPr lang="en-US" sz="1100"/>
            </a:p>
          </xdr:txBody>
        </xdr:sp>
      </mc:Choice>
      <mc:Fallback>
        <xdr:sp>
          <xdr:nvSpPr>
            <xdr:cNvPr id="3" name="Text Box 2"/>
            <xdr:cNvSpPr txBox="1"/>
          </xdr:nvSpPr>
          <xdr:spPr>
            <a:xfrm>
              <a:off x="29210" y="13271500"/>
              <a:ext cx="2534285" cy="44005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𝑇𝑜𝑡𝑎𝑙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𝑄𝑡𝑦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𝑂𝑟𝑑𝑒𝑟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𝑃𝑎𝑠𝑠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𝑇𝑜𝑡𝑎𝑙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𝑄𝑡𝑦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𝑂𝑟𝑑𝑒𝑟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 (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𝐴𝑙𝑙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1100"/>
                <a:t> x 100%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561975</xdr:colOff>
      <xdr:row>44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240375" cy="850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32</xdr:col>
      <xdr:colOff>238125</xdr:colOff>
      <xdr:row>93</xdr:row>
      <xdr:rowOff>19050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28800" y="8572500"/>
          <a:ext cx="17916525" cy="916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32</xdr:col>
      <xdr:colOff>466725</xdr:colOff>
      <xdr:row>139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28800" y="18097500"/>
          <a:ext cx="18145125" cy="841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31</xdr:col>
      <xdr:colOff>19050</xdr:colOff>
      <xdr:row>185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28800" y="26860500"/>
          <a:ext cx="17087850" cy="838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90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30</xdr:col>
      <xdr:colOff>95250</xdr:colOff>
      <xdr:row>103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10287000"/>
          <a:ext cx="17773650" cy="934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30</xdr:col>
      <xdr:colOff>285750</xdr:colOff>
      <xdr:row>157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20193000"/>
          <a:ext cx="17964150" cy="9782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15</xdr:col>
      <xdr:colOff>600075</xdr:colOff>
      <xdr:row>169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29146500"/>
          <a:ext cx="9134475" cy="306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30</xdr:col>
      <xdr:colOff>0</xdr:colOff>
      <xdr:row>48</xdr:row>
      <xdr:rowOff>85725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90500"/>
          <a:ext cx="18288000" cy="903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30</xdr:col>
      <xdr:colOff>0</xdr:colOff>
      <xdr:row>97</xdr:row>
      <xdr:rowOff>95250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9525000"/>
          <a:ext cx="18288000" cy="904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8890</xdr:colOff>
      <xdr:row>99</xdr:row>
      <xdr:rowOff>0</xdr:rowOff>
    </xdr:from>
    <xdr:to>
      <xdr:col>30</xdr:col>
      <xdr:colOff>8890</xdr:colOff>
      <xdr:row>146</xdr:row>
      <xdr:rowOff>47625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890" y="18859500"/>
          <a:ext cx="18288000" cy="900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30</xdr:col>
      <xdr:colOff>0</xdr:colOff>
      <xdr:row>219</xdr:row>
      <xdr:rowOff>104775</xdr:rowOff>
    </xdr:to>
    <xdr:pic>
      <xdr:nvPicPr>
        <xdr:cNvPr id="9" name="Picture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2766000"/>
          <a:ext cx="18288000" cy="9058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0</xdr:row>
      <xdr:rowOff>635</xdr:rowOff>
    </xdr:from>
    <xdr:to>
      <xdr:col>30</xdr:col>
      <xdr:colOff>19050</xdr:colOff>
      <xdr:row>43</xdr:row>
      <xdr:rowOff>153035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635"/>
          <a:ext cx="18268950" cy="834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20</xdr:col>
      <xdr:colOff>200025</xdr:colOff>
      <xdr:row>79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953500"/>
          <a:ext cx="12392025" cy="6162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30</xdr:col>
      <xdr:colOff>552450</xdr:colOff>
      <xdr:row>122</xdr:row>
      <xdr:rowOff>123825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15621000"/>
          <a:ext cx="18230850" cy="774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31</xdr:col>
      <xdr:colOff>590550</xdr:colOff>
      <xdr:row>170</xdr:row>
      <xdr:rowOff>133350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19200" y="24574500"/>
          <a:ext cx="18268950" cy="7943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31</xdr:col>
      <xdr:colOff>0</xdr:colOff>
      <xdr:row>47</xdr:row>
      <xdr:rowOff>95250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0"/>
          <a:ext cx="18288000" cy="904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30</xdr:col>
      <xdr:colOff>600075</xdr:colOff>
      <xdr:row>97</xdr:row>
      <xdr:rowOff>66675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9525000"/>
          <a:ext cx="18278475" cy="902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373380</xdr:colOff>
      <xdr:row>82</xdr:row>
      <xdr:rowOff>67310</xdr:rowOff>
    </xdr:from>
    <xdr:to>
      <xdr:col>42</xdr:col>
      <xdr:colOff>373380</xdr:colOff>
      <xdr:row>130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88580" y="15688310"/>
          <a:ext cx="18288000" cy="907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31</xdr:col>
      <xdr:colOff>0</xdr:colOff>
      <xdr:row>196</xdr:row>
      <xdr:rowOff>66675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" y="28384500"/>
          <a:ext cx="18288000" cy="9020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C%20ENDLINE%20FIX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EFECT CODE"/>
      <sheetName val="SUMMARY BRAND"/>
      <sheetName val="SUMMARY LINE "/>
      <sheetName val="Sheet2"/>
      <sheetName val="MASTER SUB QC DEFECT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0</v>
          </cell>
        </row>
        <row r="2">
          <cell r="C2" t="str">
            <v>QC error input</v>
          </cell>
        </row>
        <row r="3">
          <cell r="A3">
            <v>101</v>
          </cell>
        </row>
        <row r="3">
          <cell r="C3" t="str">
            <v>Hole (C8)</v>
          </cell>
        </row>
        <row r="3">
          <cell r="G3" t="str">
            <v>Non Process</v>
          </cell>
        </row>
        <row r="4">
          <cell r="A4">
            <v>103</v>
          </cell>
        </row>
        <row r="4">
          <cell r="C4" t="str">
            <v>Incorrect color (C3)</v>
          </cell>
        </row>
        <row r="4">
          <cell r="G4" t="str">
            <v>Non Process</v>
          </cell>
        </row>
        <row r="5">
          <cell r="A5">
            <v>104</v>
          </cell>
        </row>
        <row r="5">
          <cell r="C5" t="str">
            <v>Color shading within one garment (C3)</v>
          </cell>
        </row>
        <row r="5">
          <cell r="G5" t="str">
            <v>Non Process</v>
          </cell>
        </row>
        <row r="6">
          <cell r="A6">
            <v>105</v>
          </cell>
        </row>
        <row r="6">
          <cell r="C6" t="str">
            <v>Fabric hand feel (C2)</v>
          </cell>
        </row>
        <row r="6">
          <cell r="G6" t="str">
            <v>Process</v>
          </cell>
        </row>
        <row r="7">
          <cell r="A7">
            <v>106</v>
          </cell>
        </row>
        <row r="7">
          <cell r="C7" t="str">
            <v>Color migration/crocking/bleeding (C2)</v>
          </cell>
        </row>
        <row r="7">
          <cell r="G7" t="str">
            <v>Non Process</v>
          </cell>
        </row>
        <row r="8">
          <cell r="A8">
            <v>108</v>
          </cell>
        </row>
        <row r="8">
          <cell r="C8" t="str">
            <v>Uneven dye (C3)</v>
          </cell>
        </row>
        <row r="8">
          <cell r="G8" t="str">
            <v>Non Process</v>
          </cell>
        </row>
        <row r="9">
          <cell r="A9">
            <v>109</v>
          </cell>
        </row>
        <row r="9">
          <cell r="C9" t="str">
            <v>Slub (C8)</v>
          </cell>
        </row>
        <row r="9">
          <cell r="G9" t="str">
            <v>Non Process</v>
          </cell>
        </row>
        <row r="10">
          <cell r="A10">
            <v>110</v>
          </cell>
        </row>
        <row r="10">
          <cell r="C10" t="str">
            <v>Snag/pull/pick (C8)</v>
          </cell>
        </row>
        <row r="10">
          <cell r="G10" t="str">
            <v>Non Process</v>
          </cell>
        </row>
        <row r="11">
          <cell r="A11">
            <v>111</v>
          </cell>
        </row>
        <row r="11">
          <cell r="C11" t="str">
            <v>Garment dye/shading (C3)</v>
          </cell>
        </row>
        <row r="11">
          <cell r="G11" t="str">
            <v>Non Process</v>
          </cell>
        </row>
        <row r="12">
          <cell r="A12">
            <v>112</v>
          </cell>
        </row>
        <row r="12">
          <cell r="C12" t="str">
            <v>Fabric crease mark (C2)</v>
          </cell>
        </row>
        <row r="12">
          <cell r="G12" t="str">
            <v>Process</v>
          </cell>
        </row>
        <row r="13">
          <cell r="A13">
            <v>113</v>
          </cell>
        </row>
        <row r="13">
          <cell r="C13" t="str">
            <v>Bowing or twisting (C2)</v>
          </cell>
        </row>
        <row r="13">
          <cell r="G13" t="str">
            <v>Process</v>
          </cell>
        </row>
        <row r="14">
          <cell r="A14">
            <v>114</v>
          </cell>
        </row>
        <row r="14">
          <cell r="C14" t="str">
            <v>Incorrect fabric pile direction (C2)</v>
          </cell>
        </row>
        <row r="14">
          <cell r="G14" t="str">
            <v>Non Process</v>
          </cell>
        </row>
        <row r="15">
          <cell r="A15">
            <v>115</v>
          </cell>
        </row>
        <row r="15">
          <cell r="C15" t="str">
            <v>Needle streaks/ plating marks (C8)</v>
          </cell>
        </row>
        <row r="15">
          <cell r="G15" t="str">
            <v>Non Process</v>
          </cell>
        </row>
        <row r="16">
          <cell r="A16">
            <v>118</v>
          </cell>
        </row>
        <row r="16">
          <cell r="C16" t="str">
            <v>Fly yarn contamination (C8)</v>
          </cell>
        </row>
        <row r="16">
          <cell r="G16" t="str">
            <v>Non Process</v>
          </cell>
        </row>
        <row r="17">
          <cell r="A17">
            <v>119</v>
          </cell>
        </row>
        <row r="17">
          <cell r="C17" t="str">
            <v>Shade bar / barre’ (C2 )</v>
          </cell>
        </row>
        <row r="17">
          <cell r="G17" t="str">
            <v>Non Process</v>
          </cell>
        </row>
        <row r="18">
          <cell r="A18">
            <v>120</v>
          </cell>
        </row>
        <row r="18">
          <cell r="C18" t="str">
            <v>Fabric run (C8)</v>
          </cell>
        </row>
        <row r="18">
          <cell r="G18" t="str">
            <v>Non Process</v>
          </cell>
        </row>
        <row r="19">
          <cell r="A19">
            <v>121</v>
          </cell>
        </row>
        <row r="19">
          <cell r="C19" t="str">
            <v>Offensive odour (C2)</v>
          </cell>
        </row>
        <row r="19">
          <cell r="G19" t="str">
            <v>Non Process</v>
          </cell>
        </row>
        <row r="20">
          <cell r="A20">
            <v>122</v>
          </cell>
        </row>
        <row r="20">
          <cell r="C20" t="str">
            <v>Uneven yarn structure (C2)</v>
          </cell>
        </row>
        <row r="20">
          <cell r="G20" t="str">
            <v>Non Process</v>
          </cell>
        </row>
        <row r="21">
          <cell r="A21">
            <v>123</v>
          </cell>
        </row>
        <row r="21">
          <cell r="C21" t="str">
            <v>Fabric weight out of tolerance (C2)</v>
          </cell>
        </row>
        <row r="21">
          <cell r="G21" t="str">
            <v>Non Process</v>
          </cell>
        </row>
        <row r="22">
          <cell r="A22">
            <v>124</v>
          </cell>
        </row>
        <row r="22">
          <cell r="C22" t="str">
            <v>Pilling (C8)</v>
          </cell>
        </row>
        <row r="22">
          <cell r="G22" t="str">
            <v>Non Process</v>
          </cell>
        </row>
        <row r="23">
          <cell r="A23">
            <v>125</v>
          </cell>
        </row>
        <row r="23">
          <cell r="C23" t="str">
            <v>Poor fabric finishing (C2)</v>
          </cell>
        </row>
        <row r="23">
          <cell r="G23" t="str">
            <v>Non Process</v>
          </cell>
        </row>
        <row r="24">
          <cell r="A24">
            <v>126</v>
          </cell>
        </row>
        <row r="24">
          <cell r="C24" t="str">
            <v>Fabric elongation not as approved (C2)</v>
          </cell>
        </row>
        <row r="24">
          <cell r="G24" t="str">
            <v>Non Process</v>
          </cell>
        </row>
        <row r="25">
          <cell r="A25">
            <v>127</v>
          </cell>
        </row>
        <row r="25">
          <cell r="C25" t="str">
            <v>Different fabric quality and appearance (C2)</v>
          </cell>
        </row>
        <row r="25">
          <cell r="G25" t="str">
            <v>Non Process</v>
          </cell>
        </row>
        <row r="26">
          <cell r="A26">
            <v>128</v>
          </cell>
        </row>
        <row r="26">
          <cell r="C26" t="str">
            <v>Color shading garment to garment (C3)</v>
          </cell>
        </row>
        <row r="26">
          <cell r="G26" t="str">
            <v>Non Process</v>
          </cell>
        </row>
        <row r="27">
          <cell r="A27">
            <v>129</v>
          </cell>
        </row>
        <row r="27">
          <cell r="C27" t="str">
            <v>Fabric under limited release and sign off for physical and/or functional std (C2)</v>
          </cell>
        </row>
        <row r="27">
          <cell r="G27" t="str">
            <v>Non Process</v>
          </cell>
        </row>
        <row r="28">
          <cell r="A28">
            <v>130</v>
          </cell>
        </row>
        <row r="28">
          <cell r="C28" t="str">
            <v>Under limited release and sign off for color achievability (C3)</v>
          </cell>
        </row>
        <row r="28">
          <cell r="G28" t="str">
            <v>Non Process</v>
          </cell>
        </row>
        <row r="29">
          <cell r="A29">
            <v>132</v>
          </cell>
        </row>
        <row r="29">
          <cell r="C29" t="str">
            <v>Miscellaneous (C8)</v>
          </cell>
        </row>
        <row r="29">
          <cell r="G29" t="str">
            <v>Non Process</v>
          </cell>
        </row>
        <row r="30">
          <cell r="A30">
            <v>201</v>
          </cell>
        </row>
        <row r="30">
          <cell r="C30" t="str">
            <v>Seam puckering (C4)</v>
          </cell>
        </row>
        <row r="30">
          <cell r="G30" t="str">
            <v>Process</v>
          </cell>
        </row>
        <row r="31">
          <cell r="A31">
            <v>202</v>
          </cell>
        </row>
        <row r="31">
          <cell r="C31" t="str">
            <v>Any broken stitch (C4)</v>
          </cell>
        </row>
        <row r="31">
          <cell r="G31" t="str">
            <v>Process</v>
          </cell>
        </row>
        <row r="32">
          <cell r="A32">
            <v>205</v>
          </cell>
        </row>
        <row r="32">
          <cell r="C32" t="str">
            <v>Incorrect stitch density (C7)</v>
          </cell>
        </row>
        <row r="32">
          <cell r="G32" t="str">
            <v>Process</v>
          </cell>
        </row>
        <row r="33">
          <cell r="A33">
            <v>206</v>
          </cell>
        </row>
        <row r="33">
          <cell r="C33" t="str">
            <v>Sewn-in pleats (C4)</v>
          </cell>
        </row>
        <row r="33">
          <cell r="G33" t="str">
            <v>Non Process</v>
          </cell>
        </row>
        <row r="34">
          <cell r="A34">
            <v>207</v>
          </cell>
        </row>
        <row r="34">
          <cell r="C34" t="str">
            <v>Substitution of seam/stitch type (C7)</v>
          </cell>
        </row>
        <row r="34">
          <cell r="G34" t="str">
            <v>Non Process</v>
          </cell>
        </row>
        <row r="35">
          <cell r="A35">
            <v>208</v>
          </cell>
        </row>
        <row r="35">
          <cell r="C35" t="str">
            <v>Back tack/ bar tack missing or misplaced (C7)</v>
          </cell>
        </row>
        <row r="35">
          <cell r="G35" t="str">
            <v>Process</v>
          </cell>
        </row>
        <row r="36">
          <cell r="A36">
            <v>209</v>
          </cell>
        </row>
        <row r="36">
          <cell r="C36" t="str">
            <v>Construction detail not as specified (C7)</v>
          </cell>
        </row>
        <row r="36">
          <cell r="G36" t="str">
            <v>Process</v>
          </cell>
        </row>
        <row r="37">
          <cell r="A37">
            <v>210</v>
          </cell>
        </row>
        <row r="37">
          <cell r="C37" t="str">
            <v>Skipped stitches –all types of chain stitches (C4)</v>
          </cell>
        </row>
        <row r="37">
          <cell r="G37" t="str">
            <v>Process</v>
          </cell>
        </row>
        <row r="38">
          <cell r="A38">
            <v>211</v>
          </cell>
        </row>
        <row r="38">
          <cell r="C38" t="str">
            <v>Open seam/run off (C4)</v>
          </cell>
        </row>
        <row r="38">
          <cell r="G38" t="str">
            <v>Process</v>
          </cell>
        </row>
        <row r="39">
          <cell r="A39">
            <v>215</v>
          </cell>
        </row>
        <row r="39">
          <cell r="C39" t="str">
            <v>Over lapping stitch not aligned (C4)</v>
          </cell>
        </row>
        <row r="39">
          <cell r="G39" t="str">
            <v>Process</v>
          </cell>
        </row>
        <row r="40">
          <cell r="A40">
            <v>217</v>
          </cell>
        </row>
        <row r="40">
          <cell r="C40" t="str">
            <v>Variation in height of collar points (C6)</v>
          </cell>
        </row>
        <row r="40">
          <cell r="G40" t="str">
            <v>Process</v>
          </cell>
        </row>
        <row r="41">
          <cell r="A41">
            <v>218</v>
          </cell>
        </row>
        <row r="41">
          <cell r="C41" t="str">
            <v>Poorly repaired stitch (C4)</v>
          </cell>
        </row>
        <row r="41">
          <cell r="G41" t="str">
            <v>Process</v>
          </cell>
        </row>
        <row r="42">
          <cell r="A42">
            <v>220</v>
          </cell>
        </row>
        <row r="42">
          <cell r="C42" t="str">
            <v>Skipped stitches-lock stitch, overlock (C4)</v>
          </cell>
        </row>
        <row r="42">
          <cell r="G42" t="str">
            <v>Process</v>
          </cell>
        </row>
        <row r="43">
          <cell r="A43">
            <v>221</v>
          </cell>
        </row>
        <row r="43">
          <cell r="C43" t="str">
            <v>Collar does not cover the topstitching of back neck seam (C4)</v>
          </cell>
        </row>
        <row r="43">
          <cell r="G43" t="str">
            <v>Non Process</v>
          </cell>
        </row>
        <row r="44">
          <cell r="A44">
            <v>222</v>
          </cell>
        </row>
        <row r="44">
          <cell r="C44" t="str">
            <v>Grinning seam (C4)</v>
          </cell>
        </row>
        <row r="44">
          <cell r="G44" t="str">
            <v>Process</v>
          </cell>
        </row>
        <row r="45">
          <cell r="A45">
            <v>223</v>
          </cell>
        </row>
        <row r="45">
          <cell r="C45" t="str">
            <v>Wavy seam (C4)</v>
          </cell>
        </row>
        <row r="45">
          <cell r="G45" t="str">
            <v>Process</v>
          </cell>
        </row>
        <row r="46">
          <cell r="A46">
            <v>224</v>
          </cell>
        </row>
        <row r="46">
          <cell r="C46" t="str">
            <v>Interlining seen trough (C9)</v>
          </cell>
        </row>
        <row r="46">
          <cell r="G46" t="str">
            <v>Process</v>
          </cell>
        </row>
        <row r="47">
          <cell r="A47">
            <v>226</v>
          </cell>
        </row>
        <row r="47">
          <cell r="C47" t="str">
            <v>Twisted, wavy, uneven body/hem (C4)</v>
          </cell>
        </row>
        <row r="47">
          <cell r="G47" t="str">
            <v>Process</v>
          </cell>
        </row>
        <row r="48">
          <cell r="A48">
            <v>227</v>
          </cell>
        </row>
        <row r="48">
          <cell r="C48" t="str">
            <v>Misaligned seam junction (C4)</v>
          </cell>
        </row>
        <row r="48">
          <cell r="G48" t="str">
            <v>Process</v>
          </cell>
        </row>
        <row r="49">
          <cell r="A49">
            <v>229</v>
          </cell>
        </row>
        <row r="49">
          <cell r="C49" t="str">
            <v>Uneven/ wavy top &amp; cover stitching (C4)</v>
          </cell>
        </row>
        <row r="49">
          <cell r="G49" t="str">
            <v>Process</v>
          </cell>
        </row>
        <row r="50">
          <cell r="A50">
            <v>232</v>
          </cell>
        </row>
        <row r="50">
          <cell r="C50" t="str">
            <v>Raw fabric edge/excess fabric (C4)</v>
          </cell>
        </row>
        <row r="50">
          <cell r="G50" t="str">
            <v>Process</v>
          </cell>
        </row>
        <row r="51">
          <cell r="A51">
            <v>233</v>
          </cell>
        </row>
        <row r="51">
          <cell r="C51" t="str">
            <v>Collar twisted and/or unbalanced (C4)</v>
          </cell>
        </row>
        <row r="51">
          <cell r="G51" t="str">
            <v>Process</v>
          </cell>
        </row>
        <row r="52">
          <cell r="A52">
            <v>234</v>
          </cell>
        </row>
        <row r="52">
          <cell r="C52" t="str">
            <v>Variation in collar length (C7)</v>
          </cell>
        </row>
        <row r="52">
          <cell r="G52" t="str">
            <v>Process</v>
          </cell>
        </row>
        <row r="53">
          <cell r="A53">
            <v>236</v>
          </cell>
        </row>
        <row r="53">
          <cell r="C53" t="str">
            <v>Skew, unbalanced neckhole (C4)</v>
          </cell>
        </row>
        <row r="53">
          <cell r="G53" t="str">
            <v>Process</v>
          </cell>
        </row>
        <row r="54">
          <cell r="A54">
            <v>240</v>
          </cell>
        </row>
        <row r="54">
          <cell r="C54" t="str">
            <v>Needle cuts and needle holes (C4)</v>
          </cell>
        </row>
        <row r="54">
          <cell r="G54" t="str">
            <v>Process</v>
          </cell>
        </row>
        <row r="55">
          <cell r="A55">
            <v>241</v>
          </cell>
        </row>
        <row r="55">
          <cell r="C55" t="str">
            <v>Uneven gathering (C4)</v>
          </cell>
        </row>
        <row r="55">
          <cell r="G55" t="str">
            <v>Process</v>
          </cell>
        </row>
        <row r="56">
          <cell r="A56">
            <v>242</v>
          </cell>
        </row>
        <row r="56">
          <cell r="C56" t="str">
            <v>Feed dog damage/machine food shadow (C4)</v>
          </cell>
        </row>
        <row r="56">
          <cell r="G56" t="str">
            <v>Process</v>
          </cell>
        </row>
        <row r="57">
          <cell r="A57">
            <v>243</v>
          </cell>
        </row>
        <row r="57">
          <cell r="C57" t="str">
            <v>Top component not covering the bottom component (C4)</v>
          </cell>
        </row>
        <row r="57">
          <cell r="G57" t="str">
            <v>Process</v>
          </cell>
        </row>
        <row r="58">
          <cell r="A58">
            <v>244</v>
          </cell>
        </row>
        <row r="58">
          <cell r="C58" t="str">
            <v>Component slanted / unbalanced (C4)</v>
          </cell>
        </row>
        <row r="58">
          <cell r="G58" t="str">
            <v>Process</v>
          </cell>
        </row>
        <row r="59">
          <cell r="A59">
            <v>245</v>
          </cell>
        </row>
        <row r="59">
          <cell r="C59" t="str">
            <v>Missing / incorrect components (C7)</v>
          </cell>
        </row>
        <row r="59">
          <cell r="G59" t="str">
            <v>Process</v>
          </cell>
        </row>
        <row r="60">
          <cell r="A60">
            <v>246</v>
          </cell>
        </row>
        <row r="60">
          <cell r="C60" t="str">
            <v>Gapping/overlapping/uneven pocket welt (C4)</v>
          </cell>
        </row>
        <row r="60">
          <cell r="G60" t="str">
            <v>Process</v>
          </cell>
        </row>
        <row r="61">
          <cell r="A61">
            <v>247</v>
          </cell>
        </row>
        <row r="61">
          <cell r="C61" t="str">
            <v>De-lamination and bubbling due to incorrect fusing (C9)</v>
          </cell>
        </row>
        <row r="61">
          <cell r="G61" t="str">
            <v>Process</v>
          </cell>
        </row>
        <row r="62">
          <cell r="A62">
            <v>248</v>
          </cell>
        </row>
        <row r="62">
          <cell r="C62" t="str">
            <v>Discoloration of fabric due to fusing/seam seal (C9)</v>
          </cell>
        </row>
        <row r="62">
          <cell r="G62" t="str">
            <v>Process</v>
          </cell>
        </row>
        <row r="63">
          <cell r="A63">
            <v>249</v>
          </cell>
        </row>
        <row r="63">
          <cell r="C63" t="str">
            <v>Incompatible lining to shell (C2)</v>
          </cell>
        </row>
        <row r="63">
          <cell r="G63" t="str">
            <v>Process</v>
          </cell>
        </row>
        <row r="64">
          <cell r="A64">
            <v>250</v>
          </cell>
        </row>
        <row r="64">
          <cell r="C64" t="str">
            <v>Joint on stripes/tapes/piping (C4)</v>
          </cell>
        </row>
        <row r="64">
          <cell r="G64" t="str">
            <v>Process</v>
          </cell>
        </row>
        <row r="65">
          <cell r="A65">
            <v>251</v>
          </cell>
        </row>
        <row r="65">
          <cell r="C65" t="str">
            <v>Zip, drawstring inoperable (C2)</v>
          </cell>
        </row>
        <row r="65">
          <cell r="G65" t="str">
            <v>Process</v>
          </cell>
        </row>
        <row r="66">
          <cell r="A66">
            <v>252</v>
          </cell>
        </row>
        <row r="66">
          <cell r="C66" t="str">
            <v>Insecure attachment (C4)</v>
          </cell>
        </row>
        <row r="66">
          <cell r="G66" t="str">
            <v>Process</v>
          </cell>
        </row>
        <row r="67">
          <cell r="A67">
            <v>253</v>
          </cell>
        </row>
        <row r="67">
          <cell r="C67" t="str">
            <v>Incorrect placement (C7)</v>
          </cell>
        </row>
        <row r="67">
          <cell r="G67" t="str">
            <v>Process</v>
          </cell>
        </row>
        <row r="68">
          <cell r="A68">
            <v>254</v>
          </cell>
        </row>
        <row r="68">
          <cell r="C68" t="str">
            <v>Uneven rib (C4)</v>
          </cell>
        </row>
        <row r="68">
          <cell r="G68" t="str">
            <v>Process</v>
          </cell>
        </row>
        <row r="69">
          <cell r="A69">
            <v>255</v>
          </cell>
        </row>
        <row r="69">
          <cell r="C69" t="str">
            <v>Uneven width of binding/piping (C4)</v>
          </cell>
        </row>
        <row r="69">
          <cell r="G69" t="str">
            <v>Process</v>
          </cell>
        </row>
        <row r="70">
          <cell r="A70">
            <v>256</v>
          </cell>
        </row>
        <row r="70">
          <cell r="C70" t="str">
            <v>Incorrect 3-stripe position and measurements (C7)</v>
          </cell>
        </row>
        <row r="70">
          <cell r="G70" t="str">
            <v>Process</v>
          </cell>
        </row>
        <row r="71">
          <cell r="A71">
            <v>257</v>
          </cell>
        </row>
        <row r="71">
          <cell r="C71" t="str">
            <v>Poor repair by hand (C4)</v>
          </cell>
        </row>
        <row r="71">
          <cell r="G71" t="str">
            <v>Process</v>
          </cell>
        </row>
        <row r="72">
          <cell r="A72">
            <v>258</v>
          </cell>
        </row>
        <row r="72">
          <cell r="C72" t="str">
            <v>Construction detail not symmetric (C6)</v>
          </cell>
        </row>
        <row r="72">
          <cell r="G72" t="str">
            <v>Process</v>
          </cell>
        </row>
        <row r="73">
          <cell r="A73">
            <v>259</v>
          </cell>
        </row>
        <row r="73">
          <cell r="C73" t="str">
            <v>Broken stitches caused by too tight tension (C4)</v>
          </cell>
        </row>
        <row r="73">
          <cell r="G73" t="str">
            <v>Process</v>
          </cell>
        </row>
        <row r="74">
          <cell r="A74">
            <v>260</v>
          </cell>
        </row>
        <row r="74">
          <cell r="C74" t="str">
            <v>Scissor cut (C4)</v>
          </cell>
        </row>
        <row r="74">
          <cell r="G74" t="str">
            <v>Process</v>
          </cell>
        </row>
        <row r="75">
          <cell r="A75">
            <v>261</v>
          </cell>
        </row>
        <row r="75">
          <cell r="C75" t="str">
            <v>Frayed, poorly sewn button hole (C4)</v>
          </cell>
        </row>
        <row r="75">
          <cell r="G75" t="str">
            <v>Process</v>
          </cell>
        </row>
        <row r="76">
          <cell r="A76">
            <v>262</v>
          </cell>
        </row>
        <row r="76">
          <cell r="C76" t="str">
            <v>Loose/insecure labels due to incorrect stitching (C4)</v>
          </cell>
        </row>
        <row r="76">
          <cell r="G76" t="str">
            <v>Process</v>
          </cell>
        </row>
        <row r="77">
          <cell r="A77">
            <v>263</v>
          </cell>
        </row>
        <row r="77">
          <cell r="C77" t="str">
            <v>Any drop stitch (C4)</v>
          </cell>
        </row>
        <row r="77">
          <cell r="G77" t="str">
            <v>Process</v>
          </cell>
        </row>
        <row r="78">
          <cell r="A78">
            <v>264</v>
          </cell>
        </row>
        <row r="78">
          <cell r="C78" t="str">
            <v>Poor workmanship of 3 stripes (C4)</v>
          </cell>
        </row>
        <row r="78">
          <cell r="G78" t="str">
            <v>Process</v>
          </cell>
        </row>
        <row r="79">
          <cell r="A79">
            <v>265</v>
          </cell>
        </row>
        <row r="79">
          <cell r="C79" t="str">
            <v>Down see through (C2)</v>
          </cell>
        </row>
        <row r="79">
          <cell r="G79" t="str">
            <v>Process</v>
          </cell>
        </row>
        <row r="80">
          <cell r="A80">
            <v>266</v>
          </cell>
        </row>
        <row r="80">
          <cell r="C80" t="str">
            <v>Filling distribution is uneven. (C2)</v>
          </cell>
        </row>
        <row r="80">
          <cell r="G80" t="str">
            <v>Process</v>
          </cell>
        </row>
        <row r="81">
          <cell r="A81">
            <v>267</v>
          </cell>
        </row>
        <row r="81">
          <cell r="C81" t="str">
            <v>Leaking on tapped product. (C2)</v>
          </cell>
        </row>
        <row r="81">
          <cell r="G81" t="str">
            <v>Process</v>
          </cell>
        </row>
        <row r="82">
          <cell r="A82">
            <v>268</v>
          </cell>
        </row>
        <row r="82">
          <cell r="C82" t="str">
            <v>Shrink, broken, bubble, peeling, delamination at sealing, bonding. (C2)</v>
          </cell>
        </row>
        <row r="82">
          <cell r="G82" t="str">
            <v>Process</v>
          </cell>
        </row>
        <row r="83">
          <cell r="A83">
            <v>269</v>
          </cell>
        </row>
        <row r="83">
          <cell r="C83" t="str">
            <v>Down weight and/or down leakage outside tolerance (C2)</v>
          </cell>
        </row>
        <row r="83">
          <cell r="G83" t="str">
            <v>Process</v>
          </cell>
        </row>
        <row r="84">
          <cell r="A84">
            <v>270</v>
          </cell>
        </row>
        <row r="84">
          <cell r="C84" t="str">
            <v>Miscellaneous (C4)</v>
          </cell>
        </row>
        <row r="84">
          <cell r="G84" t="str">
            <v>Non Process</v>
          </cell>
        </row>
        <row r="85">
          <cell r="A85">
            <v>302</v>
          </cell>
        </row>
        <row r="85">
          <cell r="C85" t="str">
            <v>Incorrect size, color, shape, position, appearance (C5)</v>
          </cell>
        </row>
        <row r="85">
          <cell r="G85" t="str">
            <v>Process</v>
          </cell>
        </row>
        <row r="86">
          <cell r="A86">
            <v>303</v>
          </cell>
        </row>
        <row r="86">
          <cell r="C86" t="str">
            <v>Decoration slanted/tilted (C5)</v>
          </cell>
        </row>
        <row r="86">
          <cell r="G86" t="str">
            <v>Process</v>
          </cell>
        </row>
        <row r="87">
          <cell r="A87">
            <v>305</v>
          </cell>
        </row>
        <row r="87">
          <cell r="C87" t="str">
            <v>Faulty stitching (C5)</v>
          </cell>
        </row>
        <row r="87">
          <cell r="G87" t="str">
            <v>Process</v>
          </cell>
        </row>
        <row r="88">
          <cell r="A88">
            <v>307</v>
          </cell>
        </row>
        <row r="88">
          <cell r="C88" t="str">
            <v>Sticky, harsh (C5)</v>
          </cell>
        </row>
        <row r="88">
          <cell r="G88" t="str">
            <v>Process</v>
          </cell>
        </row>
        <row r="89">
          <cell r="A89">
            <v>315</v>
          </cell>
        </row>
        <row r="89">
          <cell r="C89" t="str">
            <v>Poor registration (C5)</v>
          </cell>
        </row>
        <row r="89">
          <cell r="G89" t="str">
            <v>Process</v>
          </cell>
        </row>
        <row r="90">
          <cell r="A90">
            <v>316</v>
          </cell>
        </row>
        <row r="90">
          <cell r="C90" t="str">
            <v>Hoop, screen, or plate marks (C5)</v>
          </cell>
        </row>
        <row r="90">
          <cell r="G90" t="str">
            <v>Process</v>
          </cell>
        </row>
        <row r="91">
          <cell r="A91">
            <v>317</v>
          </cell>
        </row>
        <row r="91">
          <cell r="C91" t="str">
            <v>Missing/incomplete decoration (C5)</v>
          </cell>
        </row>
        <row r="91">
          <cell r="G91" t="str">
            <v>Process</v>
          </cell>
        </row>
        <row r="92">
          <cell r="A92">
            <v>318</v>
          </cell>
        </row>
        <row r="92">
          <cell r="C92" t="str">
            <v>Placement of decoration out of spec. (C7)</v>
          </cell>
        </row>
        <row r="92">
          <cell r="G92" t="str">
            <v>Process</v>
          </cell>
        </row>
        <row r="93">
          <cell r="A93">
            <v>319</v>
          </cell>
        </row>
        <row r="93">
          <cell r="C93" t="str">
            <v>Contamination (sublimation/ghosting) (C8)</v>
          </cell>
        </row>
        <row r="93">
          <cell r="G93" t="str">
            <v>Non Process</v>
          </cell>
        </row>
        <row r="94">
          <cell r="A94">
            <v>320</v>
          </cell>
        </row>
        <row r="94">
          <cell r="C94" t="str">
            <v>Print peel-off (C5)</v>
          </cell>
        </row>
        <row r="94">
          <cell r="G94" t="str">
            <v>Process</v>
          </cell>
        </row>
        <row r="95">
          <cell r="A95">
            <v>321</v>
          </cell>
        </row>
        <row r="95">
          <cell r="C95" t="str">
            <v>Poor coverage (C5)</v>
          </cell>
        </row>
        <row r="95">
          <cell r="G95" t="str">
            <v>Process</v>
          </cell>
        </row>
        <row r="96">
          <cell r="A96">
            <v>322</v>
          </cell>
        </row>
        <row r="96">
          <cell r="C96" t="str">
            <v>Print not cured properly (C5)</v>
          </cell>
        </row>
        <row r="96">
          <cell r="G96" t="str">
            <v>Process</v>
          </cell>
        </row>
        <row r="97">
          <cell r="A97">
            <v>323</v>
          </cell>
        </row>
        <row r="97">
          <cell r="C97" t="str">
            <v>Poor print quality (C5)</v>
          </cell>
        </row>
        <row r="97">
          <cell r="G97" t="str">
            <v>Process</v>
          </cell>
        </row>
        <row r="98">
          <cell r="A98">
            <v>324</v>
          </cell>
        </row>
        <row r="98">
          <cell r="C98" t="str">
            <v>Breaking or cracking print during stretching (C5)</v>
          </cell>
        </row>
        <row r="98">
          <cell r="G98" t="str">
            <v>Process</v>
          </cell>
        </row>
        <row r="99">
          <cell r="A99">
            <v>325</v>
          </cell>
        </row>
        <row r="99">
          <cell r="C99" t="str">
            <v>Discoloration of fabric due to print (C5)</v>
          </cell>
        </row>
        <row r="99">
          <cell r="G99" t="str">
            <v>Process</v>
          </cell>
        </row>
        <row r="100">
          <cell r="A100">
            <v>326</v>
          </cell>
        </row>
        <row r="100">
          <cell r="C100" t="str">
            <v>Color migration of fabric dye into print (C5)</v>
          </cell>
        </row>
        <row r="100">
          <cell r="G100" t="str">
            <v>Non Process</v>
          </cell>
        </row>
        <row r="101">
          <cell r="A101">
            <v>327</v>
          </cell>
        </row>
        <row r="101">
          <cell r="C101" t="str">
            <v>Ink smear (C5)</v>
          </cell>
        </row>
        <row r="101">
          <cell r="G101" t="str">
            <v>Process</v>
          </cell>
        </row>
        <row r="102">
          <cell r="A102">
            <v>328</v>
          </cell>
        </row>
        <row r="102">
          <cell r="C102" t="str">
            <v>Contamination of fabric due to print (C5)</v>
          </cell>
        </row>
        <row r="102">
          <cell r="G102" t="str">
            <v>Non Process</v>
          </cell>
        </row>
        <row r="103">
          <cell r="A103">
            <v>329</v>
          </cell>
        </row>
        <row r="103">
          <cell r="C103" t="str">
            <v>Contamination of print underground (C5)</v>
          </cell>
        </row>
        <row r="103">
          <cell r="G103" t="str">
            <v>Non Process</v>
          </cell>
        </row>
        <row r="104">
          <cell r="A104">
            <v>330</v>
          </cell>
        </row>
        <row r="104">
          <cell r="C104" t="str">
            <v>Print applied on top of existing print (C5)</v>
          </cell>
        </row>
        <row r="104">
          <cell r="G104" t="str">
            <v>Process</v>
          </cell>
        </row>
        <row r="105">
          <cell r="A105">
            <v>331</v>
          </cell>
        </row>
        <row r="105">
          <cell r="C105" t="str">
            <v>Print stretched / wavy (C5)</v>
          </cell>
        </row>
        <row r="105">
          <cell r="G105" t="str">
            <v>Process</v>
          </cell>
        </row>
        <row r="106">
          <cell r="A106">
            <v>332</v>
          </cell>
        </row>
        <row r="106">
          <cell r="C106" t="str">
            <v>Improper backing removal (C5)</v>
          </cell>
        </row>
        <row r="106">
          <cell r="G106" t="str">
            <v>Process</v>
          </cell>
        </row>
        <row r="107">
          <cell r="A107">
            <v>333</v>
          </cell>
        </row>
        <row r="107">
          <cell r="C107" t="str">
            <v>Too many / few stitches (C5)</v>
          </cell>
        </row>
        <row r="107">
          <cell r="G107" t="str">
            <v>Process</v>
          </cell>
        </row>
        <row r="108">
          <cell r="A108">
            <v>334</v>
          </cell>
        </row>
        <row r="108">
          <cell r="C108" t="str">
            <v>Incorrect tension (C5)</v>
          </cell>
        </row>
        <row r="108">
          <cell r="G108" t="str">
            <v>Process</v>
          </cell>
        </row>
        <row r="109">
          <cell r="A109">
            <v>335</v>
          </cell>
        </row>
        <row r="109">
          <cell r="C109" t="str">
            <v>Glue residue (C5)</v>
          </cell>
        </row>
        <row r="109">
          <cell r="G109" t="str">
            <v>Process</v>
          </cell>
        </row>
        <row r="110">
          <cell r="A110">
            <v>336</v>
          </cell>
        </row>
        <row r="110">
          <cell r="C110" t="str">
            <v>Pin hole (sublimation print/small white dots) (C5)</v>
          </cell>
        </row>
        <row r="110">
          <cell r="G110" t="str">
            <v>Process</v>
          </cell>
        </row>
        <row r="111">
          <cell r="A111">
            <v>338</v>
          </cell>
        </row>
        <row r="111">
          <cell r="C111" t="str">
            <v>Miscellaneous (C5)</v>
          </cell>
        </row>
        <row r="111">
          <cell r="G111" t="str">
            <v>Non Process</v>
          </cell>
        </row>
        <row r="112">
          <cell r="A112">
            <v>339</v>
          </cell>
        </row>
        <row r="112">
          <cell r="C112" t="str">
            <v>Printed discrepency (C5)</v>
          </cell>
        </row>
        <row r="112">
          <cell r="G112" t="str">
            <v>Process</v>
          </cell>
        </row>
        <row r="113">
          <cell r="A113">
            <v>405</v>
          </cell>
        </row>
        <row r="113">
          <cell r="C113" t="str">
            <v>Accessories inoperable (C2)</v>
          </cell>
        </row>
        <row r="113">
          <cell r="G113" t="str">
            <v>Process</v>
          </cell>
        </row>
        <row r="114">
          <cell r="A114">
            <v>406</v>
          </cell>
        </row>
        <row r="114">
          <cell r="C114" t="str">
            <v>Accessories broken (C2)</v>
          </cell>
        </row>
        <row r="114">
          <cell r="G114" t="str">
            <v>Process</v>
          </cell>
        </row>
        <row r="115">
          <cell r="A115">
            <v>407</v>
          </cell>
        </row>
        <row r="115">
          <cell r="C115" t="str">
            <v>Accessories missing / uncompleted (C2)</v>
          </cell>
        </row>
        <row r="115">
          <cell r="G115" t="str">
            <v>Process</v>
          </cell>
        </row>
        <row r="116">
          <cell r="A116">
            <v>408</v>
          </cell>
        </row>
        <row r="116">
          <cell r="C116" t="str">
            <v>Accessories bleeding (C2)</v>
          </cell>
        </row>
        <row r="116">
          <cell r="G116" t="str">
            <v>Process</v>
          </cell>
        </row>
        <row r="117">
          <cell r="A117">
            <v>409</v>
          </cell>
        </row>
        <row r="117">
          <cell r="C117" t="str">
            <v>Any label/tape damaged raveling/fraying (C2)</v>
          </cell>
        </row>
        <row r="117">
          <cell r="G117" t="str">
            <v>Process</v>
          </cell>
        </row>
        <row r="118">
          <cell r="A118">
            <v>410</v>
          </cell>
        </row>
        <row r="118">
          <cell r="C118" t="str">
            <v>Accessories insecure/ harmful (C2)</v>
          </cell>
        </row>
        <row r="118">
          <cell r="G118" t="str">
            <v>Process</v>
          </cell>
        </row>
        <row r="119">
          <cell r="A119">
            <v>411</v>
          </cell>
        </row>
        <row r="119">
          <cell r="C119" t="str">
            <v>Corroded or discolored hardware or closures (C2)</v>
          </cell>
        </row>
        <row r="119">
          <cell r="G119" t="str">
            <v>Non Process</v>
          </cell>
        </row>
        <row r="120">
          <cell r="A120">
            <v>412</v>
          </cell>
        </row>
        <row r="120">
          <cell r="C120" t="str">
            <v>Accessories not as specified in AD (C7)</v>
          </cell>
        </row>
        <row r="120">
          <cell r="G120" t="str">
            <v>Process</v>
          </cell>
        </row>
        <row r="121">
          <cell r="A121">
            <v>413</v>
          </cell>
        </row>
        <row r="121">
          <cell r="C121" t="str">
            <v>Zipper not as specified in AD (C7)</v>
          </cell>
        </row>
        <row r="121">
          <cell r="G121" t="str">
            <v>Non Process</v>
          </cell>
        </row>
        <row r="122">
          <cell r="A122">
            <v>414</v>
          </cell>
        </row>
        <row r="122">
          <cell r="C122" t="str">
            <v>Accessories slanted/tilted/distorted (C5)</v>
          </cell>
        </row>
        <row r="122">
          <cell r="G122" t="str">
            <v>Process</v>
          </cell>
        </row>
        <row r="123">
          <cell r="A123">
            <v>415</v>
          </cell>
        </row>
        <row r="123">
          <cell r="C123" t="str">
            <v>Accessories not aligned /symmetric (C6)</v>
          </cell>
        </row>
        <row r="123">
          <cell r="G123" t="str">
            <v>Process</v>
          </cell>
        </row>
        <row r="124">
          <cell r="A124">
            <v>416</v>
          </cell>
        </row>
        <row r="124">
          <cell r="C124" t="str">
            <v>Miscellaneous (C2)</v>
          </cell>
        </row>
        <row r="124">
          <cell r="G124" t="str">
            <v>Non Process</v>
          </cell>
        </row>
        <row r="125">
          <cell r="A125">
            <v>501</v>
          </cell>
        </row>
        <row r="125">
          <cell r="C125" t="str">
            <v>Scorch mark (C9)</v>
          </cell>
        </row>
        <row r="125">
          <cell r="G125" t="str">
            <v>Process</v>
          </cell>
        </row>
        <row r="126">
          <cell r="A126">
            <v>503</v>
          </cell>
        </row>
        <row r="126">
          <cell r="C126" t="str">
            <v>Poor pressing (C9)</v>
          </cell>
        </row>
        <row r="126">
          <cell r="G126" t="str">
            <v>Process</v>
          </cell>
        </row>
        <row r="127">
          <cell r="A127">
            <v>507</v>
          </cell>
        </row>
        <row r="127">
          <cell r="C127" t="str">
            <v>Over wash / incorrect garment washing (C9)</v>
          </cell>
        </row>
        <row r="127">
          <cell r="G127" t="str">
            <v>Process</v>
          </cell>
        </row>
        <row r="128">
          <cell r="A128">
            <v>508</v>
          </cell>
        </row>
        <row r="128">
          <cell r="C128" t="str">
            <v>Damp / wet (C9)</v>
          </cell>
        </row>
        <row r="128">
          <cell r="G128" t="str">
            <v>Process</v>
          </cell>
        </row>
        <row r="129">
          <cell r="A129">
            <v>509</v>
          </cell>
        </row>
        <row r="129">
          <cell r="C129" t="str">
            <v>Miscellaneous (C9)</v>
          </cell>
        </row>
        <row r="129">
          <cell r="G129" t="str">
            <v>Non Process</v>
          </cell>
        </row>
        <row r="130">
          <cell r="A130">
            <v>601</v>
          </cell>
        </row>
        <row r="130">
          <cell r="C130" t="str">
            <v>Cleaning residue (C9)</v>
          </cell>
        </row>
        <row r="130">
          <cell r="G130" t="str">
            <v>Process</v>
          </cell>
        </row>
        <row r="131">
          <cell r="A131">
            <v>602</v>
          </cell>
        </row>
        <row r="131">
          <cell r="C131" t="str">
            <v>Oil spots (C8)</v>
          </cell>
        </row>
        <row r="131">
          <cell r="G131" t="str">
            <v>Process</v>
          </cell>
        </row>
        <row r="132">
          <cell r="A132">
            <v>603</v>
          </cell>
        </row>
        <row r="132">
          <cell r="C132" t="str">
            <v>Unbroken/untrimmed basting stitch (C9)</v>
          </cell>
        </row>
        <row r="132">
          <cell r="G132" t="str">
            <v>Process</v>
          </cell>
        </row>
        <row r="133">
          <cell r="A133">
            <v>604</v>
          </cell>
        </row>
        <row r="133">
          <cell r="C133" t="str">
            <v>Soil (C8)</v>
          </cell>
        </row>
        <row r="133">
          <cell r="G133" t="str">
            <v>Process</v>
          </cell>
        </row>
        <row r="134">
          <cell r="A134">
            <v>606</v>
          </cell>
        </row>
        <row r="134">
          <cell r="C134" t="str">
            <v>Chalk marks or pen/pencil marks visible (C9)</v>
          </cell>
        </row>
        <row r="134">
          <cell r="G134" t="str">
            <v>Process</v>
          </cell>
        </row>
        <row r="135">
          <cell r="A135">
            <v>607</v>
          </cell>
        </row>
        <row r="135">
          <cell r="C135" t="str">
            <v>Untrimmed sewing threads or loose threads (C9)</v>
          </cell>
        </row>
        <row r="135">
          <cell r="G135" t="str">
            <v>Process</v>
          </cell>
        </row>
        <row r="136">
          <cell r="A136">
            <v>608</v>
          </cell>
        </row>
        <row r="136">
          <cell r="C136" t="str">
            <v>Foreign matter (C8)</v>
          </cell>
        </row>
        <row r="136">
          <cell r="G136" t="str">
            <v>Process</v>
          </cell>
        </row>
        <row r="137">
          <cell r="A137">
            <v>609</v>
          </cell>
        </row>
        <row r="137">
          <cell r="C137" t="str">
            <v>Any tape or defect sticker on a garment packed for shipment (C9)</v>
          </cell>
        </row>
        <row r="137">
          <cell r="G137" t="str">
            <v>Process</v>
          </cell>
        </row>
        <row r="138">
          <cell r="A138">
            <v>610</v>
          </cell>
        </row>
        <row r="138">
          <cell r="C138" t="str">
            <v>Untrimmed embroidery threads (C5)</v>
          </cell>
        </row>
        <row r="138">
          <cell r="G138" t="str">
            <v>Process</v>
          </cell>
        </row>
        <row r="139">
          <cell r="A139">
            <v>611</v>
          </cell>
        </row>
        <row r="139">
          <cell r="C139" t="str">
            <v>Untrimmed fabric edge (C9)</v>
          </cell>
        </row>
        <row r="139">
          <cell r="G139" t="str">
            <v>Non Process</v>
          </cell>
        </row>
        <row r="140">
          <cell r="A140">
            <v>612</v>
          </cell>
        </row>
        <row r="140">
          <cell r="C140" t="str">
            <v>Miscellaneous (C8)</v>
          </cell>
        </row>
        <row r="140">
          <cell r="G140" t="str">
            <v>Non Process</v>
          </cell>
        </row>
        <row r="141">
          <cell r="A141">
            <v>701</v>
          </cell>
        </row>
        <row r="141">
          <cell r="C141" t="str">
            <v>Out of tolerance (C7)</v>
          </cell>
        </row>
        <row r="141">
          <cell r="G141" t="str">
            <v>Non Process</v>
          </cell>
        </row>
        <row r="142">
          <cell r="A142">
            <v>703</v>
          </cell>
        </row>
        <row r="142">
          <cell r="C142" t="str">
            <v>Miscellaneous (C7)</v>
          </cell>
        </row>
        <row r="142">
          <cell r="G142" t="str">
            <v>Non Process</v>
          </cell>
        </row>
        <row r="143">
          <cell r="A143">
            <v>800</v>
          </cell>
        </row>
        <row r="143">
          <cell r="C143" t="str">
            <v>B Grade</v>
          </cell>
        </row>
        <row r="144">
          <cell r="A144">
            <v>888</v>
          </cell>
        </row>
        <row r="144">
          <cell r="C144" t="str">
            <v>Defect Unit / Feeder</v>
          </cell>
        </row>
        <row r="145">
          <cell r="A145">
            <v>900</v>
          </cell>
        </row>
        <row r="145">
          <cell r="C145" t="str">
            <v>C Grade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2" sqref="E12"/>
    </sheetView>
  </sheetViews>
  <sheetFormatPr defaultColWidth="9.14285714285714" defaultRowHeight="15" outlineLevelCol="5"/>
  <cols>
    <col min="2" max="2" width="14.1428571428571" customWidth="1"/>
    <col min="3" max="3" width="13" customWidth="1"/>
    <col min="4" max="4" width="11.4285714285714" customWidth="1"/>
    <col min="5" max="5" width="10.2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</v>
      </c>
      <c r="B2">
        <v>40</v>
      </c>
      <c r="C2">
        <v>7</v>
      </c>
      <c r="D2" s="173">
        <f t="shared" ref="D2:D12" si="0">(B2-C2)/B2*100</f>
        <v>82.5</v>
      </c>
      <c r="E2" s="173">
        <f t="shared" ref="E2:E12" si="1">C2/B2*100</f>
        <v>17.5</v>
      </c>
      <c r="F2">
        <f t="shared" ref="F2:F12" si="2">B2-C2</f>
        <v>33</v>
      </c>
    </row>
    <row r="3" spans="1:6">
      <c r="A3">
        <v>28</v>
      </c>
      <c r="B3">
        <v>55</v>
      </c>
      <c r="C3">
        <v>10</v>
      </c>
      <c r="D3" s="173">
        <f t="shared" si="0"/>
        <v>81.8181818181818</v>
      </c>
      <c r="E3" s="173">
        <f t="shared" si="1"/>
        <v>18.1818181818182</v>
      </c>
      <c r="F3">
        <f t="shared" si="2"/>
        <v>45</v>
      </c>
    </row>
    <row r="4" spans="1:6">
      <c r="A4">
        <v>29</v>
      </c>
      <c r="B4">
        <v>95</v>
      </c>
      <c r="C4">
        <v>15</v>
      </c>
      <c r="D4" s="173">
        <f t="shared" si="0"/>
        <v>84.2105263157895</v>
      </c>
      <c r="E4" s="173">
        <f t="shared" si="1"/>
        <v>15.7894736842105</v>
      </c>
      <c r="F4">
        <f t="shared" si="2"/>
        <v>80</v>
      </c>
    </row>
    <row r="5" spans="1:6">
      <c r="A5">
        <v>30</v>
      </c>
      <c r="B5">
        <v>30</v>
      </c>
      <c r="C5">
        <v>6</v>
      </c>
      <c r="D5" s="189">
        <f t="shared" si="0"/>
        <v>80</v>
      </c>
      <c r="E5" s="173">
        <f t="shared" si="1"/>
        <v>20</v>
      </c>
      <c r="F5">
        <f t="shared" si="2"/>
        <v>24</v>
      </c>
    </row>
    <row r="6" spans="1:6">
      <c r="A6">
        <v>31</v>
      </c>
      <c r="B6">
        <v>30</v>
      </c>
      <c r="C6">
        <v>5</v>
      </c>
      <c r="D6" s="189">
        <f t="shared" si="0"/>
        <v>83.3333333333333</v>
      </c>
      <c r="E6" s="173">
        <f t="shared" si="1"/>
        <v>16.6666666666667</v>
      </c>
      <c r="F6">
        <f t="shared" si="2"/>
        <v>25</v>
      </c>
    </row>
    <row r="7" spans="1:6">
      <c r="A7">
        <v>3</v>
      </c>
      <c r="B7" s="68">
        <v>15</v>
      </c>
      <c r="C7" s="68">
        <v>1</v>
      </c>
      <c r="D7" s="189">
        <f t="shared" si="0"/>
        <v>93.3333333333333</v>
      </c>
      <c r="E7" s="173">
        <f t="shared" si="1"/>
        <v>6.66666666666667</v>
      </c>
      <c r="F7">
        <f t="shared" si="2"/>
        <v>14</v>
      </c>
    </row>
    <row r="8" spans="1:6">
      <c r="A8">
        <v>4</v>
      </c>
      <c r="B8" s="68">
        <v>15</v>
      </c>
      <c r="C8" s="68">
        <v>4</v>
      </c>
      <c r="D8" s="189">
        <f t="shared" si="0"/>
        <v>73.3333333333333</v>
      </c>
      <c r="E8" s="173">
        <f t="shared" si="1"/>
        <v>26.6666666666667</v>
      </c>
      <c r="F8">
        <f t="shared" si="2"/>
        <v>11</v>
      </c>
    </row>
    <row r="9" spans="1:6">
      <c r="A9">
        <v>5</v>
      </c>
      <c r="B9" s="68">
        <v>5</v>
      </c>
      <c r="C9" s="68">
        <v>1</v>
      </c>
      <c r="D9" s="189">
        <f t="shared" si="0"/>
        <v>80</v>
      </c>
      <c r="E9" s="173">
        <f t="shared" si="1"/>
        <v>20</v>
      </c>
      <c r="F9">
        <f t="shared" si="2"/>
        <v>4</v>
      </c>
    </row>
    <row r="10" spans="1:6">
      <c r="A10">
        <v>6</v>
      </c>
      <c r="B10" s="68">
        <v>5</v>
      </c>
      <c r="C10" s="68">
        <v>0</v>
      </c>
      <c r="D10" s="189">
        <f t="shared" si="0"/>
        <v>100</v>
      </c>
      <c r="E10" s="173">
        <f t="shared" si="1"/>
        <v>0</v>
      </c>
      <c r="F10">
        <f t="shared" si="2"/>
        <v>5</v>
      </c>
    </row>
    <row r="11" spans="2:6">
      <c r="B11" s="68"/>
      <c r="C11" s="68"/>
      <c r="D11" s="189" t="e">
        <f t="shared" si="0"/>
        <v>#DIV/0!</v>
      </c>
      <c r="E11" s="173" t="e">
        <f t="shared" si="1"/>
        <v>#DIV/0!</v>
      </c>
      <c r="F11">
        <f t="shared" si="2"/>
        <v>0</v>
      </c>
    </row>
    <row r="12" spans="1:6">
      <c r="A12" t="s">
        <v>6</v>
      </c>
      <c r="B12" s="68">
        <f>SUM(B2:B10)</f>
        <v>290</v>
      </c>
      <c r="C12" s="68">
        <f>SUM(C2:C10)</f>
        <v>49</v>
      </c>
      <c r="D12" s="190">
        <f t="shared" si="0"/>
        <v>83.1034482758621</v>
      </c>
      <c r="E12" s="173">
        <f t="shared" si="1"/>
        <v>16.8965517241379</v>
      </c>
      <c r="F12">
        <f t="shared" si="2"/>
        <v>241</v>
      </c>
    </row>
    <row r="16" spans="1:3">
      <c r="A16" t="s">
        <v>7</v>
      </c>
      <c r="B16" t="s">
        <v>8</v>
      </c>
      <c r="C16" t="s">
        <v>9</v>
      </c>
    </row>
    <row r="17" spans="1:3">
      <c r="A17">
        <v>1</v>
      </c>
      <c r="B17">
        <v>17</v>
      </c>
      <c r="C17" s="173">
        <f>B17/B21*100</f>
        <v>36.9565217391304</v>
      </c>
    </row>
    <row r="18" spans="1:3">
      <c r="A18">
        <v>2</v>
      </c>
      <c r="B18">
        <v>14</v>
      </c>
      <c r="C18" s="173">
        <f>B18/B21*100</f>
        <v>30.4347826086957</v>
      </c>
    </row>
    <row r="19" spans="1:3">
      <c r="A19">
        <v>3</v>
      </c>
      <c r="B19">
        <v>4</v>
      </c>
      <c r="C19" s="173">
        <f>B19/B21*100</f>
        <v>8.69565217391304</v>
      </c>
    </row>
    <row r="20" spans="1:3">
      <c r="A20" t="s">
        <v>10</v>
      </c>
      <c r="B20">
        <v>11</v>
      </c>
      <c r="C20" s="173">
        <f>B20/B21*100</f>
        <v>23.9130434782609</v>
      </c>
    </row>
    <row r="21" spans="1:2">
      <c r="A21" t="s">
        <v>11</v>
      </c>
      <c r="B21" s="68">
        <f>SUM(B17:B20)</f>
        <v>46</v>
      </c>
    </row>
  </sheetData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"/>
  <sheetViews>
    <sheetView zoomScale="85" zoomScaleNormal="85" workbookViewId="0">
      <selection activeCell="C40" sqref="C40"/>
    </sheetView>
  </sheetViews>
  <sheetFormatPr defaultColWidth="9.14285714285714" defaultRowHeight="15"/>
  <cols>
    <col min="2" max="2" width="12.8571428571429"/>
    <col min="3" max="3" width="15.1428571428571"/>
    <col min="4" max="4" width="12.8571428571429"/>
    <col min="5" max="6" width="14"/>
    <col min="7" max="8" width="12.8571428571429"/>
    <col min="12" max="12" width="12.8571428571429"/>
  </cols>
  <sheetData>
    <row r="1" spans="1:13">
      <c r="A1" s="177" t="s">
        <v>12</v>
      </c>
      <c r="B1" s="137" t="s">
        <v>13</v>
      </c>
      <c r="C1" s="137" t="s">
        <v>14</v>
      </c>
      <c r="D1" s="137" t="s">
        <v>3</v>
      </c>
      <c r="E1" s="137" t="s">
        <v>15</v>
      </c>
      <c r="F1" s="137" t="s">
        <v>16</v>
      </c>
      <c r="J1" s="177" t="s">
        <v>17</v>
      </c>
      <c r="K1" s="137" t="s">
        <v>18</v>
      </c>
      <c r="L1" s="137" t="s">
        <v>14</v>
      </c>
      <c r="M1" s="137" t="s">
        <v>3</v>
      </c>
    </row>
    <row r="2" spans="2:13">
      <c r="B2" s="69">
        <v>1</v>
      </c>
      <c r="C2" s="149">
        <v>26</v>
      </c>
      <c r="D2" s="69">
        <v>53.23</v>
      </c>
      <c r="E2" s="69">
        <v>67.12</v>
      </c>
      <c r="F2" s="69">
        <v>55</v>
      </c>
      <c r="K2" s="69">
        <v>220</v>
      </c>
      <c r="L2" s="69">
        <v>142</v>
      </c>
      <c r="M2" s="69">
        <v>98.48</v>
      </c>
    </row>
    <row r="3" spans="2:13">
      <c r="B3" s="69">
        <v>2</v>
      </c>
      <c r="C3" s="149">
        <v>76</v>
      </c>
      <c r="D3" s="69">
        <v>96.49</v>
      </c>
      <c r="E3" s="69">
        <v>70.37</v>
      </c>
      <c r="F3" s="69">
        <v>35</v>
      </c>
      <c r="K3" s="69">
        <v>180</v>
      </c>
      <c r="L3" s="69">
        <v>163</v>
      </c>
      <c r="M3" s="69">
        <v>100</v>
      </c>
    </row>
    <row r="4" spans="2:13">
      <c r="B4" s="69">
        <v>3</v>
      </c>
      <c r="C4" s="149">
        <v>98</v>
      </c>
      <c r="D4" s="69">
        <v>96.49</v>
      </c>
      <c r="E4" s="69">
        <v>71.46</v>
      </c>
      <c r="F4" s="69">
        <v>55</v>
      </c>
      <c r="K4" s="69">
        <v>218</v>
      </c>
      <c r="L4" s="69">
        <v>207</v>
      </c>
      <c r="M4" s="69">
        <v>99.15</v>
      </c>
    </row>
    <row r="5" spans="2:13">
      <c r="B5" s="69">
        <v>4</v>
      </c>
      <c r="C5" s="149">
        <v>69</v>
      </c>
      <c r="D5" s="69">
        <v>53.23</v>
      </c>
      <c r="E5" s="69">
        <v>69.17</v>
      </c>
      <c r="F5" s="69">
        <v>35</v>
      </c>
      <c r="K5" s="69">
        <v>73</v>
      </c>
      <c r="L5" s="69">
        <v>69</v>
      </c>
      <c r="M5" s="69">
        <v>98.8</v>
      </c>
    </row>
    <row r="6" spans="2:13">
      <c r="B6" s="69">
        <v>5</v>
      </c>
      <c r="C6" s="149">
        <v>101</v>
      </c>
      <c r="D6" s="69">
        <v>96.49</v>
      </c>
      <c r="E6" s="69">
        <v>69.14</v>
      </c>
      <c r="F6" s="69">
        <v>35</v>
      </c>
      <c r="K6" s="69">
        <v>139</v>
      </c>
      <c r="L6" s="69">
        <v>216</v>
      </c>
      <c r="M6" s="69">
        <v>100</v>
      </c>
    </row>
    <row r="7" spans="2:13">
      <c r="B7" s="69">
        <v>9</v>
      </c>
      <c r="C7" s="149">
        <v>147</v>
      </c>
      <c r="D7" s="69">
        <v>96.49</v>
      </c>
      <c r="E7" s="69">
        <v>69.88</v>
      </c>
      <c r="F7" s="69">
        <v>35</v>
      </c>
      <c r="K7" s="69">
        <v>134</v>
      </c>
      <c r="L7" s="69">
        <v>312</v>
      </c>
      <c r="M7" s="69">
        <v>100</v>
      </c>
    </row>
    <row r="8" spans="2:13">
      <c r="B8" s="69">
        <v>10</v>
      </c>
      <c r="C8" s="149">
        <v>233</v>
      </c>
      <c r="D8" s="69">
        <v>96.49</v>
      </c>
      <c r="E8" s="69">
        <v>71.99</v>
      </c>
      <c r="F8" s="69">
        <v>35</v>
      </c>
      <c r="K8" s="69">
        <v>21</v>
      </c>
      <c r="L8" s="69">
        <v>490</v>
      </c>
      <c r="M8" s="69">
        <v>100</v>
      </c>
    </row>
    <row r="9" spans="2:13">
      <c r="B9" s="69">
        <v>11</v>
      </c>
      <c r="C9" s="149">
        <v>66</v>
      </c>
      <c r="D9" s="69">
        <v>96.49</v>
      </c>
      <c r="E9" s="69">
        <v>71.04</v>
      </c>
      <c r="F9" s="69">
        <v>55</v>
      </c>
      <c r="K9" s="69">
        <v>113</v>
      </c>
      <c r="L9" s="69">
        <v>141</v>
      </c>
      <c r="M9" s="69">
        <v>100</v>
      </c>
    </row>
    <row r="10" spans="2:13">
      <c r="B10" s="69">
        <v>12</v>
      </c>
      <c r="C10" s="149">
        <v>82</v>
      </c>
      <c r="D10" s="69">
        <v>96.49</v>
      </c>
      <c r="E10" s="69">
        <v>72.11</v>
      </c>
      <c r="F10" s="69">
        <v>55</v>
      </c>
      <c r="K10" s="69">
        <v>45</v>
      </c>
      <c r="L10" s="69">
        <v>178</v>
      </c>
      <c r="M10" s="69">
        <v>99.45</v>
      </c>
    </row>
    <row r="11" spans="2:13">
      <c r="B11" s="69">
        <v>13</v>
      </c>
      <c r="C11" s="149">
        <v>63</v>
      </c>
      <c r="D11" s="69">
        <v>96.49</v>
      </c>
      <c r="E11" s="69">
        <v>68.92</v>
      </c>
      <c r="F11" s="69">
        <v>55</v>
      </c>
      <c r="K11" s="69">
        <v>79</v>
      </c>
      <c r="L11" s="69">
        <v>132</v>
      </c>
      <c r="M11" s="69">
        <v>97.87</v>
      </c>
    </row>
    <row r="12" spans="2:13">
      <c r="B12" s="69">
        <v>16</v>
      </c>
      <c r="C12" s="149">
        <v>30</v>
      </c>
      <c r="D12" s="69">
        <v>96.49</v>
      </c>
      <c r="E12" s="69">
        <v>72.65</v>
      </c>
      <c r="F12" s="69">
        <v>35</v>
      </c>
      <c r="K12" s="69">
        <v>1001</v>
      </c>
      <c r="L12" s="69">
        <v>67</v>
      </c>
      <c r="M12" s="69">
        <v>100</v>
      </c>
    </row>
    <row r="13" spans="2:13">
      <c r="B13" s="69">
        <v>17</v>
      </c>
      <c r="C13" s="149">
        <v>114</v>
      </c>
      <c r="D13" s="69">
        <v>96.49</v>
      </c>
      <c r="E13" s="69">
        <v>69.82</v>
      </c>
      <c r="F13" s="69">
        <v>55</v>
      </c>
      <c r="K13" s="69">
        <v>91</v>
      </c>
      <c r="L13" s="69">
        <v>241</v>
      </c>
      <c r="M13" s="69">
        <v>98.71</v>
      </c>
    </row>
    <row r="14" spans="2:13">
      <c r="B14" s="69">
        <v>20</v>
      </c>
      <c r="C14" s="149">
        <v>38</v>
      </c>
      <c r="D14" s="69">
        <v>96.49</v>
      </c>
      <c r="E14" s="69">
        <v>71.82</v>
      </c>
      <c r="F14" s="69">
        <v>55</v>
      </c>
      <c r="K14" s="69">
        <v>53</v>
      </c>
      <c r="L14" s="69">
        <v>80</v>
      </c>
      <c r="M14" s="69">
        <v>90.32</v>
      </c>
    </row>
    <row r="15" spans="2:13">
      <c r="B15" s="69">
        <v>21</v>
      </c>
      <c r="C15" s="149">
        <v>80</v>
      </c>
      <c r="D15" s="69">
        <v>96.49</v>
      </c>
      <c r="E15" s="69">
        <v>71.65</v>
      </c>
      <c r="F15" s="69">
        <v>56</v>
      </c>
      <c r="K15" s="69">
        <v>109</v>
      </c>
      <c r="L15" s="69">
        <v>172</v>
      </c>
      <c r="M15" s="69">
        <v>96.3</v>
      </c>
    </row>
    <row r="16" spans="2:13">
      <c r="B16" s="69">
        <v>22</v>
      </c>
      <c r="C16" s="149">
        <v>108</v>
      </c>
      <c r="D16" s="69">
        <v>96.49</v>
      </c>
      <c r="E16" s="69">
        <v>70.78</v>
      </c>
      <c r="F16" s="69">
        <v>55</v>
      </c>
      <c r="K16" s="69">
        <v>37</v>
      </c>
      <c r="L16" s="69">
        <v>231</v>
      </c>
      <c r="M16" s="69">
        <v>100</v>
      </c>
    </row>
    <row r="17" spans="2:13">
      <c r="B17" s="69">
        <v>24</v>
      </c>
      <c r="C17" s="149">
        <v>66</v>
      </c>
      <c r="D17" s="69">
        <v>96.49</v>
      </c>
      <c r="E17" s="69">
        <v>71.22</v>
      </c>
      <c r="F17" s="69">
        <v>55</v>
      </c>
      <c r="K17" s="69">
        <v>85</v>
      </c>
      <c r="L17" s="69">
        <v>141</v>
      </c>
      <c r="M17" s="69">
        <v>93.48</v>
      </c>
    </row>
    <row r="18" spans="2:13">
      <c r="B18" s="69">
        <v>26</v>
      </c>
      <c r="C18" s="149">
        <v>101</v>
      </c>
      <c r="D18" s="69">
        <v>96.49</v>
      </c>
      <c r="E18" s="69">
        <v>70.87</v>
      </c>
      <c r="F18" s="69">
        <v>35</v>
      </c>
      <c r="K18" s="69">
        <v>45</v>
      </c>
      <c r="L18" s="69">
        <v>215</v>
      </c>
      <c r="M18" s="69">
        <v>100</v>
      </c>
    </row>
    <row r="19" spans="2:13">
      <c r="B19" s="69">
        <v>27</v>
      </c>
      <c r="C19" s="149">
        <v>111</v>
      </c>
      <c r="D19" s="69">
        <v>96.49</v>
      </c>
      <c r="E19" s="69">
        <v>70.64</v>
      </c>
      <c r="F19" s="69">
        <v>35</v>
      </c>
      <c r="K19" s="69">
        <v>45</v>
      </c>
      <c r="L19" s="69">
        <v>233</v>
      </c>
      <c r="M19" s="69">
        <v>100</v>
      </c>
    </row>
    <row r="20" spans="2:13">
      <c r="B20" s="69">
        <v>28</v>
      </c>
      <c r="C20" s="149">
        <v>60</v>
      </c>
      <c r="D20" s="69">
        <v>96.49</v>
      </c>
      <c r="E20" s="69">
        <v>71.84</v>
      </c>
      <c r="F20" s="69">
        <v>55</v>
      </c>
      <c r="K20" s="69"/>
      <c r="L20" s="69">
        <v>126</v>
      </c>
      <c r="M20" s="69">
        <v>98.59</v>
      </c>
    </row>
    <row r="21" spans="2:13">
      <c r="B21" s="69">
        <v>29</v>
      </c>
      <c r="C21" s="149">
        <v>105</v>
      </c>
      <c r="D21" s="69">
        <v>96.49</v>
      </c>
      <c r="E21" s="69">
        <v>71.04</v>
      </c>
      <c r="F21" s="69">
        <v>75</v>
      </c>
      <c r="K21" s="69"/>
      <c r="L21" s="69">
        <v>221</v>
      </c>
      <c r="M21" s="69">
        <v>96.9</v>
      </c>
    </row>
    <row r="22" spans="2:13">
      <c r="B22" s="69">
        <v>30</v>
      </c>
      <c r="C22" s="149">
        <v>110</v>
      </c>
      <c r="D22" s="69">
        <v>96.49</v>
      </c>
      <c r="E22" s="69">
        <v>72.17</v>
      </c>
      <c r="F22" s="69">
        <v>55</v>
      </c>
      <c r="K22" s="69"/>
      <c r="L22" s="69">
        <v>181</v>
      </c>
      <c r="M22" s="69">
        <v>95.72</v>
      </c>
    </row>
    <row r="23" spans="2:13">
      <c r="B23" s="69">
        <v>32</v>
      </c>
      <c r="C23" s="149">
        <v>73</v>
      </c>
      <c r="D23" s="69">
        <v>96.49</v>
      </c>
      <c r="E23" s="69">
        <v>70.7</v>
      </c>
      <c r="F23" s="69">
        <v>55</v>
      </c>
      <c r="K23" s="69"/>
      <c r="L23" s="69">
        <v>156</v>
      </c>
      <c r="M23" s="69">
        <v>96.39</v>
      </c>
    </row>
    <row r="24" spans="2:13">
      <c r="B24" s="138" t="s">
        <v>19</v>
      </c>
      <c r="C24" s="178">
        <f>SUM(C2:C23)</f>
        <v>1957</v>
      </c>
      <c r="D24" s="138">
        <f>SUM(D2:D23)</f>
        <v>2036.26</v>
      </c>
      <c r="E24" s="149">
        <f>SUM(E2:E23)</f>
        <v>1556.4</v>
      </c>
      <c r="F24" s="138">
        <v>1071</v>
      </c>
      <c r="J24" t="s">
        <v>19</v>
      </c>
      <c r="K24" s="185">
        <f>SUM(K2:K23)</f>
        <v>2688</v>
      </c>
      <c r="L24" s="138">
        <f>SUM(L2:L23)</f>
        <v>4114</v>
      </c>
      <c r="M24" s="186">
        <v>2160.16</v>
      </c>
    </row>
    <row r="25" spans="1:13">
      <c r="A25" s="177" t="s">
        <v>20</v>
      </c>
      <c r="B25" s="179" t="s">
        <v>21</v>
      </c>
      <c r="C25" s="180"/>
      <c r="D25" s="181">
        <f>D24/COUNT(D2:D23)</f>
        <v>92.5572727272727</v>
      </c>
      <c r="E25" s="181">
        <f>E24/COUNT(E2:E23)</f>
        <v>70.7454545454545</v>
      </c>
      <c r="F25" s="182"/>
      <c r="K25" s="103" t="s">
        <v>22</v>
      </c>
      <c r="L25" s="103"/>
      <c r="M25" s="181">
        <f>M24/COUNT(M2:M23)</f>
        <v>98.1890909090909</v>
      </c>
    </row>
    <row r="26" spans="1:1">
      <c r="A26" t="s">
        <v>23</v>
      </c>
    </row>
    <row r="27" spans="1:4">
      <c r="A27" s="137" t="s">
        <v>24</v>
      </c>
      <c r="B27" s="137" t="s">
        <v>25</v>
      </c>
      <c r="C27" s="137" t="s">
        <v>26</v>
      </c>
      <c r="D27" s="183" t="s">
        <v>27</v>
      </c>
    </row>
    <row r="28" spans="1:4">
      <c r="A28" s="69">
        <v>22</v>
      </c>
      <c r="B28" s="69">
        <f>(A28-D28)/A28*100</f>
        <v>95.4545454545455</v>
      </c>
      <c r="C28" s="184">
        <f>(A28*B36)/(A36*60)*100</f>
        <v>69.5828571428572</v>
      </c>
      <c r="D28" s="183">
        <v>1</v>
      </c>
    </row>
    <row r="29" spans="1:3">
      <c r="A29" s="65">
        <v>52</v>
      </c>
      <c r="B29" s="69">
        <f>(A29-D28)/A29*100</f>
        <v>98.0769230769231</v>
      </c>
      <c r="C29" s="184">
        <f>(A29*B36)/(A36*60)*100</f>
        <v>164.468571428571</v>
      </c>
    </row>
    <row r="30" spans="1:3">
      <c r="A30" s="65">
        <v>47</v>
      </c>
      <c r="B30" s="69">
        <v>45</v>
      </c>
      <c r="C30" s="84">
        <f>(A30*B36)/(A36*60)*100</f>
        <v>148.654285714286</v>
      </c>
    </row>
    <row r="31" spans="1:3">
      <c r="A31" s="69">
        <v>31</v>
      </c>
      <c r="B31" s="69">
        <v>920</v>
      </c>
      <c r="C31" s="184">
        <f>(A31*B36)/(A36*60)*100</f>
        <v>98.0485714285714</v>
      </c>
    </row>
    <row r="32" spans="1:3">
      <c r="A32" s="69"/>
      <c r="B32" s="69">
        <v>300</v>
      </c>
      <c r="C32" s="84"/>
    </row>
    <row r="33" spans="1:4">
      <c r="A33" s="138">
        <f>SUM(A28:A32)</f>
        <v>152</v>
      </c>
      <c r="B33" s="185">
        <f>SUM(B28:B32)</f>
        <v>1458.53146853147</v>
      </c>
      <c r="C33" s="139">
        <f>SUM(C28:C32)</f>
        <v>480.754285714286</v>
      </c>
      <c r="D33" t="s">
        <v>28</v>
      </c>
    </row>
    <row r="34" spans="1:4">
      <c r="A34" s="69"/>
      <c r="B34" s="186">
        <f>B33/7</f>
        <v>208.361638361638</v>
      </c>
      <c r="C34" s="139">
        <f>C33/7</f>
        <v>68.6791836734694</v>
      </c>
      <c r="D34" t="s">
        <v>29</v>
      </c>
    </row>
    <row r="35" spans="1:4">
      <c r="A35" t="s">
        <v>30</v>
      </c>
      <c r="B35" s="68" t="s">
        <v>31</v>
      </c>
      <c r="C35" s="187"/>
      <c r="D35" s="68"/>
    </row>
    <row r="36" spans="1:4">
      <c r="A36">
        <v>35</v>
      </c>
      <c r="B36">
        <v>66.42</v>
      </c>
      <c r="C36" s="173"/>
      <c r="D36" s="188"/>
    </row>
    <row r="57" spans="23:23">
      <c r="W57" t="s">
        <v>32</v>
      </c>
    </row>
    <row r="58" spans="23:23">
      <c r="W58" t="s">
        <v>33</v>
      </c>
    </row>
  </sheetData>
  <mergeCells count="2">
    <mergeCell ref="B25:C25"/>
    <mergeCell ref="K25:L25"/>
  </mergeCells>
  <pageMargins left="0.75" right="0.75" top="1" bottom="1" header="0.5" footer="0.5"/>
  <pageSetup paperSize="2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workbookViewId="0">
      <selection activeCell="I24" sqref="I24"/>
    </sheetView>
  </sheetViews>
  <sheetFormatPr defaultColWidth="9.14285714285714" defaultRowHeight="15"/>
  <cols>
    <col min="1" max="1" width="11.8571428571429" customWidth="1"/>
    <col min="2" max="2" width="14"/>
    <col min="3" max="4" width="12.8571428571429"/>
    <col min="6" max="6" width="12.8571428571429"/>
    <col min="10" max="10" width="18.8571428571429" customWidth="1"/>
    <col min="12" max="12" width="12.8571428571429"/>
  </cols>
  <sheetData>
    <row r="1" spans="1:1">
      <c r="A1" t="s">
        <v>34</v>
      </c>
    </row>
    <row r="2" spans="1:12">
      <c r="A2" s="160" t="s">
        <v>16</v>
      </c>
      <c r="B2" s="160" t="s">
        <v>35</v>
      </c>
      <c r="C2" s="160" t="s">
        <v>36</v>
      </c>
      <c r="D2" s="160" t="s">
        <v>37</v>
      </c>
      <c r="E2" s="68"/>
      <c r="F2" s="68"/>
      <c r="G2" s="68"/>
      <c r="H2" s="68"/>
      <c r="I2" s="68"/>
      <c r="J2" s="68"/>
      <c r="K2" s="68"/>
      <c r="L2" s="68"/>
    </row>
    <row r="3" spans="1:12">
      <c r="A3" s="161">
        <v>35</v>
      </c>
      <c r="B3" s="162">
        <v>66.42</v>
      </c>
      <c r="C3" s="161">
        <v>70</v>
      </c>
      <c r="D3" s="163">
        <f>(A3*60*C3/100)/B3</f>
        <v>22.1318879855465</v>
      </c>
      <c r="E3" s="68"/>
      <c r="F3" s="68"/>
      <c r="G3" s="68"/>
      <c r="H3" s="68"/>
      <c r="I3" s="68"/>
      <c r="J3" s="68"/>
      <c r="K3" s="68"/>
      <c r="L3" s="68"/>
    </row>
    <row r="4" spans="1:12">
      <c r="A4" s="164" t="s">
        <v>38</v>
      </c>
      <c r="B4" s="164"/>
      <c r="C4" s="149"/>
      <c r="D4" s="165">
        <f>ROUND(D3,0)</f>
        <v>22</v>
      </c>
      <c r="F4" s="68"/>
      <c r="G4" s="68"/>
      <c r="H4" s="68"/>
      <c r="I4" s="68"/>
      <c r="J4" s="68"/>
      <c r="K4" s="68"/>
      <c r="L4" s="68"/>
    </row>
    <row r="5" spans="1:11">
      <c r="A5" s="164" t="s">
        <v>39</v>
      </c>
      <c r="B5" s="164"/>
      <c r="C5" s="149"/>
      <c r="D5" s="72">
        <f>A3*60/B3</f>
        <v>31.616982836495</v>
      </c>
      <c r="E5" s="68" t="s">
        <v>40</v>
      </c>
      <c r="F5" s="68"/>
      <c r="G5" s="68"/>
      <c r="H5" s="166"/>
      <c r="I5" s="68"/>
      <c r="J5" s="68"/>
      <c r="K5" s="68"/>
    </row>
    <row r="6" spans="1:12">
      <c r="A6" s="167" t="s">
        <v>41</v>
      </c>
      <c r="B6" s="167"/>
      <c r="C6" s="168"/>
      <c r="D6" s="169">
        <f>D5*75/100</f>
        <v>23.7127371273713</v>
      </c>
      <c r="E6" s="68" t="s">
        <v>42</v>
      </c>
      <c r="F6" s="68"/>
      <c r="G6" s="68"/>
      <c r="H6" s="68"/>
      <c r="I6" s="68"/>
      <c r="J6" s="68"/>
      <c r="K6" s="68"/>
      <c r="L6" s="68"/>
    </row>
    <row r="7" spans="1:12">
      <c r="A7" s="164" t="s">
        <v>43</v>
      </c>
      <c r="B7" s="164"/>
      <c r="C7" s="164"/>
      <c r="D7" s="149">
        <f>D6*34/100</f>
        <v>8.06233062330623</v>
      </c>
      <c r="E7" s="68"/>
      <c r="F7" s="68"/>
      <c r="G7" s="170"/>
      <c r="H7" s="170"/>
      <c r="I7" s="170"/>
      <c r="J7" s="68"/>
      <c r="K7" s="68"/>
      <c r="L7" s="68"/>
    </row>
    <row r="8" spans="1:12">
      <c r="A8" s="68"/>
      <c r="B8" s="68"/>
      <c r="C8" s="68"/>
      <c r="D8" s="68"/>
      <c r="E8" s="68"/>
      <c r="F8" s="170"/>
      <c r="G8" s="170"/>
      <c r="H8" s="170"/>
      <c r="I8" s="170"/>
      <c r="J8" s="68"/>
      <c r="K8" s="68"/>
      <c r="L8" s="68"/>
    </row>
    <row r="9" spans="1:12">
      <c r="A9" s="68"/>
      <c r="B9" s="68"/>
      <c r="C9" s="68"/>
      <c r="D9" s="68"/>
      <c r="E9" s="68"/>
      <c r="F9" s="170"/>
      <c r="G9" s="171"/>
      <c r="H9" s="171"/>
      <c r="I9" s="170"/>
      <c r="J9" s="68"/>
      <c r="K9" s="68"/>
      <c r="L9" s="68"/>
    </row>
    <row r="10" spans="1:12">
      <c r="A10" s="68" t="s">
        <v>44</v>
      </c>
      <c r="B10" s="68"/>
      <c r="C10" s="68"/>
      <c r="D10" s="68"/>
      <c r="E10" s="68"/>
      <c r="F10" s="170"/>
      <c r="G10" s="170"/>
      <c r="H10" s="170"/>
      <c r="I10" s="170"/>
      <c r="J10" s="68"/>
      <c r="K10" s="68"/>
      <c r="L10" s="68"/>
    </row>
    <row r="11" spans="1:12">
      <c r="A11" s="160" t="s">
        <v>45</v>
      </c>
      <c r="B11" s="84">
        <f>D4-(D4*B13/100)</f>
        <v>21.56</v>
      </c>
      <c r="C11" s="68" t="s">
        <v>46</v>
      </c>
      <c r="D11" s="68"/>
      <c r="E11" s="68"/>
      <c r="F11" s="68"/>
      <c r="G11" s="68"/>
      <c r="H11" s="68"/>
      <c r="I11" s="68"/>
      <c r="J11" s="68"/>
      <c r="K11" s="68"/>
      <c r="L11" s="68"/>
    </row>
    <row r="12" spans="1:12">
      <c r="A12" s="160" t="s">
        <v>47</v>
      </c>
      <c r="B12" s="84">
        <f>D4+(D4*B13/100)</f>
        <v>22.44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</row>
    <row r="13" spans="1:12">
      <c r="A13" s="160" t="s">
        <v>48</v>
      </c>
      <c r="B13" s="149">
        <v>2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</row>
    <row r="14" spans="1:12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</row>
    <row r="16" spans="9:9">
      <c r="I16" s="166"/>
    </row>
    <row r="17" spans="1:9">
      <c r="A17">
        <v>30</v>
      </c>
      <c r="B17" s="172">
        <f>A17*B3/(A3*60)*100</f>
        <v>94.8857142857143</v>
      </c>
      <c r="C17" t="s">
        <v>49</v>
      </c>
      <c r="I17" s="166"/>
    </row>
    <row r="18" spans="2:3">
      <c r="B18" s="173"/>
      <c r="C18" t="s">
        <v>50</v>
      </c>
    </row>
    <row r="19" spans="2:4">
      <c r="B19" s="166">
        <v>68.33</v>
      </c>
      <c r="C19" s="172">
        <f>B17-B19</f>
        <v>26.5557142857143</v>
      </c>
      <c r="D19" s="174">
        <v>0.05</v>
      </c>
    </row>
    <row r="20" spans="1:4">
      <c r="A20" s="166">
        <v>77.3837838</v>
      </c>
      <c r="B20" s="166">
        <v>73.42</v>
      </c>
      <c r="C20">
        <f>A20-B20</f>
        <v>3.9637838</v>
      </c>
      <c r="D20" s="174">
        <v>0.03</v>
      </c>
    </row>
    <row r="21" spans="18:18">
      <c r="R21" t="s">
        <v>51</v>
      </c>
    </row>
    <row r="22" spans="18:20">
      <c r="R22">
        <v>18</v>
      </c>
      <c r="S22">
        <v>0.79100625</v>
      </c>
      <c r="T22" t="s">
        <v>52</v>
      </c>
    </row>
    <row r="23" spans="1:20">
      <c r="A23" t="s">
        <v>53</v>
      </c>
      <c r="B23" t="s">
        <v>3</v>
      </c>
      <c r="C23" t="s">
        <v>15</v>
      </c>
      <c r="R23">
        <v>32</v>
      </c>
      <c r="S23">
        <v>77.3837838</v>
      </c>
      <c r="T23" t="s">
        <v>54</v>
      </c>
    </row>
    <row r="24" spans="1:20">
      <c r="A24">
        <v>11</v>
      </c>
      <c r="C24">
        <f>(A24*A31)/(B31*60)*100</f>
        <v>70.3017857142857</v>
      </c>
      <c r="R24">
        <v>50</v>
      </c>
      <c r="S24">
        <v>78.0689655</v>
      </c>
      <c r="T24" t="s">
        <v>23</v>
      </c>
    </row>
    <row r="26" spans="18:18">
      <c r="R26" t="s">
        <v>55</v>
      </c>
    </row>
    <row r="27" spans="18:20">
      <c r="R27">
        <v>12</v>
      </c>
      <c r="S27">
        <v>0.723168421</v>
      </c>
      <c r="T27" t="s">
        <v>56</v>
      </c>
    </row>
    <row r="28" spans="18:20">
      <c r="R28">
        <v>30</v>
      </c>
      <c r="S28">
        <v>72.5472973</v>
      </c>
      <c r="T28" t="s">
        <v>57</v>
      </c>
    </row>
    <row r="30" spans="1:2">
      <c r="A30" t="s">
        <v>35</v>
      </c>
      <c r="B30" t="s">
        <v>16</v>
      </c>
    </row>
    <row r="31" spans="1:2">
      <c r="A31" s="175">
        <v>53.685</v>
      </c>
      <c r="B31">
        <v>14</v>
      </c>
    </row>
    <row r="52" ht="15.75" spans="2:2">
      <c r="B52" s="176" t="s">
        <v>58</v>
      </c>
    </row>
    <row r="53" ht="15.75" spans="2:2">
      <c r="B53" s="176" t="s">
        <v>59</v>
      </c>
    </row>
  </sheetData>
  <mergeCells count="4">
    <mergeCell ref="A4:C4"/>
    <mergeCell ref="A5:C5"/>
    <mergeCell ref="A6:C6"/>
    <mergeCell ref="A7:C7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workbookViewId="0">
      <selection activeCell="C25" sqref="C25"/>
    </sheetView>
  </sheetViews>
  <sheetFormatPr defaultColWidth="9.14285714285714" defaultRowHeight="15"/>
  <cols>
    <col min="1" max="1" width="12.5714285714286" customWidth="1"/>
    <col min="2" max="2" width="11.4285714285714" customWidth="1"/>
    <col min="3" max="3" width="16" customWidth="1"/>
    <col min="4" max="5" width="14"/>
    <col min="6" max="6" width="12" customWidth="1"/>
    <col min="7" max="7" width="13.2857142857143" customWidth="1"/>
    <col min="8" max="8" width="12.8571428571429" customWidth="1"/>
    <col min="9" max="9" width="11.8571428571429" customWidth="1"/>
    <col min="10" max="10" width="11.5714285714286" customWidth="1"/>
    <col min="20" max="20" width="26.7142857142857" customWidth="1"/>
  </cols>
  <sheetData>
    <row r="1" spans="1:1">
      <c r="A1" t="s">
        <v>60</v>
      </c>
    </row>
    <row r="2" spans="1:8">
      <c r="A2" t="s">
        <v>61</v>
      </c>
      <c r="H2" t="s">
        <v>62</v>
      </c>
    </row>
    <row r="3" spans="1:10">
      <c r="A3" s="136" t="s">
        <v>63</v>
      </c>
      <c r="B3" s="136" t="s">
        <v>64</v>
      </c>
      <c r="C3" s="136" t="s">
        <v>65</v>
      </c>
      <c r="D3" s="136" t="s">
        <v>3</v>
      </c>
      <c r="E3" s="136" t="s">
        <v>4</v>
      </c>
      <c r="H3" s="137" t="s">
        <v>66</v>
      </c>
      <c r="I3" s="137" t="s">
        <v>67</v>
      </c>
      <c r="J3" s="137" t="s">
        <v>68</v>
      </c>
    </row>
    <row r="4" spans="1:10">
      <c r="A4" s="69">
        <v>11</v>
      </c>
      <c r="B4" s="69">
        <v>19</v>
      </c>
      <c r="C4" s="69">
        <v>16</v>
      </c>
      <c r="D4" s="69">
        <f>((B4-C4)/B4)*100</f>
        <v>15.7894736842105</v>
      </c>
      <c r="E4" s="69">
        <f>(C4/B4)*100</f>
        <v>84.2105263157895</v>
      </c>
      <c r="H4" s="69" t="s">
        <v>69</v>
      </c>
      <c r="I4" s="69">
        <v>3</v>
      </c>
      <c r="J4" s="69">
        <f>I4/I9*100</f>
        <v>18.75</v>
      </c>
    </row>
    <row r="5" spans="1:10">
      <c r="A5" s="69">
        <v>12</v>
      </c>
      <c r="B5" s="69">
        <v>10</v>
      </c>
      <c r="C5" s="69">
        <v>8</v>
      </c>
      <c r="D5" s="69">
        <f>((B5-C5)/B5)*100</f>
        <v>20</v>
      </c>
      <c r="E5" s="69">
        <f>(C5/B5)*100</f>
        <v>80</v>
      </c>
      <c r="H5" s="69" t="s">
        <v>70</v>
      </c>
      <c r="I5" s="69">
        <v>2</v>
      </c>
      <c r="J5" s="69">
        <f>I5/I9*100</f>
        <v>12.5</v>
      </c>
    </row>
    <row r="6" ht="18" customHeight="1" spans="1:10">
      <c r="A6" s="69">
        <v>13</v>
      </c>
      <c r="B6" s="69">
        <v>15</v>
      </c>
      <c r="C6" s="69">
        <v>13</v>
      </c>
      <c r="D6" s="84">
        <f>((B6-C6)/B6)*100</f>
        <v>13.3333333333333</v>
      </c>
      <c r="E6" s="84">
        <f>(C6/B6)*100</f>
        <v>86.6666666666667</v>
      </c>
      <c r="H6" s="69" t="s">
        <v>71</v>
      </c>
      <c r="I6" s="69">
        <v>2</v>
      </c>
      <c r="J6" s="69">
        <f>I6/I9*100</f>
        <v>12.5</v>
      </c>
    </row>
    <row r="7" spans="1:10">
      <c r="A7" s="69">
        <v>14</v>
      </c>
      <c r="B7" s="69">
        <v>20</v>
      </c>
      <c r="C7" s="69">
        <v>13</v>
      </c>
      <c r="D7" s="69">
        <f>((B7-C7)/B7)*100</f>
        <v>35</v>
      </c>
      <c r="E7" s="69">
        <f>(C7/B7)*100</f>
        <v>65</v>
      </c>
      <c r="H7" s="69" t="s">
        <v>72</v>
      </c>
      <c r="I7" s="69">
        <v>1</v>
      </c>
      <c r="J7" s="69">
        <f>I7/I9*100</f>
        <v>6.25</v>
      </c>
    </row>
    <row r="8" ht="18" customHeight="1" spans="1:10">
      <c r="A8" s="96" t="s">
        <v>19</v>
      </c>
      <c r="B8" s="138">
        <f>SUM(B4:B7)</f>
        <v>64</v>
      </c>
      <c r="C8" s="138">
        <f>SUM(C4:C7)</f>
        <v>50</v>
      </c>
      <c r="D8" s="139">
        <f>((B8-C8)/B8)*100</f>
        <v>21.875</v>
      </c>
      <c r="E8" s="139">
        <f>(C8/B8)*100</f>
        <v>78.125</v>
      </c>
      <c r="H8" s="69" t="s">
        <v>73</v>
      </c>
      <c r="I8" s="69">
        <v>8</v>
      </c>
      <c r="J8" s="69">
        <f>I8/I9*100</f>
        <v>50</v>
      </c>
    </row>
    <row r="9" spans="8:10">
      <c r="H9" s="96" t="s">
        <v>19</v>
      </c>
      <c r="I9" s="138">
        <f>SUM(I4:I8)</f>
        <v>16</v>
      </c>
      <c r="J9" s="138">
        <f>SUM(J4:J8)</f>
        <v>100</v>
      </c>
    </row>
    <row r="10" ht="19" customHeight="1"/>
    <row r="16" spans="1:1">
      <c r="A16" t="s">
        <v>74</v>
      </c>
    </row>
    <row r="17" spans="1:8">
      <c r="A17" s="136" t="s">
        <v>75</v>
      </c>
      <c r="B17" s="136" t="s">
        <v>76</v>
      </c>
      <c r="C17" s="136" t="s">
        <v>77</v>
      </c>
      <c r="D17" s="137" t="s">
        <v>78</v>
      </c>
      <c r="E17" s="136" t="s">
        <v>3</v>
      </c>
      <c r="F17" s="140" t="s">
        <v>4</v>
      </c>
      <c r="G17" s="136" t="s">
        <v>79</v>
      </c>
      <c r="H17" s="136" t="s">
        <v>80</v>
      </c>
    </row>
    <row r="18" spans="1:8">
      <c r="A18" s="69">
        <v>33</v>
      </c>
      <c r="B18" s="69">
        <v>22</v>
      </c>
      <c r="C18" s="69">
        <v>136</v>
      </c>
      <c r="D18" s="69">
        <v>100</v>
      </c>
      <c r="E18" s="84">
        <f>B18/C18*100</f>
        <v>16.1764705882353</v>
      </c>
      <c r="F18" s="141">
        <f>D18/C18*100</f>
        <v>73.5294117647059</v>
      </c>
      <c r="G18" s="76">
        <f ca="1">SUMIF($J$34:$J$105,"Process",$I$34:$I$53)/I57*100</f>
        <v>82</v>
      </c>
      <c r="H18" s="84">
        <f ca="1">SUMIF($J$34:$J$105,"Non Process",$I$34:$I$53)/I57*100</f>
        <v>15</v>
      </c>
    </row>
    <row r="19" spans="7:8">
      <c r="G19">
        <f>SUMIF($J$34:$J$53,"Process",$I$34:$I$54)</f>
        <v>82</v>
      </c>
      <c r="H19" s="80">
        <f>SUMIF($J$34:$J$51,"Non Process",$I$34:$I$51)</f>
        <v>15</v>
      </c>
    </row>
    <row r="21" spans="1:1">
      <c r="A21" t="s">
        <v>81</v>
      </c>
    </row>
    <row r="22" spans="1:6">
      <c r="A22" s="137" t="s">
        <v>66</v>
      </c>
      <c r="B22" s="137" t="s">
        <v>65</v>
      </c>
      <c r="C22" s="137" t="s">
        <v>82</v>
      </c>
      <c r="D22" s="137" t="s">
        <v>83</v>
      </c>
      <c r="E22" s="137" t="s">
        <v>84</v>
      </c>
      <c r="F22" s="137" t="s">
        <v>85</v>
      </c>
    </row>
    <row r="23" spans="1:6">
      <c r="A23" s="103" t="s">
        <v>86</v>
      </c>
      <c r="B23" s="103">
        <v>15</v>
      </c>
      <c r="C23" s="102">
        <f>B23/B29*100</f>
        <v>57.6923076923077</v>
      </c>
      <c r="D23" s="69" t="s">
        <v>87</v>
      </c>
      <c r="E23" s="69">
        <v>13</v>
      </c>
      <c r="F23" s="84">
        <f>E23/B23*100</f>
        <v>86.6666666666667</v>
      </c>
    </row>
    <row r="24" spans="1:6">
      <c r="A24" s="103"/>
      <c r="B24" s="103"/>
      <c r="C24" s="102"/>
      <c r="D24" s="69" t="s">
        <v>88</v>
      </c>
      <c r="E24" s="69">
        <v>2</v>
      </c>
      <c r="F24" s="84">
        <f>E24/B23*100</f>
        <v>13.3333333333333</v>
      </c>
    </row>
    <row r="25" spans="1:6">
      <c r="A25" s="69" t="s">
        <v>89</v>
      </c>
      <c r="B25" s="69">
        <v>4</v>
      </c>
      <c r="C25" s="84">
        <f>B25/B29*100</f>
        <v>15.3846153846154</v>
      </c>
      <c r="D25" s="69"/>
      <c r="E25" s="69"/>
      <c r="F25" s="69"/>
    </row>
    <row r="26" spans="1:6">
      <c r="A26" t="s">
        <v>90</v>
      </c>
      <c r="B26">
        <v>2</v>
      </c>
      <c r="C26" s="84">
        <f>B26/B29*100</f>
        <v>7.69230769230769</v>
      </c>
      <c r="D26" s="69"/>
      <c r="E26" s="69"/>
      <c r="F26" s="69"/>
    </row>
    <row r="27" spans="1:6">
      <c r="A27" s="69" t="s">
        <v>91</v>
      </c>
      <c r="B27" s="69">
        <v>1</v>
      </c>
      <c r="C27" s="84">
        <f>B27/B29*100</f>
        <v>3.84615384615385</v>
      </c>
      <c r="D27" s="69"/>
      <c r="E27" s="69"/>
      <c r="F27" s="69"/>
    </row>
    <row r="28" spans="1:6">
      <c r="A28" s="69" t="s">
        <v>10</v>
      </c>
      <c r="B28" s="69">
        <v>4</v>
      </c>
      <c r="C28" s="84">
        <f>B28/B29*100</f>
        <v>15.3846153846154</v>
      </c>
      <c r="D28" s="69"/>
      <c r="E28" s="69"/>
      <c r="F28" s="69"/>
    </row>
    <row r="29" spans="1:6">
      <c r="A29" s="96" t="s">
        <v>19</v>
      </c>
      <c r="B29" s="138">
        <f>SUM(B23:B28)</f>
        <v>26</v>
      </c>
      <c r="C29" s="139">
        <f>SUM(C23:C28)</f>
        <v>100</v>
      </c>
      <c r="D29" s="96"/>
      <c r="E29" s="96"/>
      <c r="F29" s="96"/>
    </row>
    <row r="31" spans="2:8">
      <c r="B31" t="s">
        <v>88</v>
      </c>
      <c r="C31" t="s">
        <v>92</v>
      </c>
      <c r="D31" t="s">
        <v>93</v>
      </c>
      <c r="E31" t="s">
        <v>94</v>
      </c>
      <c r="F31" t="s">
        <v>88</v>
      </c>
      <c r="G31" t="s">
        <v>93</v>
      </c>
      <c r="H31" t="s">
        <v>94</v>
      </c>
    </row>
    <row r="32" spans="1:10">
      <c r="A32" s="142" t="s">
        <v>95</v>
      </c>
      <c r="B32" s="142" t="s">
        <v>96</v>
      </c>
      <c r="C32" s="142" t="s">
        <v>97</v>
      </c>
      <c r="D32" s="142" t="s">
        <v>98</v>
      </c>
      <c r="E32" s="142" t="s">
        <v>99</v>
      </c>
      <c r="F32" s="142" t="s">
        <v>100</v>
      </c>
      <c r="G32" s="142" t="s">
        <v>101</v>
      </c>
      <c r="H32" s="142">
        <v>26</v>
      </c>
      <c r="I32" s="142" t="s">
        <v>102</v>
      </c>
      <c r="J32" s="142" t="s">
        <v>103</v>
      </c>
    </row>
    <row r="33" spans="1:10">
      <c r="A33" s="69" t="s">
        <v>104</v>
      </c>
      <c r="B33" s="69"/>
      <c r="C33" s="69"/>
      <c r="D33" s="69"/>
      <c r="E33" s="65"/>
      <c r="F33" s="69"/>
      <c r="G33" s="69"/>
      <c r="H33" s="69"/>
      <c r="I33" s="69"/>
      <c r="J33" s="69"/>
    </row>
    <row r="34" spans="1:10">
      <c r="A34" s="143" t="s">
        <v>89</v>
      </c>
      <c r="B34" s="65">
        <v>1</v>
      </c>
      <c r="C34" s="65">
        <v>2</v>
      </c>
      <c r="D34" s="144">
        <v>3</v>
      </c>
      <c r="E34" s="144"/>
      <c r="F34" s="65"/>
      <c r="G34" s="65">
        <v>1</v>
      </c>
      <c r="H34" s="65">
        <v>3</v>
      </c>
      <c r="I34" s="144">
        <f>SUM(B34:H34)</f>
        <v>10</v>
      </c>
      <c r="J34" s="155" t="str">
        <f>INDEX('[1]MASTER SUB QC DEFECT'!$G$3:$G$142,MATCH(A34,'[1]MASTER SUB QC DEFECT'!$C$3:$C$142,0))</f>
        <v>Non Process</v>
      </c>
    </row>
    <row r="35" ht="22" customHeight="1" spans="1:10">
      <c r="A35" s="143" t="s">
        <v>105</v>
      </c>
      <c r="B35" s="65">
        <v>1</v>
      </c>
      <c r="C35" s="65"/>
      <c r="D35" s="144"/>
      <c r="E35" s="144"/>
      <c r="F35" s="65"/>
      <c r="G35" s="65"/>
      <c r="H35" s="65"/>
      <c r="I35" s="144">
        <f>SUM(B35:G35)</f>
        <v>1</v>
      </c>
      <c r="J35" s="69" t="str">
        <f>INDEX('[1]MASTER SUB QC DEFECT'!$G$3:$G$142,MATCH(A35,'[1]MASTER SUB QC DEFECT'!$C$3:$C$142,0))</f>
        <v>Process</v>
      </c>
    </row>
    <row r="36" spans="1:10">
      <c r="A36" s="143" t="s">
        <v>106</v>
      </c>
      <c r="B36" s="65">
        <v>11</v>
      </c>
      <c r="C36" s="65">
        <v>1</v>
      </c>
      <c r="D36" s="144">
        <v>11</v>
      </c>
      <c r="E36" s="144">
        <v>11</v>
      </c>
      <c r="F36" s="65">
        <v>10</v>
      </c>
      <c r="G36" s="65">
        <v>10</v>
      </c>
      <c r="H36" s="65">
        <v>10</v>
      </c>
      <c r="I36" s="144">
        <f>SUM(B36:H36)</f>
        <v>64</v>
      </c>
      <c r="J36" s="69" t="str">
        <f>INDEX('[1]MASTER SUB QC DEFECT'!$G$3:$G$142,MATCH(A36,'[1]MASTER SUB QC DEFECT'!$C$3:$C$142,0))</f>
        <v>Process</v>
      </c>
    </row>
    <row r="37" spans="1:10">
      <c r="A37" s="145" t="s">
        <v>107</v>
      </c>
      <c r="B37" s="65">
        <v>1</v>
      </c>
      <c r="C37" s="65"/>
      <c r="D37" s="144"/>
      <c r="E37" s="144"/>
      <c r="F37" s="65"/>
      <c r="G37" s="65"/>
      <c r="H37" s="65"/>
      <c r="I37" s="144">
        <f>SUM(B37:G37)</f>
        <v>1</v>
      </c>
      <c r="J37" s="69" t="str">
        <f>INDEX('[1]MASTER SUB QC DEFECT'!$G$3:$G$142,MATCH(A37,'[1]MASTER SUB QC DEFECT'!$C$3:$C$142,0))</f>
        <v>Process</v>
      </c>
    </row>
    <row r="38" spans="1:10">
      <c r="A38" s="146" t="s">
        <v>108</v>
      </c>
      <c r="B38" s="65">
        <v>1</v>
      </c>
      <c r="C38" s="65"/>
      <c r="D38" s="144"/>
      <c r="E38" s="144"/>
      <c r="F38" s="65"/>
      <c r="G38" s="65"/>
      <c r="H38" s="65"/>
      <c r="I38" s="144">
        <f>SUM(B38:H38)</f>
        <v>1</v>
      </c>
      <c r="J38" s="69" t="str">
        <f>INDEX('[1]MASTER SUB QC DEFECT'!$G$3:$G$142,MATCH(A38,'[1]MASTER SUB QC DEFECT'!$C$3:$C$142,0))</f>
        <v>Process</v>
      </c>
    </row>
    <row r="39" spans="1:10">
      <c r="A39" s="145" t="s">
        <v>109</v>
      </c>
      <c r="B39" s="65">
        <v>1</v>
      </c>
      <c r="C39" s="65"/>
      <c r="D39" s="144"/>
      <c r="E39" s="144"/>
      <c r="F39" s="65"/>
      <c r="G39" s="65"/>
      <c r="H39" s="65">
        <v>1</v>
      </c>
      <c r="I39" s="144">
        <f>SUM(B39:H39)</f>
        <v>2</v>
      </c>
      <c r="J39" s="155" t="str">
        <f>INDEX('[1]MASTER SUB QC DEFECT'!$G$3:$G$142,MATCH(A39,'[1]MASTER SUB QC DEFECT'!$C$3:$C$142,0))</f>
        <v>Non Process</v>
      </c>
    </row>
    <row r="40" spans="1:10">
      <c r="A40" s="65" t="s">
        <v>110</v>
      </c>
      <c r="B40" s="65"/>
      <c r="C40" s="65">
        <v>1</v>
      </c>
      <c r="D40" s="144"/>
      <c r="E40" s="144"/>
      <c r="F40" s="65">
        <v>3</v>
      </c>
      <c r="G40" s="65">
        <v>2</v>
      </c>
      <c r="H40" s="65"/>
      <c r="I40" s="144">
        <f t="shared" ref="I40:I49" si="0">SUM(B40:G40)</f>
        <v>6</v>
      </c>
      <c r="J40" s="69" t="str">
        <f>INDEX('[1]MASTER SUB QC DEFECT'!$G$3:$G$142,MATCH(A40,'[1]MASTER SUB QC DEFECT'!$C$3:$C$142,0))</f>
        <v>Process</v>
      </c>
    </row>
    <row r="41" spans="1:10">
      <c r="A41" s="65" t="s">
        <v>111</v>
      </c>
      <c r="B41" s="65">
        <v>1</v>
      </c>
      <c r="C41" s="65">
        <v>1</v>
      </c>
      <c r="D41" s="144"/>
      <c r="E41" s="144"/>
      <c r="F41" s="65"/>
      <c r="G41" s="65"/>
      <c r="H41" s="65"/>
      <c r="I41" s="144">
        <f t="shared" si="0"/>
        <v>2</v>
      </c>
      <c r="J41" s="69" t="str">
        <f>INDEX('[1]MASTER SUB QC DEFECT'!$G$3:$G$142,MATCH(A41,'[1]MASTER SUB QC DEFECT'!$C$3:$C$142,0))</f>
        <v>Process</v>
      </c>
    </row>
    <row r="42" spans="1:10">
      <c r="A42" s="143" t="s">
        <v>112</v>
      </c>
      <c r="B42" s="65"/>
      <c r="C42" s="65">
        <v>1</v>
      </c>
      <c r="D42" s="144"/>
      <c r="E42" s="144"/>
      <c r="F42" s="65"/>
      <c r="G42" s="65"/>
      <c r="H42" s="65"/>
      <c r="I42" s="144">
        <f t="shared" si="0"/>
        <v>1</v>
      </c>
      <c r="J42" s="69" t="str">
        <f>INDEX('[1]MASTER SUB QC DEFECT'!$G$3:$G$142,MATCH(A42,'[1]MASTER SUB QC DEFECT'!$C$3:$C$142,0))</f>
        <v>Process</v>
      </c>
    </row>
    <row r="43" spans="1:10">
      <c r="A43" s="143" t="s">
        <v>113</v>
      </c>
      <c r="B43" s="65"/>
      <c r="C43" s="65">
        <v>1</v>
      </c>
      <c r="D43" s="144"/>
      <c r="E43" s="144"/>
      <c r="F43" s="65"/>
      <c r="G43" s="65"/>
      <c r="H43" s="65"/>
      <c r="I43" s="144">
        <f t="shared" si="0"/>
        <v>1</v>
      </c>
      <c r="J43" s="155" t="str">
        <f>INDEX('[1]MASTER SUB QC DEFECT'!$G$3:$G$142,MATCH(A43,'[1]MASTER SUB QC DEFECT'!$C$3:$C$142,0))</f>
        <v>Non Process</v>
      </c>
    </row>
    <row r="44" spans="1:10">
      <c r="A44" s="143" t="s">
        <v>114</v>
      </c>
      <c r="B44" s="65"/>
      <c r="C44" s="65">
        <v>1</v>
      </c>
      <c r="D44" s="144"/>
      <c r="E44" s="144"/>
      <c r="F44" s="65"/>
      <c r="G44" s="65"/>
      <c r="H44" s="65"/>
      <c r="I44" s="144">
        <f>SUM(B44:H44)</f>
        <v>1</v>
      </c>
      <c r="J44" s="69" t="str">
        <f>INDEX('[1]MASTER SUB QC DEFECT'!$G$3:$G$142,MATCH(A44,'[1]MASTER SUB QC DEFECT'!$C$3:$C$142,0))</f>
        <v>Process</v>
      </c>
    </row>
    <row r="45" spans="1:10">
      <c r="A45" s="143" t="s">
        <v>115</v>
      </c>
      <c r="B45" s="65"/>
      <c r="C45" s="65"/>
      <c r="D45" s="144">
        <v>1</v>
      </c>
      <c r="E45" s="144"/>
      <c r="F45" s="65"/>
      <c r="G45" s="65"/>
      <c r="H45" s="65"/>
      <c r="I45" s="144">
        <f t="shared" si="0"/>
        <v>1</v>
      </c>
      <c r="J45" s="155" t="str">
        <f>INDEX('[1]MASTER SUB QC DEFECT'!$G$3:$G$142,MATCH(A45,'[1]MASTER SUB QC DEFECT'!$C$3:$C$142,0))</f>
        <v>Non Process</v>
      </c>
    </row>
    <row r="46" spans="1:10">
      <c r="A46" s="143" t="s">
        <v>116</v>
      </c>
      <c r="B46" s="65"/>
      <c r="C46" s="65"/>
      <c r="D46" s="144">
        <v>1</v>
      </c>
      <c r="E46" s="144"/>
      <c r="F46" s="65"/>
      <c r="G46" s="65"/>
      <c r="H46" s="65"/>
      <c r="I46" s="144">
        <f t="shared" si="0"/>
        <v>1</v>
      </c>
      <c r="J46" s="69" t="str">
        <f>INDEX('[1]MASTER SUB QC DEFECT'!$G$3:$G$142,MATCH(A46,'[1]MASTER SUB QC DEFECT'!$C$3:$C$142,0))</f>
        <v>Process</v>
      </c>
    </row>
    <row r="47" spans="1:10">
      <c r="A47" s="143" t="s">
        <v>117</v>
      </c>
      <c r="B47" s="65"/>
      <c r="C47" s="65"/>
      <c r="D47" s="144">
        <v>1</v>
      </c>
      <c r="E47" s="144"/>
      <c r="F47" s="65"/>
      <c r="G47" s="65"/>
      <c r="H47" s="65"/>
      <c r="I47" s="144">
        <f t="shared" ref="I47:I55" si="1">SUM(B47:H47)</f>
        <v>1</v>
      </c>
      <c r="J47" s="69" t="str">
        <f>INDEX('[1]MASTER SUB QC DEFECT'!$G$3:$G$142,MATCH(A47,'[1]MASTER SUB QC DEFECT'!$C$3:$C$142,0))</f>
        <v>Process</v>
      </c>
    </row>
    <row r="48" spans="1:10">
      <c r="A48" s="143" t="s">
        <v>118</v>
      </c>
      <c r="B48" s="65"/>
      <c r="C48" s="65"/>
      <c r="D48" s="144">
        <v>1</v>
      </c>
      <c r="E48" s="144"/>
      <c r="F48" s="65"/>
      <c r="G48" s="65"/>
      <c r="H48" s="65"/>
      <c r="I48" s="144">
        <f t="shared" si="1"/>
        <v>1</v>
      </c>
      <c r="J48" s="69" t="str">
        <f>INDEX('[1]MASTER SUB QC DEFECT'!$G$3:$G$142,MATCH(A48,'[1]MASTER SUB QC DEFECT'!$C$3:$C$142,0))</f>
        <v>Process</v>
      </c>
    </row>
    <row r="49" spans="1:10">
      <c r="A49" s="143" t="s">
        <v>119</v>
      </c>
      <c r="B49" s="65"/>
      <c r="C49" s="65"/>
      <c r="D49" s="144">
        <v>1</v>
      </c>
      <c r="E49" s="144"/>
      <c r="F49" s="65"/>
      <c r="G49" s="65"/>
      <c r="H49" s="65"/>
      <c r="I49" s="144">
        <f t="shared" si="1"/>
        <v>1</v>
      </c>
      <c r="J49" s="69" t="str">
        <f>INDEX('[1]MASTER SUB QC DEFECT'!$G$3:$G$142,MATCH(A49,'[1]MASTER SUB QC DEFECT'!$C$3:$C$142,0))</f>
        <v>Process</v>
      </c>
    </row>
    <row r="50" spans="1:10">
      <c r="A50" s="143" t="s">
        <v>120</v>
      </c>
      <c r="B50" s="65"/>
      <c r="C50" s="65"/>
      <c r="D50" s="144">
        <v>1</v>
      </c>
      <c r="E50" s="144"/>
      <c r="F50" s="65"/>
      <c r="G50" s="65"/>
      <c r="H50" s="65"/>
      <c r="I50" s="144">
        <f t="shared" si="1"/>
        <v>1</v>
      </c>
      <c r="J50" s="69" t="str">
        <f>INDEX('[1]MASTER SUB QC DEFECT'!$G$3:$G$142,MATCH(A50,'[1]MASTER SUB QC DEFECT'!$C$3:$C$142,0))</f>
        <v>Process</v>
      </c>
    </row>
    <row r="51" spans="1:10">
      <c r="A51" s="143" t="s">
        <v>121</v>
      </c>
      <c r="B51" s="65"/>
      <c r="C51" s="65"/>
      <c r="D51" s="144">
        <v>1</v>
      </c>
      <c r="E51" s="144"/>
      <c r="F51" s="65"/>
      <c r="G51" s="65"/>
      <c r="H51" s="65"/>
      <c r="I51" s="144">
        <f t="shared" si="1"/>
        <v>1</v>
      </c>
      <c r="J51" s="155" t="str">
        <f>INDEX('[1]MASTER SUB QC DEFECT'!$G$3:$G$142,MATCH(A51,'[1]MASTER SUB QC DEFECT'!$C$3:$C$142,0))</f>
        <v>Non Process</v>
      </c>
    </row>
    <row r="52" spans="1:10">
      <c r="A52" s="143" t="s">
        <v>122</v>
      </c>
      <c r="B52" s="65"/>
      <c r="C52" s="65"/>
      <c r="D52" s="144"/>
      <c r="E52" s="144"/>
      <c r="F52" s="65"/>
      <c r="G52" s="65"/>
      <c r="H52" s="65"/>
      <c r="I52" s="144">
        <f t="shared" si="1"/>
        <v>0</v>
      </c>
      <c r="J52" s="69" t="str">
        <f>INDEX('[1]MASTER SUB QC DEFECT'!$G$3:$G$142,MATCH(A52,'[1]MASTER SUB QC DEFECT'!$C$3:$C$142,0))</f>
        <v>Process</v>
      </c>
    </row>
    <row r="53" spans="1:10">
      <c r="A53" s="143" t="s">
        <v>123</v>
      </c>
      <c r="B53" s="65"/>
      <c r="C53" s="65"/>
      <c r="D53" s="144"/>
      <c r="E53" s="144"/>
      <c r="F53" s="65"/>
      <c r="G53" s="65"/>
      <c r="H53" s="65"/>
      <c r="I53" s="144">
        <f t="shared" si="1"/>
        <v>0</v>
      </c>
      <c r="J53" s="69" t="str">
        <f>INDEX('[1]MASTER SUB QC DEFECT'!$G$3:$G$142,MATCH(A53,'[1]MASTER SUB QC DEFECT'!$C$3:$C$142,0))</f>
        <v>Process</v>
      </c>
    </row>
    <row r="54" spans="1:10">
      <c r="A54" s="147" t="s">
        <v>124</v>
      </c>
      <c r="B54" s="147"/>
      <c r="C54" s="147"/>
      <c r="D54" s="148"/>
      <c r="E54" s="148"/>
      <c r="F54" s="147"/>
      <c r="G54" s="147"/>
      <c r="H54" s="147">
        <v>2</v>
      </c>
      <c r="I54" s="148">
        <f t="shared" si="1"/>
        <v>2</v>
      </c>
      <c r="J54" s="69" t="e">
        <f>INDEX('[1]MASTER SUB QC DEFECT'!$G$3:$G$142,MATCH(A54,'[1]MASTER SUB QC DEFECT'!$C$3:$C$142,0))</f>
        <v>#N/A</v>
      </c>
    </row>
    <row r="55" spans="1:10">
      <c r="A55" s="147" t="s">
        <v>125</v>
      </c>
      <c r="B55" s="147"/>
      <c r="C55" s="147"/>
      <c r="D55" s="148"/>
      <c r="E55" s="148"/>
      <c r="F55" s="147"/>
      <c r="G55" s="147"/>
      <c r="H55" s="147">
        <v>1</v>
      </c>
      <c r="I55" s="148">
        <f t="shared" si="1"/>
        <v>1</v>
      </c>
      <c r="J55" s="69" t="e">
        <f>INDEX('[1]MASTER SUB QC DEFECT'!$G$3:$G$142,MATCH(A55,'[1]MASTER SUB QC DEFECT'!$C$3:$C$142,0))</f>
        <v>#N/A</v>
      </c>
    </row>
    <row r="56" spans="1:10">
      <c r="A56" s="69" t="s">
        <v>10</v>
      </c>
      <c r="B56" s="65"/>
      <c r="C56" s="65"/>
      <c r="D56" s="149"/>
      <c r="E56" s="149"/>
      <c r="F56" s="69"/>
      <c r="G56" s="69"/>
      <c r="H56" s="69"/>
      <c r="I56" s="149"/>
      <c r="J56" s="69" t="e">
        <f>INDEX('[1]MASTER SUB QC DEFECT'!$G$3:$G$142,MATCH(A56,'[1]MASTER SUB QC DEFECT'!$C$3:$C$142,0))</f>
        <v>#N/A</v>
      </c>
    </row>
    <row r="57" spans="1:10">
      <c r="A57" s="69" t="s">
        <v>78</v>
      </c>
      <c r="B57" s="149">
        <f>SUM(B34:B53)</f>
        <v>17</v>
      </c>
      <c r="C57" s="149">
        <f t="shared" ref="C57:H57" si="2">SUM(C34:C53)</f>
        <v>8</v>
      </c>
      <c r="D57" s="149">
        <f t="shared" si="2"/>
        <v>21</v>
      </c>
      <c r="E57" s="149">
        <f t="shared" si="2"/>
        <v>11</v>
      </c>
      <c r="F57" s="149">
        <f t="shared" si="2"/>
        <v>13</v>
      </c>
      <c r="G57" s="149">
        <f>SUM(G34:G55)</f>
        <v>13</v>
      </c>
      <c r="H57" s="149">
        <f>SUM(H34:H55)</f>
        <v>17</v>
      </c>
      <c r="I57" s="149">
        <f>SUM(I34:I55)</f>
        <v>100</v>
      </c>
      <c r="J57" s="69" t="e">
        <f>INDEX('[1]MASTER SUB QC DEFECT'!$G$3:$G$142,MATCH(A57,'[1]MASTER SUB QC DEFECT'!$C$3:$C$142,0))</f>
        <v>#N/A</v>
      </c>
    </row>
    <row r="58" spans="1:10">
      <c r="A58" s="65" t="s">
        <v>3</v>
      </c>
      <c r="B58" s="69">
        <v>3</v>
      </c>
      <c r="C58" s="69">
        <v>2</v>
      </c>
      <c r="D58" s="69">
        <v>2</v>
      </c>
      <c r="E58" s="69">
        <v>1</v>
      </c>
      <c r="F58" s="69">
        <v>4</v>
      </c>
      <c r="G58" s="69">
        <v>1</v>
      </c>
      <c r="H58" s="69">
        <v>4</v>
      </c>
      <c r="I58" s="149">
        <f>SUM(B58:H58)</f>
        <v>17</v>
      </c>
      <c r="J58" s="69" t="e">
        <f>INDEX('[1]MASTER SUB QC DEFECT'!$G$3:$G$142,MATCH(A58,'[1]MASTER SUB QC DEFECT'!$C$3:$C$142,0))</f>
        <v>#N/A</v>
      </c>
    </row>
    <row r="59" spans="1:10">
      <c r="A59" s="96" t="s">
        <v>126</v>
      </c>
      <c r="B59" s="96">
        <v>5</v>
      </c>
      <c r="C59" s="96">
        <v>2</v>
      </c>
      <c r="D59" s="96">
        <v>8</v>
      </c>
      <c r="E59" s="96">
        <v>8</v>
      </c>
      <c r="F59" s="96">
        <v>4</v>
      </c>
      <c r="G59" s="96">
        <v>2</v>
      </c>
      <c r="H59" s="96">
        <v>4</v>
      </c>
      <c r="I59" s="138">
        <f>SUM(B59:H59)</f>
        <v>33</v>
      </c>
      <c r="J59" s="69"/>
    </row>
    <row r="60" spans="1:10">
      <c r="A60" s="150" t="s">
        <v>127</v>
      </c>
      <c r="B60" s="150">
        <v>21</v>
      </c>
      <c r="C60" s="150">
        <v>10</v>
      </c>
      <c r="D60" s="150">
        <v>29</v>
      </c>
      <c r="E60" s="150">
        <v>19</v>
      </c>
      <c r="F60" s="96">
        <v>17</v>
      </c>
      <c r="G60" s="96">
        <v>14</v>
      </c>
      <c r="H60" s="96">
        <v>20</v>
      </c>
      <c r="I60" s="138">
        <f>SUM(B60:H60)</f>
        <v>130</v>
      </c>
      <c r="J60" s="69"/>
    </row>
    <row r="61" spans="1:6">
      <c r="A61" s="142" t="s">
        <v>128</v>
      </c>
      <c r="B61" s="142"/>
      <c r="C61" s="69">
        <f>B59+D59+E59+F59</f>
        <v>25</v>
      </c>
      <c r="D61" s="151" t="s">
        <v>129</v>
      </c>
      <c r="E61" s="152"/>
      <c r="F61" s="69">
        <f>C59+G59</f>
        <v>4</v>
      </c>
    </row>
    <row r="62" spans="1:9">
      <c r="A62" s="142" t="s">
        <v>130</v>
      </c>
      <c r="B62" s="142"/>
      <c r="C62" s="153">
        <f>B60+SUM(D60:F60)</f>
        <v>86</v>
      </c>
      <c r="D62" s="151" t="s">
        <v>131</v>
      </c>
      <c r="E62" s="154"/>
      <c r="F62" s="69">
        <f>C60+G60</f>
        <v>24</v>
      </c>
      <c r="H62" s="68" t="s">
        <v>132</v>
      </c>
      <c r="I62" s="68">
        <f>SUM(E57:H57)</f>
        <v>54</v>
      </c>
    </row>
    <row r="66" spans="1:1">
      <c r="A66" t="s">
        <v>133</v>
      </c>
    </row>
    <row r="67" spans="1:5">
      <c r="A67" t="s">
        <v>134</v>
      </c>
      <c r="E67" t="s">
        <v>135</v>
      </c>
    </row>
    <row r="68" spans="1:7">
      <c r="A68" s="137" t="s">
        <v>136</v>
      </c>
      <c r="B68" s="137" t="s">
        <v>27</v>
      </c>
      <c r="C68" s="137" t="s">
        <v>137</v>
      </c>
      <c r="E68" s="137" t="s">
        <v>136</v>
      </c>
      <c r="F68" s="137" t="s">
        <v>27</v>
      </c>
      <c r="G68" s="137" t="s">
        <v>137</v>
      </c>
    </row>
    <row r="69" spans="1:7">
      <c r="A69" s="69"/>
      <c r="B69" s="69" t="s">
        <v>138</v>
      </c>
      <c r="C69" s="84">
        <f>(SUM(F36:G36))/(SUM(F60:G60))*100</f>
        <v>64.5161290322581</v>
      </c>
      <c r="E69" s="69"/>
      <c r="F69" s="69" t="s">
        <v>139</v>
      </c>
      <c r="G69" s="69">
        <f>G34/SUM(F60:G60)*100</f>
        <v>3.2258064516129</v>
      </c>
    </row>
    <row r="70" spans="1:7">
      <c r="A70" s="69"/>
      <c r="B70" s="69" t="s">
        <v>89</v>
      </c>
      <c r="C70" s="69">
        <f>D34/D60*100</f>
        <v>10.3448275862069</v>
      </c>
      <c r="E70" s="69"/>
      <c r="F70" s="69" t="s">
        <v>140</v>
      </c>
      <c r="G70" s="69">
        <f>SUM(F38:G38)/SUM(F60:G60)*100</f>
        <v>0</v>
      </c>
    </row>
    <row r="81" spans="4:5">
      <c r="D81" s="77"/>
      <c r="E81" s="77"/>
    </row>
    <row r="82" spans="2:5">
      <c r="B82" s="77" t="s">
        <v>88</v>
      </c>
      <c r="C82" t="s">
        <v>141</v>
      </c>
      <c r="D82" s="156">
        <v>4512211838</v>
      </c>
      <c r="E82" s="77"/>
    </row>
    <row r="83" spans="2:5">
      <c r="B83" t="s">
        <v>93</v>
      </c>
      <c r="C83" t="s">
        <v>142</v>
      </c>
      <c r="D83" s="157" t="s">
        <v>143</v>
      </c>
      <c r="E83" s="77"/>
    </row>
    <row r="84" spans="2:5">
      <c r="B84" t="s">
        <v>92</v>
      </c>
      <c r="C84" t="s">
        <v>144</v>
      </c>
      <c r="D84" s="157" t="s">
        <v>145</v>
      </c>
      <c r="E84" s="77"/>
    </row>
    <row r="85" spans="2:5">
      <c r="B85" t="s">
        <v>146</v>
      </c>
      <c r="D85" s="191" t="s">
        <v>147</v>
      </c>
      <c r="E85" s="77"/>
    </row>
    <row r="86" spans="2:5">
      <c r="B86" t="s">
        <v>94</v>
      </c>
      <c r="D86" s="192" t="s">
        <v>148</v>
      </c>
      <c r="E86" s="77"/>
    </row>
    <row r="87" spans="2:5">
      <c r="B87" t="s">
        <v>149</v>
      </c>
      <c r="D87" s="192" t="s">
        <v>150</v>
      </c>
      <c r="E87" s="77"/>
    </row>
    <row r="88" spans="4:5">
      <c r="D88" s="192" t="s">
        <v>151</v>
      </c>
      <c r="E88" s="77"/>
    </row>
    <row r="89" spans="4:5">
      <c r="D89" s="192" t="s">
        <v>152</v>
      </c>
      <c r="E89" s="77"/>
    </row>
    <row r="90" spans="4:5">
      <c r="D90" s="156">
        <v>2002189451</v>
      </c>
      <c r="E90" s="77"/>
    </row>
    <row r="91" spans="4:5">
      <c r="D91" s="156">
        <v>2002189452</v>
      </c>
      <c r="E91" s="77"/>
    </row>
    <row r="92" spans="4:5">
      <c r="D92" s="192" t="s">
        <v>153</v>
      </c>
      <c r="E92" s="77"/>
    </row>
    <row r="93" spans="4:5">
      <c r="D93" s="192" t="s">
        <v>154</v>
      </c>
      <c r="E93" s="77"/>
    </row>
    <row r="94" spans="4:5">
      <c r="D94" s="159" t="s">
        <v>155</v>
      </c>
      <c r="E94" s="77"/>
    </row>
    <row r="95" spans="4:5">
      <c r="D95" s="192" t="s">
        <v>156</v>
      </c>
      <c r="E95" s="77"/>
    </row>
    <row r="96" spans="4:5">
      <c r="D96" s="77"/>
      <c r="E96" s="77"/>
    </row>
    <row r="97" spans="4:5">
      <c r="D97" s="77"/>
      <c r="E97" s="77"/>
    </row>
    <row r="98" spans="4:5">
      <c r="D98" s="77"/>
      <c r="E98" s="77"/>
    </row>
    <row r="99" spans="4:5">
      <c r="D99" s="77"/>
      <c r="E99" s="77"/>
    </row>
  </sheetData>
  <mergeCells count="7">
    <mergeCell ref="A61:B61"/>
    <mergeCell ref="D61:E61"/>
    <mergeCell ref="A62:B62"/>
    <mergeCell ref="D62:E62"/>
    <mergeCell ref="A23:A24"/>
    <mergeCell ref="B23:B24"/>
    <mergeCell ref="C23:C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7"/>
  <sheetViews>
    <sheetView tabSelected="1" workbookViewId="0">
      <selection activeCell="C30" sqref="C30"/>
    </sheetView>
  </sheetViews>
  <sheetFormatPr defaultColWidth="9.14285714285714" defaultRowHeight="15"/>
  <cols>
    <col min="1" max="1" width="14.2857142857143" customWidth="1"/>
    <col min="2" max="3" width="17.2857142857143" customWidth="1"/>
    <col min="4" max="4" width="18" customWidth="1"/>
    <col min="5" max="5" width="13.5714285714286" customWidth="1"/>
    <col min="6" max="6" width="16.8571428571429" customWidth="1"/>
    <col min="7" max="7" width="16.2571428571429" customWidth="1"/>
    <col min="8" max="8" width="14.1428571428571" customWidth="1"/>
    <col min="9" max="9" width="20.7142857142857" customWidth="1"/>
    <col min="10" max="10" width="14.7142857142857" customWidth="1"/>
    <col min="11" max="11" width="12.8571428571429"/>
    <col min="12" max="12" width="15.4285714285714" customWidth="1"/>
    <col min="13" max="13" width="11.5714285714286" customWidth="1"/>
    <col min="14" max="14" width="10.7142857142857" customWidth="1"/>
    <col min="15" max="15" width="12.7142857142857" customWidth="1"/>
    <col min="16" max="16" width="9.42857142857143" customWidth="1"/>
    <col min="17" max="17" width="16.5714285714286" customWidth="1"/>
    <col min="18" max="18" width="16.8571428571429" customWidth="1"/>
  </cols>
  <sheetData>
    <row r="1" spans="1:10">
      <c r="A1" t="s">
        <v>157</v>
      </c>
      <c r="J1" t="s">
        <v>158</v>
      </c>
    </row>
    <row r="2" spans="1:19">
      <c r="A2" s="3" t="s">
        <v>159</v>
      </c>
      <c r="B2" s="3" t="s">
        <v>160</v>
      </c>
      <c r="C2" s="3" t="s">
        <v>83</v>
      </c>
      <c r="D2" s="3" t="s">
        <v>161</v>
      </c>
      <c r="E2" s="3" t="s">
        <v>162</v>
      </c>
      <c r="F2" s="4" t="s">
        <v>163</v>
      </c>
      <c r="G2" s="3" t="s">
        <v>164</v>
      </c>
      <c r="H2" s="3" t="s">
        <v>165</v>
      </c>
      <c r="I2" s="104" t="s">
        <v>166</v>
      </c>
      <c r="J2" s="3" t="s">
        <v>167</v>
      </c>
      <c r="K2" s="3" t="s">
        <v>168</v>
      </c>
      <c r="L2" s="3" t="s">
        <v>169</v>
      </c>
      <c r="M2" s="3" t="s">
        <v>170</v>
      </c>
      <c r="N2" s="3" t="s">
        <v>171</v>
      </c>
      <c r="O2" s="3" t="s">
        <v>14</v>
      </c>
      <c r="P2" s="3" t="s">
        <v>172</v>
      </c>
      <c r="Q2" s="3" t="s">
        <v>173</v>
      </c>
      <c r="R2" s="3" t="s">
        <v>174</v>
      </c>
      <c r="S2" s="3" t="s">
        <v>175</v>
      </c>
    </row>
    <row r="3" spans="1:19">
      <c r="A3" s="5" t="s">
        <v>141</v>
      </c>
      <c r="B3" s="6" t="s">
        <v>176</v>
      </c>
      <c r="C3" s="7" t="s">
        <v>88</v>
      </c>
      <c r="D3" s="8">
        <v>4512211838</v>
      </c>
      <c r="E3" s="9" t="s">
        <v>177</v>
      </c>
      <c r="F3" s="10">
        <v>5</v>
      </c>
      <c r="G3" s="11">
        <f>SUM(F3:F5)</f>
        <v>10</v>
      </c>
      <c r="H3" s="12">
        <v>4</v>
      </c>
      <c r="I3" s="23">
        <f>SUM(H3:H5)</f>
        <v>4</v>
      </c>
      <c r="J3" s="105" t="s">
        <v>178</v>
      </c>
      <c r="K3" s="5">
        <v>1</v>
      </c>
      <c r="L3" s="106" t="s">
        <v>69</v>
      </c>
      <c r="M3" s="107">
        <v>46267</v>
      </c>
      <c r="N3" s="108">
        <f ca="1">IF(M3="","",M3-$B$24)</f>
        <v>-5</v>
      </c>
      <c r="O3" s="65">
        <v>10</v>
      </c>
      <c r="P3" s="65"/>
      <c r="Q3" s="59">
        <f>O3/G3*100</f>
        <v>100</v>
      </c>
      <c r="R3" s="65" t="str">
        <f ca="1">IF(J3="v","Final Completed",IF(AND(J3="x",N3&lt;0),"Overdue",IF(AND(J3="x",N3&gt;=0,N3&lt;=7),"PO Need Final","")))</f>
        <v>Final Completed</v>
      </c>
      <c r="S3" s="91" t="str">
        <f ca="1">IF(OR($R3="PO Need Final",$R3="Overdue"),"Not Final",IF(COUNTIFS($D$3:$D$20,$D3,$L$3:$L$20,"?*")&gt;0,"Reject","Pass"))</f>
        <v>Reject</v>
      </c>
    </row>
    <row r="4" spans="1:19">
      <c r="A4" s="7"/>
      <c r="B4" s="13"/>
      <c r="C4" s="7"/>
      <c r="D4" s="14"/>
      <c r="E4" s="9" t="s">
        <v>179</v>
      </c>
      <c r="F4" s="10">
        <v>3</v>
      </c>
      <c r="G4" s="15"/>
      <c r="H4" s="16"/>
      <c r="I4" s="27"/>
      <c r="J4" s="109"/>
      <c r="K4" s="7"/>
      <c r="L4" s="106"/>
      <c r="M4" s="110">
        <v>46267</v>
      </c>
      <c r="N4" s="111">
        <f ca="1" t="shared" ref="N4:N20" si="0">IF(M4="","",M4-$B$24)</f>
        <v>-5</v>
      </c>
      <c r="O4" s="65"/>
      <c r="P4" s="65"/>
      <c r="Q4" s="59"/>
      <c r="R4" s="65" t="str">
        <f ca="1">IF(J3="v","Final Completed",IF(AND(J3="x",N3&lt;0),"Overdue",IF(AND(J3="x",N3&gt;=0,N3&lt;=7),"PO Need Final","")))</f>
        <v>Final Completed</v>
      </c>
      <c r="S4" s="91" t="str">
        <f ca="1">IF(OR($R3="PO Need Final",$R3="Overdue"),"Not Final",IF(COUNTIFS($D$3:$D$20,$D3,$L$3:$L$20,"?*")&gt;0,"Reject","Pass"))</f>
        <v>Reject</v>
      </c>
    </row>
    <row r="5" spans="1:19">
      <c r="A5" s="17"/>
      <c r="B5" s="18"/>
      <c r="C5" s="17"/>
      <c r="D5" s="19"/>
      <c r="E5" s="9" t="s">
        <v>180</v>
      </c>
      <c r="F5" s="10">
        <v>2</v>
      </c>
      <c r="G5" s="20"/>
      <c r="H5" s="16"/>
      <c r="I5" s="112"/>
      <c r="J5" s="113"/>
      <c r="K5" s="17"/>
      <c r="L5" s="106"/>
      <c r="M5" s="114">
        <v>46267</v>
      </c>
      <c r="N5" s="115">
        <f ca="1" t="shared" si="0"/>
        <v>-5</v>
      </c>
      <c r="O5" s="65"/>
      <c r="P5" s="65"/>
      <c r="Q5" s="59"/>
      <c r="R5" s="65" t="str">
        <f ca="1">IF(J3="v","Final Completed",IF(AND(J3="x",N3&lt;0),"Overdue",IF(AND(J3="x",N3&gt;=0,N3&lt;=7),"PO Need Final","")))</f>
        <v>Final Completed</v>
      </c>
      <c r="S5" s="91" t="str">
        <f ca="1">IF(OR($R3="PO Need Final",$R3="Overdue"),"Not Final",IF(COUNTIFS($D$3:$D$20,$D3,$L$3:$L$20,"?*")&gt;0,"Reject","Pass"))</f>
        <v>Reject</v>
      </c>
    </row>
    <row r="6" s="1" customFormat="1" spans="1:19">
      <c r="A6" s="5" t="s">
        <v>141</v>
      </c>
      <c r="B6" s="5" t="s">
        <v>181</v>
      </c>
      <c r="C6" s="5" t="s">
        <v>88</v>
      </c>
      <c r="D6" s="21" t="s">
        <v>143</v>
      </c>
      <c r="E6" s="9" t="s">
        <v>182</v>
      </c>
      <c r="F6" s="22">
        <v>5</v>
      </c>
      <c r="G6" s="23">
        <v>5</v>
      </c>
      <c r="H6" s="24">
        <v>1</v>
      </c>
      <c r="I6" s="116">
        <f>SUM(H6:H7)</f>
        <v>2</v>
      </c>
      <c r="J6" s="65" t="s">
        <v>178</v>
      </c>
      <c r="K6" s="65">
        <v>0</v>
      </c>
      <c r="L6" s="106"/>
      <c r="M6" s="117" t="s">
        <v>183</v>
      </c>
      <c r="N6" s="106">
        <f ca="1" t="shared" si="0"/>
        <v>-4</v>
      </c>
      <c r="O6" s="65">
        <v>5</v>
      </c>
      <c r="P6" s="65"/>
      <c r="Q6" s="132">
        <f>O6/F6*100</f>
        <v>100</v>
      </c>
      <c r="R6" s="65" t="str">
        <f ca="1" t="shared" ref="R4:R20" si="1">IF(J6="v","Final Completed",IF(AND(J6="x",N6&lt;0),"Overdue",IF(AND(J6="x",N6&gt;=0,N6&lt;=7),"PO Need Final","")))</f>
        <v>Final Completed</v>
      </c>
      <c r="S6" s="69" t="str">
        <f ca="1" t="shared" ref="S4:S20" si="2">IF(OR($R6="PO Need Final",$R6="Overdue"),"Not Final",IF(COUNTIFS($D$3:$D$20,$D6,$L$3:$L$20,"?*")&gt;0,"Reject","Pass"))</f>
        <v>Pass</v>
      </c>
    </row>
    <row r="7" s="1" customFormat="1" spans="1:19">
      <c r="A7" s="17" t="s">
        <v>141</v>
      </c>
      <c r="B7" s="17"/>
      <c r="C7" s="17" t="s">
        <v>88</v>
      </c>
      <c r="D7" s="25" t="s">
        <v>145</v>
      </c>
      <c r="E7" s="9" t="s">
        <v>182</v>
      </c>
      <c r="F7" s="26">
        <v>5</v>
      </c>
      <c r="G7" s="27">
        <v>5</v>
      </c>
      <c r="H7" s="24">
        <v>1</v>
      </c>
      <c r="I7" s="118"/>
      <c r="J7" s="65" t="s">
        <v>178</v>
      </c>
      <c r="K7" s="65">
        <v>0</v>
      </c>
      <c r="L7" s="106"/>
      <c r="M7" s="117" t="s">
        <v>183</v>
      </c>
      <c r="N7" s="106">
        <f ca="1" t="shared" si="0"/>
        <v>-4</v>
      </c>
      <c r="O7" s="65">
        <v>5</v>
      </c>
      <c r="P7" s="65"/>
      <c r="Q7" s="59">
        <f>O7/F7*100</f>
        <v>100</v>
      </c>
      <c r="R7" s="65" t="str">
        <f ca="1" t="shared" si="1"/>
        <v>Final Completed</v>
      </c>
      <c r="S7" s="69" t="str">
        <f ca="1" t="shared" si="2"/>
        <v>Pass</v>
      </c>
    </row>
    <row r="8" s="1" customFormat="1" spans="1:19">
      <c r="A8" s="28" t="s">
        <v>144</v>
      </c>
      <c r="B8" s="29" t="s">
        <v>184</v>
      </c>
      <c r="C8" s="30" t="s">
        <v>93</v>
      </c>
      <c r="D8" s="193" t="s">
        <v>147</v>
      </c>
      <c r="E8" s="32" t="s">
        <v>177</v>
      </c>
      <c r="F8" s="33">
        <v>5</v>
      </c>
      <c r="G8" s="34">
        <v>5</v>
      </c>
      <c r="H8" s="35"/>
      <c r="I8" s="119">
        <f>SUM(H8:H9)</f>
        <v>1</v>
      </c>
      <c r="J8" s="39" t="s">
        <v>185</v>
      </c>
      <c r="K8" s="39"/>
      <c r="L8" s="120"/>
      <c r="M8" s="121">
        <v>46273</v>
      </c>
      <c r="N8" s="120">
        <f ca="1" t="shared" si="0"/>
        <v>1</v>
      </c>
      <c r="O8" s="39">
        <v>5</v>
      </c>
      <c r="P8" s="39"/>
      <c r="Q8" s="132">
        <f>O8/F8*100</f>
        <v>100</v>
      </c>
      <c r="R8" s="133" t="str">
        <f ca="1" t="shared" si="1"/>
        <v>PO Need Final</v>
      </c>
      <c r="S8" s="69" t="str">
        <f ca="1" t="shared" si="2"/>
        <v>Not Final</v>
      </c>
    </row>
    <row r="9" s="1" customFormat="1" spans="1:19">
      <c r="A9" s="36" t="s">
        <v>144</v>
      </c>
      <c r="B9" s="37"/>
      <c r="C9" s="38" t="s">
        <v>93</v>
      </c>
      <c r="D9" s="194" t="s">
        <v>148</v>
      </c>
      <c r="E9" s="40" t="s">
        <v>186</v>
      </c>
      <c r="F9" s="33">
        <v>5</v>
      </c>
      <c r="G9" s="41">
        <v>5</v>
      </c>
      <c r="H9" s="35">
        <v>1</v>
      </c>
      <c r="I9" s="119"/>
      <c r="J9" s="39" t="s">
        <v>178</v>
      </c>
      <c r="K9" s="39"/>
      <c r="L9" s="120"/>
      <c r="M9" s="121">
        <v>46273</v>
      </c>
      <c r="N9" s="120">
        <f ca="1" t="shared" si="0"/>
        <v>1</v>
      </c>
      <c r="O9" s="39">
        <v>5</v>
      </c>
      <c r="P9" s="39"/>
      <c r="Q9" s="59">
        <f>O9/F9*100</f>
        <v>100</v>
      </c>
      <c r="R9" s="65" t="str">
        <f ca="1" t="shared" si="1"/>
        <v>Final Completed</v>
      </c>
      <c r="S9" s="69" t="str">
        <f ca="1" t="shared" si="2"/>
        <v>Pass</v>
      </c>
    </row>
    <row r="10" s="2" customFormat="1" spans="1:19">
      <c r="A10" s="39" t="s">
        <v>141</v>
      </c>
      <c r="B10" s="39" t="s">
        <v>187</v>
      </c>
      <c r="C10" s="39" t="s">
        <v>92</v>
      </c>
      <c r="D10" s="194" t="s">
        <v>150</v>
      </c>
      <c r="E10" s="39" t="s">
        <v>188</v>
      </c>
      <c r="F10" s="42">
        <v>2</v>
      </c>
      <c r="G10" s="43">
        <f>SUM(F10)</f>
        <v>2</v>
      </c>
      <c r="H10" s="44"/>
      <c r="I10" s="119">
        <f>SUM(H10)</f>
        <v>0</v>
      </c>
      <c r="J10" s="39" t="s">
        <v>185</v>
      </c>
      <c r="K10" s="39"/>
      <c r="L10" s="39"/>
      <c r="M10" s="121">
        <v>46266</v>
      </c>
      <c r="N10" s="120">
        <f ca="1" t="shared" si="0"/>
        <v>-6</v>
      </c>
      <c r="O10" s="39">
        <v>2</v>
      </c>
      <c r="P10" s="39"/>
      <c r="Q10" s="132">
        <f>O10/G10*100</f>
        <v>100</v>
      </c>
      <c r="R10" s="133" t="str">
        <f ca="1" t="shared" si="1"/>
        <v>Overdue</v>
      </c>
      <c r="S10" s="69" t="str">
        <f ca="1" t="shared" si="2"/>
        <v>Not Final</v>
      </c>
    </row>
    <row r="11" s="1" customFormat="1" ht="18" customHeight="1" spans="1:19">
      <c r="A11" s="39" t="s">
        <v>141</v>
      </c>
      <c r="B11" s="39" t="s">
        <v>189</v>
      </c>
      <c r="C11" s="39" t="s">
        <v>146</v>
      </c>
      <c r="D11" s="194" t="s">
        <v>151</v>
      </c>
      <c r="E11" s="39" t="s">
        <v>190</v>
      </c>
      <c r="F11" s="42">
        <v>4</v>
      </c>
      <c r="G11" s="45">
        <f>SUM(F11)</f>
        <v>4</v>
      </c>
      <c r="H11" s="44">
        <v>4</v>
      </c>
      <c r="I11" s="119">
        <f>SUM(H11)</f>
        <v>4</v>
      </c>
      <c r="J11" s="39" t="s">
        <v>178</v>
      </c>
      <c r="K11" s="39">
        <v>2</v>
      </c>
      <c r="L11" s="120" t="s">
        <v>191</v>
      </c>
      <c r="M11" s="121">
        <v>46272</v>
      </c>
      <c r="N11" s="120">
        <f ca="1" t="shared" si="0"/>
        <v>0</v>
      </c>
      <c r="O11" s="39">
        <v>4</v>
      </c>
      <c r="P11" s="39"/>
      <c r="Q11" s="59">
        <f>O11/G11*100</f>
        <v>100</v>
      </c>
      <c r="R11" s="65" t="str">
        <f ca="1" t="shared" si="1"/>
        <v>Final Completed</v>
      </c>
      <c r="S11" s="91" t="str">
        <f ca="1" t="shared" si="2"/>
        <v>Reject</v>
      </c>
    </row>
    <row r="12" spans="1:19">
      <c r="A12" s="39" t="s">
        <v>141</v>
      </c>
      <c r="B12" s="39" t="s">
        <v>192</v>
      </c>
      <c r="C12" s="39" t="s">
        <v>92</v>
      </c>
      <c r="D12" s="194" t="s">
        <v>152</v>
      </c>
      <c r="E12" s="39" t="s">
        <v>193</v>
      </c>
      <c r="F12" s="42">
        <v>2</v>
      </c>
      <c r="G12" s="44">
        <v>2</v>
      </c>
      <c r="H12" s="44"/>
      <c r="I12" s="119">
        <f>SUM(H12)</f>
        <v>0</v>
      </c>
      <c r="J12" s="39" t="s">
        <v>185</v>
      </c>
      <c r="K12" s="39"/>
      <c r="L12" s="39"/>
      <c r="M12" s="121">
        <v>46274</v>
      </c>
      <c r="N12" s="120">
        <f ca="1" t="shared" si="0"/>
        <v>2</v>
      </c>
      <c r="O12" s="39">
        <v>2</v>
      </c>
      <c r="P12" s="39"/>
      <c r="Q12" s="59">
        <f>O12/G12*100</f>
        <v>100</v>
      </c>
      <c r="R12" s="133" t="str">
        <f ca="1" t="shared" si="1"/>
        <v>PO Need Final</v>
      </c>
      <c r="S12" s="69" t="str">
        <f ca="1" t="shared" si="2"/>
        <v>Not Final</v>
      </c>
    </row>
    <row r="13" spans="1:19">
      <c r="A13" s="28" t="s">
        <v>141</v>
      </c>
      <c r="B13" s="29" t="s">
        <v>194</v>
      </c>
      <c r="C13" s="30" t="s">
        <v>92</v>
      </c>
      <c r="D13" s="46">
        <v>2002189451</v>
      </c>
      <c r="E13" s="47" t="s">
        <v>195</v>
      </c>
      <c r="F13" s="42">
        <v>2</v>
      </c>
      <c r="G13" s="48">
        <v>2</v>
      </c>
      <c r="H13" s="49"/>
      <c r="I13" s="119">
        <f>SUM(H13:H14)</f>
        <v>0</v>
      </c>
      <c r="J13" s="39" t="s">
        <v>185</v>
      </c>
      <c r="K13" s="39"/>
      <c r="L13" s="39"/>
      <c r="M13" s="121">
        <v>46273</v>
      </c>
      <c r="N13" s="120">
        <f ca="1" t="shared" si="0"/>
        <v>1</v>
      </c>
      <c r="O13" s="39">
        <v>2</v>
      </c>
      <c r="P13" s="39"/>
      <c r="Q13" s="132">
        <f>O13/F13*100</f>
        <v>100</v>
      </c>
      <c r="R13" s="133" t="str">
        <f ca="1" t="shared" si="1"/>
        <v>PO Need Final</v>
      </c>
      <c r="S13" s="69" t="str">
        <f ca="1" t="shared" si="2"/>
        <v>Not Final</v>
      </c>
    </row>
    <row r="14" spans="1:19">
      <c r="A14" s="36" t="s">
        <v>141</v>
      </c>
      <c r="B14" s="37"/>
      <c r="C14" s="38" t="s">
        <v>92</v>
      </c>
      <c r="D14" s="46">
        <v>2002189452</v>
      </c>
      <c r="E14" s="47" t="s">
        <v>195</v>
      </c>
      <c r="F14" s="42">
        <v>2</v>
      </c>
      <c r="G14" s="50">
        <v>2</v>
      </c>
      <c r="H14" s="51"/>
      <c r="I14" s="119">
        <f>SUM(H14:H16)</f>
        <v>0</v>
      </c>
      <c r="J14" s="39" t="s">
        <v>185</v>
      </c>
      <c r="K14" s="39"/>
      <c r="L14" s="39"/>
      <c r="M14" s="121">
        <v>46273</v>
      </c>
      <c r="N14" s="120">
        <f ca="1" t="shared" si="0"/>
        <v>1</v>
      </c>
      <c r="O14" s="39">
        <v>2</v>
      </c>
      <c r="P14" s="39"/>
      <c r="Q14" s="59">
        <f>O14/F14*100</f>
        <v>100</v>
      </c>
      <c r="R14" s="133" t="str">
        <f ca="1" t="shared" si="1"/>
        <v>PO Need Final</v>
      </c>
      <c r="S14" s="69" t="str">
        <f ca="1" t="shared" si="2"/>
        <v>Not Final</v>
      </c>
    </row>
    <row r="15" spans="1:19">
      <c r="A15" s="39" t="s">
        <v>141</v>
      </c>
      <c r="B15" s="39" t="s">
        <v>196</v>
      </c>
      <c r="C15" s="39" t="s">
        <v>88</v>
      </c>
      <c r="D15" s="194" t="s">
        <v>153</v>
      </c>
      <c r="E15" s="39" t="s">
        <v>197</v>
      </c>
      <c r="F15" s="42">
        <v>2</v>
      </c>
      <c r="G15" s="44">
        <v>2</v>
      </c>
      <c r="H15" s="44"/>
      <c r="I15" s="119">
        <f>SUM(H15)</f>
        <v>0</v>
      </c>
      <c r="J15" s="39" t="s">
        <v>185</v>
      </c>
      <c r="K15" s="39"/>
      <c r="L15" s="39"/>
      <c r="M15" s="121">
        <v>46275</v>
      </c>
      <c r="N15" s="120">
        <f ca="1" t="shared" si="0"/>
        <v>3</v>
      </c>
      <c r="O15" s="39">
        <v>2</v>
      </c>
      <c r="P15" s="39"/>
      <c r="Q15" s="59">
        <f>O15/G15*100</f>
        <v>100</v>
      </c>
      <c r="R15" s="133" t="str">
        <f ca="1" t="shared" si="1"/>
        <v>PO Need Final</v>
      </c>
      <c r="S15" s="69" t="str">
        <f ca="1" t="shared" si="2"/>
        <v>Not Final</v>
      </c>
    </row>
    <row r="16" spans="1:19">
      <c r="A16" s="39" t="s">
        <v>141</v>
      </c>
      <c r="B16" s="39" t="s">
        <v>198</v>
      </c>
      <c r="C16" s="39" t="s">
        <v>94</v>
      </c>
      <c r="D16" s="194" t="s">
        <v>154</v>
      </c>
      <c r="E16" s="39" t="s">
        <v>199</v>
      </c>
      <c r="F16" s="42">
        <v>5</v>
      </c>
      <c r="G16" s="44">
        <v>5</v>
      </c>
      <c r="H16" s="44"/>
      <c r="I16" s="119">
        <f>SUM(H16)</f>
        <v>0</v>
      </c>
      <c r="J16" s="39" t="s">
        <v>185</v>
      </c>
      <c r="K16" s="39"/>
      <c r="L16" s="39"/>
      <c r="M16" s="121">
        <v>46274</v>
      </c>
      <c r="N16" s="120">
        <f ca="1" t="shared" si="0"/>
        <v>2</v>
      </c>
      <c r="O16" s="39">
        <v>5</v>
      </c>
      <c r="P16" s="39">
        <v>2</v>
      </c>
      <c r="Q16" s="67">
        <f>O16/G16*100</f>
        <v>100</v>
      </c>
      <c r="R16" s="133" t="str">
        <f ca="1" t="shared" si="1"/>
        <v>PO Need Final</v>
      </c>
      <c r="S16" s="69" t="str">
        <f ca="1" t="shared" si="2"/>
        <v>Not Final</v>
      </c>
    </row>
    <row r="17" spans="1:19">
      <c r="A17" s="28" t="s">
        <v>142</v>
      </c>
      <c r="B17" s="29" t="s">
        <v>200</v>
      </c>
      <c r="C17" s="30" t="s">
        <v>149</v>
      </c>
      <c r="D17" s="29" t="s">
        <v>155</v>
      </c>
      <c r="E17" s="52" t="s">
        <v>201</v>
      </c>
      <c r="F17" s="53">
        <v>2</v>
      </c>
      <c r="G17" s="34">
        <f>SUM(F17:F19)</f>
        <v>6</v>
      </c>
      <c r="H17" s="54"/>
      <c r="I17" s="34">
        <f>SUM(H17:H19)</f>
        <v>0</v>
      </c>
      <c r="J17" s="122" t="s">
        <v>185</v>
      </c>
      <c r="K17" s="29"/>
      <c r="L17" s="39"/>
      <c r="M17" s="123">
        <v>46274</v>
      </c>
      <c r="N17" s="120">
        <f ca="1" t="shared" si="0"/>
        <v>2</v>
      </c>
      <c r="O17" s="39">
        <v>2</v>
      </c>
      <c r="P17" s="39"/>
      <c r="Q17" s="101">
        <f>O17/G17*100</f>
        <v>33.3333333333333</v>
      </c>
      <c r="R17" s="133" t="str">
        <f ca="1" t="shared" si="1"/>
        <v>PO Need Final</v>
      </c>
      <c r="S17" s="69" t="str">
        <f ca="1" t="shared" si="2"/>
        <v>Not Final</v>
      </c>
    </row>
    <row r="18" spans="1:19">
      <c r="A18" s="55"/>
      <c r="B18" s="7"/>
      <c r="C18" s="1"/>
      <c r="D18" s="7"/>
      <c r="E18" s="56" t="s">
        <v>202</v>
      </c>
      <c r="F18" s="57">
        <v>2</v>
      </c>
      <c r="G18" s="58"/>
      <c r="H18" s="59"/>
      <c r="I18" s="27"/>
      <c r="J18" s="109"/>
      <c r="K18" s="7"/>
      <c r="L18" s="65"/>
      <c r="M18" s="124">
        <v>46274</v>
      </c>
      <c r="N18" s="106">
        <f ca="1" t="shared" si="0"/>
        <v>2</v>
      </c>
      <c r="O18" s="65"/>
      <c r="P18" s="65"/>
      <c r="Q18" s="67"/>
      <c r="R18" s="133" t="str">
        <f ca="1">IF(J17="v","Final Completed",IF(AND(J17="x",N17&lt;0),"Overdue",IF(AND(J17="x",N17&gt;=0,N17&lt;=7),"PO Need Final","")))</f>
        <v>PO Need Final</v>
      </c>
      <c r="S18" s="69" t="str">
        <f ca="1">IF(OR($R17="PO Need Final",$R17="Overdue"),"Not Final",IF(COUNTIFS($D$3:$D$20,$D17,$L$3:$L$20,"?*")&gt;0,"Reject","Pass"))</f>
        <v>Not Final</v>
      </c>
    </row>
    <row r="19" spans="1:19">
      <c r="A19" s="60"/>
      <c r="B19" s="17"/>
      <c r="C19" s="18"/>
      <c r="D19" s="17"/>
      <c r="E19" s="61" t="s">
        <v>203</v>
      </c>
      <c r="F19" s="62">
        <v>2</v>
      </c>
      <c r="G19" s="63"/>
      <c r="H19" s="64"/>
      <c r="I19" s="112"/>
      <c r="J19" s="113"/>
      <c r="K19" s="17"/>
      <c r="L19" s="65"/>
      <c r="M19" s="125">
        <v>46274</v>
      </c>
      <c r="N19" s="106">
        <f ca="1" t="shared" si="0"/>
        <v>2</v>
      </c>
      <c r="O19" s="65"/>
      <c r="P19" s="65"/>
      <c r="Q19" s="67"/>
      <c r="R19" s="133" t="str">
        <f ca="1">IF(J17="v","Final Completed",IF(AND(J17="x",N17&lt;0),"Overdue",IF(AND(J17="x",N17&gt;=0,N17&lt;=7),"PO Need Final","")))</f>
        <v>PO Need Final</v>
      </c>
      <c r="S19" s="69" t="str">
        <f ca="1">IF(OR($R17="PO Need Final",$R17="Overdue"),"Not Final",IF(COUNTIFS($D$3:$D$20,$D17,$L$3:$L$20,"?*")&gt;0,"Reject","Pass"))</f>
        <v>Not Final</v>
      </c>
    </row>
    <row r="20" spans="1:19">
      <c r="A20" s="65" t="s">
        <v>141</v>
      </c>
      <c r="B20" s="65" t="s">
        <v>204</v>
      </c>
      <c r="C20" s="65" t="s">
        <v>92</v>
      </c>
      <c r="D20" s="195" t="s">
        <v>156</v>
      </c>
      <c r="E20" s="65" t="s">
        <v>205</v>
      </c>
      <c r="F20" s="66">
        <v>2</v>
      </c>
      <c r="G20" s="67">
        <v>2</v>
      </c>
      <c r="H20" s="67">
        <v>2</v>
      </c>
      <c r="I20" s="116">
        <f>SUM(H20)</f>
        <v>2</v>
      </c>
      <c r="J20" s="65" t="s">
        <v>178</v>
      </c>
      <c r="K20" s="65">
        <v>2</v>
      </c>
      <c r="L20" s="65" t="s">
        <v>206</v>
      </c>
      <c r="M20" s="117">
        <v>46273</v>
      </c>
      <c r="N20" s="106">
        <f ca="1" t="shared" si="0"/>
        <v>1</v>
      </c>
      <c r="O20" s="65">
        <v>2</v>
      </c>
      <c r="P20" s="65"/>
      <c r="Q20" s="67">
        <f>O20/F20*100</f>
        <v>100</v>
      </c>
      <c r="R20" s="65" t="str">
        <f ca="1" t="shared" si="1"/>
        <v>Final Completed</v>
      </c>
      <c r="S20" s="91" t="str">
        <f ca="1" t="shared" si="2"/>
        <v>Reject</v>
      </c>
    </row>
    <row r="21" spans="6:15">
      <c r="F21" s="68">
        <f>SUM(F3:F20)</f>
        <v>57</v>
      </c>
      <c r="G21" s="68">
        <f>SUM(G3:G20)</f>
        <v>57</v>
      </c>
      <c r="H21" s="68">
        <f>SUM(H3:H20)</f>
        <v>13</v>
      </c>
      <c r="I21" s="68">
        <f>SUM(I3:I20)</f>
        <v>13</v>
      </c>
      <c r="K21" s="68">
        <f>SUM(K3:K20)</f>
        <v>5</v>
      </c>
      <c r="O21" s="68">
        <f>SUM(O3:O20)</f>
        <v>53</v>
      </c>
    </row>
    <row r="22" spans="8:9">
      <c r="H22" s="3" t="s">
        <v>207</v>
      </c>
      <c r="I22" s="3" t="s">
        <v>208</v>
      </c>
    </row>
    <row r="23" spans="8:9">
      <c r="H23" s="69">
        <f>F26-I23</f>
        <v>3</v>
      </c>
      <c r="I23" s="69">
        <f>COUNTA(L3:L20)</f>
        <v>3</v>
      </c>
    </row>
    <row r="24" spans="1:2">
      <c r="A24" t="s">
        <v>209</v>
      </c>
      <c r="B24" s="70">
        <f ca="1">TODAY()</f>
        <v>46272</v>
      </c>
    </row>
    <row r="25" spans="1:9">
      <c r="A25" s="3" t="s">
        <v>210</v>
      </c>
      <c r="B25" s="3" t="s">
        <v>211</v>
      </c>
      <c r="C25" s="3" t="s">
        <v>166</v>
      </c>
      <c r="D25" s="3" t="s">
        <v>212</v>
      </c>
      <c r="E25" s="3" t="s">
        <v>213</v>
      </c>
      <c r="F25" s="3" t="s">
        <v>214</v>
      </c>
      <c r="G25" s="3" t="s">
        <v>215</v>
      </c>
      <c r="H25" s="3" t="s">
        <v>216</v>
      </c>
      <c r="I25" s="3" t="s">
        <v>217</v>
      </c>
    </row>
    <row r="26" spans="1:9">
      <c r="A26" s="71">
        <f>ROWS(_xlfn.UNIQUE(_xlfn._xlws.FILTER(D3:D24,D3:D24&lt;&gt;"")))</f>
        <v>14</v>
      </c>
      <c r="B26" s="72">
        <f>SUM(F3:F20)</f>
        <v>57</v>
      </c>
      <c r="C26" s="73">
        <f>SUM(H3:H20)</f>
        <v>13</v>
      </c>
      <c r="D26" s="71">
        <f ca="1">COUNTIFS(J3:J20,"x",N3:N20,"&gt;=0",N3:N20,"&lt;=7")</f>
        <v>7</v>
      </c>
      <c r="E26" s="74">
        <f ca="1">COUNTIFS(J3:J20,"x",N3:N20,"&gt;=-7",N3:N20,"&lt;=0")</f>
        <v>1</v>
      </c>
      <c r="F26" s="74">
        <f>COUNTIF(J3:J24,"v")</f>
        <v>6</v>
      </c>
      <c r="G26" s="75">
        <f>(SUM(K3:K20)/C26)*100</f>
        <v>38.4615384615385</v>
      </c>
      <c r="H26" s="76">
        <f>H23/F26*100</f>
        <v>50</v>
      </c>
      <c r="I26" s="76">
        <f>(COUNTA(L3:L20)/F26)*100</f>
        <v>50</v>
      </c>
    </row>
    <row r="27" spans="14:14">
      <c r="N27" t="s">
        <v>218</v>
      </c>
    </row>
    <row r="28" spans="1:14">
      <c r="A28" s="77"/>
      <c r="B28" s="77" t="s">
        <v>219</v>
      </c>
      <c r="C28" s="77" t="s">
        <v>220</v>
      </c>
      <c r="D28" s="77"/>
      <c r="E28" s="77"/>
      <c r="F28" s="77"/>
      <c r="G28" s="77"/>
      <c r="H28" s="77"/>
      <c r="I28" s="77"/>
      <c r="J28" s="77"/>
      <c r="N28" t="s">
        <v>221</v>
      </c>
    </row>
    <row r="29" spans="1:10">
      <c r="A29" s="13" t="s">
        <v>170</v>
      </c>
      <c r="B29" s="78">
        <v>46267</v>
      </c>
      <c r="C29" s="78">
        <v>46267</v>
      </c>
      <c r="D29" s="77"/>
      <c r="E29" s="77"/>
      <c r="F29" s="77"/>
      <c r="G29" s="77"/>
      <c r="H29" s="77"/>
      <c r="I29" s="77"/>
      <c r="J29" s="77"/>
    </row>
    <row r="30" spans="1:10">
      <c r="A30" s="79" t="s">
        <v>222</v>
      </c>
      <c r="B30" s="69"/>
      <c r="C30" s="77"/>
      <c r="D30" s="77"/>
      <c r="E30" s="77"/>
      <c r="F30" s="77"/>
      <c r="G30" s="77"/>
      <c r="H30" s="77"/>
      <c r="I30" s="77"/>
      <c r="J30" s="77"/>
    </row>
    <row r="31" spans="1:10">
      <c r="A31" s="79" t="s">
        <v>83</v>
      </c>
      <c r="B31" s="69"/>
      <c r="C31" s="80"/>
      <c r="D31" s="77"/>
      <c r="E31" s="77"/>
      <c r="F31" s="77"/>
      <c r="G31" s="77"/>
      <c r="H31" s="79" t="s">
        <v>207</v>
      </c>
      <c r="I31" s="79" t="s">
        <v>208</v>
      </c>
      <c r="J31" s="77"/>
    </row>
    <row r="32" spans="1:10">
      <c r="A32" s="13"/>
      <c r="B32" s="13"/>
      <c r="C32" s="80"/>
      <c r="D32" s="77"/>
      <c r="E32" s="77"/>
      <c r="F32" s="77"/>
      <c r="G32" s="77"/>
      <c r="H32" s="81">
        <f>F36-I32</f>
        <v>3</v>
      </c>
      <c r="I32" s="81">
        <f>IF(AND($B$30="",$B$31=""),COUNTIF($L$3:$L$20,"?*"),IF($B$31="",COUNTIFS($A$3:$A$20,$B$30,$L$3:$L$20,"?*"),IF($B$30="",COUNTIFS($C$3:$C$20,$B$31,$L$3:$L$20,"?*"),COUNTIFS($A$3:$A$20,$B$30,$C$3:$C$20,$B$31,$L$3:$L$20,"?*"))))</f>
        <v>3</v>
      </c>
      <c r="J32" s="77"/>
    </row>
    <row r="33" spans="1:10">
      <c r="A33" s="13"/>
      <c r="B33" s="1"/>
      <c r="C33" s="80"/>
      <c r="D33" s="77"/>
      <c r="E33" s="77"/>
      <c r="F33" s="77"/>
      <c r="G33" s="82" t="s">
        <v>223</v>
      </c>
      <c r="H33" s="83">
        <f>F37-I33</f>
        <v>0</v>
      </c>
      <c r="I33" s="83">
        <f>IF(AND($B$30="",$B$31=""),COUNTIFS($L$3:$L$20,"?*",$M$3:$M$20,"&gt;="&amp;$B$29,$M$3:$M$20,"&lt;="&amp;$C$29),IF($B$31="",COUNTIFS($A$3:$A$20,$B$30,$L$3:$L$20,"?*",$M$3:$M$20,"&gt;="&amp;$B$29,$M$3:$M$20,"&lt;="&amp;$C$29),IF($B$30="",COUNTIFS($C$3:$C$20,$B$31,$L$3:$L$20,"?*",$M$3:$M$20,"&gt;="&amp;$B$29,$M$3:$M$20,"&lt;="&amp;$C$29),COUNTIFS($A$3:$A$20,$B$30,$C$3:$C$20,$B$31,$L$3:$L$20,"?*",$M$3:$M$20,"&gt;="&amp;$B$29,$M$3:$M$20,"&lt;="&amp;$C$29))))</f>
        <v>1</v>
      </c>
      <c r="J33" s="77"/>
    </row>
    <row r="34" spans="1:10">
      <c r="A34" s="77"/>
      <c r="C34" s="80"/>
      <c r="D34" s="77"/>
      <c r="E34" s="77"/>
      <c r="F34" s="77"/>
      <c r="G34" s="77"/>
      <c r="H34" s="77"/>
      <c r="I34" s="77"/>
      <c r="J34" s="77"/>
    </row>
    <row r="35" spans="1:14">
      <c r="A35" s="79" t="s">
        <v>210</v>
      </c>
      <c r="B35" s="79" t="s">
        <v>211</v>
      </c>
      <c r="C35" s="79" t="s">
        <v>166</v>
      </c>
      <c r="D35" s="79" t="s">
        <v>212</v>
      </c>
      <c r="E35" s="79" t="s">
        <v>213</v>
      </c>
      <c r="F35" s="79" t="s">
        <v>214</v>
      </c>
      <c r="G35" s="79" t="s">
        <v>215</v>
      </c>
      <c r="H35" s="79" t="s">
        <v>216</v>
      </c>
      <c r="I35" s="79" t="s">
        <v>217</v>
      </c>
      <c r="N35" s="13"/>
    </row>
    <row r="36" spans="1:14">
      <c r="A36" s="81">
        <f>IF(AND($B$30="",$B$31=""),COUNTA($D$3:$D$20),IF($B$31="",COUNTIFS($A$3:$A$20,$B$30),IF($B$30="",COUNTIFS($C$3:$C$20,$B$31),COUNTIFS($A$3:$A$20,$B$30,$C$3:$C$20,$B$31))))</f>
        <v>14</v>
      </c>
      <c r="B36" s="81">
        <f>IF(AND($B$30="",$B$31=""),SUM($F$3:$F$20),IF($B$31="",SUMIFS($F$3:$F$20,$A$3:$A$20,$B$30),IF($B$30="",SUMIFS($F$3:$F$20,$C$3:$C$20,$B$31),SUMIFS($F$3:$F$20,$A$3:$A$20,$B$30,$C$3:$C$20,$B$31))))</f>
        <v>57</v>
      </c>
      <c r="C36" s="81">
        <f>IF(AND($B$30="",$B$31=""),SUM($H$3:$H$20),IF($B$31="",SUMIFS($H$3:$H$20,$A$3:$A$20,$B$30),IF($B$30="",SUMIFS($H$3:$H$20,$C$3:$C$20,$B$31),SUMIFS($H$3:$H$20,$A$3:$A$20,$B$30,$C$3:$C$20,$B$31))))</f>
        <v>13</v>
      </c>
      <c r="D36" s="81">
        <f ca="1">IF(AND($B$30="",$B$31=""),COUNTIFS($J$3:$J$20,"x",$N$3:$N$20,"&gt;0"),IF($B$31="",COUNTIFS($A$3:$A$20,$B$30,$J$3:$J$20,"x",$N$3:$N$20,"&gt;0"),IF($B$30="",COUNTIFS($C$3:$C$20,$B$31,$J$3:$J$20,"x",$N$3:$N$20,"&gt;0"),COUNTIFS($A$3:$A$20,$B$30,$C$3:$C$20,$B$31,$J$3:$J$20,"x",$N$3:$N$20,"&gt;0"))))</f>
        <v>7</v>
      </c>
      <c r="E36" s="81">
        <f ca="1">IF(AND($B$30="",$B$31=""),COUNTIFS($J$3:$J$20,"x",$N$3:$N$20,"&lt;=0"),IF($B$31="",COUNTIFS($A$3:$A$20,$B$30,$J$3:$J$20,"x",$N$3:$N$20,"&lt;=0"),IF($B$30="",COUNTIFS($C$3:$C$20,$B$31,$J$3:$J$20,"x",$N$3:$N$20,"&lt;=0"),COUNTIFS($A$3:$A$20,$B$30,$C$3:$C$20,$B$31,$J$3:$J$20,"x",$N$3:$N$20,"&lt;=0"))))</f>
        <v>1</v>
      </c>
      <c r="F36" s="81">
        <f>IF(AND($B$30="",$B$31=""),COUNTIFS($J$3:$J$20,"v"),IF($B$31="",COUNTIFS($A$3:$A$20,$B$30,$J$3:$J$20,"v"),IF($B$30="",COUNTIFS($C$3:$C$20,$B$31,$J$3:$J$20,"v"),COUNTIFS($A$3:$A$20,$B$30,$C$3:$C$20,$B$31,$J$3:$J$20,"v"))))</f>
        <v>6</v>
      </c>
      <c r="G36" s="76">
        <f>IF(C36=0,0,(IF(AND($B$30="",$B$31=""),SUM($K$3:$K$20),IF($B$31="",SUMIFS($K$3:$K$20,$A$3:$A$20,$B$30),IF($B$30="",SUMIFS($K$3:$K$20,$C$3:$C$20,$B$31),SUMIFS($K$3:$K$20,$A$3:$A$20,$B$30,$C$3:$C$20,$B$31))))/C36)*100)</f>
        <v>38.4615384615385</v>
      </c>
      <c r="H36" s="84">
        <f>H32/F36*100</f>
        <v>50</v>
      </c>
      <c r="I36" s="84">
        <f>I32/F36*100</f>
        <v>50</v>
      </c>
      <c r="J36" s="77"/>
      <c r="N36" s="126"/>
    </row>
    <row r="37" spans="1:14">
      <c r="A37" s="83">
        <f>IF(AND($B$30="",$B$31=""),SUMPRODUCT(($D$3:$D$20&lt;&gt;"")*(--$M$3:$M$20&gt;=--$B$29)*(--$M$3:$M$20&lt;=--$C$29)),IF($B$31="",SUMPRODUCT(($A$3:$A$20=$B$30)*($D$3:$D$20&lt;&gt;"")*(--$M$3:$M$20&gt;=--$B$29)*(--$M$3:$M$20&lt;=--$C$29)),IF($B$30="",SUMPRODUCT(($C$3:$C$20=$B$31)*($D$3:$D$20&lt;&gt;"")*(--$M$3:$M$20&gt;=--$B$29)*(--$M$3:$M$20&lt;=--$C$29)),SUMPRODUCT(($A$3:$A$20=$B$30)*($C$3:$C$20=$B$31)*($D$3:$D$20&lt;&gt;"")*(--$M$3:$M$20&gt;=--$B$29)*(--$M$3:$M$20&lt;=--$C$29)))))</f>
        <v>1</v>
      </c>
      <c r="B37" s="83">
        <f>IF(AND($B$30="",$B$31=""),SUMPRODUCT(($F$3:$F$20)*(--$M$3:$M$20&gt;=--$B$29)*(--$M$3:$M$20&lt;=--$C$29)),IF($B$31="",SUMPRODUCT(($A$3:$A$20=$B$30)*($F$3:$F$20)*(--$M$3:$M$20&gt;=--$B$29)*(--$M$3:$M$20&lt;=--$C$29)),IF($B$30="",SUMPRODUCT(($C$3:$C$20=$B$31)*($F$3:$F$20)*(--$M$3:$M$20&gt;=--$B$29)*(--$M$3:$M$20&lt;=--$C$29)),SUMPRODUCT(($A$3:$A$20=$B$30)*($C$3:$C$20=$B$31)*($F$3:$F$20)*(--$M$3:$M$20&gt;=--$B$29)*(--$M$3:$M$20&lt;=--$C$29)))))</f>
        <v>10</v>
      </c>
      <c r="C37" s="83">
        <f>IF(OR($B$29="",$C$29=""),IF(AND($B$30="",$B$31=""),SUM($H$3:$H$20),IF($B$31="",SUMIFS($H$3:$H$20,$A$3:$A$20,$B$30),IF($B$30="",SUMIFS($H$3:$H$20,$C$3:$C$20,$B$31),SUMIFS($H$3:$H$20,$A$3:$A$20,$B$30,$C$3:$C$20,$B$31)))),IF(AND($B$30="",$B$31=""),SUMPRODUCT(($H$3:$H$20)*(--$M$3:$M$20&gt;=--$B$29)*(--$M$3:$M$20&lt;=--$C$29)),IF($B$31="",SUMPRODUCT(($H$3:$H$20)*(--$M$3:$M$20&gt;=--$B$29)*(--$M$3:$M$20&lt;=--$C$29)*(LOOKUP(ROW($A$3:$A$20),ROW($A$3:$A$20)/($A$3:$A$20&lt;&gt;""),$A$3:$A$20)=$B$30)),IF($B$30="",SUMPRODUCT(($H$3:$H$20)*(--$M$3:$M$20&gt;=--$B$29)*(--$M$3:$M$20&lt;=--$C$29)*(LOOKUP(ROW($C$3:$C$20),ROW($C$3:$C$20)/($C$3:$C$20&lt;&gt;""),$C$3:$C$20)=$B$31)),SUMPRODUCT(($H$3:$H$20)*(--$M$3:$M$20&gt;=--$B$29)*(--$M$3:$M$20&lt;=--$C$29)*(LOOKUP(ROW($A$3:$A$20),ROW($A$3:$A$20)/($A$3:$A$20&lt;&gt;""),$A$3:$A$20)=$B$30)*(LOOKUP(ROW($C$3:$C$20),ROW($C$3:$C$20)/($C$3:$C$20&lt;&gt;""),$C$3:$C$20)=$B$31))))))</f>
        <v>4</v>
      </c>
      <c r="D37" s="83">
        <f ca="1">IF(AND($B$30="",$B$31=""),COUNTIFS($J$3:$J$20,"x",$N$3:$N$20,"&gt;0",$M$3:$M$20,"&gt;="&amp;$B$29,$M$3:$M$20,"&lt;="&amp;$C$29),IF($B$31="",COUNTIFS($A$3:$A$20,$B$30,$J$3:$J$20,"x",$N$3:$N$20,"&gt;0",$M$3:$M$20,"&gt;="&amp;$B$29,$M$3:$M$20,"&lt;="&amp;$C$29),IF($B$30="",COUNTIFS($C$3:$C$20,$B$31,$J$3:$J$20,"x",$N$3:$N$20,"&gt;0",$M$3:$M$20,"&gt;="&amp;$B$29,$M$3:$M$20,"&lt;="&amp;$C$29),COUNTIFS($A$3:$A$20,$B$30,$C$3:$C$20,$B$31,$J$3:$J$20,"x",$N$3:$N$20,"&gt;0",$M$3:$M$20,"&gt;="&amp;$B$29,$M$3:$M$20,"&lt;="&amp;$C$29))))</f>
        <v>0</v>
      </c>
      <c r="E37" s="83">
        <f ca="1">IF(AND($B$30="",$B$31=""),COUNTIFS($J$3:$J$20,"x",$N$3:$N$20,"&lt;=0",$M$3:$M$20,"&gt;="&amp;$B$29,$M$3:$M$20,"&lt;="&amp;$C$29),IF($B$31="",COUNTIFS($A$3:$A$20,$B$30,$J$3:$J$20,"x",$N$3:$N$20,"&lt;=0",$M$3:$M$20,"&gt;="&amp;$B$29,$M$3:$M$20,"&lt;="&amp;$C$29),IF($B$30="",COUNTIFS($C$3:$C$20,$B$31,$J$3:$J$20,"x",$N$3:$N$20,"&lt;=0",$M$3:$M$20,"&gt;="&amp;$B$29,$M$3:$M$20,"&lt;="&amp;$C$29),COUNTIFS($A$3:$A$20,$B$30,$C$3:$C$20,$B$31,$J$3:$J$20,"x",$N$3:$N$20,"&lt;=0",$M$3:$M$20,"&gt;="&amp;$B$29,$M$3:$M$20,"&lt;="&amp;$C$29))))</f>
        <v>0</v>
      </c>
      <c r="F37" s="83">
        <f>IF(OR($B$29="",$C$29=""),IF(AND($B$30="",$B$31=""),COUNTIFS($J$3:$J$20,"v"),IF($B$31="",COUNTIFS($A$3:$A$20,$B$30,$J$3:$J$20,"v"),IF($B$30="",COUNTIFS($C$3:$C$20,$B$31,$J$3:$J$20,"v"),COUNTIFS($A$3:$A$20,$B$30,$C$3:$C$20,$B$31,$J$3:$J$20,"v")))),IF(AND($B$30="",$B$31=""),SUMPRODUCT(($J$3:$J$20="v")*(--$M$3:$M$20&gt;=--$B$29)*(--$M$3:$M$20&lt;=--$C$29)),IF($B$31="",SUMPRODUCT(($J$3:$J$20="v")*(--$M$3:$M$20&gt;=--$B$29)*(--$M$3:$M$20&lt;=--$C$29)*(LOOKUP(ROW($A$3:$A$20),ROW($A$3:$A$20)/($A$3:$A$20&lt;&gt;""),$A$3:$A$20)=$B$30)),IF($B$30="",SUMPRODUCT(($J$3:$J$20="v")*(--$M$3:$M$20&gt;=--$B$29)*(--$M$3:$M$20&lt;=--$C$29)*(LOOKUP(ROW($C$3:$C$20),ROW($C$3:$C$20)/($C$3:$C$20&lt;&gt;""),$C$3:$C$20)=$B$31)),SUMPRODUCT(($J$3:$J$20="v")*(--$M$3:$M$20&gt;=--$B$29)*(--$M$3:$M$20&lt;=--$C$29)*(LOOKUP(ROW($A$3:$A$20),ROW($A$3:$A$20)/($A$3:$A$20&lt;&gt;""),$A$3:$A$20)=$B$30)*(LOOKUP(ROW($C$3:$C$20),ROW($C$3:$C$20)/($C$3:$C$20&lt;&gt;""),$C$3:$C$20)=$B$31))))))</f>
        <v>1</v>
      </c>
      <c r="G37" s="85">
        <f>IF(C36=0,0,(IF(AND($B$30="",$B$31=""),SUMIFS($K$3:$K$20,$M$3:$M$20,"&gt;="&amp;$B$29,$M$3:$M$20,"&lt;="&amp;$C$29),IF($B$31="",SUMIFS($K$3:$K$20,$A$3:$A$20,$B$30,$M$3:$M$20,"&gt;="&amp;$B$29,$M$3:$M$20,"&lt;="&amp;$C$29),IF($B$30="",SUMIFS($K$3:$K$20,$C$3:$C$20,$B$31,$M$3:$M$20,"&gt;="&amp;$B$29,$M$3:$M$20,"&lt;="&amp;$C$29),SUMIFS($K$3:$K$20,$A$3:$A$20,$B$30,$C$3:$C$20,$B$31,$M$3:$M$20,"&gt;="&amp;$B$29,$M$3:$M$20,"&lt;="&amp;$C$29))))/C36)*100)</f>
        <v>7.69230769230769</v>
      </c>
      <c r="H37" s="86">
        <f>H33/F37*100</f>
        <v>0</v>
      </c>
      <c r="I37" s="86">
        <f>I33/F37*100</f>
        <v>100</v>
      </c>
      <c r="J37" s="82" t="s">
        <v>224</v>
      </c>
      <c r="N37" s="126"/>
    </row>
    <row r="38" spans="1:14">
      <c r="A38" s="77"/>
      <c r="B38" s="77"/>
      <c r="C38" s="80"/>
      <c r="D38" s="77"/>
      <c r="E38" s="77"/>
      <c r="F38" s="77"/>
      <c r="G38" s="77"/>
      <c r="H38" s="77"/>
      <c r="I38" s="77"/>
      <c r="J38" s="77"/>
      <c r="N38" s="126"/>
    </row>
    <row r="39" spans="1:14">
      <c r="A39" s="77"/>
      <c r="B39" s="77"/>
      <c r="C39" s="80"/>
      <c r="D39" s="77"/>
      <c r="E39" s="77"/>
      <c r="F39" s="77"/>
      <c r="G39" s="77"/>
      <c r="H39" s="77"/>
      <c r="I39" s="77"/>
      <c r="J39" s="77"/>
      <c r="N39" s="126"/>
    </row>
    <row r="40" spans="1:14">
      <c r="A40" s="77" t="s">
        <v>225</v>
      </c>
      <c r="B40" s="77"/>
      <c r="C40" s="80"/>
      <c r="D40" s="77"/>
      <c r="E40" s="77"/>
      <c r="F40" s="77"/>
      <c r="G40" s="77"/>
      <c r="H40" s="77"/>
      <c r="I40" s="77"/>
      <c r="J40" s="77"/>
      <c r="N40" s="126"/>
    </row>
    <row r="41" ht="30" spans="1:14">
      <c r="A41" s="3" t="s">
        <v>226</v>
      </c>
      <c r="B41" s="3" t="s">
        <v>227</v>
      </c>
      <c r="C41" s="87" t="s">
        <v>159</v>
      </c>
      <c r="D41" s="3" t="s">
        <v>228</v>
      </c>
      <c r="E41" s="3" t="s">
        <v>229</v>
      </c>
      <c r="F41" s="87" t="s">
        <v>230</v>
      </c>
      <c r="G41" s="87" t="s">
        <v>231</v>
      </c>
      <c r="H41" s="87" t="s">
        <v>232</v>
      </c>
      <c r="I41" s="87" t="s">
        <v>233</v>
      </c>
      <c r="J41" s="87" t="s">
        <v>234</v>
      </c>
      <c r="K41" s="3" t="s">
        <v>235</v>
      </c>
      <c r="N41" s="126"/>
    </row>
    <row r="42" spans="1:14">
      <c r="A42" s="71">
        <v>1</v>
      </c>
      <c r="B42" s="196" t="str">
        <f ca="1" t="array" ref="B42">IFERROR(INDEX($D$3:$D$20,SMALL(IF(($R$3:$R$20&lt;&gt;"Final Completed")*($R$3:$R$20&lt;&gt;""),ROW($D$3:$D$20)-ROW($D$3)+1),ROW(A1))),"")</f>
        <v>990823184123</v>
      </c>
      <c r="C42" s="81" t="str">
        <f ca="1">IFERROR(INDEX($A$3:$A$20,MATCH($B42,$D$3:$D$20,0)),"")</f>
        <v>TNF</v>
      </c>
      <c r="D42" s="81" t="str">
        <f ca="1">IFERROR(INDEX($C$3:$C$20,MATCH($B42,$D$3:$D$20,0)),"")</f>
        <v>TN2521</v>
      </c>
      <c r="E42" s="81" t="str">
        <f ca="1">IFERROR(INDEX($E$3:$E$20,MATCH($B42,$D$3:$D$20,0)),"")</f>
        <v>CYAN</v>
      </c>
      <c r="F42" s="69">
        <f ca="1">IFERROR(INDEX($F$3:$F$20,MATCH($B42,$D$3:$D$20,0)),"")</f>
        <v>5</v>
      </c>
      <c r="G42" s="81">
        <f ca="1">IFERROR(INDEX($O$3:$O$20,MATCH($B42,$D$3:$D$20,0)),"")</f>
        <v>5</v>
      </c>
      <c r="H42" s="81">
        <f ca="1">IFERROR(INDEX($Q$3:$Q$20,MATCH($B42,$D$3:$D$20,0)),"")</f>
        <v>100</v>
      </c>
      <c r="I42" s="127">
        <f ca="1">IFERROR(INDEX($M$3:$M$20,MATCH($B42,$D$3:$D$20,0)),"")</f>
        <v>46273</v>
      </c>
      <c r="J42" s="81">
        <f ca="1">IFERROR(INDEX($N$3:$N$20,MATCH($B42,$D$3:$D$20,0)),"")</f>
        <v>1</v>
      </c>
      <c r="K42" s="81" t="str">
        <f ca="1">IF(J42="","",IF(J42&lt;=1,"Overdue","Need Final"))</f>
        <v>Overdue</v>
      </c>
      <c r="N42" s="128"/>
    </row>
    <row r="43" ht="13" customHeight="1" spans="1:14">
      <c r="A43" s="71">
        <v>2</v>
      </c>
      <c r="B43" s="196" t="str">
        <f ca="1" t="array" ref="B43">IFERROR(INDEX($D$3:$D$20,SMALL(IF(($R$3:$R$20&lt;&gt;"Final Completed")*($R$3:$R$20&lt;&gt;""),ROW($D$3:$D$20)-ROW($D$3)+1),ROW(A2))),"")</f>
        <v>991380081292</v>
      </c>
      <c r="C43" s="81" t="str">
        <f ca="1" t="shared" ref="C43:C49" si="3">IFERROR(INDEX($A$3:$A$20,MATCH($B43,$D$3:$D$20,0)),"")</f>
        <v>ADIN</v>
      </c>
      <c r="D43" s="81" t="str">
        <f ca="1" t="shared" ref="D43:D49" si="4">IFERROR(INDEX($C$3:$C$20,MATCH($B43,$D$3:$D$20,0)),"")</f>
        <v>NUR20HO</v>
      </c>
      <c r="E43" s="81" t="str">
        <f ca="1" t="shared" ref="E43:E49" si="5">IFERROR(INDEX($E$3:$E$20,MATCH($B43,$D$3:$D$20,0)),"")</f>
        <v>GREEN</v>
      </c>
      <c r="F43" s="69">
        <f ca="1" t="shared" ref="F43:F49" si="6">IFERROR(INDEX($F$3:$F$20,MATCH($B43,$D$3:$D$20,0)),"")</f>
        <v>2</v>
      </c>
      <c r="G43" s="81">
        <f ca="1" t="shared" ref="G43:G49" si="7">IFERROR(INDEX($O$3:$O$20,MATCH($B43,$D$3:$D$20,0)),"")</f>
        <v>2</v>
      </c>
      <c r="H43" s="81">
        <f ca="1" t="shared" ref="H43:H49" si="8">IFERROR(INDEX($Q$3:$Q$20,MATCH($B43,$D$3:$D$20,0)),"")</f>
        <v>100</v>
      </c>
      <c r="I43" s="127">
        <f ca="1" t="shared" ref="I43:I49" si="9">IFERROR(INDEX($M$3:$M$20,MATCH($B43,$D$3:$D$20,0)),"")</f>
        <v>46266</v>
      </c>
      <c r="J43" s="81">
        <f ca="1" t="shared" ref="J43:J49" si="10">IFERROR(INDEX($N$3:$N$20,MATCH($B43,$D$3:$D$20,0)),"")</f>
        <v>-6</v>
      </c>
      <c r="K43" s="81" t="str">
        <f ca="1" t="shared" ref="K43:K49" si="11">IF(J43="","",IF(J43&lt;=1,"Overdue","Need Final"))</f>
        <v>Overdue</v>
      </c>
      <c r="M43" s="13"/>
      <c r="N43" s="128"/>
    </row>
    <row r="44" spans="1:14">
      <c r="A44" s="71">
        <v>3</v>
      </c>
      <c r="B44" s="196" t="str">
        <f ca="1" t="array" ref="B44">IFERROR(INDEX($D$3:$D$20,SMALL(IF(($R$3:$R$20&lt;&gt;"Final Completed")*($R$3:$R$20&lt;&gt;""),ROW($D$3:$D$20)-ROW($D$3)+1),ROW(A3))),"")</f>
        <v>121380044952</v>
      </c>
      <c r="C44" s="81" t="str">
        <f ca="1" t="shared" si="3"/>
        <v>ADIN</v>
      </c>
      <c r="D44" s="81" t="str">
        <f ca="1" t="shared" si="4"/>
        <v>NUR20HO</v>
      </c>
      <c r="E44" s="81" t="str">
        <f ca="1" t="shared" si="5"/>
        <v>FUCHSIA</v>
      </c>
      <c r="F44" s="69">
        <f ca="1" t="shared" si="6"/>
        <v>2</v>
      </c>
      <c r="G44" s="81">
        <f ca="1" t="shared" si="7"/>
        <v>2</v>
      </c>
      <c r="H44" s="81">
        <f ca="1" t="shared" si="8"/>
        <v>100</v>
      </c>
      <c r="I44" s="127">
        <f ca="1" t="shared" si="9"/>
        <v>46274</v>
      </c>
      <c r="J44" s="81">
        <f ca="1" t="shared" si="10"/>
        <v>2</v>
      </c>
      <c r="K44" s="81" t="str">
        <f ca="1" t="shared" si="11"/>
        <v>Need Final</v>
      </c>
      <c r="M44" s="13"/>
      <c r="N44" s="129"/>
    </row>
    <row r="45" spans="1:14">
      <c r="A45" s="71">
        <v>4</v>
      </c>
      <c r="B45" s="71">
        <f ca="1" t="array" ref="B45">IFERROR(INDEX($D$3:$D$20,SMALL(IF(($R$3:$R$20&lt;&gt;"Final Completed")*($R$3:$R$20&lt;&gt;""),ROW($D$3:$D$20)-ROW($D$3)+1),ROW(A4))),"")</f>
        <v>2002189451</v>
      </c>
      <c r="C45" s="81" t="str">
        <f ca="1" t="shared" si="3"/>
        <v>ADIN</v>
      </c>
      <c r="D45" s="81" t="str">
        <f ca="1" t="shared" si="4"/>
        <v>NUR20HO</v>
      </c>
      <c r="E45" s="81" t="str">
        <f ca="1" t="shared" si="5"/>
        <v>NAVY</v>
      </c>
      <c r="F45" s="69">
        <f ca="1" t="shared" si="6"/>
        <v>2</v>
      </c>
      <c r="G45" s="81">
        <f ca="1" t="shared" si="7"/>
        <v>2</v>
      </c>
      <c r="H45" s="81">
        <f ca="1" t="shared" si="8"/>
        <v>100</v>
      </c>
      <c r="I45" s="127">
        <f ca="1" t="shared" si="9"/>
        <v>46273</v>
      </c>
      <c r="J45" s="81">
        <f ca="1" t="shared" si="10"/>
        <v>1</v>
      </c>
      <c r="K45" s="81" t="str">
        <f ca="1" t="shared" si="11"/>
        <v>Overdue</v>
      </c>
      <c r="M45" s="13"/>
      <c r="N45" s="13"/>
    </row>
    <row r="46" spans="1:14">
      <c r="A46" s="71">
        <v>5</v>
      </c>
      <c r="B46" s="71">
        <f ca="1" t="array" ref="B46">IFERROR(INDEX($D$3:$D$20,SMALL(IF(($R$3:$R$20&lt;&gt;"Final Completed")*($R$3:$R$20&lt;&gt;""),ROW($D$3:$D$20)-ROW($D$3)+1),ROW(A5))),"")</f>
        <v>2002189452</v>
      </c>
      <c r="C46" s="81" t="str">
        <f ca="1" t="shared" si="3"/>
        <v>ADIN</v>
      </c>
      <c r="D46" s="81" t="str">
        <f ca="1" t="shared" si="4"/>
        <v>NUR20HO</v>
      </c>
      <c r="E46" s="81" t="str">
        <f ca="1" t="shared" si="5"/>
        <v>NAVY</v>
      </c>
      <c r="F46" s="69">
        <f ca="1" t="shared" si="6"/>
        <v>2</v>
      </c>
      <c r="G46" s="81">
        <f ca="1" t="shared" si="7"/>
        <v>2</v>
      </c>
      <c r="H46" s="81">
        <f ca="1" t="shared" si="8"/>
        <v>100</v>
      </c>
      <c r="I46" s="127">
        <f ca="1" t="shared" si="9"/>
        <v>46273</v>
      </c>
      <c r="J46" s="81">
        <f ca="1" t="shared" si="10"/>
        <v>1</v>
      </c>
      <c r="K46" s="81" t="str">
        <f ca="1" t="shared" si="11"/>
        <v>Overdue</v>
      </c>
      <c r="M46" s="13"/>
      <c r="N46" s="130"/>
    </row>
    <row r="47" spans="1:14">
      <c r="A47" s="71">
        <v>6</v>
      </c>
      <c r="B47" s="196" t="str">
        <f ca="1" t="array" ref="B47">IFERROR(INDEX($D$3:$D$20,SMALL(IF(($R$3:$R$20&lt;&gt;"Final Completed")*($R$3:$R$20&lt;&gt;""),ROW($D$3:$D$20)-ROW($D$3)+1),ROW(A6))),"")</f>
        <v>990825090871</v>
      </c>
      <c r="C47" s="81" t="str">
        <f ca="1" t="shared" si="3"/>
        <v>ADIN</v>
      </c>
      <c r="D47" s="81" t="str">
        <f ca="1" t="shared" si="4"/>
        <v>NUG167</v>
      </c>
      <c r="E47" s="81" t="str">
        <f ca="1" t="shared" si="5"/>
        <v>S99250</v>
      </c>
      <c r="F47" s="69">
        <f ca="1" t="shared" si="6"/>
        <v>2</v>
      </c>
      <c r="G47" s="81">
        <f ca="1" t="shared" si="7"/>
        <v>2</v>
      </c>
      <c r="H47" s="81">
        <f ca="1" t="shared" si="8"/>
        <v>100</v>
      </c>
      <c r="I47" s="127">
        <f ca="1" t="shared" si="9"/>
        <v>46275</v>
      </c>
      <c r="J47" s="81">
        <f ca="1" t="shared" si="10"/>
        <v>3</v>
      </c>
      <c r="K47" s="81" t="str">
        <f ca="1" t="shared" si="11"/>
        <v>Need Final</v>
      </c>
      <c r="M47" s="13"/>
      <c r="N47" s="13"/>
    </row>
    <row r="48" spans="1:14">
      <c r="A48" s="71">
        <v>7</v>
      </c>
      <c r="B48" s="196" t="str">
        <f ca="1" t="array" ref="B48">IFERROR(INDEX($D$3:$D$20,SMALL(IF(($R$3:$R$20&lt;&gt;"Final Completed")*($R$3:$R$20&lt;&gt;""),ROW($D$3:$D$20)-ROW($D$3)+1),ROW(A7))),"")</f>
        <v>990825092185</v>
      </c>
      <c r="C48" s="81" t="str">
        <f ca="1" t="shared" si="3"/>
        <v>ADIN</v>
      </c>
      <c r="D48" s="81" t="str">
        <f ca="1" t="shared" si="4"/>
        <v>CAHY0123</v>
      </c>
      <c r="E48" s="81" t="str">
        <f ca="1" t="shared" si="5"/>
        <v>BQ4325</v>
      </c>
      <c r="F48" s="69">
        <f ca="1" t="shared" si="6"/>
        <v>5</v>
      </c>
      <c r="G48" s="81">
        <f ca="1" t="shared" si="7"/>
        <v>5</v>
      </c>
      <c r="H48" s="81">
        <f ca="1" t="shared" si="8"/>
        <v>100</v>
      </c>
      <c r="I48" s="127">
        <f ca="1" t="shared" si="9"/>
        <v>46274</v>
      </c>
      <c r="J48" s="81">
        <f ca="1" t="shared" si="10"/>
        <v>2</v>
      </c>
      <c r="K48" s="81" t="str">
        <f ca="1" t="shared" si="11"/>
        <v>Need Final</v>
      </c>
      <c r="M48" s="13"/>
      <c r="N48" s="130"/>
    </row>
    <row r="49" spans="1:14">
      <c r="A49" s="71">
        <v>8</v>
      </c>
      <c r="B49" s="71" t="str">
        <f ca="1" t="array" ref="B49">IFERROR(INDEX($D$3:$D$20,SMALL(IF(($R$3:$R$20&lt;&gt;"Final Completed")*($R$3:$R$20&lt;&gt;""),ROW($D$3:$D$20)-ROW($D$3)+1),ROW(A8))),"")</f>
        <v>P3626-491312-158</v>
      </c>
      <c r="C49" s="81" t="str">
        <f ca="1" t="shared" si="3"/>
        <v>UQLN</v>
      </c>
      <c r="D49" s="81" t="str">
        <f ca="1" t="shared" si="4"/>
        <v>UQLOTH</v>
      </c>
      <c r="E49" s="81" t="str">
        <f ca="1" t="shared" si="5"/>
        <v>(S) 09 BLACK</v>
      </c>
      <c r="F49" s="69">
        <f ca="1">IFERROR(INDEX($G$3:$G$20,MATCH($B49,$D$3:$D$20,0)),"")</f>
        <v>6</v>
      </c>
      <c r="G49" s="81">
        <f ca="1" t="shared" si="7"/>
        <v>2</v>
      </c>
      <c r="H49" s="76">
        <f ca="1" t="shared" si="8"/>
        <v>33.3333333333333</v>
      </c>
      <c r="I49" s="127">
        <f ca="1" t="shared" si="9"/>
        <v>46274</v>
      </c>
      <c r="J49" s="81">
        <f ca="1" t="shared" si="10"/>
        <v>2</v>
      </c>
      <c r="K49" s="81" t="str">
        <f ca="1" t="shared" si="11"/>
        <v>Need Final</v>
      </c>
      <c r="M49" s="13"/>
      <c r="N49" s="131"/>
    </row>
    <row r="50" spans="1:14">
      <c r="A50" s="88"/>
      <c r="B50" s="88"/>
      <c r="C50" s="80"/>
      <c r="G50" s="68">
        <f ca="1">SUM(G42:G49)</f>
        <v>22</v>
      </c>
      <c r="M50" s="13"/>
      <c r="N50" s="131"/>
    </row>
    <row r="51" spans="1:14">
      <c r="A51" t="s">
        <v>236</v>
      </c>
      <c r="C51" s="80"/>
      <c r="F51" t="s">
        <v>237</v>
      </c>
      <c r="H51" s="89" t="s">
        <v>238</v>
      </c>
      <c r="M51" s="13"/>
      <c r="N51" s="13"/>
    </row>
    <row r="52" ht="24" spans="1:14">
      <c r="A52" s="90" t="s">
        <v>239</v>
      </c>
      <c r="B52" s="90" t="s">
        <v>240</v>
      </c>
      <c r="C52" s="90" t="s">
        <v>164</v>
      </c>
      <c r="D52" s="90" t="s">
        <v>166</v>
      </c>
      <c r="E52" s="90" t="s">
        <v>126</v>
      </c>
      <c r="F52" s="90" t="s">
        <v>173</v>
      </c>
      <c r="H52" s="90" t="s">
        <v>239</v>
      </c>
      <c r="I52" s="90" t="s">
        <v>240</v>
      </c>
      <c r="J52" s="90" t="s">
        <v>164</v>
      </c>
      <c r="K52" s="90" t="s">
        <v>166</v>
      </c>
      <c r="L52" s="90" t="s">
        <v>126</v>
      </c>
      <c r="M52" s="90" t="s">
        <v>173</v>
      </c>
      <c r="N52" s="13"/>
    </row>
    <row r="53" spans="1:14">
      <c r="A53" s="91" t="s">
        <v>241</v>
      </c>
      <c r="B53" s="92">
        <f>IF(AND($B$30="",$B$31=""),COUNTIFS($J$3:$J$20,"v",$L$3:$L$20,""),IF($B$31="",COUNTIFS($A$3:$A$20,$B$30,$J$3:$J$20,"v",$L$3:$L$20,""),IF($B$30="",COUNTIFS($C$3:$C$20,$B$31,$J$3:$J$20,"v",$L$3:$L$20,""),COUNTIFS($A$3:$A$20,$B$30,$C$3:$C$20,$B$31,$J$3:$J$20,"v",$L$3:$L$20,""))))</f>
        <v>3</v>
      </c>
      <c r="C53" s="92">
        <f ca="1">IF(AND($B$30="",$B$31=""),SUMIF($S$3:$S$20,"Pass",$F$3:$F$20),IF($B$31="",SUMIFS($F$3:$F$20,$A$3:$A$20,$B$30,$S$3:$S$20,"Pass"),IF($B$30="",SUMIFS($F$3:$F$20,$C$3:$C$20,$B$31,$S$3:$S$20,"Pass"),SUMIFS($F$3:$F$20,$A$3:$A$20,$B$30,$C$3:$C$20,$B$31,$S$3:$S$20,"Pass"))))</f>
        <v>15</v>
      </c>
      <c r="D53" s="92">
        <f>IF(AND($B$30="",$B$31=""),SUMIFS($H$3:$H$20,$J$3:$J$20,"v",$L$3:$L$20,""),IF($B$31="",SUMIFS($H$3:$H$20,$A$3:$A$20,$B$30,$J$3:$J$20,"v",$L$3:$L$20,""),IF($B$30="",SUMIFS($H$3:$H$20,$C$3:$C$20,$B$31,$J$3:$J$20,"v",$L$3:$L$20,""),SUMIFS($H$3:$H$20,$A$3:$A$20,$B$30,$C$3:$C$20,$B$31,$J$3:$J$20,"v",$L$3:$L$20,""))))</f>
        <v>3</v>
      </c>
      <c r="E53" s="92">
        <f>IF(AND($B$30="",$B$31=""),SUMIFS($O$3:$O$20,$J$3:$J$20,"v",$L$3:$L$20,""),IF($B$31="",SUMIFS($O$3:$O$20,$A$3:$A$20,$B$30,$J$3:$J$20,"v",$L$3:$L$20,""),IF($B$30="",SUMIFS($O$3:$O$20,$C$3:$C$20,$B$31,$J$3:$J$20,"v",$L$3:$L$20,""),SUMIFS($O$3:$O$20,$A$3:$A$20,$B$30,$C$3:$C$20,$B$31,$J$3:$J$20,"v",$L$3:$L$20,""))))</f>
        <v>15</v>
      </c>
      <c r="F53" s="92">
        <f ca="1">(E53/C53)*100</f>
        <v>100</v>
      </c>
      <c r="H53" s="91" t="s">
        <v>241</v>
      </c>
      <c r="I53" s="92">
        <f>F37-I33</f>
        <v>0</v>
      </c>
      <c r="J53" s="92"/>
      <c r="K53" s="92"/>
      <c r="L53" s="92"/>
      <c r="M53" s="92" t="e">
        <f t="shared" ref="M53:M55" si="12">(L53/J53)*100</f>
        <v>#DIV/0!</v>
      </c>
      <c r="N53" s="13"/>
    </row>
    <row r="54" spans="1:14">
      <c r="A54" s="93" t="s">
        <v>242</v>
      </c>
      <c r="B54" s="92">
        <f>IF(AND($B$30="",$B$31=""),COUNTIF($L$3:$L$20,"?*"),IF($B$31="",COUNTIFS($A$3:$A$20,$B$30,$L$3:$L$20,"?*"),IF($B$30="",COUNTIFS($C$3:$C$20,$B$31,$L$3:$L$20,"?*"),COUNTIFS($A$3:$A$20,$B$30,$C$3:$C$20,$B$31,$L$3:$L$20,"?*"))))</f>
        <v>3</v>
      </c>
      <c r="C54" s="92">
        <f ca="1">IF(AND($B$30="",$B$31=""),SUMIF($S$3:$S$20,"Reject",$G$3:$G$20),IF($B$31="",SUMIFS($G$3:$G$20,$A$3:$A$20,$B$30,$S$3:$S$20,"Reject"),IF($B$30="",SUMIFS($G$3:$G$20,$C$3:$C$20,$B$31,$S$3:$S$20,"Reject"),SUMIFS($G$3:$G$20,$A$3:$A$20,$B$30,$C$3:$C$20,$B$31,$S$3:$S$20,"Reject"))))</f>
        <v>16</v>
      </c>
      <c r="D54" s="92">
        <f>IF(AND($B$30="",$B$31=""),SUMIFS($H$3:$H$20,$L$3:$L$20,"?*"),IF($B$31="",SUMIFS($H$3:$H$20,$A$3:$A$20,$B$30,$L$3:$L$20,"?*"),IF($B$30="",SUMIFS($H$3:$H$20,$C$3:$C$20,$B$31,$L$3:$L$20,"?*"),SUMIFS($H$3:$H$20,$A$3:$A$20,$B$30,$C$3:$C$20,$B$31,$L$3:$L$20,"?*"))))</f>
        <v>10</v>
      </c>
      <c r="E54" s="92">
        <f>IF(AND($B$30="",$B$31=""),SUMIFS($O$3:$O$20,$L$3:$L$20,"?*"),IF($B$31="",SUMIFS($O$3:$O$20,$A$3:$A$20,$B$30,$L$3:$L$20,"?*"),IF($B$30="",SUMIFS($O$3:$O$20,$C$3:$C$20,$B$31,$L$3:$L$20,"?*"),SUMIFS($O$3:$O$20,$A$3:$A$20,$B$30,$C$3:$C$20,$B$31,$L$3:$L$20,"?*"))))</f>
        <v>16</v>
      </c>
      <c r="F54" s="94">
        <f ca="1">(E54/C54)*100</f>
        <v>100</v>
      </c>
      <c r="H54" s="93" t="s">
        <v>242</v>
      </c>
      <c r="I54" s="92">
        <f>IF(OR($B$29="",$C$29=""),IF(AND($B$30="",$B$31=""),COUNTIF($L$3:$L$20,"?*"),IF($B$31="",COUNTIFS($A$3:$A$20,$B$30,$L$3:$L$20,"?*"),IF($B$30="",COUNTIFS($C$3:$C$20,$B$31,$L$3:$L$20,"?*"),COUNTIFS($A$3:$A$20,$B$30,$C$3:$C$20,$B$31,$L$3:$L$20,"?*")))),IF(AND($B$30="",$B$31=""),COUNTIFS($L$3:$L$20,"?*",$M$3:$M$20,"&gt;="&amp;$B$29,$M$3:$M$20,"&lt;="&amp;$C$29),IF($B$31="",COUNTIFS($A$3:$A$20,$B$30,$L$3:$L$20,"?*",$M$3:$M$20,"&gt;="&amp;$B$29,$M$3:$M$20,"&lt;="&amp;$C$29),IF($B$30="",COUNTIFS($C$3:$C$20,$B$31,$L$3:$L$20,"?*",$M$3:$M$20,"&gt;="&amp;$B$29,$M$3:$M$20,"&lt;="&amp;$C$29),COUNTIFS($A$3:$A$20,$B$30,$C$3:$C$20,$B$31,$L$3:$L$20,"?*",$M$3:$M$20,"&gt;="&amp;$B$29,$M$3:$M$20,"&lt;="&amp;$C$29)))))</f>
        <v>1</v>
      </c>
      <c r="J54" s="92">
        <f ca="1">IF(OR($B$29="",$C$29=""),IF(AND($B$30="",$B$31=""),SUMIF($S$3:$S$20,"Reject",$G$3:$G$20),IF($B$31="",SUMIFS($G$3:$G$20,$A$3:$A$20,$B$30,$S$3:$S$20,"Reject"),IF($B$30="",SUMIFS($G$3:$G$20,$C$3:$C$20,$B$31,$S$3:$S$20,"Reject"),SUMIFS($G$3:$G$20,$A$3:$A$20,$B$30,$C$3:$C$20,$B$31,$S$3:$S$20,"Reject")))),IF(AND($B$30="",$B$31=""),SUMIFS($G$3:$G$20,$S$3:$S$20,"Reject",$M$3:$M$20,"&gt;="&amp;$B$29,$M$3:$M$20,"&lt;="&amp;$C$29),IF($B$31="",SUMIFS($G$3:$G$20,$A$3:$A$20,$B$30,$S$3:$S$20,"Reject",$M$3:$M$20,"&gt;="&amp;$B$29,$M$3:$M$20,"&lt;="&amp;$C$29),IF($B$30="",SUMIFS($G$3:$G$20,$C$3:$C$20,$B$31,$S$3:$S$20,"Reject",$M$3:$M$20,"&gt;="&amp;$B$29,$M$3:$M$20,"&lt;="&amp;$C$29),SUMIFS($G$3:$G$20,$A$3:$A$20,$B$30,$C$3:$C$20,$B$31,$S$3:$S$20,"Reject",$M$3:$M$20,"&gt;="&amp;$B$29,$M$3:$M$20,"&lt;="&amp;$C$29)))))</f>
        <v>10</v>
      </c>
      <c r="K54" s="92">
        <f>IF(OR($B$29="",$C$29=""),IF(AND($B$30="",$B$31=""),SUMIFS($H$3:$H$20,$L$3:$L$20,"?*"),IF($B$31="",SUMIFS($H$3:$H$20,$A$3:$A$20,$B$30,$L$3:$L$20,"?*"),IF($B$30="",SUMIFS($H$3:$H$20,$C$3:$C$20,$B$31,$L$3:$L$20,"?*"),SUMIFS($H$3:$H$20,$A$3:$A$20,$B$30,$C$3:$C$20,$B$31,$L$3:$L$20,"?*")))),IF(AND($B$30="",$B$31=""),SUMIFS($H$3:$H$20,$L$3:$L$20,"?*",$M$3:$M$20,"&gt;="&amp;$B$29,$M$3:$M$20,"&lt;="&amp;$C$29),IF($B$31="",SUMIFS($H$3:$H$20,$A$3:$A$20,$B$30,$L$3:$L$20,"?*",$M$3:$M$20,"&gt;="&amp;$B$29,$M$3:$M$20,"&lt;="&amp;$C$29),IF($B$30="",SUMIFS($H$3:$H$20,$C$3:$C$20,$B$31,$L$3:$L$20,"?*",$M$3:$M$20,"&gt;="&amp;$B$29,$M$3:$M$20,"&lt;="&amp;$C$29),SUMIFS($H$3:$H$20,$A$3:$A$20,$B$30,$C$3:$C$20,$B$31,$L$3:$L$20,"?*",$M$3:$M$20,"&gt;="&amp;$B$29,$M$3:$M$20,"&lt;="&amp;$C$29)))))</f>
        <v>4</v>
      </c>
      <c r="L54" s="92">
        <f>IF(OR($B$29="",$C$29=""),IF(AND($B$30="",$B$31=""),SUMIFS($O$3:$O$20,$L$3:$L$20,"?*"),IF($B$31="",SUMIFS($O$3:$O$20,$A$3:$A$20,$B$30,$L$3:$L$20,"?*"),IF($B$30="",SUMIFS($O$3:$O$20,$C$3:$C$20,$B$31,$L$3:$L$20,"?*"),SUMIFS($O$3:$O$20,$A$3:$A$20,$B$30,$C$3:$C$20,$B$31,$L$3:$L$20,"?*")))),IF(AND($B$30="",$B$31=""),SUMIFS($O$3:$O$20,$L$3:$L$20,"?*",$M$3:$M$20,"&gt;="&amp;$B$29,$M$3:$M$20,"&lt;="&amp;$C$29),IF($B$31="",SUMIFS($O$3:$O$20,$A$3:$A$20,$B$30,$L$3:$L$20,"?*",$M$3:$M$20,"&gt;="&amp;$B$29,$M$3:$M$20,"&lt;="&amp;$C$29),IF($B$30="",SUMIFS($O$3:$O$20,$C$3:$C$20,$B$31,$L$3:$L$20,"?*",$M$3:$M$20,"&gt;="&amp;$B$29,$M$3:$M$20,"&lt;="&amp;$C$29),SUMIFS($O$3:$O$20,$A$3:$A$20,$B$30,$C$3:$C$20,$B$31,$L$3:$L$20,"?*",$M$3:$M$20,"&gt;="&amp;$B$29,$M$3:$M$20,"&lt;="&amp;$C$29)))))</f>
        <v>10</v>
      </c>
      <c r="M54" s="94">
        <f ca="1" t="shared" si="12"/>
        <v>100</v>
      </c>
      <c r="N54" s="13"/>
    </row>
    <row r="55" spans="1:15">
      <c r="A55" s="95" t="s">
        <v>243</v>
      </c>
      <c r="B55" s="92">
        <f>IF(AND($B$30="",$B$31=""),COUNTIFS($J$3:$J$20,"x"),IF($B$31="",COUNTIFS($A$3:$A$20,$B$30,$J$3:$J$20,"x"),IF($B$30="",COUNTIFS($C$3:$C$20,$B$31,$J$3:$J$20,"x"),COUNTIFS($A$3:$A$20,$B$30,$C$3:$C$20,$B$31,$J$3:$J$20,"x"))))</f>
        <v>8</v>
      </c>
      <c r="C55" s="92">
        <f ca="1">IF(AND($B$30="",$B$31=""),SUMIF($S$3:$S$20,"Not Final",$G$3:$G$20),IF($B$31="",SUMIFS($G$3:$G$20,$A$3:$A$20,$B$30,$S$3:$S$20,"Not Final"),IF($B$30="",SUMIFS($G$3:$G$20,$C$3:$C$20,$B$31,$S$3:$S$20,"Not Final"),SUMIFS($G$3:$G$20,$A$3:$A$20,$B$30,$C$3:$C$20,$B$31,$S$3:$S$20,"Not Final"))))</f>
        <v>26</v>
      </c>
      <c r="D55" s="92">
        <v>0</v>
      </c>
      <c r="E55" s="92">
        <f>IF(AND($B$30="",$B$31=""),SUMIFS($O$3:$O$20,$J$3:$J$20,"x"),IF($B$31="",SUMIFS($O$3:$O$20,$A$3:$A$20,$B$30,$J$3:$J$20,"x"),IF($B$30="",SUMIFS($O$3:$O$20,$C$3:$C$20,$B$31,$J$3:$J$20,"x"),SUMIFS($O$3:$O$20,$A$3:$A$20,$B$30,$C$3:$C$20,$B$31,$J$3:$J$20,"x"))))</f>
        <v>22</v>
      </c>
      <c r="F55" s="94">
        <f ca="1">(E55/C55)*100</f>
        <v>84.6153846153846</v>
      </c>
      <c r="H55" s="95" t="s">
        <v>243</v>
      </c>
      <c r="I55" s="92">
        <f>IF(OR($B$29="",$C$29=""),IF(AND($B$30="",$B$31=""),COUNTIFS($J$3:$J$20,"x"),IF($B$31="",COUNTIFS($A$3:$A$20,$B$30,$J$3:$J$20,"x"),IF($B$30="",COUNTIFS($C$3:$C$20,$B$31,$J$3:$J$20,"x"),COUNTIFS($A$3:$A$20,$B$30,$C$3:$C$20,$B$31,$J$3:$J$20,"x")))),IF(AND($B$30="",$B$31=""),COUNTIFS($J$3:$J$20,"x",$M$3:$M$20,"&gt;="&amp;$B$29,$M$3:$M$20,"&lt;="&amp;$C$29),IF($B$31="",COUNTIFS($A$3:$A$20,$B$30,$J$3:$J$20,"x",$M$3:$M$20,"&gt;="&amp;$B$29,$M$3:$M$20,"&lt;="&amp;$C$29),IF($B$30="",COUNTIFS($C$3:$C$20,$B$31,$J$3:$J$20,"x",$M$3:$M$20,"&gt;="&amp;$B$29,$M$3:$M$20,"&lt;="&amp;$C$29),COUNTIFS($A$3:$A$20,$B$30,$C$3:$C$20,$B$31,$J$3:$J$20,"x",$M$3:$M$20,"&gt;="&amp;$B$29,$M$3:$M$20,"&lt;="&amp;$C$29)))))</f>
        <v>0</v>
      </c>
      <c r="J55" s="92">
        <f ca="1">IF(OR($B$29="",$C$29=""),IF(AND($B$30="",$B$31=""),SUMIF($S$3:$S$20,"Not Final",$G$3:$G$20),IF($B$31="",SUMIFS($G$3:$G$20,$A$3:$A$20,$B$30,$S$3:$S$20,"Not Final"),IF($B$30="",SUMIFS($G$3:$G$20,$C$3:$C$20,$B$31,$S$3:$S$20,"Not Final"),SUMIFS($G$3:$G$20,$A$3:$A$20,$B$30,$C$3:$C$20,$B$31,$S$3:$S$20,"Not Final")))),IF(AND($B$30="",$B$31=""),SUMIFS($G$3:$G$20,$S$3:$S$20,"Not Final",$M$3:$M$20,"&gt;="&amp;$B$29,$M$3:$M$20,"&lt;="&amp;$C$29),IF($B$31="",SUMIFS($G$3:$G$20,$A$3:$A$20,$B$30,$S$3:$S$20,"Not Final",$M$3:$M$20,"&gt;="&amp;$B$29,$M$3:$M$20,"&lt;="&amp;$C$29),IF($B$30="",SUMIFS($G$3:$G$20,$C$3:$C$20,$B$31,$S$3:$S$20,"Not Final",$M$3:$M$20,"&gt;="&amp;$B$29,$M$3:$M$20,"&lt;="&amp;$C$29),SUMIFS($G$3:$G$20,$A$3:$A$20,$B$30,$C$3:$C$20,$B$31,$S$3:$S$20,"Not Final",$M$3:$M$20,"&gt;="&amp;$B$29,$M$3:$M$20,"&lt;="&amp;$C$29)))))</f>
        <v>0</v>
      </c>
      <c r="K55" s="92">
        <v>0</v>
      </c>
      <c r="L55" s="92">
        <f>IF(OR($B$29="",$C$29=""),IF(AND($B$30="",$B$31=""),SUMIFS($O$3:$O$20,$J$3:$J$20,"x"),IF($B$31="",SUMIFS($O$3:$O$20,$A$3:$A$20,$B$30,$J$3:$J$20,"x"),IF($B$30="",SUMIFS($O$3:$O$20,$C$3:$C$20,$B$31,$J$3:$J$20,"x"),SUMIFS($O$3:$O$20,$A$3:$A$20,$B$30,$C$3:$C$20,$B$31,$J$3:$J$20,"x")))),IF(AND($B$30="",$B$31=""),SUMIFS($O$3:$O$20,$J$3:$J$20,"x",$M$3:$M$20,"&gt;="&amp;$B$29,$M$3:$M$20,"&lt;="&amp;$C$29),IF($B$31="",SUMIFS($O$3:$O$20,$A$3:$A$20,$B$30,$J$3:$J$20,"x",$M$3:$M$20,"&gt;="&amp;$B$29,$M$3:$M$20,"&lt;="&amp;$C$29),IF($B$30="",SUMIFS($O$3:$O$20,$C$3:$C$20,$B$31,$J$3:$J$20,"x",$M$3:$M$20,"&gt;="&amp;$B$29,$M$3:$M$20,"&lt;="&amp;$C$29),SUMIFS($O$3:$O$20,$A$3:$A$20,$B$30,$C$3:$C$20,$B$31,$J$3:$J$20,"x",$M$3:$M$20,"&gt;="&amp;$B$29,$M$3:$M$20,"&lt;="&amp;$C$29)))))</f>
        <v>0</v>
      </c>
      <c r="M55" s="94" t="e">
        <f ca="1" t="shared" si="12"/>
        <v>#DIV/0!</v>
      </c>
      <c r="N55" s="13"/>
      <c r="O55">
        <v>41</v>
      </c>
    </row>
    <row r="56" spans="1:13">
      <c r="A56" s="96" t="s">
        <v>244</v>
      </c>
      <c r="B56" s="97">
        <f>SUM(B53:B54)</f>
        <v>6</v>
      </c>
      <c r="C56" s="97">
        <f ca="1">SUM(C53:C54)</f>
        <v>31</v>
      </c>
      <c r="D56" s="97">
        <f t="shared" ref="D56:M56" si="13">SUM(D53:D54)</f>
        <v>13</v>
      </c>
      <c r="E56" s="97">
        <f t="shared" si="13"/>
        <v>31</v>
      </c>
      <c r="F56" s="98">
        <f ca="1" t="shared" si="13"/>
        <v>200</v>
      </c>
      <c r="H56" s="96" t="s">
        <v>244</v>
      </c>
      <c r="I56" s="97">
        <f t="shared" si="13"/>
        <v>1</v>
      </c>
      <c r="J56" s="97">
        <f ca="1" t="shared" si="13"/>
        <v>10</v>
      </c>
      <c r="K56" s="97">
        <f t="shared" si="13"/>
        <v>4</v>
      </c>
      <c r="L56" s="97">
        <f t="shared" si="13"/>
        <v>10</v>
      </c>
      <c r="M56" s="98" t="e">
        <f ca="1" t="shared" si="13"/>
        <v>#DIV/0!</v>
      </c>
    </row>
    <row r="57" spans="1:13">
      <c r="A57" s="96" t="s">
        <v>245</v>
      </c>
      <c r="B57" s="97">
        <f>SUM(B53:B55)</f>
        <v>14</v>
      </c>
      <c r="C57" s="97">
        <f ca="1">SUM(C53:C55)</f>
        <v>57</v>
      </c>
      <c r="D57" s="97">
        <f t="shared" ref="D57:M57" si="14">SUM(D53:D55)</f>
        <v>13</v>
      </c>
      <c r="E57" s="97">
        <f t="shared" si="14"/>
        <v>53</v>
      </c>
      <c r="F57" s="98">
        <f ca="1" t="shared" si="14"/>
        <v>284.615384615385</v>
      </c>
      <c r="H57" s="96" t="s">
        <v>245</v>
      </c>
      <c r="I57" s="97">
        <f t="shared" si="14"/>
        <v>1</v>
      </c>
      <c r="J57" s="97">
        <f ca="1" t="shared" si="14"/>
        <v>10</v>
      </c>
      <c r="K57" s="97">
        <f t="shared" si="14"/>
        <v>4</v>
      </c>
      <c r="L57" s="97">
        <f t="shared" si="14"/>
        <v>10</v>
      </c>
      <c r="M57" s="98" t="e">
        <f ca="1" t="shared" si="14"/>
        <v>#DIV/0!</v>
      </c>
    </row>
    <row r="59" spans="1:7">
      <c r="A59" t="s">
        <v>246</v>
      </c>
      <c r="G59" t="s">
        <v>247</v>
      </c>
    </row>
    <row r="60" spans="4:12">
      <c r="D60" s="99" t="s">
        <v>241</v>
      </c>
      <c r="E60" s="99" t="s">
        <v>242</v>
      </c>
      <c r="G60" s="100" t="s">
        <v>226</v>
      </c>
      <c r="H60" s="100" t="s">
        <v>248</v>
      </c>
      <c r="I60" s="100" t="s">
        <v>66</v>
      </c>
      <c r="J60" s="100" t="s">
        <v>67</v>
      </c>
      <c r="K60" s="100" t="s">
        <v>249</v>
      </c>
      <c r="L60" s="3" t="s">
        <v>103</v>
      </c>
    </row>
    <row r="61" spans="4:12">
      <c r="D61" s="101">
        <f>(D53/D56)*100</f>
        <v>23.0769230769231</v>
      </c>
      <c r="E61" s="102">
        <f>(D54/D56)*100</f>
        <v>76.9230769230769</v>
      </c>
      <c r="G61" s="103">
        <v>1</v>
      </c>
      <c r="H61" s="103">
        <v>103</v>
      </c>
      <c r="I61" s="92" t="str">
        <f>IF(H61="","",IFERROR(INDEX('[1]MASTER SUB QC DEFECT'!$C$2:$C$145,MATCH(H61,'[1]MASTER SUB QC DEFECT'!$A$2:$A$145,0)),"0"))</f>
        <v>Incorrect color (C3)</v>
      </c>
      <c r="J61" s="103">
        <v>1</v>
      </c>
      <c r="K61" s="102">
        <f>(J61/J68)*100</f>
        <v>20</v>
      </c>
      <c r="L61" s="103" t="str">
        <f>INDEX('[1]MASTER SUB QC DEFECT'!$G$3:$G$142,MATCH(I61,'[1]MASTER SUB QC DEFECT'!$C$3:$C$142,0))</f>
        <v>Non Process</v>
      </c>
    </row>
    <row r="62" spans="7:12">
      <c r="G62" s="103">
        <v>2</v>
      </c>
      <c r="H62" s="103">
        <v>101</v>
      </c>
      <c r="I62" s="92" t="str">
        <f>IF(H62="","",IFERROR(INDEX('[1]MASTER SUB QC DEFECT'!$C$2:$C$145,MATCH(H62,'[1]MASTER SUB QC DEFECT'!$A$2:$A$145,0)),"0"))</f>
        <v>Hole (C8)</v>
      </c>
      <c r="J62" s="103">
        <v>2</v>
      </c>
      <c r="K62" s="102">
        <f>(J62/J68)*100</f>
        <v>40</v>
      </c>
      <c r="L62" s="103" t="str">
        <f>INDEX('[1]MASTER SUB QC DEFECT'!$G$3:$G$142,MATCH(I62,'[1]MASTER SUB QC DEFECT'!$C$3:$C$142,0))</f>
        <v>Non Process</v>
      </c>
    </row>
    <row r="63" spans="1:12">
      <c r="A63" t="s">
        <v>250</v>
      </c>
      <c r="G63" s="103">
        <v>3</v>
      </c>
      <c r="H63" s="103">
        <v>201</v>
      </c>
      <c r="I63" s="92" t="str">
        <f>IF(H63="","",IFERROR(INDEX('[1]MASTER SUB QC DEFECT'!$C$2:$C$145,MATCH(H63,'[1]MASTER SUB QC DEFECT'!$A$2:$A$145,0)),"0"))</f>
        <v>Seam puckering (C4)</v>
      </c>
      <c r="J63" s="103">
        <v>1</v>
      </c>
      <c r="K63" s="102">
        <f>(J63/J68)*100</f>
        <v>20</v>
      </c>
      <c r="L63" s="103" t="str">
        <f>INDEX('[1]MASTER SUB QC DEFECT'!$G$3:$G$142,MATCH(I63,'[1]MASTER SUB QC DEFECT'!$C$3:$C$142,0))</f>
        <v>Process</v>
      </c>
    </row>
    <row r="64" spans="7:12">
      <c r="G64" s="103">
        <v>4</v>
      </c>
      <c r="H64" s="103"/>
      <c r="I64" s="92" t="str">
        <f>IF(H64="","",IFERROR(INDEX('[1]MASTER SUB QC DEFECT'!$C$2:$C$145,MATCH(H64,'[1]MASTER SUB QC DEFECT'!$A$2:$A$145,0)),"0"))</f>
        <v/>
      </c>
      <c r="J64" s="103"/>
      <c r="K64" s="102">
        <f>(J64/J68)*100</f>
        <v>0</v>
      </c>
      <c r="L64" s="103" t="e">
        <f>INDEX('[1]MASTER SUB QC DEFECT'!$G$3:$G$142,MATCH(I64,'[1]MASTER SUB QC DEFECT'!$C$3:$C$142,0))</f>
        <v>#N/A</v>
      </c>
    </row>
    <row r="65" spans="7:12">
      <c r="G65" s="103">
        <v>5</v>
      </c>
      <c r="H65" s="103"/>
      <c r="I65" s="92" t="str">
        <f>IF(H65="","",IFERROR(INDEX('[1]MASTER SUB QC DEFECT'!$C$2:$C$145,MATCH(H65,'[1]MASTER SUB QC DEFECT'!$A$2:$A$145,0)),"0"))</f>
        <v/>
      </c>
      <c r="J65" s="103"/>
      <c r="K65" s="102">
        <f>(J65/J68)*100</f>
        <v>0</v>
      </c>
      <c r="L65" s="103" t="e">
        <f>INDEX('[1]MASTER SUB QC DEFECT'!$G$3:$G$142,MATCH(I65,'[1]MASTER SUB QC DEFECT'!$C$3:$C$142,0))</f>
        <v>#N/A</v>
      </c>
    </row>
    <row r="66" spans="7:12">
      <c r="G66" s="103" t="s">
        <v>10</v>
      </c>
      <c r="H66" s="103">
        <v>800</v>
      </c>
      <c r="I66" s="92" t="str">
        <f>IF(H66="","",IFERROR(INDEX('[1]MASTER SUB QC DEFECT'!$C$2:$C$145,MATCH(H66,'[1]MASTER SUB QC DEFECT'!$A$2:$A$145,0)),"0"))</f>
        <v>B Grade</v>
      </c>
      <c r="J66" s="103">
        <v>1</v>
      </c>
      <c r="K66" s="102">
        <f>(J66/J68)*100</f>
        <v>20</v>
      </c>
      <c r="L66" s="103"/>
    </row>
    <row r="67" spans="7:12">
      <c r="G67" s="103" t="s">
        <v>10</v>
      </c>
      <c r="H67" s="103">
        <v>900</v>
      </c>
      <c r="I67" s="92" t="str">
        <f>IF(H67="","",IFERROR(INDEX('[1]MASTER SUB QC DEFECT'!$C$2:$C$145,MATCH(H67,'[1]MASTER SUB QC DEFECT'!$A$2:$A$145,0)),"0"))</f>
        <v>C Grade</v>
      </c>
      <c r="J67" s="103"/>
      <c r="K67" s="102">
        <f>(J67/J68)*100</f>
        <v>0</v>
      </c>
      <c r="L67" s="69"/>
    </row>
    <row r="68" spans="1:11">
      <c r="A68" t="s">
        <v>251</v>
      </c>
      <c r="J68" s="134">
        <f>SUM(J61:J67)</f>
        <v>5</v>
      </c>
      <c r="K68" s="135">
        <f>SUM(K61:K67)</f>
        <v>100</v>
      </c>
    </row>
    <row r="69" spans="4:5">
      <c r="D69" s="99" t="s">
        <v>241</v>
      </c>
      <c r="E69" s="99" t="s">
        <v>242</v>
      </c>
    </row>
    <row r="70" spans="4:5">
      <c r="D70" s="101">
        <f ca="1">(C53/C57)*100</f>
        <v>26.3157894736842</v>
      </c>
      <c r="E70" s="102">
        <f ca="1">(C54/C57)*100</f>
        <v>28.0701754385965</v>
      </c>
    </row>
    <row r="71" spans="7:7">
      <c r="G71" t="s">
        <v>252</v>
      </c>
    </row>
    <row r="72" spans="7:9">
      <c r="G72" s="69"/>
      <c r="H72" s="69" t="s">
        <v>79</v>
      </c>
      <c r="I72" s="69" t="s">
        <v>80</v>
      </c>
    </row>
    <row r="73" spans="7:9">
      <c r="G73" s="69" t="s">
        <v>19</v>
      </c>
      <c r="H73" s="81">
        <f>SUMIF($L$61:$L$65,"Process",$J$61:$J$65)</f>
        <v>1</v>
      </c>
      <c r="I73" s="81">
        <f>SUMIF($L$61:$L$65,"Non Process",$J$61:$J$65)</f>
        <v>3</v>
      </c>
    </row>
    <row r="74" spans="7:9">
      <c r="G74" s="69" t="s">
        <v>68</v>
      </c>
      <c r="H74" s="84">
        <f>SUMIF(L61:L65,"Process",J61:J65)/D57*100</f>
        <v>7.69230769230769</v>
      </c>
      <c r="I74" s="84">
        <f>SUMIF(L61:L65,"Non Process",J61:J65)/D57*100</f>
        <v>23.0769230769231</v>
      </c>
    </row>
    <row r="87" spans="1:1">
      <c r="A87">
        <v>201</v>
      </c>
    </row>
  </sheetData>
  <dataValidations count="3">
    <dataValidation type="list" allowBlank="1" showInputMessage="1" showErrorMessage="1" sqref="B30">
      <formula1>'Endline Dashboard'!$C$82:$C$84</formula1>
    </dataValidation>
    <dataValidation type="list" allowBlank="1" showInputMessage="1" showErrorMessage="1" sqref="B31">
      <formula1>'Endline Dashboard'!$B$82:$B$87</formula1>
    </dataValidation>
    <dataValidation type="list" allowBlank="1" showInputMessage="1" showErrorMessage="1" sqref="B32;B33">
      <formula1>'Endline Dashboard'!$D$82:$D$95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E82" workbookViewId="0">
      <selection activeCell="D142" sqref="D142"/>
    </sheetView>
  </sheetViews>
  <sheetFormatPr defaultColWidth="9.14285714285714" defaultRowHeight="15"/>
  <sheetData/>
  <pageMargins left="0.75" right="0.75" top="1" bottom="1" header="0.5" footer="0.5"/>
  <pageSetup paperSize="256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70" workbookViewId="0">
      <selection activeCell="B107" sqref="B107"/>
    </sheetView>
  </sheetViews>
  <sheetFormatPr defaultColWidth="9.14285714285714" defaultRowHeight="15"/>
  <sheetData/>
  <pageMargins left="0.75" right="0.75" top="1" bottom="1" header="0.5" footer="0.5"/>
  <pageSetup paperSize="256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S149:S169"/>
  <sheetViews>
    <sheetView zoomScale="85" zoomScaleNormal="85" topLeftCell="A58" workbookViewId="0">
      <selection activeCell="W162" sqref="W162"/>
    </sheetView>
  </sheetViews>
  <sheetFormatPr defaultColWidth="9.14285714285714" defaultRowHeight="15"/>
  <sheetData>
    <row r="149" spans="19:19">
      <c r="S149" t="s">
        <v>253</v>
      </c>
    </row>
    <row r="150" spans="19:19">
      <c r="S150" t="s">
        <v>254</v>
      </c>
    </row>
    <row r="151" spans="19:19">
      <c r="S151" t="s">
        <v>255</v>
      </c>
    </row>
    <row r="152" spans="19:19">
      <c r="S152" t="s">
        <v>256</v>
      </c>
    </row>
    <row r="153" spans="19:19">
      <c r="S153" t="s">
        <v>257</v>
      </c>
    </row>
    <row r="154" spans="19:19">
      <c r="S154" t="s">
        <v>258</v>
      </c>
    </row>
    <row r="155" spans="19:19">
      <c r="S155" t="s">
        <v>259</v>
      </c>
    </row>
    <row r="156" spans="19:19">
      <c r="S156" t="s">
        <v>260</v>
      </c>
    </row>
    <row r="157" spans="19:19">
      <c r="S157" t="s">
        <v>261</v>
      </c>
    </row>
    <row r="158" spans="19:19">
      <c r="S158" t="s">
        <v>262</v>
      </c>
    </row>
    <row r="159" spans="19:19">
      <c r="S159" t="s">
        <v>263</v>
      </c>
    </row>
    <row r="160" spans="19:19">
      <c r="S160" t="s">
        <v>264</v>
      </c>
    </row>
    <row r="161" spans="19:19">
      <c r="S161" t="s">
        <v>265</v>
      </c>
    </row>
    <row r="162" spans="19:19">
      <c r="S162" t="s">
        <v>266</v>
      </c>
    </row>
    <row r="163" spans="19:19">
      <c r="S163" t="s">
        <v>267</v>
      </c>
    </row>
    <row r="164" spans="19:19">
      <c r="S164" t="s">
        <v>268</v>
      </c>
    </row>
    <row r="165" spans="19:19">
      <c r="S165" t="s">
        <v>269</v>
      </c>
    </row>
    <row r="166" spans="19:19">
      <c r="S166" t="s">
        <v>270</v>
      </c>
    </row>
    <row r="167" spans="19:19">
      <c r="S167" t="s">
        <v>271</v>
      </c>
    </row>
    <row r="168" spans="19:19">
      <c r="S168" t="s">
        <v>272</v>
      </c>
    </row>
    <row r="169" spans="19:19">
      <c r="S169" t="s">
        <v>33</v>
      </c>
    </row>
  </sheetData>
  <pageMargins left="0.75" right="0.75" top="1" bottom="1" header="0.5" footer="0.5"/>
  <pageSetup paperSize="256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9" workbookViewId="0">
      <selection activeCell="F172" sqref="F172"/>
    </sheetView>
  </sheetViews>
  <sheetFormatPr defaultColWidth="9.14285714285714" defaultRowHeight="15"/>
  <sheetData/>
  <pageMargins left="0.75" right="0.75" top="1" bottom="1" header="0.5" footer="0.5"/>
  <pageSetup paperSize="256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99:C218"/>
  <sheetViews>
    <sheetView zoomScale="85" zoomScaleNormal="85" topLeftCell="A142" workbookViewId="0">
      <selection activeCell="AH64" sqref="AH64"/>
    </sheetView>
  </sheetViews>
  <sheetFormatPr defaultColWidth="9.14285714285714" defaultRowHeight="15" outlineLevelCol="2"/>
  <sheetData>
    <row r="199" spans="3:3">
      <c r="C199" t="s">
        <v>253</v>
      </c>
    </row>
    <row r="200" spans="3:3">
      <c r="C200" t="s">
        <v>254</v>
      </c>
    </row>
    <row r="201" spans="3:3">
      <c r="C201" t="s">
        <v>273</v>
      </c>
    </row>
    <row r="202" spans="3:3">
      <c r="C202" t="s">
        <v>274</v>
      </c>
    </row>
    <row r="203" spans="3:3">
      <c r="C203" t="s">
        <v>275</v>
      </c>
    </row>
    <row r="204" spans="3:3">
      <c r="C204" t="s">
        <v>276</v>
      </c>
    </row>
    <row r="205" spans="3:3">
      <c r="C205" t="s">
        <v>277</v>
      </c>
    </row>
    <row r="206" spans="3:3">
      <c r="C206" t="s">
        <v>278</v>
      </c>
    </row>
    <row r="207" spans="3:3">
      <c r="C207" t="s">
        <v>279</v>
      </c>
    </row>
    <row r="208" spans="3:3">
      <c r="C208" t="s">
        <v>280</v>
      </c>
    </row>
    <row r="209" spans="3:3">
      <c r="C209" t="s">
        <v>263</v>
      </c>
    </row>
    <row r="210" spans="3:3">
      <c r="C210" t="s">
        <v>281</v>
      </c>
    </row>
    <row r="211" spans="3:3">
      <c r="C211" t="s">
        <v>282</v>
      </c>
    </row>
    <row r="212" spans="3:3">
      <c r="C212" t="s">
        <v>283</v>
      </c>
    </row>
    <row r="213" spans="3:3">
      <c r="C213" t="s">
        <v>284</v>
      </c>
    </row>
    <row r="214" spans="3:3">
      <c r="C214" t="s">
        <v>268</v>
      </c>
    </row>
    <row r="215" spans="3:3">
      <c r="C215" t="s">
        <v>285</v>
      </c>
    </row>
    <row r="216" spans="3:3">
      <c r="C216" t="s">
        <v>270</v>
      </c>
    </row>
    <row r="217" spans="3:3">
      <c r="C217" t="s">
        <v>286</v>
      </c>
    </row>
    <row r="218" spans="3:3">
      <c r="C218" t="s">
        <v>32</v>
      </c>
    </row>
  </sheetData>
  <pageMargins left="0.75" right="0.75" top="1" bottom="1" header="0.5" footer="0.5"/>
  <pageSetup paperSize="25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INLINE</vt:lpstr>
      <vt:lpstr>ENDLINE</vt:lpstr>
      <vt:lpstr>magic button</vt:lpstr>
      <vt:lpstr>Endline Dashboard</vt:lpstr>
      <vt:lpstr>Final Inspection</vt:lpstr>
      <vt:lpstr>Sheet2</vt:lpstr>
      <vt:lpstr>Sheet3</vt:lpstr>
      <vt:lpstr>normal</vt:lpstr>
      <vt:lpstr>Sheet1</vt:lpstr>
      <vt:lpstr>boost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wyne062100127</dc:creator>
  <cp:lastModifiedBy>wyne062100127</cp:lastModifiedBy>
  <dcterms:created xsi:type="dcterms:W3CDTF">2026-08-03T03:50:00Z</dcterms:created>
  <dcterms:modified xsi:type="dcterms:W3CDTF">2026-09-07T08:35:25Z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80936A7962EE4B41885547B4D7110961</vt:lpwstr>
  </property>
  <property fmtid="{D5CDD505-2E9C-101B-9397-08002B2CF9AE}" pid="3" name="KSOProductBuildVer">
    <vt:lpwstr>1033-11.2.0.11373</vt:lpwstr>
  </property>
</Properties>
</file>