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5" yWindow="1620" windowWidth="9555" windowHeight="6000" activeTab="1"/>
  </bookViews>
  <sheets>
    <sheet name="Summary- B8A" sheetId="10" r:id="rId1"/>
    <sheet name="Civil-volume1, sec-3,  BA" sheetId="6" r:id="rId2"/>
    <sheet name="Measurement Sheet" sheetId="8" r:id="rId3"/>
    <sheet name="Measurement Sheet(B2)- old shee" sheetId="11" state="hidden" r:id="rId4"/>
    <sheet name="M. S. (B3)" sheetId="7" state="hidden" r:id="rId5"/>
  </sheets>
  <externalReferences>
    <externalReference r:id="rId6"/>
    <externalReference r:id="rId7"/>
    <externalReference r:id="rId8"/>
    <externalReference r:id="rId9"/>
    <externalReference r:id="rId10"/>
  </externalReferences>
  <definedNames>
    <definedName name="_" localSheetId="1">#REF!</definedName>
    <definedName name="_" localSheetId="4">#REF!</definedName>
    <definedName name="_" localSheetId="2">#REF!</definedName>
    <definedName name="_" localSheetId="3">#REF!</definedName>
    <definedName name="_">#REF!</definedName>
    <definedName name="____Sa1">#REF!</definedName>
    <definedName name="____sd1">#REF!</definedName>
    <definedName name="____Sp1">#REF!</definedName>
    <definedName name="____Ss1">#REF!</definedName>
    <definedName name="____vb1">#REF!</definedName>
    <definedName name="____Vs1">#REF!</definedName>
    <definedName name="___Sa1">#REF!</definedName>
    <definedName name="___sd1">#REF!</definedName>
    <definedName name="___Sp1">#REF!</definedName>
    <definedName name="___Ss1">#REF!</definedName>
    <definedName name="___vb1">#REF!</definedName>
    <definedName name="___Vs1">#REF!</definedName>
    <definedName name="__Sa1" localSheetId="1">#REF!</definedName>
    <definedName name="__Sa1">#REF!</definedName>
    <definedName name="__sd1" localSheetId="1">#REF!</definedName>
    <definedName name="__sd1">#REF!</definedName>
    <definedName name="__Sp1" localSheetId="1">#REF!</definedName>
    <definedName name="__Sp1">#REF!</definedName>
    <definedName name="__Ss1" localSheetId="1">#REF!</definedName>
    <definedName name="__Ss1">#REF!</definedName>
    <definedName name="__vb1" localSheetId="1">#REF!</definedName>
    <definedName name="__vb1">#REF!</definedName>
    <definedName name="__Vs1" localSheetId="1">#REF!</definedName>
    <definedName name="__Vs1">#REF!</definedName>
    <definedName name="_1" localSheetId="1">'[1]Qty-UG'!#REF!</definedName>
    <definedName name="_1" localSheetId="4">'[1]Qty-UG'!#REF!</definedName>
    <definedName name="_1" localSheetId="2">'[1]Qty-UG'!#REF!</definedName>
    <definedName name="_1" localSheetId="3">'[2]Qty-UG'!#REF!</definedName>
    <definedName name="_1">'[1]Qty-UG'!#REF!</definedName>
    <definedName name="_Order1" hidden="1">255</definedName>
    <definedName name="_Order2" hidden="1">255</definedName>
    <definedName name="_Sa1" localSheetId="1">#REF!</definedName>
    <definedName name="_Sa1" localSheetId="4">#REF!</definedName>
    <definedName name="_Sa1" localSheetId="2">#REF!</definedName>
    <definedName name="_Sa1" localSheetId="3">#REF!</definedName>
    <definedName name="_Sa1">#REF!</definedName>
    <definedName name="_sd1" localSheetId="1">#REF!</definedName>
    <definedName name="_sd1" localSheetId="4">#REF!</definedName>
    <definedName name="_sd1" localSheetId="2">#REF!</definedName>
    <definedName name="_sd1" localSheetId="3">#REF!</definedName>
    <definedName name="_sd1">#REF!</definedName>
    <definedName name="_Sp1" localSheetId="1">#REF!</definedName>
    <definedName name="_Sp1">#REF!</definedName>
    <definedName name="_Ss1" localSheetId="1">#REF!</definedName>
    <definedName name="_Ss1">#REF!</definedName>
    <definedName name="_vb1" localSheetId="1">#REF!</definedName>
    <definedName name="_vb1">#REF!</definedName>
    <definedName name="_Vs1" localSheetId="1">#REF!</definedName>
    <definedName name="_Vs1">#REF!</definedName>
    <definedName name="a" localSheetId="1">'[3]Story Drift-Part 2'!#REF!</definedName>
    <definedName name="a" localSheetId="4">'[3]Story Drift-Part 2'!#REF!</definedName>
    <definedName name="a" localSheetId="2">'[3]Story Drift-Part 2'!#REF!</definedName>
    <definedName name="a" localSheetId="3">'[4]Story Drift-Part 2'!#REF!</definedName>
    <definedName name="a">'[3]Story Drift-Part 2'!#REF!</definedName>
    <definedName name="ae" localSheetId="1">#REF!</definedName>
    <definedName name="ae" localSheetId="4">#REF!</definedName>
    <definedName name="ae" localSheetId="2">#REF!</definedName>
    <definedName name="ae" localSheetId="3">#REF!</definedName>
    <definedName name="ae">#REF!</definedName>
    <definedName name="Al" localSheetId="1">#REF!</definedName>
    <definedName name="Al" localSheetId="4">#REF!</definedName>
    <definedName name="Al" localSheetId="2">#REF!</definedName>
    <definedName name="Al" localSheetId="3">#REF!</definedName>
    <definedName name="Al">#REF!</definedName>
    <definedName name="Area1" localSheetId="1">#REF!</definedName>
    <definedName name="Area1" localSheetId="4">#REF!</definedName>
    <definedName name="Area1" localSheetId="2">#REF!</definedName>
    <definedName name="Area1" localSheetId="3">#REF!</definedName>
    <definedName name="Area1">#REF!</definedName>
    <definedName name="ASD" localSheetId="1">#REF!</definedName>
    <definedName name="ASD" localSheetId="4">#REF!</definedName>
    <definedName name="ASD" localSheetId="2">#REF!</definedName>
    <definedName name="ASD" localSheetId="3">#REF!</definedName>
    <definedName name="ASD">#REF!</definedName>
    <definedName name="Au" localSheetId="1">#REF!</definedName>
    <definedName name="Au" localSheetId="4">#REF!</definedName>
    <definedName name="Au" localSheetId="2">#REF!</definedName>
    <definedName name="Au" localSheetId="3">#REF!</definedName>
    <definedName name="Au">#REF!</definedName>
    <definedName name="Aweld" localSheetId="1">#REF!</definedName>
    <definedName name="Aweld" localSheetId="4">#REF!</definedName>
    <definedName name="Aweld" localSheetId="2">#REF!</definedName>
    <definedName name="Aweld" localSheetId="3">#REF!</definedName>
    <definedName name="Aweld">#REF!</definedName>
    <definedName name="b" localSheetId="1">#REF!</definedName>
    <definedName name="b" localSheetId="4">#REF!</definedName>
    <definedName name="b" localSheetId="2">#REF!</definedName>
    <definedName name="b" localSheetId="3">#REF!</definedName>
    <definedName name="b">#REF!</definedName>
    <definedName name="bala" localSheetId="1">'[3]Story Drift-Part 2'!#REF!</definedName>
    <definedName name="bala" localSheetId="4">'[3]Story Drift-Part 2'!#REF!</definedName>
    <definedName name="bala" localSheetId="2">'[3]Story Drift-Part 2'!#REF!</definedName>
    <definedName name="bala" localSheetId="3">'[4]Story Drift-Part 2'!#REF!</definedName>
    <definedName name="bala">'[3]Story Drift-Part 2'!#REF!</definedName>
    <definedName name="be" localSheetId="1">#REF!</definedName>
    <definedName name="be" localSheetId="4">#REF!</definedName>
    <definedName name="be" localSheetId="2">#REF!</definedName>
    <definedName name="be" localSheetId="3">#REF!</definedName>
    <definedName name="be">#REF!</definedName>
    <definedName name="bL" localSheetId="1">#REF!</definedName>
    <definedName name="bL" localSheetId="4">#REF!</definedName>
    <definedName name="bL" localSheetId="2">#REF!</definedName>
    <definedName name="bL" localSheetId="3">#REF!</definedName>
    <definedName name="bL">#REF!</definedName>
    <definedName name="bol" localSheetId="1">#REF!</definedName>
    <definedName name="bol" localSheetId="4">#REF!</definedName>
    <definedName name="bol">#REF!</definedName>
    <definedName name="boml" localSheetId="1">#REF!</definedName>
    <definedName name="boml">#REF!</definedName>
    <definedName name="botl" localSheetId="1">#REF!</definedName>
    <definedName name="botl">#REF!</definedName>
    <definedName name="botn" localSheetId="1">#REF!</definedName>
    <definedName name="botn">#REF!</definedName>
    <definedName name="Bu" localSheetId="1">#REF!</definedName>
    <definedName name="Bu" localSheetId="4">#REF!</definedName>
    <definedName name="Bu" localSheetId="2">#REF!</definedName>
    <definedName name="Bu" localSheetId="3">#REF!</definedName>
    <definedName name="Bu">#REF!</definedName>
    <definedName name="bua" localSheetId="1">#REF!</definedName>
    <definedName name="bua">#REF!</definedName>
    <definedName name="bW" localSheetId="1">#REF!</definedName>
    <definedName name="bW" localSheetId="4">#REF!</definedName>
    <definedName name="bW" localSheetId="2">#REF!</definedName>
    <definedName name="bW" localSheetId="3">#REF!</definedName>
    <definedName name="bW">#REF!</definedName>
    <definedName name="By" localSheetId="1">#REF!</definedName>
    <definedName name="By" localSheetId="4">#REF!</definedName>
    <definedName name="By" localSheetId="2">#REF!</definedName>
    <definedName name="By" localSheetId="3">#REF!</definedName>
    <definedName name="By">#REF!</definedName>
    <definedName name="Ca" localSheetId="1">#REF!</definedName>
    <definedName name="Ca" localSheetId="4">#REF!</definedName>
    <definedName name="Ca" localSheetId="2">#REF!</definedName>
    <definedName name="Ca" localSheetId="3">#REF!</definedName>
    <definedName name="Ca">#REF!</definedName>
    <definedName name="Cax" localSheetId="1">#REF!</definedName>
    <definedName name="Cax" localSheetId="4">#REF!</definedName>
    <definedName name="Cax" localSheetId="2">#REF!</definedName>
    <definedName name="Cax" localSheetId="3">#REF!</definedName>
    <definedName name="Cax">#REF!</definedName>
    <definedName name="cc" localSheetId="1">#REF!</definedName>
    <definedName name="cc" localSheetId="4">#REF!</definedName>
    <definedName name="cc" localSheetId="2">#REF!</definedName>
    <definedName name="cc" localSheetId="3">#REF!</definedName>
    <definedName name="cc">#REF!</definedName>
    <definedName name="Cp" localSheetId="1">#REF!</definedName>
    <definedName name="Cp" localSheetId="4">#REF!</definedName>
    <definedName name="Cp" localSheetId="2">#REF!</definedName>
    <definedName name="Cp" localSheetId="3">#REF!</definedName>
    <definedName name="Cp">#REF!</definedName>
    <definedName name="CpeAe" localSheetId="1">#REF!</definedName>
    <definedName name="CpeAe" localSheetId="4">#REF!</definedName>
    <definedName name="CpeAe" localSheetId="2">#REF!</definedName>
    <definedName name="CpeAe" localSheetId="3">#REF!</definedName>
    <definedName name="CpeAe">#REF!</definedName>
    <definedName name="CpeAn" localSheetId="1">#REF!</definedName>
    <definedName name="CpeAn" localSheetId="4">#REF!</definedName>
    <definedName name="CpeAn" localSheetId="2">#REF!</definedName>
    <definedName name="CpeAn" localSheetId="3">#REF!</definedName>
    <definedName name="CpeAn">#REF!</definedName>
    <definedName name="CpeAz" localSheetId="1">#REF!</definedName>
    <definedName name="CpeAz" localSheetId="4">#REF!</definedName>
    <definedName name="CpeAz" localSheetId="2">#REF!</definedName>
    <definedName name="CpeAz" localSheetId="3">#REF!</definedName>
    <definedName name="CpeAz">#REF!</definedName>
    <definedName name="CpeCe" localSheetId="1">#REF!</definedName>
    <definedName name="CpeCe" localSheetId="4">#REF!</definedName>
    <definedName name="CpeCe" localSheetId="2">#REF!</definedName>
    <definedName name="CpeCe" localSheetId="3">#REF!</definedName>
    <definedName name="CpeCe">#REF!</definedName>
    <definedName name="CpeCn" localSheetId="1">#REF!</definedName>
    <definedName name="CpeCn" localSheetId="4">#REF!</definedName>
    <definedName name="CpeCn" localSheetId="2">#REF!</definedName>
    <definedName name="CpeCn" localSheetId="3">#REF!</definedName>
    <definedName name="CpeCn">#REF!</definedName>
    <definedName name="CPeCz" localSheetId="1">#REF!</definedName>
    <definedName name="CPeCz" localSheetId="4">#REF!</definedName>
    <definedName name="CPeCz" localSheetId="2">#REF!</definedName>
    <definedName name="CPeCz" localSheetId="3">#REF!</definedName>
    <definedName name="CPeCz">#REF!</definedName>
    <definedName name="CpeGz" localSheetId="1">#REF!</definedName>
    <definedName name="CpeGz" localSheetId="4">#REF!</definedName>
    <definedName name="CpeGz" localSheetId="2">#REF!</definedName>
    <definedName name="CpeGz" localSheetId="3">#REF!</definedName>
    <definedName name="CpeGz">#REF!</definedName>
    <definedName name="Cpi" localSheetId="1">#REF!</definedName>
    <definedName name="Cpi" localSheetId="4">#REF!</definedName>
    <definedName name="Cpi" localSheetId="2">#REF!</definedName>
    <definedName name="Cpi" localSheetId="3">#REF!</definedName>
    <definedName name="Cpi">#REF!</definedName>
    <definedName name="Cpx" localSheetId="1">#REF!</definedName>
    <definedName name="Cpx" localSheetId="4">#REF!</definedName>
    <definedName name="Cpx" localSheetId="2">#REF!</definedName>
    <definedName name="Cpx" localSheetId="3">#REF!</definedName>
    <definedName name="Cpx">#REF!</definedName>
    <definedName name="Cpz" localSheetId="1">#REF!</definedName>
    <definedName name="Cpz" localSheetId="4">#REF!</definedName>
    <definedName name="Cpz" localSheetId="2">#REF!</definedName>
    <definedName name="Cpz" localSheetId="3">#REF!</definedName>
    <definedName name="Cpz">#REF!</definedName>
    <definedName name="Cu" localSheetId="1">#REF!</definedName>
    <definedName name="Cu" localSheetId="4">#REF!</definedName>
    <definedName name="Cu" localSheetId="2">#REF!</definedName>
    <definedName name="Cu" localSheetId="3">#REF!</definedName>
    <definedName name="Cu">#REF!</definedName>
    <definedName name="d" localSheetId="1">#REF!</definedName>
    <definedName name="d" localSheetId="4">#REF!</definedName>
    <definedName name="d" localSheetId="2">#REF!</definedName>
    <definedName name="d" localSheetId="3">#REF!</definedName>
    <definedName name="d">#REF!</definedName>
    <definedName name="Dc" localSheetId="1">#REF!</definedName>
    <definedName name="Dc" localSheetId="4">#REF!</definedName>
    <definedName name="Dc" localSheetId="2">#REF!</definedName>
    <definedName name="Dc" localSheetId="3">#REF!</definedName>
    <definedName name="Dc">#REF!</definedName>
    <definedName name="Ds" localSheetId="1">#REF!</definedName>
    <definedName name="Ds" localSheetId="4">#REF!</definedName>
    <definedName name="Ds" localSheetId="2">#REF!</definedName>
    <definedName name="Ds" localSheetId="3">#REF!</definedName>
    <definedName name="Ds">#REF!</definedName>
    <definedName name="Dx" localSheetId="1">#REF!</definedName>
    <definedName name="Dx" localSheetId="4">#REF!</definedName>
    <definedName name="Dx" localSheetId="2">#REF!</definedName>
    <definedName name="Dx" localSheetId="3">#REF!</definedName>
    <definedName name="Dx">#REF!</definedName>
    <definedName name="Dy" localSheetId="1">#REF!</definedName>
    <definedName name="Dy" localSheetId="4">#REF!</definedName>
    <definedName name="Dy" localSheetId="2">#REF!</definedName>
    <definedName name="Dy" localSheetId="3">#REF!</definedName>
    <definedName name="Dy">#REF!</definedName>
    <definedName name="e" localSheetId="1">#REF!</definedName>
    <definedName name="e" localSheetId="4">#REF!</definedName>
    <definedName name="e" localSheetId="2">#REF!</definedName>
    <definedName name="e" localSheetId="3">#REF!</definedName>
    <definedName name="e">#REF!</definedName>
    <definedName name="ESF" localSheetId="1">#REF!</definedName>
    <definedName name="ESF" localSheetId="4">#REF!</definedName>
    <definedName name="ESF" localSheetId="2">#REF!</definedName>
    <definedName name="ESF" localSheetId="3">#REF!</definedName>
    <definedName name="ESF">#REF!</definedName>
    <definedName name="Excel_BuiltIn__FilterDatabase_4" localSheetId="1">#REF!</definedName>
    <definedName name="Excel_BuiltIn__FilterDatabase_4">#REF!</definedName>
    <definedName name="Excel_BuiltIn__FilterDatabase_4_1" localSheetId="1">#REF!</definedName>
    <definedName name="Excel_BuiltIn__FilterDatabase_4_1">#REF!</definedName>
    <definedName name="Excel_BuiltIn__FilterDatabase_7" localSheetId="1">#REF!</definedName>
    <definedName name="Excel_BuiltIn__FilterDatabase_7">#REF!</definedName>
    <definedName name="Excel_BuiltIn_Print_Titles_1_1" localSheetId="1">#REF!</definedName>
    <definedName name="Excel_BuiltIn_Print_Titles_1_1">#REF!</definedName>
    <definedName name="Excel_BuiltIn_Print_Titles_4" localSheetId="1">#REF!</definedName>
    <definedName name="Excel_BuiltIn_Print_Titles_4">#REF!</definedName>
    <definedName name="Excel_BuiltIn_Print_Titles_4_1" localSheetId="1">#REF!</definedName>
    <definedName name="Excel_BuiltIn_Print_Titles_4_1">#REF!</definedName>
    <definedName name="Excel_BuiltIn_Print_Titles_7" localSheetId="1">#REF!</definedName>
    <definedName name="Excel_BuiltIn_Print_Titles_7">#REF!</definedName>
    <definedName name="f" localSheetId="1">#REF!</definedName>
    <definedName name="f" localSheetId="4">#REF!</definedName>
    <definedName name="f" localSheetId="2">#REF!</definedName>
    <definedName name="f" localSheetId="3">#REF!</definedName>
    <definedName name="f">#REF!</definedName>
    <definedName name="fcu" localSheetId="1">#REF!</definedName>
    <definedName name="fcu" localSheetId="4">#REF!</definedName>
    <definedName name="fcu" localSheetId="2">#REF!</definedName>
    <definedName name="fcu" localSheetId="3">#REF!</definedName>
    <definedName name="fcu">#REF!</definedName>
    <definedName name="g" localSheetId="1">#REF!</definedName>
    <definedName name="g" localSheetId="4">#REF!</definedName>
    <definedName name="g" localSheetId="2">#REF!</definedName>
    <definedName name="g" localSheetId="3">#REF!</definedName>
    <definedName name="g">#REF!</definedName>
    <definedName name="gt" localSheetId="1">#REF!</definedName>
    <definedName name="gt" localSheetId="4">#REF!</definedName>
    <definedName name="gt" localSheetId="2">#REF!</definedName>
    <definedName name="gt" localSheetId="3">#REF!</definedName>
    <definedName name="gt">#REF!</definedName>
    <definedName name="H" localSheetId="1">#REF!</definedName>
    <definedName name="H" localSheetId="4">#REF!</definedName>
    <definedName name="H" localSheetId="2">#REF!</definedName>
    <definedName name="H" localSheetId="3">#REF!</definedName>
    <definedName name="H">#REF!</definedName>
    <definedName name="IL" localSheetId="1">'[3]Story Drift-Part 2'!#REF!</definedName>
    <definedName name="IL" localSheetId="4">'[3]Story Drift-Part 2'!#REF!</definedName>
    <definedName name="IL" localSheetId="2">'[3]Story Drift-Part 2'!#REF!</definedName>
    <definedName name="IL" localSheetId="3">'[4]Story Drift-Part 2'!#REF!</definedName>
    <definedName name="IL">'[3]Story Drift-Part 2'!#REF!</definedName>
    <definedName name="Ilr" localSheetId="1">'[3]Story Drift-Part 2'!#REF!</definedName>
    <definedName name="Ilr" localSheetId="4">'[3]Story Drift-Part 2'!#REF!</definedName>
    <definedName name="Ilr" localSheetId="2">'[3]Story Drift-Part 2'!#REF!</definedName>
    <definedName name="Ilr" localSheetId="3">'[4]Story Drift-Part 2'!#REF!</definedName>
    <definedName name="Ilr">'[3]Story Drift-Part 2'!#REF!</definedName>
    <definedName name="Ir" localSheetId="1">'[3]Story Drift-Part 2'!#REF!</definedName>
    <definedName name="Ir" localSheetId="4">'[3]Story Drift-Part 2'!#REF!</definedName>
    <definedName name="Ir" localSheetId="2">'[3]Story Drift-Part 2'!#REF!</definedName>
    <definedName name="Ir" localSheetId="3">'[4]Story Drift-Part 2'!#REF!</definedName>
    <definedName name="Ir">'[3]Story Drift-Part 2'!#REF!</definedName>
    <definedName name="JobID" localSheetId="1">#REF!</definedName>
    <definedName name="JobID" localSheetId="4">#REF!</definedName>
    <definedName name="JobID" localSheetId="2">#REF!</definedName>
    <definedName name="JobID" localSheetId="3">#REF!</definedName>
    <definedName name="JobID">#REF!</definedName>
    <definedName name="l" localSheetId="1">#REF!</definedName>
    <definedName name="l" localSheetId="4">#REF!</definedName>
    <definedName name="l" localSheetId="2">#REF!</definedName>
    <definedName name="l" localSheetId="3">#REF!</definedName>
    <definedName name="l">#REF!</definedName>
    <definedName name="la" localSheetId="1">#REF!</definedName>
    <definedName name="la" localSheetId="4">#REF!</definedName>
    <definedName name="la" localSheetId="2">#REF!</definedName>
    <definedName name="la" localSheetId="3">#REF!</definedName>
    <definedName name="la">#REF!</definedName>
    <definedName name="lef" localSheetId="1">#REF!</definedName>
    <definedName name="lef">#REF!</definedName>
    <definedName name="lel" localSheetId="1">#REF!</definedName>
    <definedName name="lel">#REF!</definedName>
    <definedName name="Lw" localSheetId="1">#REF!</definedName>
    <definedName name="Lw" localSheetId="4">#REF!</definedName>
    <definedName name="Lw" localSheetId="2">#REF!</definedName>
    <definedName name="Lw" localSheetId="3">#REF!</definedName>
    <definedName name="Lw">#REF!</definedName>
    <definedName name="Lweld" localSheetId="1">#REF!</definedName>
    <definedName name="Lweld" localSheetId="4">#REF!</definedName>
    <definedName name="Lweld" localSheetId="2">#REF!</definedName>
    <definedName name="Lweld" localSheetId="3">#REF!</definedName>
    <definedName name="Lweld">#REF!</definedName>
    <definedName name="M" localSheetId="1">#REF!</definedName>
    <definedName name="M" localSheetId="4">#REF!</definedName>
    <definedName name="M" localSheetId="2">#REF!</definedName>
    <definedName name="M" localSheetId="3">#REF!</definedName>
    <definedName name="M">#REF!</definedName>
    <definedName name="Mbp" localSheetId="1">#REF!</definedName>
    <definedName name="Mbp" localSheetId="4">#REF!</definedName>
    <definedName name="Mbp" localSheetId="2">#REF!</definedName>
    <definedName name="Mbp" localSheetId="3">#REF!</definedName>
    <definedName name="Mbp">#REF!</definedName>
    <definedName name="n" localSheetId="1">#REF!</definedName>
    <definedName name="n" localSheetId="4">#REF!</definedName>
    <definedName name="n" localSheetId="2">#REF!</definedName>
    <definedName name="n" localSheetId="3">#REF!</definedName>
    <definedName name="n">#REF!</definedName>
    <definedName name="new">[5]INPUTS!$B$47:$B$56</definedName>
    <definedName name="P" localSheetId="1">#REF!</definedName>
    <definedName name="P" localSheetId="4">#REF!</definedName>
    <definedName name="P" localSheetId="2">#REF!</definedName>
    <definedName name="P" localSheetId="3">#REF!</definedName>
    <definedName name="P">#REF!</definedName>
    <definedName name="Print" localSheetId="1">'[1]Qty-UG'!#REF!</definedName>
    <definedName name="Print" localSheetId="4">'[1]Qty-UG'!#REF!</definedName>
    <definedName name="Print" localSheetId="2">'[1]Qty-UG'!#REF!</definedName>
    <definedName name="Print" localSheetId="3">'[2]Qty-UG'!#REF!</definedName>
    <definedName name="Print">'[1]Qty-UG'!#REF!</definedName>
    <definedName name="_xlnm.Print_Area" localSheetId="1">'Civil-volume1, sec-3,  BA'!$A$1:$F$202</definedName>
    <definedName name="_xlnm.Print_Area" localSheetId="4">'M. S. (B3)'!$A$1:$H$590</definedName>
    <definedName name="_xlnm.Print_Area" localSheetId="2">'Measurement Sheet'!$A$1:$H$567</definedName>
    <definedName name="_xlnm.Print_Area" localSheetId="3">'Measurement Sheet(B2)- old shee'!$A$1:$H$658</definedName>
    <definedName name="_xlnm.Print_Area" localSheetId="0">'Summary- B8A'!$A$1:$C$20</definedName>
    <definedName name="Print_Area_MI" localSheetId="1">#REF!</definedName>
    <definedName name="Print_Area_MI" localSheetId="4">#REF!</definedName>
    <definedName name="Print_Area_MI" localSheetId="2">#REF!</definedName>
    <definedName name="Print_Area_MI" localSheetId="3">#REF!</definedName>
    <definedName name="Print_Area_MI">#REF!</definedName>
    <definedName name="_xlnm.Print_Titles" localSheetId="1">'Civil-volume1, sec-3,  BA'!$7:$8</definedName>
    <definedName name="_xlnm.Print_Titles" localSheetId="4">'M. S. (B3)'!$10:$11</definedName>
    <definedName name="_xlnm.Print_Titles" localSheetId="2">'Measurement Sheet'!$18:$19</definedName>
    <definedName name="_xlnm.Print_Titles" localSheetId="3">'Measurement Sheet(B2)- old shee'!$15:$16</definedName>
    <definedName name="py" localSheetId="1">#REF!</definedName>
    <definedName name="py" localSheetId="4">#REF!</definedName>
    <definedName name="py" localSheetId="2">#REF!</definedName>
    <definedName name="py" localSheetId="3">#REF!</definedName>
    <definedName name="py">#REF!</definedName>
    <definedName name="qs" localSheetId="1">#REF!</definedName>
    <definedName name="qs" localSheetId="4">#REF!</definedName>
    <definedName name="qs" localSheetId="2">#REF!</definedName>
    <definedName name="qs" localSheetId="3">#REF!</definedName>
    <definedName name="qs">#REF!</definedName>
    <definedName name="rel" localSheetId="1">#REF!</definedName>
    <definedName name="rel" localSheetId="4">#REF!</definedName>
    <definedName name="rel">#REF!</definedName>
    <definedName name="Rev" localSheetId="1">#REF!</definedName>
    <definedName name="Rev">#REF!</definedName>
    <definedName name="Rf" localSheetId="1">'[3]Story Drift-Part 2'!#REF!</definedName>
    <definedName name="Rf" localSheetId="4">'[3]Story Drift-Part 2'!#REF!</definedName>
    <definedName name="Rf" localSheetId="2">'[3]Story Drift-Part 2'!#REF!</definedName>
    <definedName name="Rf" localSheetId="3">'[4]Story Drift-Part 2'!#REF!</definedName>
    <definedName name="Rf">'[3]Story Drift-Part 2'!#REF!</definedName>
    <definedName name="rig" localSheetId="1">#REF!</definedName>
    <definedName name="rig" localSheetId="4">#REF!</definedName>
    <definedName name="rig" localSheetId="2">#REF!</definedName>
    <definedName name="rig" localSheetId="3">#REF!</definedName>
    <definedName name="rig">#REF!</definedName>
    <definedName name="robot" localSheetId="1">#REF!</definedName>
    <definedName name="robot" localSheetId="4">#REF!</definedName>
    <definedName name="robot" localSheetId="2">#REF!</definedName>
    <definedName name="robot" localSheetId="3">#REF!</definedName>
    <definedName name="robot">#REF!</definedName>
    <definedName name="rosid" localSheetId="1">#REF!</definedName>
    <definedName name="rosid">#REF!</definedName>
    <definedName name="Sa" localSheetId="1">#REF!</definedName>
    <definedName name="Sa" localSheetId="4">#REF!</definedName>
    <definedName name="Sa" localSheetId="2">#REF!</definedName>
    <definedName name="Sa" localSheetId="3">#REF!</definedName>
    <definedName name="Sa">#REF!</definedName>
    <definedName name="Sb" localSheetId="1">#REF!</definedName>
    <definedName name="Sb" localSheetId="4">#REF!</definedName>
    <definedName name="Sb" localSheetId="2">#REF!</definedName>
    <definedName name="Sb" localSheetId="3">#REF!</definedName>
    <definedName name="Sb">#REF!</definedName>
    <definedName name="Sd" localSheetId="1">#REF!</definedName>
    <definedName name="Sd" localSheetId="4">#REF!</definedName>
    <definedName name="Sd" localSheetId="2">#REF!</definedName>
    <definedName name="Sd" localSheetId="3">#REF!</definedName>
    <definedName name="Sd">#REF!</definedName>
    <definedName name="Sdate" localSheetId="1">#REF!</definedName>
    <definedName name="Sdate">#REF!</definedName>
    <definedName name="SF" localSheetId="1">#REF!</definedName>
    <definedName name="SF" localSheetId="4">#REF!</definedName>
    <definedName name="SF" localSheetId="2">#REF!</definedName>
    <definedName name="SF" localSheetId="3">#REF!</definedName>
    <definedName name="SF">#REF!</definedName>
    <definedName name="Sp" localSheetId="1">#REF!</definedName>
    <definedName name="Sp" localSheetId="4">#REF!</definedName>
    <definedName name="Sp" localSheetId="2">#REF!</definedName>
    <definedName name="Sp" localSheetId="3">#REF!</definedName>
    <definedName name="Sp">#REF!</definedName>
    <definedName name="Ss" localSheetId="1">#REF!</definedName>
    <definedName name="Ss" localSheetId="4">#REF!</definedName>
    <definedName name="Ss" localSheetId="2">#REF!</definedName>
    <definedName name="Ss" localSheetId="3">#REF!</definedName>
    <definedName name="Ss">#REF!</definedName>
    <definedName name="StrID" localSheetId="1">#REF!</definedName>
    <definedName name="StrID">#REF!</definedName>
    <definedName name="Subject" localSheetId="1">#REF!</definedName>
    <definedName name="Subject">#REF!</definedName>
    <definedName name="Sww" localSheetId="1">#REF!</definedName>
    <definedName name="Sww" localSheetId="4">#REF!</definedName>
    <definedName name="Sww" localSheetId="2">#REF!</definedName>
    <definedName name="Sww" localSheetId="3">#REF!</definedName>
    <definedName name="Sww">#REF!</definedName>
    <definedName name="T" localSheetId="1">#REF!</definedName>
    <definedName name="T" localSheetId="4">#REF!</definedName>
    <definedName name="T" localSheetId="2">#REF!</definedName>
    <definedName name="T" localSheetId="3">#REF!</definedName>
    <definedName name="T">#REF!</definedName>
    <definedName name="Tb" localSheetId="1">#REF!</definedName>
    <definedName name="Tb" localSheetId="4">#REF!</definedName>
    <definedName name="Tb" localSheetId="2">#REF!</definedName>
    <definedName name="Tb" localSheetId="3">#REF!</definedName>
    <definedName name="Tb">#REF!</definedName>
    <definedName name="Title1" localSheetId="1">#REF!</definedName>
    <definedName name="Title1">#REF!</definedName>
    <definedName name="Title2" localSheetId="1">#REF!</definedName>
    <definedName name="Title2">#REF!</definedName>
    <definedName name="tol" localSheetId="1">#REF!</definedName>
    <definedName name="tol">#REF!</definedName>
    <definedName name="topl" localSheetId="1">#REF!</definedName>
    <definedName name="topl">#REF!</definedName>
    <definedName name="topn" localSheetId="1">#REF!</definedName>
    <definedName name="topn">#REF!</definedName>
    <definedName name="Vb" localSheetId="1">#REF!</definedName>
    <definedName name="Vb" localSheetId="4">#REF!</definedName>
    <definedName name="Vb" localSheetId="2">#REF!</definedName>
    <definedName name="Vb" localSheetId="3">#REF!</definedName>
    <definedName name="Vb">#REF!</definedName>
    <definedName name="Ve" localSheetId="1">#REF!</definedName>
    <definedName name="Ve" localSheetId="4">#REF!</definedName>
    <definedName name="Ve" localSheetId="2">#REF!</definedName>
    <definedName name="Ve" localSheetId="3">#REF!</definedName>
    <definedName name="Ve">#REF!</definedName>
    <definedName name="Vs" localSheetId="1">#REF!</definedName>
    <definedName name="Vs" localSheetId="4">#REF!</definedName>
    <definedName name="Vs" localSheetId="2">#REF!</definedName>
    <definedName name="Vs" localSheetId="3">#REF!</definedName>
    <definedName name="Vs">#REF!</definedName>
    <definedName name="w" localSheetId="1">#REF!</definedName>
    <definedName name="w" localSheetId="4">#REF!</definedName>
    <definedName name="w" localSheetId="2">#REF!</definedName>
    <definedName name="w" localSheetId="3">#REF!</definedName>
    <definedName name="w">#REF!</definedName>
    <definedName name="Wf" localSheetId="1">'[3]Story Drift-Part 2'!#REF!</definedName>
    <definedName name="Wf" localSheetId="4">'[3]Story Drift-Part 2'!#REF!</definedName>
    <definedName name="Wf" localSheetId="2">'[3]Story Drift-Part 2'!#REF!</definedName>
    <definedName name="Wf" localSheetId="3">'[4]Story Drift-Part 2'!#REF!</definedName>
    <definedName name="Wf">'[3]Story Drift-Part 2'!#REF!</definedName>
    <definedName name="ws" localSheetId="1">'[3]Story Drift-Part 2'!#REF!</definedName>
    <definedName name="ws" localSheetId="4">'[3]Story Drift-Part 2'!#REF!</definedName>
    <definedName name="ws" localSheetId="2">'[3]Story Drift-Part 2'!#REF!</definedName>
    <definedName name="ws" localSheetId="3">'[4]Story Drift-Part 2'!#REF!</definedName>
    <definedName name="ws">'[3]Story Drift-Part 2'!#REF!</definedName>
    <definedName name="Za" localSheetId="1">#REF!</definedName>
    <definedName name="Za" localSheetId="4">#REF!</definedName>
    <definedName name="Za" localSheetId="2">#REF!</definedName>
    <definedName name="Za" localSheetId="3">#REF!</definedName>
    <definedName name="Za">#REF!</definedName>
    <definedName name="Zb" localSheetId="1">#REF!</definedName>
    <definedName name="Zb" localSheetId="4">#REF!</definedName>
    <definedName name="Zb" localSheetId="2">#REF!</definedName>
    <definedName name="Zb" localSheetId="3">#REF!</definedName>
    <definedName name="Zb">#REF!</definedName>
    <definedName name="Zc" localSheetId="1">#REF!</definedName>
    <definedName name="Zc" localSheetId="4">#REF!</definedName>
    <definedName name="Zc" localSheetId="2">#REF!</definedName>
    <definedName name="Zc" localSheetId="3">#REF!</definedName>
    <definedName name="Zc">#REF!</definedName>
    <definedName name="Ze" localSheetId="1">#REF!</definedName>
    <definedName name="Ze" localSheetId="4">#REF!</definedName>
    <definedName name="Ze" localSheetId="2">#REF!</definedName>
    <definedName name="Ze" localSheetId="3">#REF!</definedName>
    <definedName name="Ze">#REF!</definedName>
    <definedName name="Zf" localSheetId="1">#REF!</definedName>
    <definedName name="Zf" localSheetId="4">#REF!</definedName>
    <definedName name="Zf" localSheetId="2">#REF!</definedName>
    <definedName name="Zf" localSheetId="3">#REF!</definedName>
    <definedName name="Zf">#REF!</definedName>
    <definedName name="Zg" localSheetId="1">#REF!</definedName>
    <definedName name="Zg" localSheetId="4">#REF!</definedName>
    <definedName name="Zg" localSheetId="2">#REF!</definedName>
    <definedName name="Zg" localSheetId="3">#REF!</definedName>
    <definedName name="Zg">#REF!</definedName>
  </definedNames>
  <calcPr calcId="152511"/>
</workbook>
</file>

<file path=xl/calcChain.xml><?xml version="1.0" encoding="utf-8"?>
<calcChain xmlns="http://schemas.openxmlformats.org/spreadsheetml/2006/main">
  <c r="G541" i="8" l="1"/>
  <c r="F20" i="6"/>
  <c r="F552" i="8" l="1"/>
  <c r="F547" i="8"/>
  <c r="E547" i="8"/>
  <c r="E548" i="8" s="1"/>
  <c r="H548" i="8" s="1"/>
  <c r="D146" i="6" s="1"/>
  <c r="F146" i="6" s="1"/>
  <c r="E546" i="8"/>
  <c r="E550" i="8" s="1"/>
  <c r="H547" i="8" l="1"/>
  <c r="H550" i="8"/>
  <c r="E552" i="8"/>
  <c r="H552" i="8" s="1"/>
  <c r="H546" i="8"/>
  <c r="D147" i="6" l="1"/>
  <c r="F147" i="6" s="1"/>
  <c r="A192" i="6"/>
  <c r="A194" i="6" s="1"/>
  <c r="A196" i="6" s="1"/>
  <c r="A198" i="6" s="1"/>
  <c r="A200" i="6" s="1"/>
  <c r="E47" i="8" l="1"/>
  <c r="H47" i="8" s="1"/>
  <c r="H492" i="8"/>
  <c r="H487" i="8"/>
  <c r="H482" i="8"/>
  <c r="H477" i="8"/>
  <c r="H472" i="8"/>
  <c r="H467" i="8"/>
  <c r="E466" i="8"/>
  <c r="G164" i="8"/>
  <c r="G113" i="8"/>
  <c r="F114" i="8"/>
  <c r="H285" i="8"/>
  <c r="H60" i="8"/>
  <c r="E30" i="8"/>
  <c r="E113" i="8" s="1"/>
  <c r="E164" i="8" l="1"/>
  <c r="H164" i="8" s="1"/>
  <c r="D63" i="6" s="1"/>
  <c r="E114" i="8"/>
  <c r="H114" i="8" s="1"/>
  <c r="H30" i="8"/>
  <c r="H113" i="8"/>
  <c r="H115" i="8" s="1"/>
  <c r="D39" i="6" l="1"/>
  <c r="F39" i="6" s="1"/>
  <c r="H171" i="8"/>
  <c r="D52" i="6" s="1"/>
  <c r="F52" i="6" s="1"/>
  <c r="A159" i="6"/>
  <c r="A188" i="6" s="1"/>
  <c r="H389" i="8"/>
  <c r="D93" i="6" s="1"/>
  <c r="H388" i="8"/>
  <c r="D95" i="6" s="1"/>
  <c r="F95" i="6" s="1"/>
  <c r="F121" i="6" l="1"/>
  <c r="F104" i="6" l="1"/>
  <c r="F100" i="6"/>
  <c r="F114" i="6" l="1"/>
  <c r="E62" i="6" l="1"/>
  <c r="E63" i="6" s="1"/>
  <c r="F63" i="6" s="1"/>
  <c r="E390" i="8"/>
  <c r="H390" i="8" s="1"/>
  <c r="F113" i="6"/>
  <c r="G193" i="8"/>
  <c r="G192" i="8"/>
  <c r="H432" i="8"/>
  <c r="E431" i="8"/>
  <c r="H431" i="8" s="1"/>
  <c r="H433" i="8" l="1"/>
  <c r="D90" i="6" s="1"/>
  <c r="F90" i="6" s="1"/>
  <c r="E163" i="8"/>
  <c r="D163" i="8"/>
  <c r="G112" i="8"/>
  <c r="H112" i="8" s="1"/>
  <c r="H170" i="8" l="1"/>
  <c r="D70" i="6" s="1"/>
  <c r="F70" i="6" s="1"/>
  <c r="D60" i="6"/>
  <c r="F60" i="6" s="1"/>
  <c r="G163" i="8"/>
  <c r="F410" i="8"/>
  <c r="E410" i="8"/>
  <c r="H163" i="8" l="1"/>
  <c r="D62" i="6" s="1"/>
  <c r="F62" i="6" s="1"/>
  <c r="D134" i="6"/>
  <c r="F9" i="10"/>
  <c r="E9" i="10"/>
  <c r="G9" i="10" s="1"/>
  <c r="G8" i="10"/>
  <c r="K23" i="8" l="1"/>
  <c r="J23" i="8"/>
  <c r="L22" i="8"/>
  <c r="J20" i="11"/>
  <c r="L19" i="11"/>
  <c r="L23" i="8" l="1"/>
  <c r="G409" i="8"/>
  <c r="D396" i="8"/>
  <c r="E397" i="8"/>
  <c r="H397" i="8" s="1"/>
  <c r="D400" i="8"/>
  <c r="E103" i="8"/>
  <c r="H103" i="8" s="1"/>
  <c r="G159" i="11"/>
  <c r="H430" i="8"/>
  <c r="D566" i="8"/>
  <c r="G400" i="8"/>
  <c r="G399" i="8"/>
  <c r="D393" i="8"/>
  <c r="E387" i="8"/>
  <c r="H387" i="8" s="1"/>
  <c r="D75" i="6" s="1"/>
  <c r="F75" i="6" s="1"/>
  <c r="E372" i="8"/>
  <c r="E396" i="8" s="1"/>
  <c r="G372" i="8"/>
  <c r="G396" i="8" s="1"/>
  <c r="D318" i="8"/>
  <c r="D273" i="8"/>
  <c r="H194" i="8"/>
  <c r="E193" i="8"/>
  <c r="E192" i="8"/>
  <c r="E195" i="8"/>
  <c r="H195" i="8" s="1"/>
  <c r="E196" i="8"/>
  <c r="E132" i="8"/>
  <c r="E150" i="8"/>
  <c r="E357" i="8" s="1"/>
  <c r="H357" i="8" s="1"/>
  <c r="E72" i="8"/>
  <c r="E99" i="8"/>
  <c r="E102" i="8" s="1"/>
  <c r="G89" i="8"/>
  <c r="G92" i="8"/>
  <c r="G91" i="8"/>
  <c r="G90" i="8"/>
  <c r="G104" i="11"/>
  <c r="G143" i="11" s="1"/>
  <c r="D82" i="8"/>
  <c r="D81" i="8"/>
  <c r="E644" i="11"/>
  <c r="E649" i="11" s="1"/>
  <c r="H649" i="11" s="1"/>
  <c r="H646" i="11" s="1"/>
  <c r="H640" i="11"/>
  <c r="H633" i="11"/>
  <c r="H631" i="11"/>
  <c r="D627" i="11"/>
  <c r="H627" i="11" s="1"/>
  <c r="D624" i="11"/>
  <c r="H624" i="11" s="1"/>
  <c r="D623" i="11"/>
  <c r="H623" i="11" s="1"/>
  <c r="D620" i="11"/>
  <c r="H620" i="11" s="1"/>
  <c r="E618" i="11"/>
  <c r="D618" i="11"/>
  <c r="D616" i="11"/>
  <c r="H616" i="11" s="1"/>
  <c r="D614" i="11"/>
  <c r="H614" i="11" s="1"/>
  <c r="D612" i="11"/>
  <c r="H612" i="11" s="1"/>
  <c r="D609" i="11"/>
  <c r="H609" i="11" s="1"/>
  <c r="D606" i="11"/>
  <c r="H606" i="11" s="1"/>
  <c r="D605" i="11"/>
  <c r="H605" i="11" s="1"/>
  <c r="D602" i="11"/>
  <c r="H602" i="11" s="1"/>
  <c r="D600" i="11"/>
  <c r="H600" i="11" s="1"/>
  <c r="E598" i="11"/>
  <c r="D598" i="11"/>
  <c r="H598" i="11" s="1"/>
  <c r="D596" i="11"/>
  <c r="H596" i="11" s="1"/>
  <c r="D594" i="11"/>
  <c r="H594" i="11" s="1"/>
  <c r="H590" i="11"/>
  <c r="H587" i="11"/>
  <c r="H584" i="11"/>
  <c r="E581" i="11"/>
  <c r="H581" i="11" s="1"/>
  <c r="H579" i="11"/>
  <c r="H577" i="11"/>
  <c r="H575" i="11"/>
  <c r="H573" i="11"/>
  <c r="H569" i="11"/>
  <c r="H567" i="11"/>
  <c r="H565" i="11"/>
  <c r="H563" i="11"/>
  <c r="H561" i="11"/>
  <c r="H559" i="11"/>
  <c r="H558" i="11"/>
  <c r="H557" i="11"/>
  <c r="H556" i="11"/>
  <c r="H555" i="11"/>
  <c r="H554" i="11"/>
  <c r="H551" i="11"/>
  <c r="H549" i="11"/>
  <c r="H547" i="11"/>
  <c r="H545" i="11"/>
  <c r="H543" i="11"/>
  <c r="H541" i="11"/>
  <c r="H538" i="11"/>
  <c r="H536" i="11"/>
  <c r="D532" i="11"/>
  <c r="H532" i="11" s="1"/>
  <c r="F518" i="11"/>
  <c r="E518" i="11"/>
  <c r="D518" i="11"/>
  <c r="G516" i="11"/>
  <c r="E516" i="11"/>
  <c r="E532" i="11" s="1"/>
  <c r="E533" i="11" s="1"/>
  <c r="H533" i="11" s="1"/>
  <c r="D516" i="11"/>
  <c r="F512" i="11"/>
  <c r="H512" i="11" s="1"/>
  <c r="E512" i="11"/>
  <c r="F511" i="11"/>
  <c r="E511" i="11"/>
  <c r="H511" i="11" s="1"/>
  <c r="F510" i="11"/>
  <c r="E510" i="11"/>
  <c r="G507" i="11"/>
  <c r="G506" i="11"/>
  <c r="G503" i="11"/>
  <c r="E503" i="11"/>
  <c r="E502" i="11"/>
  <c r="G499" i="11"/>
  <c r="G502" i="11" s="1"/>
  <c r="E499" i="11"/>
  <c r="D499" i="11"/>
  <c r="G498" i="11"/>
  <c r="E498" i="11"/>
  <c r="D498" i="11"/>
  <c r="H498" i="11" s="1"/>
  <c r="H493" i="11"/>
  <c r="H491" i="11"/>
  <c r="H487" i="11"/>
  <c r="H485" i="11"/>
  <c r="H484" i="11"/>
  <c r="E480" i="11"/>
  <c r="H480" i="11" s="1"/>
  <c r="E479" i="11"/>
  <c r="E506" i="11" s="1"/>
  <c r="H506" i="11" s="1"/>
  <c r="D476" i="11"/>
  <c r="D503" i="11" s="1"/>
  <c r="H503" i="11" s="1"/>
  <c r="G475" i="11"/>
  <c r="D475" i="11"/>
  <c r="D502" i="11" s="1"/>
  <c r="H502" i="11" s="1"/>
  <c r="H473" i="11"/>
  <c r="H524" i="11" s="1"/>
  <c r="H472" i="11"/>
  <c r="H471" i="11"/>
  <c r="D466" i="11"/>
  <c r="F465" i="11"/>
  <c r="D465" i="11"/>
  <c r="F461" i="11"/>
  <c r="E461" i="11"/>
  <c r="D461" i="11"/>
  <c r="H461" i="11" s="1"/>
  <c r="F460" i="11"/>
  <c r="E460" i="11"/>
  <c r="D460" i="11"/>
  <c r="H460" i="11" s="1"/>
  <c r="F457" i="11"/>
  <c r="E457" i="11"/>
  <c r="H455" i="11"/>
  <c r="F452" i="11"/>
  <c r="F466" i="11" s="1"/>
  <c r="F440" i="11" s="1"/>
  <c r="E452" i="11"/>
  <c r="F451" i="11"/>
  <c r="E451" i="11"/>
  <c r="E465" i="11" s="1"/>
  <c r="F446" i="11"/>
  <c r="E446" i="11"/>
  <c r="H446" i="11" s="1"/>
  <c r="F445" i="11"/>
  <c r="E445" i="11"/>
  <c r="H445" i="11" s="1"/>
  <c r="E439" i="11"/>
  <c r="H439" i="11" s="1"/>
  <c r="D433" i="11"/>
  <c r="H433" i="11" s="1"/>
  <c r="H431" i="11"/>
  <c r="E428" i="11"/>
  <c r="H428" i="11" s="1"/>
  <c r="E427" i="11"/>
  <c r="H427" i="11" s="1"/>
  <c r="E426" i="11"/>
  <c r="H426" i="11" s="1"/>
  <c r="E425" i="11"/>
  <c r="H425" i="11" s="1"/>
  <c r="H422" i="11"/>
  <c r="H421" i="11"/>
  <c r="H418" i="11"/>
  <c r="H417" i="11"/>
  <c r="H416" i="11"/>
  <c r="H415" i="11"/>
  <c r="H419" i="11" s="1"/>
  <c r="H410" i="11"/>
  <c r="H407" i="11"/>
  <c r="H404" i="11"/>
  <c r="H403" i="11"/>
  <c r="H400" i="11"/>
  <c r="H395" i="11"/>
  <c r="H394" i="11"/>
  <c r="H391" i="11"/>
  <c r="H390" i="11"/>
  <c r="H389" i="11"/>
  <c r="H384" i="11"/>
  <c r="H383" i="11"/>
  <c r="E370" i="11"/>
  <c r="E376" i="11" s="1"/>
  <c r="H376" i="11" s="1"/>
  <c r="H377" i="11" s="1"/>
  <c r="H378" i="11" s="1"/>
  <c r="G365" i="11"/>
  <c r="H355" i="11"/>
  <c r="E355" i="11"/>
  <c r="H352" i="11"/>
  <c r="H351" i="11"/>
  <c r="H350" i="11"/>
  <c r="G350" i="11"/>
  <c r="E350" i="11"/>
  <c r="G349" i="11"/>
  <c r="E349" i="11"/>
  <c r="E338" i="11"/>
  <c r="H338" i="11" s="1"/>
  <c r="D335" i="11"/>
  <c r="G333" i="11"/>
  <c r="G343" i="11" s="1"/>
  <c r="D333" i="11"/>
  <c r="H326" i="11"/>
  <c r="H328" i="11" s="1"/>
  <c r="H329" i="11" s="1"/>
  <c r="H321" i="11"/>
  <c r="G321" i="11"/>
  <c r="G319" i="11"/>
  <c r="H319" i="11" s="1"/>
  <c r="H322" i="11" s="1"/>
  <c r="H323" i="11" s="1"/>
  <c r="H313" i="11"/>
  <c r="E313" i="11"/>
  <c r="H312" i="11"/>
  <c r="E310" i="11"/>
  <c r="H310" i="11" s="1"/>
  <c r="E304" i="11"/>
  <c r="H304" i="11" s="1"/>
  <c r="G303" i="11"/>
  <c r="G335" i="11" s="1"/>
  <c r="E303" i="11"/>
  <c r="E335" i="11" s="1"/>
  <c r="H301" i="11"/>
  <c r="H300" i="11"/>
  <c r="E298" i="11"/>
  <c r="E333" i="11" s="1"/>
  <c r="E343" i="11" s="1"/>
  <c r="H292" i="11"/>
  <c r="H291" i="11"/>
  <c r="E290" i="11"/>
  <c r="H290" i="11" s="1"/>
  <c r="E289" i="11"/>
  <c r="H289" i="11" s="1"/>
  <c r="H287" i="11"/>
  <c r="H286" i="11"/>
  <c r="H285" i="11"/>
  <c r="H284" i="11"/>
  <c r="H283" i="11"/>
  <c r="H281" i="11"/>
  <c r="H280" i="11"/>
  <c r="H279" i="11"/>
  <c r="H278" i="11"/>
  <c r="H273" i="11"/>
  <c r="H271" i="11"/>
  <c r="F270" i="11"/>
  <c r="E270" i="11"/>
  <c r="H270" i="11" s="1"/>
  <c r="H274" i="11" s="1"/>
  <c r="H275" i="11" s="1"/>
  <c r="H264" i="11"/>
  <c r="D264" i="11"/>
  <c r="H261" i="11"/>
  <c r="F254" i="11"/>
  <c r="H254" i="11" s="1"/>
  <c r="F253" i="11"/>
  <c r="H253" i="11" s="1"/>
  <c r="F252" i="11"/>
  <c r="H252" i="11" s="1"/>
  <c r="F251" i="11"/>
  <c r="H251" i="11" s="1"/>
  <c r="F249" i="11"/>
  <c r="H249" i="11" s="1"/>
  <c r="F248" i="11"/>
  <c r="H248" i="11" s="1"/>
  <c r="F247" i="11"/>
  <c r="H247" i="11" s="1"/>
  <c r="F246" i="11"/>
  <c r="H246" i="11" s="1"/>
  <c r="F245" i="11"/>
  <c r="H245" i="11" s="1"/>
  <c r="F244" i="11"/>
  <c r="H244" i="11" s="1"/>
  <c r="F243" i="11"/>
  <c r="H243" i="11" s="1"/>
  <c r="H242" i="11"/>
  <c r="F242" i="11"/>
  <c r="D238" i="11"/>
  <c r="H238" i="11" s="1"/>
  <c r="D237" i="11"/>
  <c r="H237" i="11" s="1"/>
  <c r="D236" i="11"/>
  <c r="H236" i="11" s="1"/>
  <c r="E231" i="11"/>
  <c r="D231" i="11"/>
  <c r="H231" i="11" s="1"/>
  <c r="E230" i="11"/>
  <c r="D230" i="11"/>
  <c r="H230" i="11" s="1"/>
  <c r="E229" i="11"/>
  <c r="D229" i="11"/>
  <c r="H229" i="11" s="1"/>
  <c r="K228" i="11"/>
  <c r="E228" i="11"/>
  <c r="D228" i="11"/>
  <c r="H226" i="11"/>
  <c r="H225" i="11"/>
  <c r="H224" i="11"/>
  <c r="K223" i="11"/>
  <c r="H223" i="11"/>
  <c r="K222" i="11"/>
  <c r="H218" i="11"/>
  <c r="G206" i="11"/>
  <c r="G207" i="11" s="1"/>
  <c r="G208" i="11" s="1"/>
  <c r="D206" i="11"/>
  <c r="E202" i="11"/>
  <c r="H202" i="11" s="1"/>
  <c r="D187" i="11"/>
  <c r="F169" i="11"/>
  <c r="E169" i="11"/>
  <c r="H169" i="11" s="1"/>
  <c r="D169" i="11"/>
  <c r="F168" i="11"/>
  <c r="E168" i="11"/>
  <c r="H168" i="11" s="1"/>
  <c r="D168" i="11"/>
  <c r="F167" i="11"/>
  <c r="E167" i="11"/>
  <c r="H167" i="11" s="1"/>
  <c r="D167" i="11"/>
  <c r="F166" i="11"/>
  <c r="E166" i="11"/>
  <c r="H166" i="11" s="1"/>
  <c r="H170" i="11" s="1"/>
  <c r="D166" i="11"/>
  <c r="G163" i="11"/>
  <c r="E163" i="11"/>
  <c r="D163" i="11"/>
  <c r="H163" i="11" s="1"/>
  <c r="G162" i="11"/>
  <c r="E162" i="11"/>
  <c r="D162" i="11"/>
  <c r="H162" i="11" s="1"/>
  <c r="G161" i="11"/>
  <c r="E161" i="11"/>
  <c r="D161" i="11"/>
  <c r="G160" i="11"/>
  <c r="E160" i="11"/>
  <c r="D160" i="11"/>
  <c r="D159" i="11"/>
  <c r="G155" i="11"/>
  <c r="G151" i="11"/>
  <c r="E151" i="11"/>
  <c r="D151" i="11"/>
  <c r="E150" i="11"/>
  <c r="D150" i="11"/>
  <c r="E147" i="11"/>
  <c r="E201" i="11" s="1"/>
  <c r="E210" i="11" s="1"/>
  <c r="E146" i="11"/>
  <c r="E200" i="11" s="1"/>
  <c r="E209" i="11" s="1"/>
  <c r="E145" i="11"/>
  <c r="E199" i="11" s="1"/>
  <c r="E208" i="11" s="1"/>
  <c r="E144" i="11"/>
  <c r="E198" i="11" s="1"/>
  <c r="E207" i="11" s="1"/>
  <c r="E143" i="11"/>
  <c r="E197" i="11" s="1"/>
  <c r="E206" i="11" s="1"/>
  <c r="H206" i="11" s="1"/>
  <c r="G139" i="11"/>
  <c r="E139" i="11"/>
  <c r="D139" i="11"/>
  <c r="H139" i="11" s="1"/>
  <c r="G138" i="11"/>
  <c r="E138" i="11"/>
  <c r="D138" i="11"/>
  <c r="G137" i="11"/>
  <c r="E137" i="11"/>
  <c r="G136" i="11"/>
  <c r="E136" i="11"/>
  <c r="G135" i="11"/>
  <c r="E135" i="11"/>
  <c r="D135" i="11"/>
  <c r="H127" i="11"/>
  <c r="H131" i="11" s="1"/>
  <c r="H178" i="11" s="1"/>
  <c r="E120" i="11"/>
  <c r="E159" i="11" s="1"/>
  <c r="H159" i="11" s="1"/>
  <c r="E116" i="11"/>
  <c r="H116" i="11" s="1"/>
  <c r="H117" i="11" s="1"/>
  <c r="H176" i="11" s="1"/>
  <c r="G111" i="11"/>
  <c r="G150" i="11" s="1"/>
  <c r="H150" i="11" s="1"/>
  <c r="G108" i="11"/>
  <c r="G147" i="11" s="1"/>
  <c r="D108" i="11"/>
  <c r="D201" i="11" s="1"/>
  <c r="G107" i="11"/>
  <c r="G146" i="11" s="1"/>
  <c r="D107" i="11"/>
  <c r="D146" i="11" s="1"/>
  <c r="G106" i="11"/>
  <c r="G145" i="11" s="1"/>
  <c r="G105" i="11"/>
  <c r="G144" i="11" s="1"/>
  <c r="H104" i="11"/>
  <c r="D104" i="11"/>
  <c r="D197" i="11" s="1"/>
  <c r="H100" i="11"/>
  <c r="H99" i="11"/>
  <c r="D98" i="11"/>
  <c r="H98" i="11" s="1"/>
  <c r="D97" i="11"/>
  <c r="D136" i="11" s="1"/>
  <c r="H136" i="11" s="1"/>
  <c r="H96" i="11"/>
  <c r="F91" i="11"/>
  <c r="E91" i="11"/>
  <c r="D91" i="11"/>
  <c r="H91" i="11" s="1"/>
  <c r="F90" i="11"/>
  <c r="F87" i="11"/>
  <c r="F86" i="11"/>
  <c r="H81" i="11"/>
  <c r="F80" i="11"/>
  <c r="F192" i="11" s="1"/>
  <c r="E80" i="11"/>
  <c r="E90" i="11" s="1"/>
  <c r="D80" i="11"/>
  <c r="D193" i="11" s="1"/>
  <c r="F79" i="11"/>
  <c r="F89" i="11" s="1"/>
  <c r="E79" i="11"/>
  <c r="E89" i="11" s="1"/>
  <c r="F78" i="11"/>
  <c r="F191" i="11" s="1"/>
  <c r="E78" i="11"/>
  <c r="E191" i="11" s="1"/>
  <c r="F77" i="11"/>
  <c r="F190" i="11" s="1"/>
  <c r="E77" i="11"/>
  <c r="E190" i="11" s="1"/>
  <c r="F76" i="11"/>
  <c r="F189" i="11" s="1"/>
  <c r="E76" i="11"/>
  <c r="E189" i="11" s="1"/>
  <c r="D76" i="11"/>
  <c r="D189" i="11" s="1"/>
  <c r="H189" i="11" s="1"/>
  <c r="H71" i="11"/>
  <c r="F68" i="11"/>
  <c r="E68" i="11"/>
  <c r="D68" i="11"/>
  <c r="H68" i="11" s="1"/>
  <c r="F66" i="11"/>
  <c r="D66" i="11"/>
  <c r="F64" i="11"/>
  <c r="E64" i="11"/>
  <c r="F63" i="11"/>
  <c r="E63" i="11"/>
  <c r="F62" i="11"/>
  <c r="E62" i="11"/>
  <c r="F61" i="11"/>
  <c r="E61" i="11"/>
  <c r="F60" i="11"/>
  <c r="E60" i="11"/>
  <c r="F55" i="11"/>
  <c r="E55" i="11"/>
  <c r="H55" i="11" s="1"/>
  <c r="H56" i="11" s="1"/>
  <c r="H52" i="11"/>
  <c r="F52" i="11"/>
  <c r="E52" i="11"/>
  <c r="E50" i="11"/>
  <c r="E74" i="11" s="1"/>
  <c r="D50" i="11"/>
  <c r="F48" i="11"/>
  <c r="E48" i="11"/>
  <c r="D48" i="11"/>
  <c r="D64" i="11" s="1"/>
  <c r="F47" i="11"/>
  <c r="E47" i="11"/>
  <c r="D47" i="11"/>
  <c r="D63" i="11" s="1"/>
  <c r="H63" i="11" s="1"/>
  <c r="F46" i="11"/>
  <c r="E46" i="11"/>
  <c r="D46" i="11"/>
  <c r="D62" i="11" s="1"/>
  <c r="F45" i="11"/>
  <c r="E45" i="11"/>
  <c r="D45" i="11"/>
  <c r="D61" i="11" s="1"/>
  <c r="H61" i="11" s="1"/>
  <c r="F44" i="11"/>
  <c r="E44" i="11"/>
  <c r="D44" i="11"/>
  <c r="D60" i="11" s="1"/>
  <c r="G38" i="11"/>
  <c r="F38" i="11"/>
  <c r="F50" i="11" s="1"/>
  <c r="F74" i="11" s="1"/>
  <c r="E38" i="11"/>
  <c r="H37" i="11"/>
  <c r="G32" i="11"/>
  <c r="G31" i="11"/>
  <c r="G30" i="11"/>
  <c r="G29" i="11"/>
  <c r="G28" i="11"/>
  <c r="F24" i="11"/>
  <c r="F32" i="11" s="1"/>
  <c r="E24" i="11"/>
  <c r="E32" i="11" s="1"/>
  <c r="D24" i="11"/>
  <c r="D32" i="11" s="1"/>
  <c r="F23" i="11"/>
  <c r="F31" i="11" s="1"/>
  <c r="E23" i="11"/>
  <c r="E31" i="11" s="1"/>
  <c r="D23" i="11"/>
  <c r="D31" i="11" s="1"/>
  <c r="F22" i="11"/>
  <c r="F30" i="11" s="1"/>
  <c r="E22" i="11"/>
  <c r="E30" i="11" s="1"/>
  <c r="D22" i="11"/>
  <c r="D30" i="11" s="1"/>
  <c r="F21" i="11"/>
  <c r="F29" i="11" s="1"/>
  <c r="E21" i="11"/>
  <c r="E29" i="11" s="1"/>
  <c r="F20" i="11"/>
  <c r="F28" i="11" s="1"/>
  <c r="E20" i="11"/>
  <c r="E28" i="11" s="1"/>
  <c r="D20" i="11"/>
  <c r="D28" i="11" s="1"/>
  <c r="H146" i="11" l="1"/>
  <c r="H429" i="11"/>
  <c r="H60" i="11"/>
  <c r="H64" i="11"/>
  <c r="D79" i="11"/>
  <c r="D89" i="11" s="1"/>
  <c r="H89" i="11" s="1"/>
  <c r="D105" i="11"/>
  <c r="H111" i="11"/>
  <c r="H113" i="11" s="1"/>
  <c r="H175" i="11" s="1"/>
  <c r="H462" i="11"/>
  <c r="H504" i="11"/>
  <c r="H618" i="11"/>
  <c r="D88" i="6"/>
  <c r="F88" i="6" s="1"/>
  <c r="H410" i="8"/>
  <c r="H20" i="11"/>
  <c r="H22" i="11"/>
  <c r="H23" i="11"/>
  <c r="H24" i="11"/>
  <c r="F88" i="11"/>
  <c r="H97" i="11"/>
  <c r="H101" i="11" s="1"/>
  <c r="H173" i="11" s="1"/>
  <c r="H138" i="11"/>
  <c r="D147" i="11"/>
  <c r="H151" i="11"/>
  <c r="H152" i="11" s="1"/>
  <c r="H161" i="11"/>
  <c r="H396" i="11"/>
  <c r="H397" i="11" s="1"/>
  <c r="D435" i="11"/>
  <c r="H435" i="11" s="1"/>
  <c r="H518" i="11"/>
  <c r="E658" i="11"/>
  <c r="H658" i="11" s="1"/>
  <c r="H28" i="11"/>
  <c r="D21" i="11"/>
  <c r="H30" i="11"/>
  <c r="H31" i="11"/>
  <c r="E66" i="11"/>
  <c r="H135" i="11"/>
  <c r="H160" i="11"/>
  <c r="H164" i="11" s="1"/>
  <c r="D210" i="11"/>
  <c r="H228" i="11"/>
  <c r="H343" i="11"/>
  <c r="H335" i="11"/>
  <c r="H370" i="11"/>
  <c r="H371" i="11" s="1"/>
  <c r="H372" i="11" s="1"/>
  <c r="H457" i="11"/>
  <c r="H465" i="11"/>
  <c r="H475" i="11"/>
  <c r="H488" i="11"/>
  <c r="H528" i="11" s="1"/>
  <c r="H510" i="11"/>
  <c r="E186" i="8"/>
  <c r="E187" i="8" s="1"/>
  <c r="H187" i="8" s="1"/>
  <c r="H298" i="11"/>
  <c r="H333" i="11"/>
  <c r="H38" i="11"/>
  <c r="H66" i="11"/>
  <c r="E359" i="11"/>
  <c r="E364" i="11" s="1"/>
  <c r="E365" i="11" s="1"/>
  <c r="H365" i="11" s="1"/>
  <c r="H102" i="8"/>
  <c r="H193" i="8"/>
  <c r="H192" i="8"/>
  <c r="E370" i="8"/>
  <c r="H32" i="11"/>
  <c r="H62" i="11"/>
  <c r="H197" i="11"/>
  <c r="H201" i="11"/>
  <c r="H447" i="11"/>
  <c r="H513" i="11"/>
  <c r="E187" i="11"/>
  <c r="H187" i="11" s="1"/>
  <c r="H74" i="11"/>
  <c r="E84" i="11"/>
  <c r="H293" i="11"/>
  <c r="H50" i="11"/>
  <c r="F187" i="11"/>
  <c r="F84" i="11"/>
  <c r="H255" i="11"/>
  <c r="H256" i="11" s="1"/>
  <c r="E257" i="11" s="1"/>
  <c r="H257" i="11" s="1"/>
  <c r="H44" i="11"/>
  <c r="H45" i="11"/>
  <c r="H46" i="11"/>
  <c r="H47" i="11"/>
  <c r="H48" i="11"/>
  <c r="E86" i="11"/>
  <c r="E87" i="11"/>
  <c r="E88" i="11"/>
  <c r="H105" i="11"/>
  <c r="H108" i="11"/>
  <c r="H120" i="11"/>
  <c r="H125" i="11" s="1"/>
  <c r="H177" i="11" s="1"/>
  <c r="H147" i="11"/>
  <c r="E155" i="11"/>
  <c r="H155" i="11" s="1"/>
  <c r="H156" i="11" s="1"/>
  <c r="D192" i="11"/>
  <c r="F193" i="11"/>
  <c r="H303" i="11"/>
  <c r="H305" i="11" s="1"/>
  <c r="H307" i="11" s="1"/>
  <c r="H314" i="11"/>
  <c r="H315" i="11" s="1"/>
  <c r="H337" i="11" s="1"/>
  <c r="H385" i="11"/>
  <c r="H386" i="11" s="1"/>
  <c r="H476" i="11"/>
  <c r="H516" i="11"/>
  <c r="E652" i="11"/>
  <c r="H652" i="11" s="1"/>
  <c r="H76" i="11"/>
  <c r="H80" i="11"/>
  <c r="D106" i="11"/>
  <c r="H107" i="11"/>
  <c r="D200" i="11"/>
  <c r="H200" i="11" s="1"/>
  <c r="D217" i="11"/>
  <c r="H217" i="11" s="1"/>
  <c r="H265" i="11"/>
  <c r="H451" i="11"/>
  <c r="H494" i="11"/>
  <c r="E507" i="11"/>
  <c r="H507" i="11" s="1"/>
  <c r="H508" i="11" s="1"/>
  <c r="H644" i="11"/>
  <c r="E655" i="11"/>
  <c r="H655" i="11" s="1"/>
  <c r="G210" i="11"/>
  <c r="H210" i="11" s="1"/>
  <c r="G209" i="11"/>
  <c r="D209" i="11"/>
  <c r="D234" i="11"/>
  <c r="H234" i="11" s="1"/>
  <c r="H235" i="11" s="1"/>
  <c r="H349" i="11"/>
  <c r="H356" i="11" s="1"/>
  <c r="E466" i="11"/>
  <c r="H452" i="11"/>
  <c r="H477" i="11"/>
  <c r="H525" i="11" s="1"/>
  <c r="H479" i="11"/>
  <c r="H481" i="11" s="1"/>
  <c r="H526" i="11" s="1"/>
  <c r="H499" i="11"/>
  <c r="H500" i="11" s="1"/>
  <c r="E193" i="11"/>
  <c r="H193" i="11" s="1"/>
  <c r="E192" i="11"/>
  <c r="D86" i="11"/>
  <c r="H86" i="11" s="1"/>
  <c r="D90" i="11"/>
  <c r="H90" i="11" s="1"/>
  <c r="D137" i="11"/>
  <c r="H137" i="11" s="1"/>
  <c r="H140" i="11" s="1"/>
  <c r="H534" i="11"/>
  <c r="D143" i="11"/>
  <c r="H186" i="8" l="1"/>
  <c r="D144" i="11"/>
  <c r="D77" i="11"/>
  <c r="D207" i="11"/>
  <c r="H207" i="11" s="1"/>
  <c r="D198" i="11"/>
  <c r="H198" i="11" s="1"/>
  <c r="H359" i="11"/>
  <c r="H361" i="11" s="1"/>
  <c r="D29" i="11"/>
  <c r="H29" i="11" s="1"/>
  <c r="H33" i="11" s="1"/>
  <c r="H21" i="11"/>
  <c r="H25" i="11" s="1"/>
  <c r="H364" i="11"/>
  <c r="H366" i="11" s="1"/>
  <c r="H79" i="11"/>
  <c r="H520" i="11"/>
  <c r="H340" i="11"/>
  <c r="H192" i="11"/>
  <c r="H173" i="8"/>
  <c r="D69" i="6" s="1"/>
  <c r="F69" i="6" s="1"/>
  <c r="D59" i="6"/>
  <c r="F59" i="6" s="1"/>
  <c r="H69" i="11"/>
  <c r="H84" i="11"/>
  <c r="H370" i="8"/>
  <c r="E393" i="8"/>
  <c r="E409" i="8" s="1"/>
  <c r="H409" i="8" s="1"/>
  <c r="D82" i="6" s="1"/>
  <c r="F82" i="6" s="1"/>
  <c r="H466" i="11"/>
  <c r="H467" i="11" s="1"/>
  <c r="E440" i="11"/>
  <c r="H440" i="11" s="1"/>
  <c r="H209" i="11"/>
  <c r="H453" i="11"/>
  <c r="I146" i="11"/>
  <c r="H143" i="11"/>
  <c r="D214" i="11"/>
  <c r="H214" i="11" s="1"/>
  <c r="H53" i="11"/>
  <c r="H527" i="11"/>
  <c r="H529" i="11"/>
  <c r="D145" i="11"/>
  <c r="H106" i="11"/>
  <c r="H109" i="11" s="1"/>
  <c r="H174" i="11" s="1"/>
  <c r="D208" i="11"/>
  <c r="H208" i="11" s="1"/>
  <c r="H211" i="11" s="1"/>
  <c r="D199" i="11"/>
  <c r="H199" i="11" s="1"/>
  <c r="H203" i="11" s="1"/>
  <c r="D78" i="11"/>
  <c r="H182" i="11"/>
  <c r="H179" i="11"/>
  <c r="H35" i="11" l="1"/>
  <c r="H39" i="11" s="1"/>
  <c r="H40" i="11" s="1"/>
  <c r="D87" i="11"/>
  <c r="H87" i="11" s="1"/>
  <c r="D190" i="11"/>
  <c r="H190" i="11" s="1"/>
  <c r="H77" i="11"/>
  <c r="D215" i="11"/>
  <c r="H215" i="11" s="1"/>
  <c r="H144" i="11"/>
  <c r="H180" i="11"/>
  <c r="E414" i="8"/>
  <c r="H414" i="8" s="1"/>
  <c r="H415" i="8" s="1"/>
  <c r="H393" i="8"/>
  <c r="D88" i="11"/>
  <c r="H88" i="11" s="1"/>
  <c r="H92" i="11" s="1"/>
  <c r="D191" i="11"/>
  <c r="H191" i="11" s="1"/>
  <c r="H194" i="11" s="1"/>
  <c r="H78" i="11"/>
  <c r="H82" i="11" s="1"/>
  <c r="H184" i="11" s="1"/>
  <c r="D216" i="11"/>
  <c r="H216" i="11" s="1"/>
  <c r="H145" i="11"/>
  <c r="H148" i="11"/>
  <c r="H219" i="11"/>
  <c r="G509" i="8" l="1"/>
  <c r="F509" i="8"/>
  <c r="F318" i="8" l="1"/>
  <c r="F329" i="8" s="1"/>
  <c r="F341" i="8" s="1"/>
  <c r="E318" i="8"/>
  <c r="E329" i="8" s="1"/>
  <c r="E341" i="8" s="1"/>
  <c r="D329" i="8"/>
  <c r="D341" i="8" s="1"/>
  <c r="G46" i="8"/>
  <c r="F102" i="6" l="1"/>
  <c r="F99" i="6"/>
  <c r="G407" i="8"/>
  <c r="G402" i="8"/>
  <c r="H403" i="8"/>
  <c r="H401" i="8"/>
  <c r="E399" i="8"/>
  <c r="E400" i="8"/>
  <c r="E404" i="8"/>
  <c r="E405" i="8"/>
  <c r="D399" i="8"/>
  <c r="H399" i="8" s="1"/>
  <c r="H400" i="8"/>
  <c r="D402" i="8"/>
  <c r="D404" i="8"/>
  <c r="D405" i="8"/>
  <c r="D407" i="8"/>
  <c r="E382" i="8"/>
  <c r="E407" i="8" s="1"/>
  <c r="E377" i="8"/>
  <c r="E402" i="8" s="1"/>
  <c r="F145" i="6"/>
  <c r="E317" i="8"/>
  <c r="F317" i="8"/>
  <c r="D317" i="8"/>
  <c r="E180" i="8"/>
  <c r="E179" i="8"/>
  <c r="H405" i="8" l="1"/>
  <c r="H404" i="8"/>
  <c r="H396" i="8"/>
  <c r="H402" i="8"/>
  <c r="H407" i="8"/>
  <c r="H317" i="8"/>
  <c r="F180" i="8"/>
  <c r="H180" i="8" s="1"/>
  <c r="F179" i="8"/>
  <c r="H179" i="8" s="1"/>
  <c r="H273" i="8"/>
  <c r="H274" i="8" s="1"/>
  <c r="D105" i="6" s="1"/>
  <c r="F105" i="6" s="1"/>
  <c r="H266" i="8"/>
  <c r="H267" i="8"/>
  <c r="H268" i="8"/>
  <c r="H265" i="8"/>
  <c r="H408" i="8" l="1"/>
  <c r="D80" i="6" s="1"/>
  <c r="H269" i="8"/>
  <c r="F103" i="6" s="1"/>
  <c r="E440" i="8" l="1"/>
  <c r="E437" i="8"/>
  <c r="E436" i="8"/>
  <c r="E460" i="8" l="1"/>
  <c r="F460" i="8" s="1"/>
  <c r="H460" i="8" s="1"/>
  <c r="H461" i="8" s="1"/>
  <c r="H462" i="8" s="1"/>
  <c r="E219" i="8"/>
  <c r="H219" i="8" s="1"/>
  <c r="F346" i="8"/>
  <c r="E346" i="8"/>
  <c r="D346" i="8"/>
  <c r="F24" i="8"/>
  <c r="F25" i="8"/>
  <c r="F26" i="8"/>
  <c r="F27" i="8"/>
  <c r="F28" i="8"/>
  <c r="E24" i="8"/>
  <c r="E25" i="8"/>
  <c r="E26" i="8"/>
  <c r="E27" i="8"/>
  <c r="E28" i="8"/>
  <c r="D26" i="8"/>
  <c r="D57" i="8" s="1"/>
  <c r="D27" i="8"/>
  <c r="D58" i="8" s="1"/>
  <c r="D28" i="8"/>
  <c r="D59" i="8" s="1"/>
  <c r="E246" i="8"/>
  <c r="E247" i="8"/>
  <c r="E248" i="8"/>
  <c r="E249" i="8"/>
  <c r="E250" i="8"/>
  <c r="E218" i="8"/>
  <c r="E178" i="8"/>
  <c r="E177" i="8"/>
  <c r="E142" i="8"/>
  <c r="E352" i="8" s="1"/>
  <c r="E361" i="8" s="1"/>
  <c r="E143" i="8"/>
  <c r="E353" i="8" s="1"/>
  <c r="E362" i="8" s="1"/>
  <c r="E144" i="8"/>
  <c r="E354" i="8" s="1"/>
  <c r="E363" i="8" s="1"/>
  <c r="E145" i="8"/>
  <c r="E355" i="8" s="1"/>
  <c r="E364" i="8" s="1"/>
  <c r="E146" i="8"/>
  <c r="E356" i="8" s="1"/>
  <c r="E365" i="8" s="1"/>
  <c r="E133" i="8"/>
  <c r="E134" i="8"/>
  <c r="E135" i="8"/>
  <c r="E137" i="8"/>
  <c r="D135" i="8"/>
  <c r="D136" i="8"/>
  <c r="D137" i="8"/>
  <c r="D133" i="8" l="1"/>
  <c r="D24" i="8"/>
  <c r="D55" i="8" s="1"/>
  <c r="D134" i="8"/>
  <c r="D25" i="8"/>
  <c r="D56" i="8" s="1"/>
  <c r="H380" i="8"/>
  <c r="H379" i="8"/>
  <c r="H375" i="8"/>
  <c r="H374" i="8"/>
  <c r="H437" i="8" l="1"/>
  <c r="G455" i="8"/>
  <c r="G448" i="8"/>
  <c r="G441" i="8"/>
  <c r="E441" i="8"/>
  <c r="H441" i="8" l="1"/>
  <c r="H426" i="8" l="1"/>
  <c r="H425" i="8"/>
  <c r="H424" i="8"/>
  <c r="H423" i="8"/>
  <c r="H196" i="8"/>
  <c r="E184" i="8"/>
  <c r="H382" i="8"/>
  <c r="H372" i="8"/>
  <c r="G498" i="8"/>
  <c r="G362" i="8"/>
  <c r="G363" i="8" s="1"/>
  <c r="G364" i="8" s="1"/>
  <c r="G365" i="8" s="1"/>
  <c r="F280" i="8"/>
  <c r="F324" i="8" s="1"/>
  <c r="F281" i="8"/>
  <c r="F282" i="8"/>
  <c r="F283" i="8"/>
  <c r="F327" i="8" s="1"/>
  <c r="F284" i="8"/>
  <c r="F328" i="8" s="1"/>
  <c r="E280" i="8"/>
  <c r="E324" i="8" s="1"/>
  <c r="E281" i="8"/>
  <c r="E303" i="8" s="1"/>
  <c r="E313" i="8" s="1"/>
  <c r="E282" i="8"/>
  <c r="E283" i="8"/>
  <c r="E305" i="8" s="1"/>
  <c r="E315" i="8" s="1"/>
  <c r="E284" i="8"/>
  <c r="E328" i="8" s="1"/>
  <c r="G249" i="8"/>
  <c r="G248" i="8"/>
  <c r="G247" i="8"/>
  <c r="G246" i="8"/>
  <c r="G245" i="8"/>
  <c r="G250" i="8"/>
  <c r="E245" i="8"/>
  <c r="H318" i="8" l="1"/>
  <c r="H377" i="8"/>
  <c r="E340" i="8"/>
  <c r="F294" i="8"/>
  <c r="F340" i="8"/>
  <c r="E294" i="8"/>
  <c r="E302" i="8"/>
  <c r="E312" i="8" s="1"/>
  <c r="F290" i="8"/>
  <c r="F306" i="8"/>
  <c r="F316" i="8" s="1"/>
  <c r="F336" i="8"/>
  <c r="E327" i="8"/>
  <c r="E293" i="8"/>
  <c r="E290" i="8"/>
  <c r="E306" i="8"/>
  <c r="E316" i="8" s="1"/>
  <c r="F302" i="8"/>
  <c r="F312" i="8" s="1"/>
  <c r="E336" i="8"/>
  <c r="E304" i="8"/>
  <c r="E314" i="8" s="1"/>
  <c r="E338" i="8"/>
  <c r="E292" i="8"/>
  <c r="F292" i="8"/>
  <c r="F338" i="8"/>
  <c r="E337" i="8"/>
  <c r="E291" i="8"/>
  <c r="E325" i="8"/>
  <c r="F337" i="8"/>
  <c r="F325" i="8"/>
  <c r="F291" i="8"/>
  <c r="F304" i="8"/>
  <c r="F314" i="8" s="1"/>
  <c r="F303" i="8"/>
  <c r="F313" i="8" s="1"/>
  <c r="F305" i="8"/>
  <c r="F315" i="8" s="1"/>
  <c r="F293" i="8"/>
  <c r="E326" i="8"/>
  <c r="F326" i="8"/>
  <c r="E339" i="8"/>
  <c r="F339" i="8"/>
  <c r="F178" i="8" l="1"/>
  <c r="H178" i="8" s="1"/>
  <c r="D160" i="8" l="1"/>
  <c r="F109" i="8"/>
  <c r="F160" i="8" s="1"/>
  <c r="E109" i="8"/>
  <c r="E160" i="8" s="1"/>
  <c r="D161" i="8"/>
  <c r="F156" i="8"/>
  <c r="F157" i="8"/>
  <c r="E156" i="8"/>
  <c r="E157" i="8"/>
  <c r="D156" i="8"/>
  <c r="D157" i="8"/>
  <c r="G133" i="8"/>
  <c r="H133" i="8" s="1"/>
  <c r="G134" i="8"/>
  <c r="G135" i="8"/>
  <c r="G137" i="8"/>
  <c r="H106" i="8"/>
  <c r="F110" i="8"/>
  <c r="F161" i="8" s="1"/>
  <c r="E110" i="8"/>
  <c r="H105" i="8"/>
  <c r="F108" i="8"/>
  <c r="E108" i="8"/>
  <c r="G142" i="8"/>
  <c r="G143" i="8"/>
  <c r="G144" i="8"/>
  <c r="G145" i="8"/>
  <c r="G146" i="8"/>
  <c r="D90" i="8"/>
  <c r="D92" i="8"/>
  <c r="D94" i="8"/>
  <c r="F69" i="8"/>
  <c r="F70" i="8"/>
  <c r="F71" i="8"/>
  <c r="F72" i="8"/>
  <c r="E124" i="8" s="1"/>
  <c r="F73" i="8"/>
  <c r="E69" i="8"/>
  <c r="E70" i="8"/>
  <c r="E71" i="8"/>
  <c r="E73" i="8"/>
  <c r="D69" i="8"/>
  <c r="D121" i="8" s="1"/>
  <c r="D71" i="8"/>
  <c r="D123" i="8" s="1"/>
  <c r="D73" i="8"/>
  <c r="D125" i="8" s="1"/>
  <c r="F34" i="8"/>
  <c r="F35" i="8"/>
  <c r="F36" i="8"/>
  <c r="F37" i="8"/>
  <c r="F38" i="8"/>
  <c r="E34" i="8"/>
  <c r="E35" i="8"/>
  <c r="E36" i="8"/>
  <c r="E37" i="8"/>
  <c r="E38" i="8"/>
  <c r="D34" i="8"/>
  <c r="D38" i="8"/>
  <c r="H81" i="8"/>
  <c r="H83" i="8"/>
  <c r="H85" i="8"/>
  <c r="D282" i="8" l="1"/>
  <c r="E123" i="8"/>
  <c r="H123" i="8" s="1"/>
  <c r="E125" i="8"/>
  <c r="H125" i="8" s="1"/>
  <c r="E121" i="8"/>
  <c r="H121" i="8" s="1"/>
  <c r="E122" i="8"/>
  <c r="D142" i="8"/>
  <c r="D228" i="8" s="1"/>
  <c r="D246" i="8" s="1"/>
  <c r="D280" i="8"/>
  <c r="D146" i="8"/>
  <c r="H146" i="8" s="1"/>
  <c r="D284" i="8"/>
  <c r="H69" i="8"/>
  <c r="D144" i="8"/>
  <c r="H156" i="8"/>
  <c r="H26" i="8"/>
  <c r="H71" i="8"/>
  <c r="D356" i="8"/>
  <c r="D365" i="8" s="1"/>
  <c r="H365" i="8" s="1"/>
  <c r="D354" i="8"/>
  <c r="D363" i="8" s="1"/>
  <c r="H363" i="8" s="1"/>
  <c r="D352" i="8"/>
  <c r="H110" i="8"/>
  <c r="H137" i="8"/>
  <c r="H73" i="8"/>
  <c r="F58" i="8"/>
  <c r="H157" i="8"/>
  <c r="H135" i="8"/>
  <c r="E58" i="8"/>
  <c r="F57" i="8"/>
  <c r="E57" i="8"/>
  <c r="H136" i="8"/>
  <c r="H160" i="8"/>
  <c r="E161" i="8"/>
  <c r="H161" i="8" s="1"/>
  <c r="H109" i="8"/>
  <c r="H24" i="8"/>
  <c r="D70" i="8"/>
  <c r="D91" i="8"/>
  <c r="H92" i="8"/>
  <c r="H134" i="8"/>
  <c r="D72" i="8"/>
  <c r="E56" i="8"/>
  <c r="F56" i="8"/>
  <c r="D93" i="8"/>
  <c r="H94" i="8"/>
  <c r="H90" i="8"/>
  <c r="H28" i="8"/>
  <c r="E59" i="8"/>
  <c r="E55" i="8"/>
  <c r="F59" i="8"/>
  <c r="F55" i="8"/>
  <c r="H34" i="8"/>
  <c r="D35" i="8"/>
  <c r="H35" i="8" s="1"/>
  <c r="H25" i="8"/>
  <c r="H38" i="8"/>
  <c r="D37" i="8"/>
  <c r="H37" i="8" s="1"/>
  <c r="H27" i="8"/>
  <c r="D36" i="8"/>
  <c r="H36" i="8" s="1"/>
  <c r="H82" i="8"/>
  <c r="H84" i="8"/>
  <c r="H72" i="8" l="1"/>
  <c r="D124" i="8"/>
  <c r="H124" i="8" s="1"/>
  <c r="H70" i="8"/>
  <c r="D122" i="8"/>
  <c r="H122" i="8" s="1"/>
  <c r="H142" i="8"/>
  <c r="D232" i="8"/>
  <c r="D250" i="8" s="1"/>
  <c r="H250" i="8" s="1"/>
  <c r="D145" i="8"/>
  <c r="D231" i="8" s="1"/>
  <c r="D249" i="8" s="1"/>
  <c r="D283" i="8"/>
  <c r="D143" i="8"/>
  <c r="H143" i="8" s="1"/>
  <c r="D281" i="8"/>
  <c r="H144" i="8"/>
  <c r="D230" i="8"/>
  <c r="H228" i="8"/>
  <c r="H58" i="8"/>
  <c r="H57" i="8"/>
  <c r="H352" i="8"/>
  <c r="D361" i="8"/>
  <c r="H361" i="8" s="1"/>
  <c r="D355" i="8"/>
  <c r="D364" i="8" s="1"/>
  <c r="H364" i="8" s="1"/>
  <c r="D353" i="8"/>
  <c r="D362" i="8" s="1"/>
  <c r="H362" i="8" s="1"/>
  <c r="D328" i="8"/>
  <c r="H328" i="8" s="1"/>
  <c r="D294" i="8"/>
  <c r="H294" i="8" s="1"/>
  <c r="H284" i="8"/>
  <c r="D340" i="8"/>
  <c r="H340" i="8" s="1"/>
  <c r="D306" i="8"/>
  <c r="D338" i="8"/>
  <c r="H338" i="8" s="1"/>
  <c r="D304" i="8"/>
  <c r="D326" i="8"/>
  <c r="H326" i="8" s="1"/>
  <c r="H282" i="8"/>
  <c r="D292" i="8"/>
  <c r="H292" i="8" s="1"/>
  <c r="H238" i="8"/>
  <c r="H246" i="8"/>
  <c r="D324" i="8"/>
  <c r="H324" i="8" s="1"/>
  <c r="D290" i="8"/>
  <c r="H290" i="8" s="1"/>
  <c r="H280" i="8"/>
  <c r="D336" i="8"/>
  <c r="H336" i="8" s="1"/>
  <c r="D302" i="8"/>
  <c r="H91" i="8"/>
  <c r="H93" i="8"/>
  <c r="H56" i="8"/>
  <c r="H55" i="8"/>
  <c r="H59" i="8"/>
  <c r="H341" i="8"/>
  <c r="H329" i="8"/>
  <c r="H296" i="8"/>
  <c r="H221" i="8"/>
  <c r="H302" i="8" l="1"/>
  <c r="D312" i="8"/>
  <c r="H312" i="8" s="1"/>
  <c r="H306" i="8"/>
  <c r="D316" i="8"/>
  <c r="H316" i="8" s="1"/>
  <c r="H304" i="8"/>
  <c r="D314" i="8"/>
  <c r="H314" i="8" s="1"/>
  <c r="H145" i="8"/>
  <c r="D229" i="8"/>
  <c r="D247" i="8" s="1"/>
  <c r="H247" i="8" s="1"/>
  <c r="H232" i="8"/>
  <c r="H230" i="8"/>
  <c r="D248" i="8"/>
  <c r="H248" i="8" s="1"/>
  <c r="H242" i="8"/>
  <c r="D255" i="8" s="1"/>
  <c r="D337" i="8"/>
  <c r="H337" i="8" s="1"/>
  <c r="D303" i="8"/>
  <c r="D325" i="8"/>
  <c r="H325" i="8" s="1"/>
  <c r="D291" i="8"/>
  <c r="H291" i="8" s="1"/>
  <c r="H281" i="8"/>
  <c r="D339" i="8"/>
  <c r="H339" i="8" s="1"/>
  <c r="D305" i="8"/>
  <c r="D293" i="8"/>
  <c r="H293" i="8" s="1"/>
  <c r="D327" i="8"/>
  <c r="H327" i="8" s="1"/>
  <c r="H283" i="8"/>
  <c r="H449" i="8"/>
  <c r="H442" i="8"/>
  <c r="H222" i="8"/>
  <c r="G523" i="8"/>
  <c r="J523" i="8"/>
  <c r="G542" i="8"/>
  <c r="A160" i="6"/>
  <c r="A161" i="6" s="1"/>
  <c r="A163" i="6" s="1"/>
  <c r="A168" i="6" s="1"/>
  <c r="A171" i="6" s="1"/>
  <c r="A176" i="6" s="1"/>
  <c r="A181" i="6" s="1"/>
  <c r="H229" i="8" l="1"/>
  <c r="H305" i="8"/>
  <c r="D315" i="8"/>
  <c r="H315" i="8" s="1"/>
  <c r="H303" i="8"/>
  <c r="D313" i="8"/>
  <c r="H313" i="8" s="1"/>
  <c r="H239" i="8"/>
  <c r="H240" i="8"/>
  <c r="H255" i="8"/>
  <c r="H231" i="8"/>
  <c r="H241" i="8" l="1"/>
  <c r="H249" i="8"/>
  <c r="A54" i="6"/>
  <c r="A123" i="6" s="1"/>
  <c r="D254" i="8" l="1"/>
  <c r="H254" i="8" s="1"/>
  <c r="H566" i="8"/>
  <c r="A142" i="6" l="1"/>
  <c r="D288" i="8"/>
  <c r="G502" i="8"/>
  <c r="F502" i="8"/>
  <c r="F153" i="6" l="1"/>
  <c r="F150" i="6"/>
  <c r="F157" i="6" l="1"/>
  <c r="G529" i="8"/>
  <c r="D528" i="8"/>
  <c r="G527" i="8"/>
  <c r="D527" i="8"/>
  <c r="F524" i="8"/>
  <c r="D524" i="8"/>
  <c r="D529" i="8" s="1"/>
  <c r="G528" i="8"/>
  <c r="F518" i="8"/>
  <c r="F514" i="8"/>
  <c r="E514" i="8"/>
  <c r="F498" i="8"/>
  <c r="H498" i="8" l="1"/>
  <c r="H499" i="8" s="1"/>
  <c r="H514" i="8"/>
  <c r="H504" i="8" s="1"/>
  <c r="E515" i="8"/>
  <c r="E509" i="8" s="1"/>
  <c r="H509" i="8" s="1"/>
  <c r="H510" i="8" s="1"/>
  <c r="D541" i="8"/>
  <c r="H346" i="8"/>
  <c r="H344" i="8"/>
  <c r="F279" i="8"/>
  <c r="E279" i="8"/>
  <c r="F159" i="8"/>
  <c r="E159" i="8"/>
  <c r="D159" i="8"/>
  <c r="H108" i="8"/>
  <c r="F76" i="8"/>
  <c r="F46" i="8"/>
  <c r="E46" i="8"/>
  <c r="E335" i="8" l="1"/>
  <c r="E289" i="8"/>
  <c r="E301" i="8"/>
  <c r="E311" i="8" s="1"/>
  <c r="F335" i="8"/>
  <c r="F301" i="8"/>
  <c r="F311" i="8" s="1"/>
  <c r="F289" i="8"/>
  <c r="E323" i="8"/>
  <c r="F323" i="8"/>
  <c r="D162" i="6"/>
  <c r="F162" i="6" s="1"/>
  <c r="H501" i="8"/>
  <c r="E518" i="8"/>
  <c r="H515" i="8"/>
  <c r="H516" i="8" s="1"/>
  <c r="D167" i="6" s="1"/>
  <c r="F167" i="6" s="1"/>
  <c r="H159" i="8"/>
  <c r="E522" i="8" l="1"/>
  <c r="E519" i="8"/>
  <c r="H518" i="8"/>
  <c r="H505" i="8" s="1"/>
  <c r="H218" i="8"/>
  <c r="H519" i="8" l="1"/>
  <c r="H520" i="8" s="1"/>
  <c r="D169" i="6" s="1"/>
  <c r="F169" i="6" s="1"/>
  <c r="E524" i="8"/>
  <c r="H522" i="8"/>
  <c r="H503" i="8" s="1"/>
  <c r="E527" i="8"/>
  <c r="E523" i="8"/>
  <c r="E502" i="8" s="1"/>
  <c r="H502" i="8" s="1"/>
  <c r="H527" i="8" l="1"/>
  <c r="D178" i="6" s="1"/>
  <c r="F178" i="6" s="1"/>
  <c r="H506" i="8"/>
  <c r="H532" i="8"/>
  <c r="D184" i="6" s="1"/>
  <c r="F184" i="6" s="1"/>
  <c r="D173" i="6"/>
  <c r="F173" i="6" s="1"/>
  <c r="E529" i="8"/>
  <c r="H529" i="8" s="1"/>
  <c r="D180" i="6" s="1"/>
  <c r="F180" i="6" s="1"/>
  <c r="H524" i="8"/>
  <c r="E528" i="8"/>
  <c r="H528" i="8" s="1"/>
  <c r="D179" i="6" s="1"/>
  <c r="F179" i="6" s="1"/>
  <c r="E537" i="8"/>
  <c r="H537" i="8" s="1"/>
  <c r="H523" i="8"/>
  <c r="D164" i="6" l="1"/>
  <c r="F164" i="6" s="1"/>
  <c r="H507" i="8"/>
  <c r="H534" i="8"/>
  <c r="D186" i="6" s="1"/>
  <c r="F186" i="6" s="1"/>
  <c r="D175" i="6"/>
  <c r="F175" i="6" s="1"/>
  <c r="H533" i="8"/>
  <c r="D185" i="6" s="1"/>
  <c r="F185" i="6" s="1"/>
  <c r="D174" i="6"/>
  <c r="F174" i="6" s="1"/>
  <c r="E541" i="8"/>
  <c r="H538" i="8"/>
  <c r="H420" i="8"/>
  <c r="H421" i="8"/>
  <c r="H419" i="8"/>
  <c r="H511" i="8" l="1"/>
  <c r="D166" i="6" s="1"/>
  <c r="F166" i="6" s="1"/>
  <c r="D165" i="6"/>
  <c r="F165" i="6" s="1"/>
  <c r="H427" i="8"/>
  <c r="H428" i="8" s="1"/>
  <c r="H541" i="8"/>
  <c r="E542" i="8"/>
  <c r="H542" i="8" s="1"/>
  <c r="H543" i="8" l="1"/>
  <c r="F187" i="6" s="1"/>
  <c r="C16" i="10" s="1"/>
  <c r="H383" i="8" l="1"/>
  <c r="D74" i="6" s="1"/>
  <c r="G454" i="8"/>
  <c r="G447" i="8"/>
  <c r="G440" i="8"/>
  <c r="E454" i="8"/>
  <c r="E455" i="8" s="1"/>
  <c r="H455" i="8" s="1"/>
  <c r="E447" i="8" l="1"/>
  <c r="H454" i="8"/>
  <c r="H456" i="8" s="1"/>
  <c r="H440" i="8"/>
  <c r="H443" i="8" s="1"/>
  <c r="E217" i="8"/>
  <c r="H447" i="8" l="1"/>
  <c r="E448" i="8"/>
  <c r="H448" i="8" s="1"/>
  <c r="H80" i="8"/>
  <c r="H86" i="8" s="1"/>
  <c r="H450" i="8" l="1"/>
  <c r="H451" i="8" l="1"/>
  <c r="F476" i="8" l="1"/>
  <c r="D476" i="8"/>
  <c r="E476" i="8"/>
  <c r="D486" i="8" l="1"/>
  <c r="D481" i="8"/>
  <c r="E486" i="8"/>
  <c r="E481" i="8"/>
  <c r="F486" i="8"/>
  <c r="F481" i="8"/>
  <c r="H466" i="8"/>
  <c r="H471" i="8"/>
  <c r="H473" i="8" s="1"/>
  <c r="D193" i="6" s="1"/>
  <c r="F193" i="6" s="1"/>
  <c r="F491" i="8"/>
  <c r="H476" i="8"/>
  <c r="H478" i="8" s="1"/>
  <c r="D195" i="6" s="1"/>
  <c r="F195" i="6" s="1"/>
  <c r="H564" i="8"/>
  <c r="H563" i="8"/>
  <c r="H468" i="8" l="1"/>
  <c r="H481" i="8"/>
  <c r="E491" i="8"/>
  <c r="D491" i="8"/>
  <c r="H486" i="8"/>
  <c r="H488" i="8" s="1"/>
  <c r="D199" i="6" s="1"/>
  <c r="F199" i="6" s="1"/>
  <c r="D191" i="6" l="1"/>
  <c r="F191" i="6" s="1"/>
  <c r="H483" i="8"/>
  <c r="H491" i="8"/>
  <c r="H215" i="8"/>
  <c r="H214" i="8"/>
  <c r="H213" i="8"/>
  <c r="H212" i="8"/>
  <c r="H211" i="8"/>
  <c r="H210" i="8"/>
  <c r="H209" i="8"/>
  <c r="H356" i="8"/>
  <c r="D197" i="6" l="1"/>
  <c r="F197" i="6" s="1"/>
  <c r="H493" i="8"/>
  <c r="D68" i="8"/>
  <c r="D120" i="8" s="1"/>
  <c r="D201" i="6" l="1"/>
  <c r="F201" i="6" s="1"/>
  <c r="F202" i="6" s="1"/>
  <c r="F177" i="8"/>
  <c r="H177" i="8" s="1"/>
  <c r="H181" i="8" l="1"/>
  <c r="H107" i="8" l="1"/>
  <c r="H111" i="8" s="1"/>
  <c r="D137" i="6" l="1"/>
  <c r="H220" i="8"/>
  <c r="H217" i="8"/>
  <c r="G150" i="8" l="1"/>
  <c r="F63" i="8"/>
  <c r="E63" i="8"/>
  <c r="H150" i="8" l="1"/>
  <c r="H436" i="8"/>
  <c r="H438" i="8" s="1"/>
  <c r="H208" i="8" l="1"/>
  <c r="D23" i="8" l="1"/>
  <c r="D54" i="8" l="1"/>
  <c r="H259" i="8"/>
  <c r="H261" i="8"/>
  <c r="H560" i="8"/>
  <c r="H207" i="8"/>
  <c r="H206" i="8"/>
  <c r="H204" i="8"/>
  <c r="H203" i="8"/>
  <c r="H202" i="8"/>
  <c r="H201" i="8"/>
  <c r="K237" i="8"/>
  <c r="K236" i="8"/>
  <c r="H355" i="8"/>
  <c r="H354" i="8"/>
  <c r="H353" i="8"/>
  <c r="D322" i="8"/>
  <c r="F158" i="8"/>
  <c r="F345" i="8" s="1"/>
  <c r="F347" i="8" s="1"/>
  <c r="E158" i="8"/>
  <c r="E345" i="8" s="1"/>
  <c r="E141" i="8"/>
  <c r="E351" i="8" s="1"/>
  <c r="E360" i="8" s="1"/>
  <c r="G132" i="8"/>
  <c r="D132" i="8"/>
  <c r="D158" i="8"/>
  <c r="D89" i="8"/>
  <c r="H87" i="8"/>
  <c r="D76" i="8"/>
  <c r="D128" i="8" s="1"/>
  <c r="F68" i="8"/>
  <c r="E68" i="8"/>
  <c r="D300" i="8"/>
  <c r="D310" i="8" s="1"/>
  <c r="F300" i="8"/>
  <c r="E300" i="8"/>
  <c r="E310" i="8" s="1"/>
  <c r="D33" i="8"/>
  <c r="F23" i="8"/>
  <c r="E23" i="8"/>
  <c r="D279" i="8" l="1"/>
  <c r="D301" i="8" s="1"/>
  <c r="C15" i="10"/>
  <c r="E347" i="8"/>
  <c r="H347" i="8" s="1"/>
  <c r="H345" i="8"/>
  <c r="H132" i="8"/>
  <c r="H138" i="8" s="1"/>
  <c r="E120" i="8"/>
  <c r="H120" i="8" s="1"/>
  <c r="F278" i="8"/>
  <c r="F334" i="8" s="1"/>
  <c r="F310" i="8"/>
  <c r="H310" i="8" s="1"/>
  <c r="D289" i="8"/>
  <c r="H289" i="8" s="1"/>
  <c r="D335" i="8"/>
  <c r="H335" i="8" s="1"/>
  <c r="H223" i="8"/>
  <c r="F54" i="8"/>
  <c r="E54" i="8"/>
  <c r="H279" i="8"/>
  <c r="D141" i="8"/>
  <c r="D36" i="6"/>
  <c r="H166" i="8"/>
  <c r="F33" i="8"/>
  <c r="E33" i="8"/>
  <c r="E278" i="8"/>
  <c r="E288" i="8" s="1"/>
  <c r="H184" i="8"/>
  <c r="E76" i="8"/>
  <c r="H158" i="8"/>
  <c r="H162" i="8" s="1"/>
  <c r="H68" i="8"/>
  <c r="H89" i="8"/>
  <c r="H95" i="8" s="1"/>
  <c r="D351" i="8"/>
  <c r="H63" i="8"/>
  <c r="H300" i="8"/>
  <c r="H23" i="8"/>
  <c r="H31" i="8" s="1"/>
  <c r="H46" i="8"/>
  <c r="H48" i="8" s="1"/>
  <c r="G141" i="8"/>
  <c r="H444" i="8"/>
  <c r="H99" i="8"/>
  <c r="H100" i="8" s="1"/>
  <c r="H101" i="8" s="1"/>
  <c r="D439" i="7"/>
  <c r="D438" i="7"/>
  <c r="D436" i="7"/>
  <c r="D435" i="7"/>
  <c r="D434" i="7"/>
  <c r="D430" i="7"/>
  <c r="D429" i="7"/>
  <c r="D428" i="7"/>
  <c r="D427" i="7"/>
  <c r="D418" i="7"/>
  <c r="D417" i="7"/>
  <c r="D416" i="7"/>
  <c r="D411" i="7"/>
  <c r="D410" i="7"/>
  <c r="D409" i="7"/>
  <c r="D405" i="7"/>
  <c r="D404" i="7"/>
  <c r="D403" i="7"/>
  <c r="D385" i="7"/>
  <c r="D384" i="7"/>
  <c r="D383" i="7"/>
  <c r="D372" i="7"/>
  <c r="D371" i="7"/>
  <c r="D365" i="7"/>
  <c r="D364" i="7"/>
  <c r="D363" i="7"/>
  <c r="D361" i="7"/>
  <c r="D360" i="7"/>
  <c r="D356" i="7"/>
  <c r="D350" i="7"/>
  <c r="D349" i="7"/>
  <c r="D348" i="7"/>
  <c r="D347" i="7"/>
  <c r="D346" i="7"/>
  <c r="D345" i="7"/>
  <c r="D341" i="7"/>
  <c r="D340" i="7"/>
  <c r="D339" i="7"/>
  <c r="D338" i="7"/>
  <c r="D334" i="7"/>
  <c r="D333" i="7"/>
  <c r="D332" i="7"/>
  <c r="D331" i="7"/>
  <c r="D330" i="7"/>
  <c r="D329" i="7"/>
  <c r="D328" i="7"/>
  <c r="D325" i="7"/>
  <c r="D324" i="7"/>
  <c r="D323" i="7"/>
  <c r="D322" i="7"/>
  <c r="D321" i="7"/>
  <c r="D320" i="7"/>
  <c r="D319" i="7"/>
  <c r="D471" i="7"/>
  <c r="D469" i="7"/>
  <c r="D570" i="7"/>
  <c r="D568" i="7"/>
  <c r="D566" i="7"/>
  <c r="D563" i="7"/>
  <c r="D561" i="7"/>
  <c r="D557" i="7"/>
  <c r="D554" i="7"/>
  <c r="D553" i="7"/>
  <c r="D550" i="7"/>
  <c r="D548" i="7"/>
  <c r="D546" i="7"/>
  <c r="D544" i="7"/>
  <c r="D542" i="7"/>
  <c r="D539" i="7"/>
  <c r="D536" i="7"/>
  <c r="D535" i="7"/>
  <c r="D532" i="7"/>
  <c r="D530" i="7"/>
  <c r="D528" i="7"/>
  <c r="D526" i="7"/>
  <c r="D524" i="7"/>
  <c r="D520" i="7"/>
  <c r="D517" i="7"/>
  <c r="D514" i="7"/>
  <c r="D511" i="7"/>
  <c r="D509" i="7"/>
  <c r="D507" i="7"/>
  <c r="D505" i="7"/>
  <c r="D503" i="7"/>
  <c r="D499" i="7"/>
  <c r="D497" i="7"/>
  <c r="D495" i="7"/>
  <c r="D493" i="7"/>
  <c r="D491" i="7"/>
  <c r="D489" i="7"/>
  <c r="D488" i="7"/>
  <c r="D485" i="7"/>
  <c r="D483" i="7"/>
  <c r="D481" i="7"/>
  <c r="D479" i="7"/>
  <c r="D477" i="7"/>
  <c r="D475" i="7"/>
  <c r="H376" i="7"/>
  <c r="H377" i="7" s="1"/>
  <c r="D301" i="7"/>
  <c r="H301" i="7" s="1"/>
  <c r="D303" i="7"/>
  <c r="H306" i="7"/>
  <c r="H303" i="7"/>
  <c r="H589" i="7"/>
  <c r="H586" i="7"/>
  <c r="H583" i="7"/>
  <c r="H580" i="7"/>
  <c r="H577" i="7" s="1"/>
  <c r="H575" i="7"/>
  <c r="K422" i="7"/>
  <c r="E368" i="7"/>
  <c r="D368" i="7"/>
  <c r="H368" i="7" s="1"/>
  <c r="E396" i="7"/>
  <c r="H396" i="7" s="1"/>
  <c r="D362" i="7"/>
  <c r="D287" i="7"/>
  <c r="G181" i="7"/>
  <c r="G183" i="7"/>
  <c r="D183" i="7"/>
  <c r="E97" i="7"/>
  <c r="F97" i="7"/>
  <c r="F71" i="7"/>
  <c r="F72" i="7"/>
  <c r="F73" i="7"/>
  <c r="F74" i="7"/>
  <c r="E71" i="7"/>
  <c r="E72" i="7"/>
  <c r="E73" i="7"/>
  <c r="E74" i="7"/>
  <c r="F61" i="7"/>
  <c r="E61" i="7"/>
  <c r="F50" i="7"/>
  <c r="F51" i="7"/>
  <c r="F52" i="7"/>
  <c r="F53" i="7"/>
  <c r="E50" i="7"/>
  <c r="E51" i="7"/>
  <c r="E52" i="7"/>
  <c r="E53" i="7"/>
  <c r="D50" i="7"/>
  <c r="H50" i="7" s="1"/>
  <c r="D51" i="7"/>
  <c r="D72" i="7" s="1"/>
  <c r="D52" i="7"/>
  <c r="H52" i="7" s="1"/>
  <c r="D53" i="7"/>
  <c r="H53" i="7" s="1"/>
  <c r="G28" i="7"/>
  <c r="G29" i="7"/>
  <c r="G30" i="7"/>
  <c r="G31" i="7"/>
  <c r="G32" i="7"/>
  <c r="G33" i="7"/>
  <c r="G34" i="7"/>
  <c r="G35" i="7"/>
  <c r="G27" i="7"/>
  <c r="F20" i="7"/>
  <c r="F32" i="7" s="1"/>
  <c r="F21" i="7"/>
  <c r="F33" i="7" s="1"/>
  <c r="F22" i="7"/>
  <c r="F34" i="7" s="1"/>
  <c r="F23" i="7"/>
  <c r="F35" i="7" s="1"/>
  <c r="E20" i="7"/>
  <c r="E32" i="7" s="1"/>
  <c r="E21" i="7"/>
  <c r="E33" i="7" s="1"/>
  <c r="E22" i="7"/>
  <c r="E34" i="7" s="1"/>
  <c r="E23" i="7"/>
  <c r="E35" i="7" s="1"/>
  <c r="D16" i="7"/>
  <c r="D17" i="7"/>
  <c r="D19" i="7"/>
  <c r="D20" i="7"/>
  <c r="D21" i="7"/>
  <c r="D22" i="7"/>
  <c r="D34" i="7" s="1"/>
  <c r="D23" i="7"/>
  <c r="D15" i="7"/>
  <c r="E172" i="7"/>
  <c r="G157" i="7"/>
  <c r="G158" i="7"/>
  <c r="G159" i="7"/>
  <c r="G160" i="7"/>
  <c r="E157" i="7"/>
  <c r="E158" i="7"/>
  <c r="E159" i="7"/>
  <c r="E160" i="7"/>
  <c r="D157" i="7"/>
  <c r="H157" i="7" s="1"/>
  <c r="D158" i="7"/>
  <c r="H158" i="7" s="1"/>
  <c r="D159" i="7"/>
  <c r="H159" i="7" s="1"/>
  <c r="D160" i="7"/>
  <c r="H160" i="7" s="1"/>
  <c r="F121" i="7"/>
  <c r="F96" i="7" s="1"/>
  <c r="E121" i="7"/>
  <c r="E96" i="7" s="1"/>
  <c r="F120" i="7"/>
  <c r="F95" i="7" s="1"/>
  <c r="E120" i="7"/>
  <c r="E95" i="7" s="1"/>
  <c r="F119" i="7"/>
  <c r="F94" i="7" s="1"/>
  <c r="E119" i="7"/>
  <c r="E94" i="7" s="1"/>
  <c r="D119" i="7"/>
  <c r="D169" i="7" s="1"/>
  <c r="D120" i="7"/>
  <c r="D170" i="7" s="1"/>
  <c r="D121" i="7"/>
  <c r="D171" i="7" s="1"/>
  <c r="D122" i="7"/>
  <c r="D172" i="7" s="1"/>
  <c r="G118" i="7"/>
  <c r="G117" i="7"/>
  <c r="G116" i="7"/>
  <c r="G119" i="7" s="1"/>
  <c r="G115" i="7"/>
  <c r="G120" i="7" s="1"/>
  <c r="G170" i="7" s="1"/>
  <c r="G114" i="7"/>
  <c r="G122" i="7" s="1"/>
  <c r="G172" i="7" s="1"/>
  <c r="H111" i="7"/>
  <c r="H110" i="7"/>
  <c r="H109" i="7"/>
  <c r="H108" i="7"/>
  <c r="D323" i="8" l="1"/>
  <c r="H323" i="8" s="1"/>
  <c r="F322" i="8"/>
  <c r="D227" i="8"/>
  <c r="D257" i="8" s="1"/>
  <c r="H141" i="8"/>
  <c r="H147" i="8" s="1"/>
  <c r="F288" i="8"/>
  <c r="H288" i="8" s="1"/>
  <c r="H297" i="8" s="1"/>
  <c r="H301" i="8"/>
  <c r="H308" i="8" s="1"/>
  <c r="D128" i="6" s="1"/>
  <c r="F128" i="6" s="1"/>
  <c r="D311" i="8"/>
  <c r="H311" i="8" s="1"/>
  <c r="H319" i="8" s="1"/>
  <c r="D127" i="6" s="1"/>
  <c r="F127" i="6" s="1"/>
  <c r="H76" i="8"/>
  <c r="H77" i="8" s="1"/>
  <c r="E128" i="8"/>
  <c r="H128" i="8" s="1"/>
  <c r="H129" i="8" s="1"/>
  <c r="D42" i="6" s="1"/>
  <c r="F42" i="6" s="1"/>
  <c r="H224" i="8"/>
  <c r="E185" i="8"/>
  <c r="H185" i="8" s="1"/>
  <c r="H188" i="8" s="1"/>
  <c r="H351" i="8"/>
  <c r="D360" i="8"/>
  <c r="H360" i="8" s="1"/>
  <c r="H366" i="8" s="1"/>
  <c r="H96" i="8"/>
  <c r="H54" i="8"/>
  <c r="H61" i="8" s="1"/>
  <c r="D38" i="6"/>
  <c r="H168" i="8"/>
  <c r="D51" i="6" s="1"/>
  <c r="H457" i="8"/>
  <c r="H33" i="8"/>
  <c r="H64" i="8"/>
  <c r="D29" i="6" s="1"/>
  <c r="H151" i="8"/>
  <c r="D45" i="6" s="1"/>
  <c r="E334" i="8"/>
  <c r="D49" i="6"/>
  <c r="D43" i="6"/>
  <c r="H278" i="8"/>
  <c r="H286" i="8" s="1"/>
  <c r="E322" i="8"/>
  <c r="H322" i="8" s="1"/>
  <c r="D73" i="7"/>
  <c r="H73" i="7" s="1"/>
  <c r="H388" i="7"/>
  <c r="H20" i="7"/>
  <c r="D95" i="7"/>
  <c r="H21" i="7"/>
  <c r="D71" i="7"/>
  <c r="H71" i="7" s="1"/>
  <c r="D94" i="7"/>
  <c r="H94" i="7" s="1"/>
  <c r="H51" i="7"/>
  <c r="D74" i="7"/>
  <c r="H74" i="7" s="1"/>
  <c r="H95" i="7"/>
  <c r="D96" i="7"/>
  <c r="H96" i="7" s="1"/>
  <c r="H72" i="7"/>
  <c r="D97" i="7"/>
  <c r="H97" i="7" s="1"/>
  <c r="H34" i="7"/>
  <c r="H23" i="7"/>
  <c r="H119" i="7"/>
  <c r="E171" i="7"/>
  <c r="H22" i="7"/>
  <c r="D33" i="7"/>
  <c r="H33" i="7" s="1"/>
  <c r="D32" i="7"/>
  <c r="H32" i="7" s="1"/>
  <c r="D35" i="7"/>
  <c r="H35" i="7" s="1"/>
  <c r="E170" i="7"/>
  <c r="H170" i="7" s="1"/>
  <c r="H172" i="7"/>
  <c r="E169" i="7"/>
  <c r="G169" i="7"/>
  <c r="H122" i="7"/>
  <c r="G121" i="7"/>
  <c r="H120" i="7"/>
  <c r="H570" i="7"/>
  <c r="H568" i="7"/>
  <c r="H566" i="7"/>
  <c r="H563" i="7"/>
  <c r="H561" i="7"/>
  <c r="H557" i="7"/>
  <c r="H554" i="7"/>
  <c r="H553" i="7"/>
  <c r="H550" i="7"/>
  <c r="E548" i="7"/>
  <c r="H546" i="7"/>
  <c r="H544" i="7"/>
  <c r="H542" i="7"/>
  <c r="H539" i="7"/>
  <c r="H536" i="7"/>
  <c r="H535" i="7"/>
  <c r="E532" i="7"/>
  <c r="H530" i="7"/>
  <c r="E528" i="7"/>
  <c r="H526" i="7"/>
  <c r="H524" i="7"/>
  <c r="H520" i="7"/>
  <c r="H517" i="7"/>
  <c r="H514" i="7"/>
  <c r="E511" i="7"/>
  <c r="H509" i="7"/>
  <c r="H507" i="7"/>
  <c r="H505" i="7"/>
  <c r="H503" i="7"/>
  <c r="H499" i="7"/>
  <c r="H497" i="7"/>
  <c r="H495" i="7"/>
  <c r="H493" i="7"/>
  <c r="H491" i="7"/>
  <c r="H489" i="7"/>
  <c r="H488" i="7"/>
  <c r="H485" i="7"/>
  <c r="H483" i="7"/>
  <c r="H481" i="7"/>
  <c r="H479" i="7"/>
  <c r="H477" i="7"/>
  <c r="H475" i="7"/>
  <c r="H469" i="7"/>
  <c r="H467" i="7"/>
  <c r="E464" i="7"/>
  <c r="H464" i="7" s="1"/>
  <c r="E463" i="7"/>
  <c r="H463" i="7" s="1"/>
  <c r="E462" i="7"/>
  <c r="H462" i="7" s="1"/>
  <c r="E461" i="7"/>
  <c r="H461" i="7" s="1"/>
  <c r="H458" i="7"/>
  <c r="H457" i="7"/>
  <c r="H454" i="7"/>
  <c r="H451" i="7"/>
  <c r="H448" i="7"/>
  <c r="H447" i="7"/>
  <c r="D444" i="7"/>
  <c r="H444" i="7" s="1"/>
  <c r="H439" i="7"/>
  <c r="H438" i="7"/>
  <c r="D437" i="7"/>
  <c r="H437" i="7" s="1"/>
  <c r="H436" i="7"/>
  <c r="H435" i="7"/>
  <c r="H434" i="7"/>
  <c r="D431" i="7"/>
  <c r="H431" i="7" s="1"/>
  <c r="H430" i="7"/>
  <c r="H429" i="7"/>
  <c r="H428" i="7"/>
  <c r="E427" i="7"/>
  <c r="H427" i="7" s="1"/>
  <c r="H423" i="7"/>
  <c r="K423" i="7"/>
  <c r="I422" i="7" s="1"/>
  <c r="H422" i="7"/>
  <c r="H418" i="7"/>
  <c r="H417" i="7"/>
  <c r="H416" i="7"/>
  <c r="I406" i="7"/>
  <c r="F405" i="7"/>
  <c r="E405" i="7"/>
  <c r="E411" i="7" s="1"/>
  <c r="E404" i="7"/>
  <c r="E410" i="7" s="1"/>
  <c r="H410" i="7" s="1"/>
  <c r="E403" i="7"/>
  <c r="E409" i="7" s="1"/>
  <c r="H409" i="7" s="1"/>
  <c r="I386" i="7"/>
  <c r="H385" i="7"/>
  <c r="H384" i="7"/>
  <c r="H383" i="7"/>
  <c r="H372" i="7"/>
  <c r="H371" i="7"/>
  <c r="I366" i="7"/>
  <c r="E365" i="7"/>
  <c r="H365" i="7" s="1"/>
  <c r="G364" i="7"/>
  <c r="H364" i="7" s="1"/>
  <c r="G363" i="7"/>
  <c r="H363" i="7" s="1"/>
  <c r="G362" i="7"/>
  <c r="H362" i="7" s="1"/>
  <c r="G361" i="7"/>
  <c r="H361" i="7" s="1"/>
  <c r="G360" i="7"/>
  <c r="H360" i="7" s="1"/>
  <c r="I357" i="7"/>
  <c r="H356" i="7"/>
  <c r="H357" i="7" s="1"/>
  <c r="I353" i="7"/>
  <c r="G350" i="7"/>
  <c r="E349" i="7"/>
  <c r="G348" i="7"/>
  <c r="E347" i="7"/>
  <c r="G346" i="7"/>
  <c r="E345" i="7"/>
  <c r="I342" i="7"/>
  <c r="H341" i="7"/>
  <c r="H340" i="7"/>
  <c r="L339" i="7"/>
  <c r="L340" i="7" s="1"/>
  <c r="H339" i="7"/>
  <c r="H338" i="7"/>
  <c r="H334" i="7"/>
  <c r="H333" i="7"/>
  <c r="E332" i="7"/>
  <c r="H332" i="7" s="1"/>
  <c r="H331" i="7"/>
  <c r="H330" i="7"/>
  <c r="J329" i="7"/>
  <c r="M329" i="7" s="1"/>
  <c r="H329" i="7"/>
  <c r="J328" i="7"/>
  <c r="M328" i="7" s="1"/>
  <c r="H328" i="7"/>
  <c r="H325" i="7"/>
  <c r="H324" i="7"/>
  <c r="H323" i="7"/>
  <c r="G322" i="7"/>
  <c r="H322" i="7" s="1"/>
  <c r="M321" i="7"/>
  <c r="G321" i="7"/>
  <c r="H321" i="7" s="1"/>
  <c r="M320" i="7"/>
  <c r="G320" i="7"/>
  <c r="E320" i="7"/>
  <c r="J319" i="7"/>
  <c r="M319" i="7" s="1"/>
  <c r="G319" i="7"/>
  <c r="H319" i="7" s="1"/>
  <c r="G314" i="7"/>
  <c r="H314" i="7" s="1"/>
  <c r="G313" i="7"/>
  <c r="H313" i="7" s="1"/>
  <c r="G312" i="7"/>
  <c r="H312" i="7" s="1"/>
  <c r="G311" i="7"/>
  <c r="H311" i="7" s="1"/>
  <c r="D304" i="7"/>
  <c r="H304" i="7" s="1"/>
  <c r="D302" i="7"/>
  <c r="H302" i="7" s="1"/>
  <c r="H298" i="7"/>
  <c r="D294" i="7"/>
  <c r="H294" i="7" s="1"/>
  <c r="H291" i="7"/>
  <c r="F284" i="7"/>
  <c r="H284" i="7" s="1"/>
  <c r="F283" i="7"/>
  <c r="H283" i="7" s="1"/>
  <c r="F282" i="7"/>
  <c r="H282" i="7" s="1"/>
  <c r="F281" i="7"/>
  <c r="H281" i="7" s="1"/>
  <c r="F279" i="7"/>
  <c r="H279" i="7" s="1"/>
  <c r="F278" i="7"/>
  <c r="H278" i="7" s="1"/>
  <c r="F277" i="7"/>
  <c r="H277" i="7" s="1"/>
  <c r="F276" i="7"/>
  <c r="H276" i="7" s="1"/>
  <c r="F275" i="7"/>
  <c r="H275" i="7" s="1"/>
  <c r="F274" i="7"/>
  <c r="H274" i="7" s="1"/>
  <c r="F273" i="7"/>
  <c r="H273" i="7" s="1"/>
  <c r="F272" i="7"/>
  <c r="H272" i="7" s="1"/>
  <c r="J264" i="7"/>
  <c r="G261" i="7"/>
  <c r="E261" i="7"/>
  <c r="G260" i="7"/>
  <c r="E260" i="7"/>
  <c r="J259" i="7"/>
  <c r="G259" i="7"/>
  <c r="E259" i="7"/>
  <c r="G258" i="7"/>
  <c r="E258" i="7"/>
  <c r="J257" i="7"/>
  <c r="G257" i="7"/>
  <c r="E257" i="7"/>
  <c r="J253" i="7"/>
  <c r="J251" i="7"/>
  <c r="G234" i="7"/>
  <c r="G235" i="7" s="1"/>
  <c r="G236" i="7" s="1"/>
  <c r="G237" i="7" s="1"/>
  <c r="G238" i="7" s="1"/>
  <c r="E230" i="7"/>
  <c r="E238" i="7" s="1"/>
  <c r="E229" i="7"/>
  <c r="E237" i="7" s="1"/>
  <c r="E228" i="7"/>
  <c r="E236" i="7" s="1"/>
  <c r="E227" i="7"/>
  <c r="E235" i="7" s="1"/>
  <c r="E226" i="7"/>
  <c r="E234" i="7" s="1"/>
  <c r="D216" i="7"/>
  <c r="F198" i="7"/>
  <c r="E198" i="7"/>
  <c r="F197" i="7"/>
  <c r="F196" i="7"/>
  <c r="E196" i="7"/>
  <c r="F195" i="7"/>
  <c r="E195" i="7"/>
  <c r="G192" i="7"/>
  <c r="E192" i="7"/>
  <c r="D192" i="7"/>
  <c r="G191" i="7"/>
  <c r="D191" i="7"/>
  <c r="G190" i="7"/>
  <c r="G189" i="7"/>
  <c r="E189" i="7"/>
  <c r="G188" i="7"/>
  <c r="G187" i="7"/>
  <c r="G186" i="7"/>
  <c r="D181" i="7"/>
  <c r="E177" i="7"/>
  <c r="D177" i="7"/>
  <c r="E176" i="7"/>
  <c r="D176" i="7"/>
  <c r="E175" i="7"/>
  <c r="D175" i="7"/>
  <c r="G168" i="7"/>
  <c r="E168" i="7"/>
  <c r="E167" i="7"/>
  <c r="E166" i="7"/>
  <c r="E165" i="7"/>
  <c r="E164" i="7"/>
  <c r="G156" i="7"/>
  <c r="E156" i="7"/>
  <c r="D156" i="7"/>
  <c r="G155" i="7"/>
  <c r="E155" i="7"/>
  <c r="G154" i="7"/>
  <c r="E154" i="7"/>
  <c r="D154" i="7"/>
  <c r="G153" i="7"/>
  <c r="E153" i="7"/>
  <c r="G152" i="7"/>
  <c r="E152" i="7"/>
  <c r="D152" i="7"/>
  <c r="D147" i="7"/>
  <c r="D198" i="7" s="1"/>
  <c r="E146" i="7"/>
  <c r="D146" i="7"/>
  <c r="D197" i="7" s="1"/>
  <c r="D145" i="7"/>
  <c r="D196" i="7" s="1"/>
  <c r="D144" i="7"/>
  <c r="D195" i="7" s="1"/>
  <c r="H141" i="7"/>
  <c r="E140" i="7"/>
  <c r="E191" i="7" s="1"/>
  <c r="E139" i="7"/>
  <c r="E190" i="7" s="1"/>
  <c r="D139" i="7"/>
  <c r="D190" i="7" s="1"/>
  <c r="D138" i="7"/>
  <c r="D189" i="7" s="1"/>
  <c r="E137" i="7"/>
  <c r="E188" i="7" s="1"/>
  <c r="D137" i="7"/>
  <c r="D188" i="7" s="1"/>
  <c r="E136" i="7"/>
  <c r="E187" i="7" s="1"/>
  <c r="D136" i="7"/>
  <c r="D187" i="7" s="1"/>
  <c r="E135" i="7"/>
  <c r="E186" i="7" s="1"/>
  <c r="D135" i="7"/>
  <c r="D186" i="7" s="1"/>
  <c r="L134" i="7"/>
  <c r="E131" i="7"/>
  <c r="G127" i="7"/>
  <c r="G177" i="7" s="1"/>
  <c r="G126" i="7"/>
  <c r="G176" i="7" s="1"/>
  <c r="G125" i="7"/>
  <c r="G175" i="7" s="1"/>
  <c r="D118" i="7"/>
  <c r="H118" i="7" s="1"/>
  <c r="G167" i="7"/>
  <c r="G166" i="7"/>
  <c r="D116" i="7"/>
  <c r="D236" i="7" s="1"/>
  <c r="G165" i="7"/>
  <c r="G164" i="7"/>
  <c r="D114" i="7"/>
  <c r="D164" i="7" s="1"/>
  <c r="H107" i="7"/>
  <c r="D106" i="7"/>
  <c r="H105" i="7"/>
  <c r="H104" i="7"/>
  <c r="D153" i="7"/>
  <c r="H103" i="7"/>
  <c r="H98" i="7"/>
  <c r="F93" i="7"/>
  <c r="F222" i="7" s="1"/>
  <c r="E93" i="7"/>
  <c r="E222" i="7" s="1"/>
  <c r="F92" i="7"/>
  <c r="F221" i="7" s="1"/>
  <c r="E92" i="7"/>
  <c r="E221" i="7" s="1"/>
  <c r="F91" i="7"/>
  <c r="F220" i="7" s="1"/>
  <c r="E91" i="7"/>
  <c r="E220" i="7" s="1"/>
  <c r="F90" i="7"/>
  <c r="F219" i="7" s="1"/>
  <c r="E90" i="7"/>
  <c r="E219" i="7" s="1"/>
  <c r="F89" i="7"/>
  <c r="F218" i="7" s="1"/>
  <c r="E89" i="7"/>
  <c r="E218" i="7" s="1"/>
  <c r="F85" i="7"/>
  <c r="E85" i="7"/>
  <c r="F78" i="7"/>
  <c r="E78" i="7"/>
  <c r="F76" i="7"/>
  <c r="D76" i="7"/>
  <c r="F70" i="7"/>
  <c r="E70" i="7"/>
  <c r="F69" i="7"/>
  <c r="E69" i="7"/>
  <c r="F68" i="7"/>
  <c r="E68" i="7"/>
  <c r="F67" i="7"/>
  <c r="E67" i="7"/>
  <c r="F66" i="7"/>
  <c r="E66" i="7"/>
  <c r="H61" i="7"/>
  <c r="H62" i="7" s="1"/>
  <c r="E57" i="7"/>
  <c r="D55" i="7"/>
  <c r="F49" i="7"/>
  <c r="E49" i="7"/>
  <c r="D49" i="7"/>
  <c r="D70" i="7" s="1"/>
  <c r="F48" i="7"/>
  <c r="E48" i="7"/>
  <c r="F47" i="7"/>
  <c r="E47" i="7"/>
  <c r="D47" i="7"/>
  <c r="D68" i="7" s="1"/>
  <c r="F46" i="7"/>
  <c r="E46" i="7"/>
  <c r="D46" i="7"/>
  <c r="D67" i="7" s="1"/>
  <c r="F45" i="7"/>
  <c r="E45" i="7"/>
  <c r="D45" i="7"/>
  <c r="D66" i="7" s="1"/>
  <c r="G40" i="7"/>
  <c r="F55" i="7"/>
  <c r="E55" i="7"/>
  <c r="E84" i="7" s="1"/>
  <c r="D27" i="7"/>
  <c r="F19" i="7"/>
  <c r="F31" i="7" s="1"/>
  <c r="E19" i="7"/>
  <c r="E31" i="7" s="1"/>
  <c r="D31" i="7"/>
  <c r="F18" i="7"/>
  <c r="F30" i="7" s="1"/>
  <c r="E18" i="7"/>
  <c r="E30" i="7" s="1"/>
  <c r="F17" i="7"/>
  <c r="F29" i="7" s="1"/>
  <c r="E17" i="7"/>
  <c r="E29" i="7" s="1"/>
  <c r="D29" i="7"/>
  <c r="F16" i="7"/>
  <c r="F28" i="7" s="1"/>
  <c r="E16" i="7"/>
  <c r="E28" i="7" s="1"/>
  <c r="D28" i="7"/>
  <c r="F15" i="7"/>
  <c r="F27" i="7" s="1"/>
  <c r="E15" i="7"/>
  <c r="E27" i="7" s="1"/>
  <c r="I111" i="6"/>
  <c r="J111" i="6" s="1"/>
  <c r="E111" i="6"/>
  <c r="F137" i="6"/>
  <c r="F134" i="6"/>
  <c r="H130" i="6"/>
  <c r="I130" i="6" s="1"/>
  <c r="J130" i="6" s="1"/>
  <c r="H330" i="8" l="1"/>
  <c r="D130" i="6" s="1"/>
  <c r="H227" i="8"/>
  <c r="H233" i="8" s="1"/>
  <c r="H257" i="8"/>
  <c r="D27" i="6" s="1"/>
  <c r="H39" i="8"/>
  <c r="H358" i="8"/>
  <c r="D140" i="6" s="1"/>
  <c r="F140" i="6" s="1"/>
  <c r="H191" i="8"/>
  <c r="H197" i="8" s="1"/>
  <c r="D86" i="6"/>
  <c r="C13" i="10"/>
  <c r="H237" i="8"/>
  <c r="D245" i="8"/>
  <c r="H245" i="8" s="1"/>
  <c r="D37" i="6"/>
  <c r="H167" i="8"/>
  <c r="D132" i="6"/>
  <c r="F29" i="6"/>
  <c r="H334" i="8"/>
  <c r="H348" i="8" s="1"/>
  <c r="H169" i="8"/>
  <c r="D68" i="6" s="1"/>
  <c r="D58" i="6"/>
  <c r="D44" i="6"/>
  <c r="F111" i="6"/>
  <c r="E181" i="7"/>
  <c r="E183" i="7"/>
  <c r="H183" i="7" s="1"/>
  <c r="F84" i="7"/>
  <c r="F216" i="7" s="1"/>
  <c r="H28" i="7"/>
  <c r="H31" i="7"/>
  <c r="E76" i="7"/>
  <c r="H76" i="7" s="1"/>
  <c r="H169" i="7"/>
  <c r="H67" i="7"/>
  <c r="H57" i="7"/>
  <c r="H78" i="7"/>
  <c r="H350" i="7"/>
  <c r="H548" i="7"/>
  <c r="H29" i="7"/>
  <c r="D155" i="7"/>
  <c r="H155" i="7" s="1"/>
  <c r="D18" i="7"/>
  <c r="D30" i="7" s="1"/>
  <c r="H30" i="7" s="1"/>
  <c r="H140" i="7"/>
  <c r="H152" i="7"/>
  <c r="H528" i="7"/>
  <c r="H424" i="7"/>
  <c r="H131" i="7"/>
  <c r="H132" i="7" s="1"/>
  <c r="H181" i="7"/>
  <c r="H182" i="7" s="1"/>
  <c r="F45" i="6" s="1"/>
  <c r="H121" i="7"/>
  <c r="G171" i="7"/>
  <c r="H171" i="7" s="1"/>
  <c r="H190" i="7"/>
  <c r="H85" i="7"/>
  <c r="H345" i="7"/>
  <c r="H349" i="7"/>
  <c r="H342" i="7"/>
  <c r="H373" i="7"/>
  <c r="H471" i="7"/>
  <c r="H136" i="7"/>
  <c r="D48" i="7"/>
  <c r="D69" i="7" s="1"/>
  <c r="H69" i="7" s="1"/>
  <c r="H153" i="7"/>
  <c r="H106" i="7"/>
  <c r="H112" i="7" s="1"/>
  <c r="H198" i="7"/>
  <c r="M330" i="7"/>
  <c r="H187" i="7"/>
  <c r="H348" i="7"/>
  <c r="D91" i="7"/>
  <c r="D220" i="7" s="1"/>
  <c r="H220" i="7" s="1"/>
  <c r="L260" i="7"/>
  <c r="N260" i="7" s="1"/>
  <c r="H405" i="7"/>
  <c r="H188" i="7"/>
  <c r="H55" i="7"/>
  <c r="H139" i="7"/>
  <c r="H192" i="7"/>
  <c r="H16" i="7"/>
  <c r="H66" i="7"/>
  <c r="H70" i="7"/>
  <c r="D93" i="7"/>
  <c r="D222" i="7" s="1"/>
  <c r="H222" i="7" s="1"/>
  <c r="H116" i="7"/>
  <c r="H189" i="7"/>
  <c r="H144" i="7"/>
  <c r="H146" i="7"/>
  <c r="H320" i="7"/>
  <c r="H326" i="7" s="1"/>
  <c r="F74" i="6" s="1"/>
  <c r="H346" i="7"/>
  <c r="H386" i="7"/>
  <c r="F411" i="7"/>
  <c r="H411" i="7" s="1"/>
  <c r="H412" i="7" s="1"/>
  <c r="H432" i="7"/>
  <c r="H440" i="7"/>
  <c r="H315" i="7"/>
  <c r="H397" i="7" s="1"/>
  <c r="H398" i="7" s="1"/>
  <c r="D89" i="7"/>
  <c r="D218" i="7" s="1"/>
  <c r="H218" i="7" s="1"/>
  <c r="H186" i="7"/>
  <c r="H145" i="7"/>
  <c r="H285" i="7"/>
  <c r="H286" i="7" s="1"/>
  <c r="E287" i="7" s="1"/>
  <c r="H287" i="7" s="1"/>
  <c r="M322" i="7"/>
  <c r="H347" i="7"/>
  <c r="H419" i="7"/>
  <c r="H465" i="7"/>
  <c r="H511" i="7"/>
  <c r="H532" i="7"/>
  <c r="L264" i="7"/>
  <c r="N264" i="7" s="1"/>
  <c r="H15" i="7"/>
  <c r="H68" i="7"/>
  <c r="H156" i="7"/>
  <c r="H154" i="7"/>
  <c r="H81" i="7"/>
  <c r="H164" i="7"/>
  <c r="D242" i="7"/>
  <c r="H27" i="7"/>
  <c r="H17" i="7"/>
  <c r="H19" i="7"/>
  <c r="H40" i="7"/>
  <c r="D117" i="7"/>
  <c r="H125" i="7"/>
  <c r="H127" i="7"/>
  <c r="H135" i="7"/>
  <c r="H138" i="7"/>
  <c r="H191" i="7"/>
  <c r="H195" i="7"/>
  <c r="H147" i="7"/>
  <c r="D166" i="7"/>
  <c r="H295" i="7"/>
  <c r="H335" i="7"/>
  <c r="H114" i="7"/>
  <c r="H236" i="7"/>
  <c r="H176" i="7"/>
  <c r="E197" i="7"/>
  <c r="H197" i="7" s="1"/>
  <c r="H366" i="7"/>
  <c r="H45" i="7"/>
  <c r="H46" i="7"/>
  <c r="H47" i="7"/>
  <c r="H49" i="7"/>
  <c r="D115" i="7"/>
  <c r="H126" i="7"/>
  <c r="H137" i="7"/>
  <c r="H196" i="7"/>
  <c r="D228" i="7"/>
  <c r="H228" i="7" s="1"/>
  <c r="D234" i="7"/>
  <c r="H234" i="7" s="1"/>
  <c r="D226" i="7"/>
  <c r="H226" i="7" s="1"/>
  <c r="D238" i="7"/>
  <c r="H238" i="7" s="1"/>
  <c r="D230" i="7"/>
  <c r="H230" i="7" s="1"/>
  <c r="D168" i="7"/>
  <c r="H175" i="7"/>
  <c r="H177" i="7"/>
  <c r="H403" i="7"/>
  <c r="H404" i="7"/>
  <c r="H42" i="8" l="1"/>
  <c r="D15" i="6" s="1"/>
  <c r="H40" i="8"/>
  <c r="D16" i="6"/>
  <c r="H44" i="8"/>
  <c r="H49" i="8" s="1"/>
  <c r="H50" i="8" s="1"/>
  <c r="H172" i="8"/>
  <c r="H198" i="8"/>
  <c r="D253" i="8"/>
  <c r="H253" i="8" s="1"/>
  <c r="D109" i="6" s="1"/>
  <c r="F109" i="6" s="1"/>
  <c r="D108" i="6"/>
  <c r="D32" i="6"/>
  <c r="D84" i="6"/>
  <c r="F84" i="6" s="1"/>
  <c r="D133" i="6"/>
  <c r="D138" i="6" s="1"/>
  <c r="F80" i="6"/>
  <c r="D126" i="6"/>
  <c r="F86" i="6"/>
  <c r="H392" i="7"/>
  <c r="H36" i="7"/>
  <c r="H391" i="7"/>
  <c r="H205" i="7"/>
  <c r="F51" i="6" s="1"/>
  <c r="F38" i="6"/>
  <c r="H202" i="7"/>
  <c r="F49" i="6" s="1"/>
  <c r="F36" i="6"/>
  <c r="H79" i="7"/>
  <c r="H89" i="7"/>
  <c r="H353" i="7"/>
  <c r="H18" i="7"/>
  <c r="H24" i="7" s="1"/>
  <c r="H161" i="7"/>
  <c r="F43" i="6" s="1"/>
  <c r="H93" i="7"/>
  <c r="H48" i="7"/>
  <c r="H59" i="7" s="1"/>
  <c r="H91" i="7"/>
  <c r="H193" i="7"/>
  <c r="H208" i="7"/>
  <c r="H210" i="7"/>
  <c r="H178" i="7"/>
  <c r="H148" i="7"/>
  <c r="H142" i="7"/>
  <c r="H406" i="7"/>
  <c r="D235" i="7"/>
  <c r="H235" i="7" s="1"/>
  <c r="D227" i="7"/>
  <c r="H227" i="7" s="1"/>
  <c r="D90" i="7"/>
  <c r="D165" i="7"/>
  <c r="H115" i="7"/>
  <c r="H199" i="7"/>
  <c r="H166" i="7"/>
  <c r="D244" i="7"/>
  <c r="H128" i="7"/>
  <c r="E216" i="7"/>
  <c r="H216" i="7" s="1"/>
  <c r="H84" i="7"/>
  <c r="H168" i="7"/>
  <c r="D246" i="7"/>
  <c r="D237" i="7"/>
  <c r="H237" i="7" s="1"/>
  <c r="D229" i="7"/>
  <c r="H229" i="7" s="1"/>
  <c r="D167" i="7"/>
  <c r="D92" i="7"/>
  <c r="H117" i="7"/>
  <c r="D251" i="7"/>
  <c r="H242" i="7"/>
  <c r="F16" i="6" l="1"/>
  <c r="F32" i="6"/>
  <c r="F133" i="6"/>
  <c r="F138" i="6"/>
  <c r="D135" i="6"/>
  <c r="F135" i="6" s="1"/>
  <c r="D50" i="6"/>
  <c r="H393" i="7"/>
  <c r="H207" i="7"/>
  <c r="F68" i="6" s="1"/>
  <c r="F58" i="6"/>
  <c r="H204" i="7"/>
  <c r="H206" i="7"/>
  <c r="H231" i="7"/>
  <c r="H123" i="7"/>
  <c r="H239" i="7"/>
  <c r="H38" i="7"/>
  <c r="H41" i="7" s="1"/>
  <c r="D219" i="7"/>
  <c r="H219" i="7" s="1"/>
  <c r="H90" i="7"/>
  <c r="D221" i="7"/>
  <c r="H221" i="7" s="1"/>
  <c r="H92" i="7"/>
  <c r="H167" i="7"/>
  <c r="D245" i="7"/>
  <c r="D255" i="7"/>
  <c r="H246" i="7"/>
  <c r="H165" i="7"/>
  <c r="H173" i="7" s="1"/>
  <c r="F44" i="6" s="1"/>
  <c r="D243" i="7"/>
  <c r="D257" i="7"/>
  <c r="H251" i="7"/>
  <c r="D253" i="7"/>
  <c r="H244" i="7"/>
  <c r="H99" i="7" l="1"/>
  <c r="H203" i="7"/>
  <c r="F37" i="6"/>
  <c r="H42" i="7"/>
  <c r="H223" i="7"/>
  <c r="F130" i="6" s="1"/>
  <c r="H257" i="7"/>
  <c r="D261" i="7"/>
  <c r="H261" i="7" s="1"/>
  <c r="H255" i="7"/>
  <c r="D259" i="7"/>
  <c r="H259" i="7" s="1"/>
  <c r="H253" i="7"/>
  <c r="H243" i="7"/>
  <c r="D252" i="7"/>
  <c r="D254" i="7"/>
  <c r="D267" i="7" s="1"/>
  <c r="H267" i="7" s="1"/>
  <c r="H245" i="7"/>
  <c r="F126" i="6" l="1"/>
  <c r="H212" i="7"/>
  <c r="F132" i="6" s="1"/>
  <c r="H209" i="7"/>
  <c r="F50" i="6"/>
  <c r="H247" i="7"/>
  <c r="F108" i="6" s="1"/>
  <c r="F122" i="6" s="1"/>
  <c r="C10" i="10" s="1"/>
  <c r="H252" i="7"/>
  <c r="D258" i="7"/>
  <c r="D266" i="7"/>
  <c r="H266" i="7" s="1"/>
  <c r="H254" i="7"/>
  <c r="D260" i="7"/>
  <c r="H260" i="7" s="1"/>
  <c r="F141" i="6" l="1"/>
  <c r="C12" i="10" s="1"/>
  <c r="H258" i="7"/>
  <c r="D264" i="7"/>
  <c r="H264" i="7" s="1"/>
  <c r="H265" i="7" l="1"/>
  <c r="D26" i="6" l="1"/>
  <c r="F26" i="6" s="1"/>
  <c r="D23" i="6"/>
  <c r="F23" i="6" s="1"/>
  <c r="D19" i="6"/>
  <c r="F19" i="6" s="1"/>
  <c r="F15" i="6"/>
  <c r="D24" i="6" l="1"/>
  <c r="F24" i="6" s="1"/>
  <c r="D25" i="6"/>
  <c r="F25" i="6" s="1"/>
  <c r="F53" i="6" l="1"/>
  <c r="C9" i="10" s="1"/>
  <c r="F15" i="10" l="1"/>
  <c r="E18" i="10"/>
  <c r="E19" i="10" s="1"/>
  <c r="C17" i="10"/>
</calcChain>
</file>

<file path=xl/sharedStrings.xml><?xml version="1.0" encoding="utf-8"?>
<sst xmlns="http://schemas.openxmlformats.org/spreadsheetml/2006/main" count="3127" uniqueCount="797">
  <si>
    <t>Bill of Quantities (BOQ) &amp; Cost Estimate for Civil, Architectural &amp; PHE</t>
  </si>
  <si>
    <t>Item No.</t>
  </si>
  <si>
    <t>Description</t>
  </si>
  <si>
    <t xml:space="preserve">Unit </t>
  </si>
  <si>
    <t>Quantity</t>
  </si>
  <si>
    <t>Unit Rate</t>
  </si>
  <si>
    <t>Amount</t>
  </si>
  <si>
    <t>A</t>
  </si>
  <si>
    <t xml:space="preserve">Substructure </t>
  </si>
  <si>
    <t>Earth Work</t>
  </si>
  <si>
    <t>a</t>
  </si>
  <si>
    <t>Cum</t>
  </si>
  <si>
    <t>b</t>
  </si>
  <si>
    <t>c</t>
  </si>
  <si>
    <t>Filling Work</t>
  </si>
  <si>
    <t xml:space="preserve">Anti Termite Treatment </t>
  </si>
  <si>
    <t>Sqm</t>
  </si>
  <si>
    <t>Concrete Work</t>
  </si>
  <si>
    <t xml:space="preserve">Plain cement concrete </t>
  </si>
  <si>
    <t>Grade Slab</t>
  </si>
  <si>
    <t>Footing</t>
  </si>
  <si>
    <t>Shuttering Work</t>
  </si>
  <si>
    <t>Reinforcement</t>
  </si>
  <si>
    <t>MT</t>
  </si>
  <si>
    <t>excise duty-12.36</t>
  </si>
  <si>
    <t>sales tax-3</t>
  </si>
  <si>
    <t>Installation+ profit</t>
  </si>
  <si>
    <t>Rmt</t>
  </si>
  <si>
    <t>MISCELLANEOUS WORKS</t>
  </si>
  <si>
    <r>
      <t>Bolt M-32</t>
    </r>
    <r>
      <rPr>
        <sz val="10"/>
        <rFont val="Arial"/>
        <family val="2"/>
      </rPr>
      <t xml:space="preserve"> of total Length- 1000mm, with Nuts &amp; 75x75x12mm thk plate</t>
    </r>
  </si>
  <si>
    <t>Nos</t>
  </si>
  <si>
    <r>
      <t>Bolt M-20</t>
    </r>
    <r>
      <rPr>
        <sz val="10"/>
        <rFont val="Arial"/>
        <family val="2"/>
      </rPr>
      <t xml:space="preserve"> of total Length- 700mm, with Nuts &amp; 50x50x8mm thk plate</t>
    </r>
  </si>
  <si>
    <t>B</t>
  </si>
  <si>
    <t>Superstructure</t>
  </si>
  <si>
    <t>Column</t>
  </si>
  <si>
    <t>Slab</t>
  </si>
  <si>
    <t>d</t>
  </si>
  <si>
    <t>Waffle Wall</t>
  </si>
  <si>
    <t>Size- 2429 mm x 3648 mm</t>
  </si>
  <si>
    <t>Size- 1880 mm x 3648 mm</t>
  </si>
  <si>
    <t>Size- 1270 mm x 3648 mm</t>
  </si>
  <si>
    <t>Size- 660 mm x 3648 mm</t>
  </si>
  <si>
    <t>e</t>
  </si>
  <si>
    <t>Size- 2429 mm x 1252 mm</t>
  </si>
  <si>
    <t>f</t>
  </si>
  <si>
    <t>Size- 1880 mm x 1252 mm</t>
  </si>
  <si>
    <t>g</t>
  </si>
  <si>
    <t>Size- 1270 mm x 1252 mm</t>
  </si>
  <si>
    <t>h</t>
  </si>
  <si>
    <t>Size- 660 mm x 1252 mm</t>
  </si>
  <si>
    <t>i</t>
  </si>
  <si>
    <t>j</t>
  </si>
  <si>
    <t>k</t>
  </si>
  <si>
    <t>l</t>
  </si>
  <si>
    <t>Size- 1165 mm x 1228 mm</t>
  </si>
  <si>
    <t>C</t>
  </si>
  <si>
    <t>Masonry Work</t>
  </si>
  <si>
    <t>Wall Finishes</t>
  </si>
  <si>
    <t>Internal Plaster  Work</t>
  </si>
  <si>
    <t>External Painting  Work</t>
  </si>
  <si>
    <t>Internal Painting  Work</t>
  </si>
  <si>
    <t>Flooring</t>
  </si>
  <si>
    <t>Doors</t>
  </si>
  <si>
    <t>No</t>
  </si>
  <si>
    <t>Prise</t>
  </si>
  <si>
    <t>Total</t>
  </si>
  <si>
    <t>Flush door with Louver Panel</t>
  </si>
  <si>
    <t>Handling Charges</t>
  </si>
  <si>
    <t>CST-12.36%</t>
  </si>
  <si>
    <t>No.</t>
  </si>
  <si>
    <t>PHE Works</t>
  </si>
  <si>
    <t>D</t>
  </si>
  <si>
    <t>Sanitary Fittings &amp; Installations</t>
  </si>
  <si>
    <t>Nos.</t>
  </si>
  <si>
    <t>Set</t>
  </si>
  <si>
    <t>75mm dia.</t>
  </si>
  <si>
    <t>110mm dia.</t>
  </si>
  <si>
    <t>Water Supply</t>
  </si>
  <si>
    <t>Domestic Water Supply</t>
  </si>
  <si>
    <t>20 mm dia</t>
  </si>
  <si>
    <t>25 mm dia</t>
  </si>
  <si>
    <t>Flush Water Supply</t>
  </si>
  <si>
    <t>H</t>
  </si>
  <si>
    <t>Miscellaneous</t>
  </si>
  <si>
    <t>450mm X 450mm internal size</t>
  </si>
  <si>
    <t xml:space="preserve">Project </t>
  </si>
  <si>
    <t xml:space="preserve">Industrial &amp; Logistic Park Luhari, Haryana
</t>
  </si>
  <si>
    <t>     </t>
  </si>
  <si>
    <t xml:space="preserve">Calculations for: </t>
  </si>
  <si>
    <r>
      <t>Divn/Dept</t>
    </r>
    <r>
      <rPr>
        <sz val="9"/>
        <rFont val="Arial"/>
        <family val="2"/>
      </rPr>
      <t xml:space="preserve">    </t>
    </r>
  </si>
  <si>
    <r>
      <t>Job No. File No</t>
    </r>
    <r>
      <rPr>
        <b/>
        <sz val="9"/>
        <rFont val="Arial"/>
        <family val="2"/>
      </rPr>
      <t xml:space="preserve">   / </t>
    </r>
    <r>
      <rPr>
        <sz val="9"/>
        <rFont val="Arial"/>
        <family val="2"/>
      </rPr>
      <t> </t>
    </r>
    <r>
      <rPr>
        <b/>
        <sz val="9"/>
        <rFont val="Arial"/>
        <family val="2"/>
      </rPr>
      <t> 324482</t>
    </r>
  </si>
  <si>
    <t>Calculated by: VBG</t>
  </si>
  <si>
    <t>Sheet No.</t>
  </si>
  <si>
    <t>Checked by: AC &amp; HD</t>
  </si>
  <si>
    <t>L</t>
  </si>
  <si>
    <t>W</t>
  </si>
  <si>
    <t>Excavation</t>
  </si>
  <si>
    <t>Up to 1.5m</t>
  </si>
  <si>
    <t>F1</t>
  </si>
  <si>
    <t>F2</t>
  </si>
  <si>
    <t>F3</t>
  </si>
  <si>
    <t>F4</t>
  </si>
  <si>
    <t>F5</t>
  </si>
  <si>
    <t>1.5m to 3.0m</t>
  </si>
  <si>
    <t>4a</t>
  </si>
  <si>
    <t>Backfilling</t>
  </si>
  <si>
    <t>4b</t>
  </si>
  <si>
    <t>Plinth Filling</t>
  </si>
  <si>
    <t>Total Plinth Filling</t>
  </si>
  <si>
    <t xml:space="preserve">Plinth Filling by excavated stuff </t>
  </si>
  <si>
    <t>selected earth brought from outside</t>
  </si>
  <si>
    <t>GSB Filling</t>
  </si>
  <si>
    <t>Footing :</t>
  </si>
  <si>
    <t>Grade Slab :</t>
  </si>
  <si>
    <t>Below Ramp :</t>
  </si>
  <si>
    <t>Anti-Termite treatment</t>
  </si>
  <si>
    <t>7a</t>
  </si>
  <si>
    <t xml:space="preserve">PCC- M15 Grade </t>
  </si>
  <si>
    <t>Below Plinth beam</t>
  </si>
  <si>
    <t>PB1</t>
  </si>
  <si>
    <t>For ramp</t>
  </si>
  <si>
    <t>7b</t>
  </si>
  <si>
    <t>M20 Grade cement concrete</t>
  </si>
  <si>
    <t>for Grade slab</t>
  </si>
  <si>
    <t>Base for SC</t>
  </si>
  <si>
    <t>For Ramp</t>
  </si>
  <si>
    <t xml:space="preserve"> M25 Grade cement concrete</t>
  </si>
  <si>
    <t>Pedestal :</t>
  </si>
  <si>
    <t>P1</t>
  </si>
  <si>
    <t>P2</t>
  </si>
  <si>
    <t>P3</t>
  </si>
  <si>
    <t>P4</t>
  </si>
  <si>
    <t>P5</t>
  </si>
  <si>
    <t>Column :</t>
  </si>
  <si>
    <t>SC</t>
  </si>
  <si>
    <t>Beam:</t>
  </si>
  <si>
    <t>Plinth Beam</t>
  </si>
  <si>
    <t>Tie Beam:</t>
  </si>
  <si>
    <t>B1</t>
  </si>
  <si>
    <t>B2</t>
  </si>
  <si>
    <t>B3</t>
  </si>
  <si>
    <t>B4</t>
  </si>
  <si>
    <t>B5</t>
  </si>
  <si>
    <t>Slab:</t>
  </si>
  <si>
    <t>S1</t>
  </si>
  <si>
    <t>S2</t>
  </si>
  <si>
    <t>S3</t>
  </si>
  <si>
    <t>S4</t>
  </si>
  <si>
    <t xml:space="preserve">Plywood shuttering </t>
  </si>
  <si>
    <t>Thermo-mechanically Treated (TMT) bars ( Fe 500 D)</t>
  </si>
  <si>
    <t>kg/cum</t>
  </si>
  <si>
    <t>Pedestal</t>
  </si>
  <si>
    <t>Tie Beam</t>
  </si>
  <si>
    <t>kg/Sqm</t>
  </si>
  <si>
    <t>Welded wire mesh</t>
  </si>
  <si>
    <t>LDPE film 300 micron thick (below PCC)</t>
  </si>
  <si>
    <t>13a</t>
  </si>
  <si>
    <t>25 x 25 Polysulphide Sealant</t>
  </si>
  <si>
    <t>13b</t>
  </si>
  <si>
    <t>Grouting under base plate</t>
  </si>
  <si>
    <t>Fixing anchor bolt</t>
  </si>
  <si>
    <t>No of pedestal</t>
  </si>
  <si>
    <t>No of bolt per pedestal</t>
  </si>
  <si>
    <t>Length(mm)</t>
  </si>
  <si>
    <t>Weight in Kg/m</t>
  </si>
  <si>
    <t>Blots</t>
  </si>
  <si>
    <t>P1 - M 32</t>
  </si>
  <si>
    <t>P2 - M 32</t>
  </si>
  <si>
    <t>P3 - M 20</t>
  </si>
  <si>
    <t>Nuts</t>
  </si>
  <si>
    <t>Plate</t>
  </si>
  <si>
    <t>50x50x8mm thk</t>
  </si>
  <si>
    <t xml:space="preserve">Structural Steel </t>
  </si>
  <si>
    <t>Unit</t>
  </si>
  <si>
    <t>Qty Reqd</t>
  </si>
  <si>
    <r>
      <t>Unit M/M</t>
    </r>
    <r>
      <rPr>
        <vertAlign val="superscript"/>
        <sz val="11"/>
        <rFont val="Times New Roman"/>
        <family val="1"/>
      </rPr>
      <t>2</t>
    </r>
  </si>
  <si>
    <r>
      <t>Total M/M</t>
    </r>
    <r>
      <rPr>
        <vertAlign val="superscript"/>
        <sz val="11"/>
        <rFont val="Times New Roman"/>
        <family val="1"/>
      </rPr>
      <t>2</t>
    </r>
  </si>
  <si>
    <r>
      <t>Weight M/M</t>
    </r>
    <r>
      <rPr>
        <vertAlign val="superscript"/>
        <sz val="11"/>
        <rFont val="Times New Roman"/>
        <family val="1"/>
      </rPr>
      <t>2</t>
    </r>
    <r>
      <rPr>
        <sz val="11"/>
        <rFont val="Times New Roman"/>
        <family val="1"/>
      </rPr>
      <t xml:space="preserve"> in KG</t>
    </r>
  </si>
  <si>
    <t>Total Weight in KG</t>
  </si>
  <si>
    <t>For Staircase :-</t>
  </si>
  <si>
    <t>Strainger -(ISMC-150)</t>
  </si>
  <si>
    <t>Kg</t>
  </si>
  <si>
    <t>7 nos Stair Tread- (ISA-65x65x6 Thk)</t>
  </si>
  <si>
    <t>7 nos Stair Tread- (8mm thk CHQD PLT-1.500x0.350)</t>
  </si>
  <si>
    <t>For Platform - (8mm thk CHQD PLT-1.650x1.200)</t>
  </si>
  <si>
    <t>TOP INS PLT - (Plate 200x125x10 Thk)</t>
  </si>
  <si>
    <t>BOT INS PLT - (12 Dia R/F Bar)</t>
  </si>
  <si>
    <t>TOP INS PLT - (12 Dia. R/F Bar))</t>
  </si>
  <si>
    <t>For Bracket</t>
  </si>
  <si>
    <t>ISMC-150</t>
  </si>
  <si>
    <t>ISA- 65x65x6 Thk</t>
  </si>
  <si>
    <t>Plate 200 x 125 x 10 Thk</t>
  </si>
  <si>
    <t>12 DIA R/F Bar</t>
  </si>
  <si>
    <t>Total Wt. in KG</t>
  </si>
  <si>
    <t>Total Wt. in MT</t>
  </si>
  <si>
    <t>No of Staircase</t>
  </si>
  <si>
    <t>Insert Plate &amp; Lugs</t>
  </si>
  <si>
    <t>200x125x10mm thk</t>
  </si>
  <si>
    <t>Bolt</t>
  </si>
  <si>
    <t>12mm dia.</t>
  </si>
  <si>
    <t>On Toilet Area</t>
  </si>
  <si>
    <t>Brick work</t>
  </si>
  <si>
    <t>230mm Thk</t>
  </si>
  <si>
    <t>S.Wall</t>
  </si>
  <si>
    <t>L.Wall</t>
  </si>
  <si>
    <t>Door Diduction</t>
  </si>
  <si>
    <t>Ledge Wall</t>
  </si>
  <si>
    <t>115mm Thk</t>
  </si>
  <si>
    <t>Female Toilets</t>
  </si>
  <si>
    <t>Female Toilets Partation</t>
  </si>
  <si>
    <t>Male Toilets Partation</t>
  </si>
  <si>
    <t>Structural Glazing</t>
  </si>
  <si>
    <t>office 1&amp;3- West Side</t>
  </si>
  <si>
    <t>office 1&amp;3- North &amp; south</t>
  </si>
  <si>
    <t>office 2- West Side</t>
  </si>
  <si>
    <t>ACP Sheet</t>
  </si>
  <si>
    <t>For Top &amp; Bottom</t>
  </si>
  <si>
    <t>Louvers</t>
  </si>
  <si>
    <t>Internal Plaster (12mm thk)</t>
  </si>
  <si>
    <t>Male Toilets</t>
  </si>
  <si>
    <t>Painting Work</t>
  </si>
  <si>
    <t>White Wash</t>
  </si>
  <si>
    <t>Janitor Room</t>
  </si>
  <si>
    <t>Plastic Emulsion Paint</t>
  </si>
  <si>
    <t>Over Internal Plaster</t>
  </si>
  <si>
    <t>Over Moisture Resistance plasterboard Partation</t>
  </si>
  <si>
    <t>acrylic exterior emulsion Paint</t>
  </si>
  <si>
    <t>On Plinth Area</t>
  </si>
  <si>
    <t>Over Waffle Wall</t>
  </si>
  <si>
    <t>Gypsum False ceiling</t>
  </si>
  <si>
    <t>Modular False ceiling</t>
  </si>
  <si>
    <t>Vitrified Tiles</t>
  </si>
  <si>
    <t>FM2 Finish Flooring</t>
  </si>
  <si>
    <t>Warehouse</t>
  </si>
  <si>
    <t>Proposed office</t>
  </si>
  <si>
    <t>Ceramic Tiles for dado</t>
  </si>
  <si>
    <t>Door diduction</t>
  </si>
  <si>
    <t>WC</t>
  </si>
  <si>
    <t>Indian WC</t>
  </si>
  <si>
    <t>WC Front wall</t>
  </si>
  <si>
    <t>Fire Door with Vision Panel</t>
  </si>
  <si>
    <t>Flush door</t>
  </si>
  <si>
    <t>Holllow Pressed Metal Door</t>
  </si>
  <si>
    <t>Section Overhead door</t>
  </si>
  <si>
    <t>B2.OD1 (Size- 2445mm x 4000mm)</t>
  </si>
  <si>
    <t>M.S. Railing</t>
  </si>
  <si>
    <t>RHS</t>
  </si>
  <si>
    <t>LHS</t>
  </si>
  <si>
    <t>Front</t>
  </si>
  <si>
    <t>Back</t>
  </si>
  <si>
    <t>Electro hydraulic Dock Leveller</t>
  </si>
  <si>
    <t>Dock Buffe</t>
  </si>
  <si>
    <t xml:space="preserve"> Bollards</t>
  </si>
  <si>
    <t>Wall hung water closet</t>
  </si>
  <si>
    <t>ii</t>
  </si>
  <si>
    <t>Indian water closet</t>
  </si>
  <si>
    <t>iii</t>
  </si>
  <si>
    <t>oval shaped wash basin</t>
  </si>
  <si>
    <t>iv</t>
  </si>
  <si>
    <t>Urinal</t>
  </si>
  <si>
    <t>v</t>
  </si>
  <si>
    <t>Granite Urinal partition</t>
  </si>
  <si>
    <t>vi</t>
  </si>
  <si>
    <t>15mm CP Angle valve</t>
  </si>
  <si>
    <t>vii</t>
  </si>
  <si>
    <t xml:space="preserve">Mirror </t>
  </si>
  <si>
    <t>Mirror (Size of 5600X800)</t>
  </si>
  <si>
    <t>Mirror (Size of 2700X800)</t>
  </si>
  <si>
    <t>viii</t>
  </si>
  <si>
    <t>CP Towel ring</t>
  </si>
  <si>
    <t>ix</t>
  </si>
  <si>
    <t>CP Brass Double coat Hook</t>
  </si>
  <si>
    <t>x</t>
  </si>
  <si>
    <t>Paper holder</t>
  </si>
  <si>
    <t>xi</t>
  </si>
  <si>
    <t>Liquid Soap Dispenser</t>
  </si>
  <si>
    <t>xii</t>
  </si>
  <si>
    <t>Hand Drier</t>
  </si>
  <si>
    <t>Soil, Waste &amp; Vent Pipes</t>
  </si>
  <si>
    <t>UPVC 32mm Dia.</t>
  </si>
  <si>
    <t>UPVC 40mm Dia.</t>
  </si>
  <si>
    <t>UPVC 50mm Dia.</t>
  </si>
  <si>
    <t>UPVC 75mm Dia.</t>
  </si>
  <si>
    <t>UPVC110mm Dia.</t>
  </si>
  <si>
    <t>Cast brass clean out plug</t>
  </si>
  <si>
    <t>PVC  "P" trap</t>
  </si>
  <si>
    <t>PVC floor trap</t>
  </si>
  <si>
    <t>CPVC pipes - 15</t>
  </si>
  <si>
    <t>CPVC pipes - 20</t>
  </si>
  <si>
    <t>CPVC pipes - 25</t>
  </si>
  <si>
    <t>CPVC pipes - 32</t>
  </si>
  <si>
    <t>CPVC pipes - 40</t>
  </si>
  <si>
    <t>brass ball valves</t>
  </si>
  <si>
    <t>Pressure reducing valve</t>
  </si>
  <si>
    <t>mosquito proof netting 85g</t>
  </si>
  <si>
    <t xml:space="preserve"> vent cowl </t>
  </si>
  <si>
    <t>masonry chamber</t>
  </si>
  <si>
    <t>750 X750mm internal size</t>
  </si>
  <si>
    <t>Gully trap</t>
  </si>
  <si>
    <t>chemical waterproofing treatment</t>
  </si>
  <si>
    <t xml:space="preserve">Reinforced cement concrete </t>
  </si>
  <si>
    <t>Apron Work</t>
  </si>
  <si>
    <t>Excavation for Apron by Mechanical Means</t>
  </si>
  <si>
    <t>B2 Loading &amp; unloading Area</t>
  </si>
  <si>
    <t>B3 Loading &amp; unloading Area</t>
  </si>
  <si>
    <t>Earthwork Filling in Embankment</t>
  </si>
  <si>
    <t>Earthwork in Embankment for Subgrade</t>
  </si>
  <si>
    <t>GSB</t>
  </si>
  <si>
    <t>DLC</t>
  </si>
  <si>
    <t>PQC</t>
  </si>
  <si>
    <t>Total :-</t>
  </si>
  <si>
    <t>plastic coated marine Plywood shuttering</t>
  </si>
  <si>
    <t>20 mm thk</t>
  </si>
  <si>
    <t>Façade Work</t>
  </si>
  <si>
    <t>Footings</t>
  </si>
  <si>
    <t>Pedestals</t>
  </si>
  <si>
    <t>Slabs</t>
  </si>
  <si>
    <t xml:space="preserve">Warehouse- B3 , Measurement sheet, </t>
  </si>
  <si>
    <t>Date: 19.06.2013</t>
  </si>
  <si>
    <t>Date:Date: 20.06.2013</t>
  </si>
  <si>
    <t>Sand below LDPE Sheet</t>
  </si>
  <si>
    <t>Deduction for Column</t>
  </si>
  <si>
    <t>FC</t>
  </si>
  <si>
    <t>FC1</t>
  </si>
  <si>
    <t>B6</t>
  </si>
  <si>
    <t>B7</t>
  </si>
  <si>
    <t>Expansive Bituminous Sealant</t>
  </si>
  <si>
    <t>P4 - M 20</t>
  </si>
  <si>
    <t>P5 - M 20</t>
  </si>
  <si>
    <t>kg</t>
  </si>
  <si>
    <t>Rs.</t>
  </si>
  <si>
    <t>Size- 1110 mm x 1228 mm</t>
  </si>
  <si>
    <t>Size- 1140 mm x 1228 mm</t>
  </si>
  <si>
    <t>Size- 1160 mm x 1228 mm</t>
  </si>
  <si>
    <t>Toilet - S.wall</t>
  </si>
  <si>
    <t>Door Deduction</t>
  </si>
  <si>
    <t>Toilet Mail Toilets</t>
  </si>
  <si>
    <t>office - North &amp; South Side</t>
  </si>
  <si>
    <t>outerside wall</t>
  </si>
  <si>
    <t>Moisture Resistance plasterboard Partition</t>
  </si>
  <si>
    <t>B3.Di1(Size- 1000mm x 2100mm)</t>
  </si>
  <si>
    <t>B3.Di3 (Size- 750mm x 2100mm)</t>
  </si>
  <si>
    <t>B3.Di2 (Size- 750mm x 2100mm)</t>
  </si>
  <si>
    <t>B3.Di4 (Size- 750mm x 1900mm)</t>
  </si>
  <si>
    <t>F6</t>
  </si>
  <si>
    <t>F7</t>
  </si>
  <si>
    <t>F8</t>
  </si>
  <si>
    <t>F9</t>
  </si>
  <si>
    <t>P6</t>
  </si>
  <si>
    <t>P7</t>
  </si>
  <si>
    <t>P8</t>
  </si>
  <si>
    <t>P9</t>
  </si>
  <si>
    <t>For Shaft</t>
  </si>
  <si>
    <t>20a</t>
  </si>
  <si>
    <t>20b</t>
  </si>
  <si>
    <t>100mm thick Full height acoustically insulated Gypsum solid partitions</t>
  </si>
  <si>
    <t>Partation wall Over Waffle wall</t>
  </si>
  <si>
    <t>B3.De1(Size- 1113mm x 2415mm)</t>
  </si>
  <si>
    <t>B2.OD2 (Size- 4200mm x 5000mm)</t>
  </si>
  <si>
    <t>internal side of Waffle wall</t>
  </si>
  <si>
    <t>From existing Ground level up to 1.5 m deep</t>
  </si>
  <si>
    <t>Below 1.5 m to 3 m depth</t>
  </si>
  <si>
    <r>
      <t xml:space="preserve">Providing and </t>
    </r>
    <r>
      <rPr>
        <b/>
        <sz val="10"/>
        <rFont val="Arial"/>
        <family val="2"/>
      </rPr>
      <t>Grouting under base plate</t>
    </r>
    <r>
      <rPr>
        <sz val="10"/>
        <rFont val="Arial"/>
        <family val="2"/>
      </rPr>
      <t xml:space="preserve"> and pocket with CONBEXTRA GP2 or equivalent etc. complete.</t>
    </r>
  </si>
  <si>
    <t>For office entrance Staircase</t>
  </si>
  <si>
    <t>Type A , Size- 2425 mm x 3645 mm</t>
  </si>
  <si>
    <t>Type B , Size- 1859 mm x 3645 mm</t>
  </si>
  <si>
    <t>Type C , Size- 1251 mm x 3645 mm</t>
  </si>
  <si>
    <t>Type D , Size- 642 mm x 3645 mm</t>
  </si>
  <si>
    <t>Type E , Size- 2425 mm x 3645 mm</t>
  </si>
  <si>
    <t>Type F , Size- 2425 mm x 3645 mm</t>
  </si>
  <si>
    <t>Type G , Size- 0.642 mm x 2.445 mm</t>
  </si>
  <si>
    <t>VOLUME- 1</t>
  </si>
  <si>
    <t>PARTICULAR</t>
  </si>
  <si>
    <t>AMOUNT (Rs.)</t>
  </si>
  <si>
    <t>TOTAL</t>
  </si>
  <si>
    <t>Ground Floor</t>
  </si>
  <si>
    <t>FM2 Finish</t>
  </si>
  <si>
    <t>Fixing of Armoured joint in flooring as per drawing all complete etc.</t>
  </si>
  <si>
    <t>On periphery</t>
  </si>
  <si>
    <r>
      <t xml:space="preserve">Providing and applying </t>
    </r>
    <r>
      <rPr>
        <b/>
        <sz val="10"/>
        <rFont val="Arial"/>
        <family val="2"/>
      </rPr>
      <t>Anti-Termite treatment</t>
    </r>
    <r>
      <rPr>
        <sz val="10"/>
        <rFont val="Arial"/>
        <family val="2"/>
      </rPr>
      <t xml:space="preserve"> for foundation and plinth floor by treating soil /sub soil and back filled material within the plinth area  and in contact with foundation, plinth beams, columns, walls etc.  with the insecticide as specified in IS 6313 - 2001. For soil under foundation and plinth floor, chemical emulsion shall be used @ 5.0 Ltrs / Sq M  and for vertical surfaces of the members @ 7.5 Ltrs / Sq M,  as specified in IS 6313 - 2001 with Chlorpysiphos / Lindane EC 20% at 1% concentration, during different stages of work as described in specifications as directed , etc complete. Rate to include providing 10 years guarantee on stamp paper and as per the approved format specified in the document. (Only plinth plan area will be measured and paid for) </t>
    </r>
  </si>
  <si>
    <r>
      <t xml:space="preserve">Providing &amp; laying in position machine mixed and machine vibrated </t>
    </r>
    <r>
      <rPr>
        <b/>
        <sz val="10"/>
        <rFont val="Arial"/>
        <family val="2"/>
      </rPr>
      <t xml:space="preserve">M15 grade controlled cement concrete </t>
    </r>
    <r>
      <rPr>
        <sz val="10"/>
        <rFont val="Arial"/>
        <family val="2"/>
      </rPr>
      <t>in all locations, at all levels, of any shape and size  as per  drawings, conforming to IS 456-2000; rate to include mix design, production, pouring concrete with pump, vibrating, finishing, curing, testing complete as per specifications, drawings and instructions. Rate to also include rectification and repairing of defects as per specifications and instructions as directed. ( Basic Price of Cement - Rs. 280 / Bag )</t>
    </r>
  </si>
  <si>
    <r>
      <t>Providing &amp; laying in position machine mixed and machine vibrated</t>
    </r>
    <r>
      <rPr>
        <b/>
        <sz val="10"/>
        <rFont val="Arial"/>
        <family val="2"/>
      </rPr>
      <t xml:space="preserve"> M25 grade controlled cement concrete</t>
    </r>
    <r>
      <rPr>
        <sz val="10"/>
        <rFont val="Arial"/>
        <family val="2"/>
      </rPr>
      <t xml:space="preserve"> for RCC members at all locations, of any shape and size  as per drawings and as directed, conforming to IS 456-2000; rate to include mix design, production, pouring concrete with pump, vibrating, finishing, curing, testing complete including concreting in delayed pour strip  as per specifications, drawings &amp; instructions. Rate to also include treating construction joints with approved construction chemicals, rectification and repairing of defects as per specifications and instructions as directed.
( Basic Price of Cement - Rs. 280 / Bag )</t>
    </r>
  </si>
  <si>
    <r>
      <t xml:space="preserve">Providing, fabricating, making and erecting in position approved quality </t>
    </r>
    <r>
      <rPr>
        <b/>
        <sz val="10"/>
        <rFont val="Arial"/>
        <family val="2"/>
      </rPr>
      <t xml:space="preserve">plywood formwork/ shuttering </t>
    </r>
    <r>
      <rPr>
        <sz val="10"/>
        <rFont val="Arial"/>
        <family val="2"/>
      </rPr>
      <t xml:space="preserve">using suitable required materials of approved quality, for RCC members of all shapes, sizes and orientation, at all locations as per technical specifications, drawings and instructions as directed etc complete. Rate to include cost of holding the forms in place for the specified time period, required by the concrete in the forms to gain sufficient strength with necessary scaffolding, bracings, fastener nails, wires, providing and applying de-shuttering oil;   removal, thereafter to the satisfaction of of the supervising agency. </t>
    </r>
  </si>
  <si>
    <t>Note :- Scope of work under this item requires the contractor to submit a bar bending schedule and carry out the work as per approved bar bending schedule only.</t>
  </si>
  <si>
    <t>Note :- Scope of work under this item requires the contractor to submit a bar bending schedule to the EIC and carry out the work as per approved bar bending schedule only.</t>
  </si>
  <si>
    <t>Referance Drg.</t>
  </si>
  <si>
    <t>Architectural :-</t>
  </si>
  <si>
    <t>Direct Purchase Items</t>
  </si>
  <si>
    <t>Deduct for Sectional Overhead Door</t>
  </si>
  <si>
    <t>Type H , Size- 1555 mm x 3645 mm</t>
  </si>
  <si>
    <t>m</t>
  </si>
  <si>
    <t>n</t>
  </si>
  <si>
    <t>B1-N.S.1 , Size- 490 mm x 3645 mm</t>
  </si>
  <si>
    <t>B1-N.S.2 , Size- 1662 mm x 3645 mm</t>
  </si>
  <si>
    <t>B1-N.S.3 , Size- 1195 mm x 3645 mm</t>
  </si>
  <si>
    <t>B1-N.S.4 , Size- 1475 mm x 3645 mm</t>
  </si>
  <si>
    <t>B1-N.S.5 , Size- 227 mm x 3645 mm</t>
  </si>
  <si>
    <t>B1-N.S.6 , Size- 792 mm x 3645 mm</t>
  </si>
  <si>
    <t>Plinth Beams</t>
  </si>
  <si>
    <r>
      <t>Providing &amp; laying Thermo-mechanically Treate</t>
    </r>
    <r>
      <rPr>
        <b/>
        <sz val="10"/>
        <rFont val="Arial"/>
        <family val="2"/>
      </rPr>
      <t xml:space="preserve">d </t>
    </r>
    <r>
      <rPr>
        <sz val="10"/>
        <rFont val="Arial"/>
        <family val="2"/>
      </rPr>
      <t>(TMT</t>
    </r>
    <r>
      <rPr>
        <b/>
        <sz val="10"/>
        <rFont val="Arial"/>
        <family val="2"/>
      </rPr>
      <t xml:space="preserve">) </t>
    </r>
    <r>
      <rPr>
        <sz val="10"/>
        <rFont val="Arial"/>
        <family val="2"/>
      </rPr>
      <t>bars ( Fe 500 D</t>
    </r>
    <r>
      <rPr>
        <b/>
        <sz val="10"/>
        <rFont val="Arial"/>
        <family val="2"/>
      </rPr>
      <t xml:space="preserve">) </t>
    </r>
    <r>
      <rPr>
        <sz val="10"/>
        <rFont val="Arial"/>
        <family val="2"/>
      </rPr>
      <t>of approved quality of different diameters,lengths and shapes for RCC members at all locations. Rate to include straightening, cutting, bending to required sizes and shapes, placing in position with cover blocks of approved size, tying with binding wire of 18 SWG soft black anneled GI wire complete as per technical specifications, approved  drawings and as directed. Rate to also include, cost of cover blocks, binding wire, transport, loading, unloading, storing, rolling margin, pins, spacers, chairs, laps and wastage over the approved measured quantity.  
( Basic Price of Steel - Rs. 48000 Per MT )</t>
    </r>
  </si>
  <si>
    <t>For Warehouse Doors &amp; Windows</t>
  </si>
  <si>
    <t>add 5% on Total</t>
  </si>
  <si>
    <t>LDPE Film Barrier Below PQC</t>
  </si>
  <si>
    <t>Di3</t>
  </si>
  <si>
    <t>Toilet Window</t>
  </si>
  <si>
    <t>sqm</t>
  </si>
  <si>
    <t>Structural Glazing- Spandrel panel</t>
  </si>
  <si>
    <t>2a</t>
  </si>
  <si>
    <t>2b</t>
  </si>
  <si>
    <t>For Steps</t>
  </si>
  <si>
    <t>For Toilet Area</t>
  </si>
  <si>
    <t>External Plaster  Work</t>
  </si>
  <si>
    <t>Risers</t>
  </si>
  <si>
    <t>landing</t>
  </si>
  <si>
    <t xml:space="preserve">Granite stone florring </t>
  </si>
  <si>
    <t>Steps -BOH Entry - Trades</t>
  </si>
  <si>
    <t>Steps -FOH Entry - Trades</t>
  </si>
  <si>
    <t>Deduction for Door &amp; Windows</t>
  </si>
  <si>
    <t>deduction for Door &amp; Windows</t>
  </si>
  <si>
    <t>Betn B6A &amp; B6B</t>
  </si>
  <si>
    <t>Main Building</t>
  </si>
  <si>
    <t>External Works</t>
  </si>
  <si>
    <t>Dock Buffer</t>
  </si>
  <si>
    <t>Deduction for pedestal</t>
  </si>
  <si>
    <t xml:space="preserve">Workers Toilet </t>
  </si>
  <si>
    <t>Angle 75mm X 75mm x 6mm- For Edge of Plinth beam near Dock area</t>
  </si>
  <si>
    <t>Grade slab</t>
  </si>
  <si>
    <t>Weldmesh</t>
  </si>
  <si>
    <t xml:space="preserve">for office area </t>
  </si>
  <si>
    <t xml:space="preserve">Apron </t>
  </si>
  <si>
    <t>Ramp</t>
  </si>
  <si>
    <t>Excavation for Ramp Foundation</t>
  </si>
  <si>
    <t>Up to 1.5 m Depth</t>
  </si>
  <si>
    <t>Excavation fron NGL-7.21</t>
  </si>
  <si>
    <t>For ramp Foundation</t>
  </si>
  <si>
    <t>For ramp Grade slab</t>
  </si>
  <si>
    <t>PCC</t>
  </si>
  <si>
    <t>RCC (M25)</t>
  </si>
  <si>
    <t>Raft</t>
  </si>
  <si>
    <t>Wall</t>
  </si>
  <si>
    <t>Plywood Shuttering</t>
  </si>
  <si>
    <t>Reinforcement (Fe 500 D)</t>
  </si>
  <si>
    <t>For ramp side wall</t>
  </si>
  <si>
    <t>Block Work</t>
  </si>
  <si>
    <t>External Plaster</t>
  </si>
  <si>
    <r>
      <t>Providing &amp; fixing 300mm x 300mm UPVC gully trap in cement concrete 1:4:8 inside shaft including connecting UPVC pipe , brick masonry chamber with UPVC lid and symet grating for the</t>
    </r>
    <r>
      <rPr>
        <b/>
        <sz val="10"/>
        <rFont val="Arial"/>
        <family val="2"/>
      </rPr>
      <t xml:space="preserve"> gully trap</t>
    </r>
    <r>
      <rPr>
        <sz val="10"/>
        <rFont val="Arial"/>
        <family val="2"/>
      </rPr>
      <t xml:space="preserve"> testing  etc. complete.</t>
    </r>
  </si>
  <si>
    <r>
      <t xml:space="preserve">Constructing </t>
    </r>
    <r>
      <rPr>
        <b/>
        <sz val="10"/>
        <color theme="1"/>
        <rFont val="Arial"/>
        <family val="2"/>
      </rPr>
      <t>masonry  Inspection chamber</t>
    </r>
    <r>
      <rPr>
        <sz val="10"/>
        <color theme="1"/>
        <rFont val="Arial"/>
        <family val="2"/>
      </rPr>
      <t xml:space="preserve"> with brick work in cement mortar 1:5 (1 cement : 5 coarse sand)  with heavy duty C..I cover, with necessary excavation, foundation concrete of M15 grade  and inside plastering with cement mortar 1:3 (1 cement : 3 coarse sand) 12mm  thick finished with a floating coat of neat cement complete. </t>
    </r>
  </si>
  <si>
    <r>
      <rPr>
        <b/>
        <sz val="10"/>
        <rFont val="Arial"/>
        <family val="2"/>
      </rPr>
      <t>Excavation by mechanical means</t>
    </r>
    <r>
      <rPr>
        <sz val="10"/>
        <rFont val="Arial"/>
        <family val="2"/>
      </rPr>
      <t xml:space="preserve"> in ordinary soil, hard soil, soft rock without blasting, for foundations of buildings, basements, walls, columns, plinth beams, rafts, ducts, tanks,chambers and pipe trenches etc. Rate to Include shoring &amp; strutting, bailing out surface water, pumping off water from excavated pits if required, removing and stacking  the excess excavated material as directed within the site, spreading, levelling, watering, rolling, testing and compacting it in 150mm to 200mm layers to 95% proctor density for site development etc. complete as per technical specifications, drawings and as directed. </t>
    </r>
  </si>
  <si>
    <r>
      <t xml:space="preserve">Filling in plinth with </t>
    </r>
    <r>
      <rPr>
        <b/>
        <sz val="10"/>
        <rFont val="Arial"/>
        <family val="2"/>
      </rPr>
      <t>selected approved excavated earth available on site</t>
    </r>
    <r>
      <rPr>
        <sz val="10"/>
        <rFont val="Arial"/>
        <family val="2"/>
      </rPr>
      <t xml:space="preserve"> in layers of 150mm to 200 mm, watering, ramming and compacting each layer to 95% proctor density using mechanical plate compactor, etc. complete as directed, as per technical specifications and drawings. Rate to include transportation, loading, unloading, spreading, levelling, compacting, testing and all incidantal works etc. complete.  </t>
    </r>
  </si>
  <si>
    <r>
      <t xml:space="preserve">Providing and laying in compact manner </t>
    </r>
    <r>
      <rPr>
        <b/>
        <sz val="10"/>
        <rFont val="Arial"/>
        <family val="2"/>
      </rPr>
      <t>Granular Sub Base (GSB)</t>
    </r>
    <r>
      <rPr>
        <sz val="10"/>
        <rFont val="Arial"/>
        <family val="2"/>
      </rPr>
      <t xml:space="preserve"> </t>
    </r>
    <r>
      <rPr>
        <b/>
        <sz val="10"/>
        <rFont val="Arial"/>
        <family val="2"/>
      </rPr>
      <t>of 200mm thickness</t>
    </r>
    <r>
      <rPr>
        <sz val="10"/>
        <rFont val="Arial"/>
        <family val="2"/>
      </rPr>
      <t xml:space="preserve"> as per drawing conforming to Grading- II of Table 400-1 (Close graded) below  foundations, plinth protection, Including filling in the visible voids with largest possible chips and sand, covering and levelling the surface with layer, well watered and consolidated by mechnical plate compactor etc.as per specifications.</t>
    </r>
  </si>
  <si>
    <r>
      <t xml:space="preserve">Providing and laying in compact manner </t>
    </r>
    <r>
      <rPr>
        <b/>
        <sz val="10"/>
        <rFont val="Arial"/>
        <family val="2"/>
      </rPr>
      <t>Granular Sub Base (GSB)</t>
    </r>
    <r>
      <rPr>
        <sz val="10"/>
        <rFont val="Arial"/>
        <family val="2"/>
      </rPr>
      <t xml:space="preserve"> </t>
    </r>
    <r>
      <rPr>
        <b/>
        <sz val="10"/>
        <rFont val="Arial"/>
        <family val="2"/>
      </rPr>
      <t>of 250mm thickness</t>
    </r>
    <r>
      <rPr>
        <sz val="10"/>
        <rFont val="Arial"/>
        <family val="2"/>
      </rPr>
      <t xml:space="preserve"> as per drawing conforming to Grading- II of Table 400-1 (Close graded) below  Grade slab, Including filling in the visible voids with largest possible chips and sand, covering and levelling the surface with layer, well watered and consolidated by mechnical plate compactor etc.as per specifications.</t>
    </r>
  </si>
  <si>
    <r>
      <rPr>
        <b/>
        <sz val="10"/>
        <rFont val="Arial"/>
        <family val="2"/>
      </rPr>
      <t>Backfilling the excavated volume</t>
    </r>
    <r>
      <rPr>
        <sz val="10"/>
        <rFont val="Arial"/>
        <family val="2"/>
      </rPr>
      <t xml:space="preserve"> around the concrete members with </t>
    </r>
    <r>
      <rPr>
        <b/>
        <sz val="10"/>
        <rFont val="Arial"/>
        <family val="2"/>
      </rPr>
      <t xml:space="preserve">selected approved excavated earth available on site </t>
    </r>
    <r>
      <rPr>
        <sz val="10"/>
        <rFont val="Arial"/>
        <family val="2"/>
      </rPr>
      <t xml:space="preserve">in layers of 150mm, ramming, watering, compacting each layer to 95% proctor density etc. as directed, as per technical specifications and drawings. Rate to include transportation, loading, unloading, spreading, levelling, compacting, testing and all incidantal works etc. complete.  </t>
    </r>
  </si>
  <si>
    <r>
      <t xml:space="preserve">Filling in plinth with selected </t>
    </r>
    <r>
      <rPr>
        <b/>
        <sz val="10"/>
        <rFont val="Arial"/>
        <family val="2"/>
      </rPr>
      <t>approved excavated earth brought from outside</t>
    </r>
    <r>
      <rPr>
        <sz val="10"/>
        <rFont val="Arial"/>
        <family val="2"/>
      </rPr>
      <t xml:space="preserve"> in layers of 150mm to 200 mm, watering, ramming and compacting each layer to 95% proctor density using mechanical plate compactor, etc. complete as directed, as per technical specifications and drawings. Rate to include royalty, taxes, transportation, loading, unloading, screening, spreading, levelling compacting, testing and all incidantal works etc. complete</t>
    </r>
  </si>
  <si>
    <r>
      <t xml:space="preserve">Supplying &amp; laying one layer of </t>
    </r>
    <r>
      <rPr>
        <b/>
        <sz val="10"/>
        <rFont val="Arial"/>
        <family val="2"/>
      </rPr>
      <t>A142 weldmesh</t>
    </r>
    <r>
      <rPr>
        <sz val="10"/>
        <rFont val="Arial"/>
        <family val="2"/>
      </rPr>
      <t xml:space="preserve"> and the cover to the reinforcement should be 50mm , the lap to weldmesh should be 300mm or 40 times the dia of bar whichever is highter , the work shall be complete as per specification and as directed.</t>
    </r>
  </si>
  <si>
    <t>1.1.1</t>
  </si>
  <si>
    <t>1.1.2</t>
  </si>
  <si>
    <t>1.1.3</t>
  </si>
  <si>
    <t>1.1.4</t>
  </si>
  <si>
    <t>1.1.5</t>
  </si>
  <si>
    <t>1.1.6</t>
  </si>
  <si>
    <t>1.2.1</t>
  </si>
  <si>
    <t>1.2.3</t>
  </si>
  <si>
    <t>1.2.4</t>
  </si>
  <si>
    <t>1.2.5</t>
  </si>
  <si>
    <t>1.2.6</t>
  </si>
  <si>
    <t>1.2.7</t>
  </si>
  <si>
    <t>1.3.1</t>
  </si>
  <si>
    <t>1.3.2</t>
  </si>
  <si>
    <t>Scope of work under Item 1.4.1 requires contractor to control the speed of work in such a way that the mortar at the joint at any level within the masonry will not get crushed under the load of masonry above it. Mortar shall be mixed in trays and no set mortar shall be used in the work. The rate for these items includes the cost of rectifying the defective  work, making good the masonry around the fixutures in the masonry like door frames, switch boxes, etc. It also requires the contractor to allow for placement of RCC mullions, RCC horizontal band beams within the masonry at any level, openings and sleeves as per the requirement, as per drawings, technical specifications, instructions, however, these RCC members within the masonry shall be measured and paid separately . Scope of work also requires contractor to provide ample light at the work location,  maintain the site in a clean condition during the progress of work and hand over the site in a clean vacant condition on completion, follow the safety procedures. If not done, Employer may get it done by other agency at the risk and cost of the contractor.</t>
  </si>
  <si>
    <t>GSB :</t>
  </si>
  <si>
    <t>Deduct for fire Door</t>
  </si>
  <si>
    <t>Refilling around ramp walls below NGL</t>
  </si>
  <si>
    <t>Ramp Filling above NGL to bottm of GSB</t>
  </si>
  <si>
    <t>Dock lev</t>
  </si>
  <si>
    <t>M35 Grade cement concrete</t>
  </si>
  <si>
    <t>B6 De1(Size- 1113mm x 2415mm)</t>
  </si>
  <si>
    <r>
      <rPr>
        <b/>
        <sz val="10"/>
        <rFont val="Arial"/>
        <family val="2"/>
      </rPr>
      <t>Note:-</t>
    </r>
    <r>
      <rPr>
        <sz val="10"/>
        <rFont val="Arial"/>
        <family val="2"/>
      </rPr>
      <t xml:space="preserve"> measurement</t>
    </r>
    <r>
      <rPr>
        <b/>
        <sz val="10"/>
        <rFont val="Arial"/>
        <family val="2"/>
      </rPr>
      <t xml:space="preserve"> </t>
    </r>
    <r>
      <rPr>
        <sz val="10"/>
        <rFont val="Arial"/>
        <family val="2"/>
      </rPr>
      <t>for Payment of excavation of RCC footings shall consider plan dimensions of the excavated pit determined by adding to each side of the footing 300mm on each face of the footing. Any excavation beyond the above mentioned dimention shalll not be considered for measurement of excavated pits of the RCC footings.
i.e. for footing size (B x L) in plan the measurement of excavated pit shall be (B + 600mm) x (L + 600mm) x corresponding depth of excavation.
Rate of Excavation shall also include cost of safety measures to be adopted while carrying out the work.
Rate of excavation shall include cost of filling and making up of extra volume below desired depth of the footing pit by PCC or plum concrete. Neither extra excavation nor cost of making up of extra volume shall be paid for separately.</t>
    </r>
  </si>
  <si>
    <r>
      <t>Fixing anchor bolt in position</t>
    </r>
    <r>
      <rPr>
        <sz val="10"/>
        <rFont val="Arial"/>
        <family val="2"/>
      </rPr>
      <t xml:space="preserve"> with nuts, pipe sleaves &amp; Plates with necessary alignment as per drawing, the work shall be complete as per specification and as directed.
Rate includes Template fixing required to fix the bolts.</t>
    </r>
  </si>
  <si>
    <r>
      <t xml:space="preserve">Providing and fixing </t>
    </r>
    <r>
      <rPr>
        <b/>
        <sz val="10"/>
        <rFont val="Arial"/>
        <family val="2"/>
      </rPr>
      <t>One piece 25mm thk granite stone as sills</t>
    </r>
    <r>
      <rPr>
        <sz val="10"/>
        <rFont val="Arial"/>
        <family val="2"/>
      </rPr>
      <t xml:space="preserve"> with both rounded edges below windows/partition etc.</t>
    </r>
  </si>
  <si>
    <t>Safety Bollards</t>
  </si>
  <si>
    <t>Film Barrier Below Grade Slab</t>
  </si>
  <si>
    <r>
      <t xml:space="preserve">Providing and laying film barrier </t>
    </r>
    <r>
      <rPr>
        <b/>
        <sz val="10"/>
        <rFont val="Arial"/>
        <family val="2"/>
      </rPr>
      <t xml:space="preserve">200 gsm "supreme silpaulin" </t>
    </r>
    <r>
      <rPr>
        <sz val="10"/>
        <rFont val="Arial"/>
        <family val="2"/>
      </rPr>
      <t>make</t>
    </r>
    <r>
      <rPr>
        <b/>
        <sz val="10"/>
        <rFont val="Arial"/>
        <family val="2"/>
      </rPr>
      <t xml:space="preserve"> </t>
    </r>
    <r>
      <rPr>
        <sz val="10"/>
        <rFont val="Arial"/>
        <family val="2"/>
      </rPr>
      <t>laid  on sand bedding / rubble soling/ murum laying, including welding of joints, laps, wastage, etc. Complete as directed. (Only as laid area will be measured). There shall be an overlap of 75mm at all junctions.</t>
    </r>
  </si>
  <si>
    <t>P1A</t>
  </si>
  <si>
    <t>office-01</t>
  </si>
  <si>
    <t>Office-01 workers Toilet</t>
  </si>
  <si>
    <t>office-02</t>
  </si>
  <si>
    <t>Office-02 workers Toilet</t>
  </si>
  <si>
    <t>Waffle wall Top Angle</t>
  </si>
  <si>
    <t>P1 - M 36</t>
  </si>
  <si>
    <t>P2 - M 36</t>
  </si>
  <si>
    <t>P4 - M 32</t>
  </si>
  <si>
    <t>P5 - M 32</t>
  </si>
  <si>
    <t>P6 - M 24</t>
  </si>
  <si>
    <r>
      <t>Bolt M-36</t>
    </r>
    <r>
      <rPr>
        <sz val="10"/>
        <rFont val="Arial"/>
        <family val="2"/>
      </rPr>
      <t xml:space="preserve"> of total Length- 1000mm,</t>
    </r>
  </si>
  <si>
    <r>
      <t>Bolt M-32</t>
    </r>
    <r>
      <rPr>
        <sz val="10"/>
        <rFont val="Arial"/>
        <family val="2"/>
      </rPr>
      <t xml:space="preserve"> of total Length- 1000mm, </t>
    </r>
  </si>
  <si>
    <r>
      <t>Bolt M-24</t>
    </r>
    <r>
      <rPr>
        <sz val="10"/>
        <rFont val="Arial"/>
        <family val="2"/>
      </rPr>
      <t xml:space="preserve"> of total Length- 700mm, </t>
    </r>
  </si>
  <si>
    <t>polymer joint sealant</t>
  </si>
  <si>
    <t>Note :-Scope of work under item 2.2.5, requires the contractor to carry out the work within specified tolerancies, rectify the defective concrete, grinding if required to remove the extra lumps from the RCC members, maintain specified levels of RCC members, remove all the shuttering material, nails etc. and hand over the site in a clean , vacant state; re-prop the slabs if they are to support extra loads than the design loads during construction of slabs above it till the time they are subjected to the extra loads. It also requires the contractor to implement health and safety measures to protect the work and human life by barricading the openings, edges, removing hazardous obstacles, providing lighting and signage till the completion of the overall work in his scope.Cementetious content shall be OPC 53 grade+20% approved quality flyash</t>
  </si>
  <si>
    <t>Mezzanine Floor :-</t>
  </si>
  <si>
    <t>For Shaft 1</t>
  </si>
  <si>
    <t>For Shaft 2</t>
  </si>
  <si>
    <t>PHE Work</t>
  </si>
  <si>
    <t>(1+2)</t>
  </si>
  <si>
    <t>Name of the Work :-  Industrial Logistics Park Chakan-I</t>
  </si>
  <si>
    <t>SECTION - 3</t>
  </si>
  <si>
    <t xml:space="preserve">Name of the Work :-   Industrial Logistics Park Chakan-I
</t>
  </si>
  <si>
    <t xml:space="preserve"> Industrial Logistics Park Chakan-I
</t>
  </si>
  <si>
    <t xml:space="preserve">B6 Building  , Measurement sheet, </t>
  </si>
  <si>
    <t>Date: 06.04.2015</t>
  </si>
  <si>
    <t>Date:Date: 07.04.2015</t>
  </si>
  <si>
    <t>Roof plan - MMD-328738-A-DR-B6-GF-4002, Rev-P1</t>
  </si>
  <si>
    <t>Detail Part Plan (X1 to X5) - MMD-328738-A-DR-B6-XX-4003, Rev-P1</t>
  </si>
  <si>
    <t>Elevation Details -  MMD-328738-A-DR-B6-XX-4011, Rev-P1</t>
  </si>
  <si>
    <t>Ground Floor Finishes -  MMD-328738-A-DR-B6-XX-4031, Rev-P1</t>
  </si>
  <si>
    <r>
      <t>Job No. File No</t>
    </r>
    <r>
      <rPr>
        <b/>
        <sz val="9"/>
        <rFont val="Arial"/>
        <family val="2"/>
      </rPr>
      <t xml:space="preserve">   / </t>
    </r>
    <r>
      <rPr>
        <sz val="9"/>
        <rFont val="Arial"/>
        <family val="2"/>
      </rPr>
      <t> </t>
    </r>
    <r>
      <rPr>
        <b/>
        <sz val="9"/>
        <rFont val="Arial"/>
        <family val="2"/>
      </rPr>
      <t> 328738</t>
    </r>
  </si>
  <si>
    <t>Checked by: GK &amp; AC</t>
  </si>
  <si>
    <t>P3 - M 36</t>
  </si>
  <si>
    <t>deduction for workers Toilets &amp; office area</t>
  </si>
  <si>
    <t>B900 -A Office Area</t>
  </si>
  <si>
    <t>B900 -A Workers Toilet Area</t>
  </si>
  <si>
    <t>B900 -B Office Area</t>
  </si>
  <si>
    <t>B900 -B Workers Toilet Area</t>
  </si>
  <si>
    <t>OD2 (Size- 4000mm x 5000mm)</t>
  </si>
  <si>
    <t>Office 6A entry</t>
  </si>
  <si>
    <t>Office 6B entry</t>
  </si>
  <si>
    <t>office B6A</t>
  </si>
  <si>
    <t>office B6B</t>
  </si>
  <si>
    <t>Ofice B6A +B6B</t>
  </si>
  <si>
    <t>1.2.8</t>
  </si>
  <si>
    <t xml:space="preserve">AL. frame glazed openable Window </t>
  </si>
  <si>
    <t xml:space="preserve">size of 1113mm x 1485mm </t>
  </si>
  <si>
    <t>Elevation-1</t>
  </si>
  <si>
    <t>Elevation-2</t>
  </si>
  <si>
    <t>Elevation-3</t>
  </si>
  <si>
    <t>Elevation-4</t>
  </si>
  <si>
    <t>One piece 25mm thk granite stone as sills</t>
  </si>
  <si>
    <t>1.2.9</t>
  </si>
  <si>
    <t>PCC (M15 Grade)</t>
  </si>
  <si>
    <t>Note :-Scope of work under item 1.2.1a, requires the contractor to carry out the work within specified tolerancies, rectify the defective concrete, grinding if required to remove the extra lumps from the RCC members, maintain specified levels of RCC members, remove all the shuttering material, nails etc. and hand over the site in a clean , vacant state; re-prop the slabs if they are to support extra loads than the design loads during construction of slabs above it till the time they are subjected to the extra loads. It also requires the contractor to implement health and safety measures to protect the work and human life by barricading the openings, edges, removing hazardous obstacles, providing lighting and signage till the completion of the overall work in his scope.Cementetious content shall be OPC 43 grade+20% approved quality flyash</t>
  </si>
  <si>
    <r>
      <t xml:space="preserve">Providing &amp; laying in position machine mixed and machine vibrated </t>
    </r>
    <r>
      <rPr>
        <b/>
        <sz val="10"/>
        <rFont val="Arial"/>
        <family val="2"/>
      </rPr>
      <t xml:space="preserve">M15 grade controlled cement concrete </t>
    </r>
    <r>
      <rPr>
        <sz val="10"/>
        <rFont val="Arial"/>
        <family val="2"/>
      </rPr>
      <t>in all locations, at all levels, of any shape and size  as per  drawings, conforming to IS 456-2000; rate to include mix design, production, pouring concrete with pump, vibrating, finishing, curing, testing complete as per specifications, drawings and instructions. Rate to also include rectification and repairing of defects as per specifications and instructions as directed. Cementetious content shall be OPC 53 grade+15 to 20% approved quality flyash ( Basic Price of Cement - Rs. 280 / Bag )</t>
    </r>
  </si>
  <si>
    <t>Note :-Scope of work under item 1.1.4b, requires the contractor to carry out the work within specified tolerancies, rectify the defective concrete, grinding if required to remove the extra lumps from the RCC members, maintain specified levels of RCC members, deshuttering the formwork, remove all the shuttering material, nails etc. and hand over the site in a clean , vacant state; re-prop the slabs if they are to support extra loads than the design loads during construction of slabs above it till the time they are subjected to the extra loads. It also requires the contractor to implement health and safety measures to protect the work and human life by barricading the openings, edges, removing hazardous obstacles, providing lighting and signage till the completion of the overall work in his scope.Cementetious content shall be OPC 53 grade+15 to 20% approved quality flyash</t>
  </si>
  <si>
    <t>PCC Work</t>
  </si>
  <si>
    <t>For PCC Work:</t>
  </si>
  <si>
    <t>Rolling Shutter Frame Work</t>
  </si>
  <si>
    <t>1.2.10</t>
  </si>
  <si>
    <r>
      <t>Providing &amp; fixing Bollard post with Crown, 150mm dia. M.S. hollow pipe, 5mm thk with two coats of synthetic enamel paint, Height 1219mm above finished ground level and 1330 mm below finished groung level. Entire height filled with M15 grade concrete, 12mm dia. bars welded to MS pipe in lower 450mm height @ 45</t>
    </r>
    <r>
      <rPr>
        <vertAlign val="superscript"/>
        <sz val="10"/>
        <rFont val="Arial"/>
        <family val="2"/>
      </rPr>
      <t>0</t>
    </r>
    <r>
      <rPr>
        <sz val="10"/>
        <rFont val="Arial"/>
        <family val="2"/>
      </rPr>
      <t xml:space="preserve"> angle as shown in drawing. Height below finished ground Level to be encased in concrete (Grade M20) column of 350mm x 350mm below grade slabe.
All work to be as per technical specifications, drawings and  as directed.</t>
    </r>
  </si>
  <si>
    <t>1.3.3</t>
  </si>
  <si>
    <t>1.3.4</t>
  </si>
  <si>
    <t>Structural Steel</t>
  </si>
  <si>
    <t>for Structural Glazing Frame work</t>
  </si>
  <si>
    <t>Hollow mild steel sections - 100mmx50mmx3.25mm</t>
  </si>
  <si>
    <t>Total in MT</t>
  </si>
  <si>
    <t>Ofice 6A +6B</t>
  </si>
  <si>
    <r>
      <t xml:space="preserve">Providing in position machine mixed and machine vibrated </t>
    </r>
    <r>
      <rPr>
        <b/>
        <sz val="10"/>
        <rFont val="Arial"/>
        <family val="2"/>
      </rPr>
      <t xml:space="preserve">M35 Grade controlled cement concrete </t>
    </r>
    <r>
      <rPr>
        <sz val="10"/>
        <rFont val="Arial"/>
        <family val="2"/>
      </rPr>
      <t>by maintaining 30</t>
    </r>
    <r>
      <rPr>
        <vertAlign val="superscript"/>
        <sz val="10"/>
        <rFont val="Arial"/>
        <family val="2"/>
      </rPr>
      <t>0</t>
    </r>
    <r>
      <rPr>
        <sz val="10"/>
        <rFont val="Arial"/>
        <family val="2"/>
      </rPr>
      <t>c temperature for Reinforced cement concrete structural elements, of any shape and size as per structural design and as directed conforming to IS 456-2000 including mix design of concrete, using of double washed coarse sand. Producing concrete using batching plant &amp; pouring of concrete by pump, necessary lift and lead, finishing  of concrete surfaces, curing etc. complete but excluding centring / shuttering and reinforcement as per specifications.
( Basic Price of Cement - Rs. 280 / Bag )</t>
    </r>
  </si>
  <si>
    <t>WMM :</t>
  </si>
  <si>
    <r>
      <t xml:space="preserve">Providing and laying </t>
    </r>
    <r>
      <rPr>
        <b/>
        <sz val="10"/>
        <rFont val="Arial"/>
        <family val="2"/>
      </rPr>
      <t>Wet Mix Macadam (WMM)</t>
    </r>
    <r>
      <rPr>
        <sz val="10"/>
        <rFont val="Arial"/>
        <family val="2"/>
      </rPr>
      <t xml:space="preserve"> </t>
    </r>
    <r>
      <rPr>
        <b/>
        <sz val="10"/>
        <rFont val="Arial"/>
        <family val="2"/>
      </rPr>
      <t xml:space="preserve">of 50mm </t>
    </r>
    <r>
      <rPr>
        <sz val="10"/>
        <rFont val="Arial"/>
        <family val="2"/>
      </rPr>
      <t>compacted thickness including premixing in pug mill/plant well  graded crushed stone aggregate  with watering and  spreading by mechanical means to required profile  and  compacting with mechnical plate compactor, tolerance limit +/- 0.10 mm with referance to specified folling level, including all material, labour, machinery  with all leads and  lifts  etc. complete. (Clause 406 of MORTH)</t>
    </r>
  </si>
  <si>
    <t xml:space="preserve">Laying of FM2 Floor with Preapproved Sub-Contractor, the cost includes the following sequence of works.  i) Provide, Install, level and dismantle guard rail (level form) and edgeform. ii) Install 12mm closed-cell polystyrene isolation joints around columns and boundaries of walls and seal top of joint to 10mm deep. iii) Install  dowel bars with PVC sleeves at construction joints or Diamond dowels as specified. iv) Laying /Casting of  175 to 200 mm thick concrete as per final design, compact and level using vibrator beam (truss screed). Lessor screed for large panel casting v) Carry out flatness control by using saw-beam, bump-cutter and check-rod,etc. vi) Power Float with Walk-behind power float machine and finish surface with Ride-on Trowel. vii) Saturate concrete surface with water and curing of concrete as required. viii) Saw cut control joints / construction joints to 1/3 slab thickness @ not more than 6m width and seal joints with providing &amp; laying of cementitious polymer joint sealant "SEAL -N-FLEX FC" Bostik make (Gray Colour) or equivalent approved make, as per standard preapproved application process. ix) Measure FF/FL by using Dipstick in accordance with ASTM E1155 and submit  reports. ( Note :  Providing site facilities like water supply ,electricity, labour camp for labours etc. in the scope of main contractor.
( Basic Price of FM2 floor grade slab - Rs. 300 / Sqm )      </t>
  </si>
  <si>
    <t>Note :-Scope of work under item 1.4.1, requires the contractor to carry out the work within specified tolerancies, rectify the defective concrete, grinding if required to remove the extra lumps from the RCC members, maintain specified levels of RCC members, remove all the shuttering material, nails etc. and hand over the site in a clean , vacant state; re-prop the slabs if they are to support extra loads than the design loads during construction of slabs above it till the time they are subjected to the extra loads. It also requires the contractor to implement health and safety measures to protect the work and human life by barricading the openings, edges, removing hazardous obstacles, providing lighting and signage till the completion of the overall work in his scope.Cementetious content shall be OPC 43 grade.</t>
  </si>
  <si>
    <t>Supply of curing compound masterkure 181 at consumption rate of 4 lit/sqm</t>
  </si>
  <si>
    <t>Supply  of Diamond Dowel (6mm thick ) of approved make &amp; specs. (Basic Rate per piece delievered at site excluding tax should be considered as Rs145/- per piece) (Fixing /Installation in scope of Nominated/approved sub contractor)</t>
  </si>
  <si>
    <t>Providing &amp; Applying of  Master TOP 100 Brand-BASF Hardener as per specifications (Application in scope of nominated/aprroved sub contractor) (Application at the rate of 3.5 kg per sqmt)</t>
  </si>
  <si>
    <t>Supply of Closed Cell PE FOAM  of required thickness of P.E. Foam as per specifications ,approved drawing (Application/Fixing in scope of nominated subcontractor)</t>
  </si>
  <si>
    <t>Gear Operated Rolling Shutter</t>
  </si>
  <si>
    <t>For Toilet Area-Shaft</t>
  </si>
  <si>
    <t>Deck slab partation wall 1.0M Height</t>
  </si>
  <si>
    <t>1.2.11</t>
  </si>
  <si>
    <t>1.2.12</t>
  </si>
  <si>
    <t>Plinth Beam (Hidden Side)</t>
  </si>
  <si>
    <t>Deduct for Façade work</t>
  </si>
  <si>
    <t>Building B6A, Office Toilet: -</t>
  </si>
  <si>
    <t>Building B6A: -</t>
  </si>
  <si>
    <t>Ground Floor plan - MMD-328738-A-DR-B6-GF-4001, Rev-01</t>
  </si>
  <si>
    <t>Section Details -  MMD-328738-A-DR-B6-XX-4021, Rev-01</t>
  </si>
  <si>
    <t>selected approved excavated earth available on site</t>
  </si>
  <si>
    <t>approved excavated earth brought from outside</t>
  </si>
  <si>
    <t>Tital</t>
  </si>
  <si>
    <t xml:space="preserve">Industrial Logistics Park Chakan-I, Pune
</t>
  </si>
  <si>
    <r>
      <t>Job No. File No</t>
    </r>
    <r>
      <rPr>
        <b/>
        <sz val="9"/>
        <rFont val="Arial"/>
        <family val="2"/>
      </rPr>
      <t xml:space="preserve">   / </t>
    </r>
    <r>
      <rPr>
        <sz val="9"/>
        <rFont val="Arial"/>
        <family val="2"/>
      </rPr>
      <t> </t>
    </r>
    <r>
      <rPr>
        <b/>
        <sz val="9"/>
        <rFont val="Arial"/>
        <family val="2"/>
      </rPr>
      <t> 329777</t>
    </r>
  </si>
  <si>
    <t xml:space="preserve">Building- B-8A (Leoni Expansion) , Measurement sheet, </t>
  </si>
  <si>
    <t>Calculated by:NC</t>
  </si>
  <si>
    <t>Date: 11.05.2016</t>
  </si>
  <si>
    <t>Checked by: NKS</t>
  </si>
  <si>
    <t>Date:Date: 11.05.2016</t>
  </si>
  <si>
    <t>Ground Floor plan - MMD-328738-A-DR-B8A-XX-7001, Rev-P2</t>
  </si>
  <si>
    <t>Roof plan - MMD-328738-A-DR-B8A-XX-7001, Rev-P2</t>
  </si>
  <si>
    <t>Section &amp; Elevation - MMD-328738-A-DR-B8A-XX-7011, Rev-P2</t>
  </si>
  <si>
    <t>Filling in Toilet block</t>
  </si>
  <si>
    <t xml:space="preserve">Local Coarse sand </t>
  </si>
  <si>
    <t>Rubble Soling</t>
  </si>
  <si>
    <t>Carting away outside Earth</t>
  </si>
  <si>
    <t>M25 Grade cement concrete</t>
  </si>
  <si>
    <t>Diduction for Column</t>
  </si>
  <si>
    <t>column in masonry wall</t>
  </si>
  <si>
    <t>C5</t>
  </si>
  <si>
    <t>On Plinth Beam peryphery</t>
  </si>
  <si>
    <t>Expansicve Bituminous Sealant</t>
  </si>
  <si>
    <t>P1 - M 25</t>
  </si>
  <si>
    <t>P2 - M 28</t>
  </si>
  <si>
    <t>P3 - M 16</t>
  </si>
  <si>
    <t>P4 - M 16</t>
  </si>
  <si>
    <r>
      <t>Bolt M-25</t>
    </r>
    <r>
      <rPr>
        <sz val="10"/>
        <rFont val="Arial"/>
        <family val="2"/>
      </rPr>
      <t xml:space="preserve"> of total Length- 1000mm, with Nuts &amp; 50x50x8mm thk plate</t>
    </r>
  </si>
  <si>
    <r>
      <t>Bolt M-28</t>
    </r>
    <r>
      <rPr>
        <sz val="10"/>
        <rFont val="Arial"/>
        <family val="2"/>
      </rPr>
      <t xml:space="preserve"> of total Length- 1000mm, with Nuts &amp; 75x75x12mm thk plate</t>
    </r>
  </si>
  <si>
    <r>
      <t>Bolt M-16</t>
    </r>
    <r>
      <rPr>
        <sz val="10"/>
        <rFont val="Arial"/>
        <family val="2"/>
      </rPr>
      <t xml:space="preserve"> of total Length- 800mm, with Nuts &amp; 50x50x8mm thk plate</t>
    </r>
  </si>
  <si>
    <t xml:space="preserve">Brick batcoba waterproofing treatment </t>
  </si>
  <si>
    <t>Under warehouse Area</t>
  </si>
  <si>
    <t>Under Office Building</t>
  </si>
  <si>
    <t>Mezzanine Floor</t>
  </si>
  <si>
    <t xml:space="preserve">Total </t>
  </si>
  <si>
    <t xml:space="preserve"> Size- 1859 mm x 3645 mm</t>
  </si>
  <si>
    <t>Sill Lvl , Size- 2425 mm x 920 mm</t>
  </si>
  <si>
    <t>Diduction for Office Brickwork</t>
  </si>
  <si>
    <t>Diduction for Office Curtain wall</t>
  </si>
  <si>
    <t>Diduction for Sectional Overhead Door</t>
  </si>
  <si>
    <t>Ground Floor (peryphery of warehouse)</t>
  </si>
  <si>
    <t>deduction for window</t>
  </si>
  <si>
    <t>deduction for door</t>
  </si>
  <si>
    <t>Toilet Block external wall</t>
  </si>
  <si>
    <t>Toilet Block internal wall</t>
  </si>
  <si>
    <t>115 Thk Walls</t>
  </si>
  <si>
    <t>Male Toilet wash basin wall</t>
  </si>
  <si>
    <t>230mm thk Dry wall Partition</t>
  </si>
  <si>
    <t>115mm thk Dry wall Partition</t>
  </si>
  <si>
    <t>Warehouse Peryphery wall</t>
  </si>
  <si>
    <t>Toilet Block</t>
  </si>
  <si>
    <t xml:space="preserve">External Plaster </t>
  </si>
  <si>
    <t>Ceiling</t>
  </si>
  <si>
    <t>Over Internal Plaster on walls</t>
  </si>
  <si>
    <t>Over Masonry wall on exterior side</t>
  </si>
  <si>
    <t>Ground floor &amp; Mezzanine</t>
  </si>
  <si>
    <t>Polished Granite for Kitchen / Pantry / wash basins counters</t>
  </si>
  <si>
    <t>Office Building</t>
  </si>
  <si>
    <t>Ladies Toilet</t>
  </si>
  <si>
    <t>Guest Toilet</t>
  </si>
  <si>
    <t>Mezzane Floor</t>
  </si>
  <si>
    <t>Hand wash</t>
  </si>
  <si>
    <t>B8A De1(Size- 1000mm x 2400mm)</t>
  </si>
  <si>
    <t>B2.Di1(Size- 1000mm x 2100mm)</t>
  </si>
  <si>
    <t>In Toilet Block (Size- 750mm x 2100mm)</t>
  </si>
  <si>
    <t>B2.Di2 (Size- 750mm x 2100mm)</t>
  </si>
  <si>
    <t>B2.Di4 (Size- 750mm x 1900mm)</t>
  </si>
  <si>
    <t>AL. frame glazed Window</t>
  </si>
  <si>
    <t xml:space="preserve"> size of 2700mm x 2150mm </t>
  </si>
  <si>
    <t>on Warehouse peryphery wall</t>
  </si>
  <si>
    <t>B8A W1</t>
  </si>
  <si>
    <t>B8A W2</t>
  </si>
  <si>
    <t>DR1(Size- 4000mm x 4500mm)</t>
  </si>
  <si>
    <t>RS (Size- 2400mm x 3000mm)</t>
  </si>
  <si>
    <t>Demolision Work</t>
  </si>
  <si>
    <t>Demolishing masonry Work</t>
  </si>
  <si>
    <t>Excavation (up to 1.5m)</t>
  </si>
  <si>
    <t>Foting</t>
  </si>
  <si>
    <t>Antitermite</t>
  </si>
  <si>
    <t>LDPE Film Barrier Below Grade Slab</t>
  </si>
  <si>
    <t xml:space="preserve">RCC </t>
  </si>
  <si>
    <t>pedistal/ column</t>
  </si>
  <si>
    <t>Beam</t>
  </si>
  <si>
    <t>Roof Floor</t>
  </si>
  <si>
    <t>Office</t>
  </si>
  <si>
    <t>diduction for staircase</t>
  </si>
  <si>
    <t>warehouse Toilet</t>
  </si>
  <si>
    <t>Staircase</t>
  </si>
  <si>
    <t>Steps</t>
  </si>
  <si>
    <t>Landing</t>
  </si>
  <si>
    <t>Shuttering</t>
  </si>
  <si>
    <t>pedistal / column</t>
  </si>
  <si>
    <t>Granite steps</t>
  </si>
  <si>
    <t>S.S.Railing</t>
  </si>
  <si>
    <t>Glass Door</t>
  </si>
  <si>
    <t>Size- of 1000mm X 800 mm</t>
  </si>
  <si>
    <t>Size- of 1900mm X 800 mm</t>
  </si>
  <si>
    <t>Size- of 2300mm X 800 mm</t>
  </si>
  <si>
    <t>Size- of 2500mm X 800 mm</t>
  </si>
  <si>
    <t>Size- of 2600mm X 800 mm</t>
  </si>
  <si>
    <t>Size- of 3500mm X 800 mm</t>
  </si>
  <si>
    <t xml:space="preserve">Female Toilet </t>
  </si>
  <si>
    <t xml:space="preserve">male Toilet </t>
  </si>
  <si>
    <t xml:space="preserve">Toilet block Ceiling </t>
  </si>
  <si>
    <t xml:space="preserve">B8A-W1- size of 2700mm x 2150mm </t>
  </si>
  <si>
    <t>Brick masonry Wall</t>
  </si>
  <si>
    <t>Warehouse peryphery</t>
  </si>
  <si>
    <t>Building B-8A - Toilet Block : -</t>
  </si>
  <si>
    <t>Extrnal Wall</t>
  </si>
  <si>
    <t xml:space="preserve">Opening </t>
  </si>
  <si>
    <t xml:space="preserve">Internal Walls </t>
  </si>
  <si>
    <t>Building B-8A - Toilet block : -</t>
  </si>
  <si>
    <t>External wall</t>
  </si>
  <si>
    <t>In Toilet Block</t>
  </si>
  <si>
    <t>Tie Beams ware house peryphery</t>
  </si>
  <si>
    <t>Tie Beam Toilet Block</t>
  </si>
  <si>
    <t>Tie beams</t>
  </si>
  <si>
    <t xml:space="preserve">Tie Beams </t>
  </si>
  <si>
    <t xml:space="preserve">For Shaft </t>
  </si>
  <si>
    <t>i)</t>
  </si>
  <si>
    <t>B8A Building</t>
  </si>
  <si>
    <t>Building - B-8A Building :- B.U.A.= 43,390.00 Sqft or 4033.00  Sqm</t>
  </si>
  <si>
    <t>sq. ft</t>
  </si>
  <si>
    <t>sq. m</t>
  </si>
  <si>
    <r>
      <t xml:space="preserve">Providing and constructing </t>
    </r>
    <r>
      <rPr>
        <b/>
        <sz val="10"/>
        <rFont val="Arial"/>
        <family val="2"/>
      </rPr>
      <t xml:space="preserve">230mm thich brick masonry wall  in cement mortar 1:6 </t>
    </r>
    <r>
      <rPr>
        <sz val="10"/>
        <rFont val="Arial"/>
        <family val="2"/>
      </rPr>
      <t xml:space="preserve">(1part Cement : 6 parts coarse sand) at all levels &amp; locations with all leads and lifts, with approved quality bricks of strength of minimum 35 Kg / Sq cm in walls, piers and architectural features, complete as per drawings, technical specifications and as directed. Rate to also include cost of surface preparation, scaffolding, curing, raking out joints, wastage, cleaning, removing debris etc. </t>
    </r>
  </si>
  <si>
    <r>
      <t xml:space="preserve">Providing and constructing </t>
    </r>
    <r>
      <rPr>
        <b/>
        <sz val="10"/>
        <rFont val="Arial"/>
        <family val="2"/>
      </rPr>
      <t xml:space="preserve">115mm thich brick masonry wall  in cement mortar 1:6 </t>
    </r>
    <r>
      <rPr>
        <sz val="10"/>
        <rFont val="Arial"/>
        <family val="2"/>
      </rPr>
      <t xml:space="preserve">(1part Cement : 6 parts coarse sand) at all levels &amp; locations with all leads and lifts, with approved quality bricks  of strength of minimum35Kg / Sq cm in walls, piers and architectural features, complete as per drawings, technical specifications and as directed. Rate to also include cost of surface preparation, scaffolding, curing, raking out joints, wastage, cleaning, removing debris etc. </t>
    </r>
  </si>
  <si>
    <r>
      <t xml:space="preserve">Providing 20mm thick </t>
    </r>
    <r>
      <rPr>
        <b/>
        <sz val="10"/>
        <rFont val="Arial"/>
        <family val="2"/>
      </rPr>
      <t>sand faced plaster</t>
    </r>
    <r>
      <rPr>
        <sz val="10"/>
        <rFont val="Arial"/>
        <family val="2"/>
      </rPr>
      <t xml:space="preserve"> externally in cement mortar using of sand, in all positions including base coat of 12mm thick in C.M. 1:4, curing the same for not less than 3 days and keeping the surface of the base coat rough to receive the sand faced treatment 8 mm thick in C.M. 1:2, finishing the surface by taking out grains with wooden Gutka, and curing for fourteen days, The rate is inclusive of forming of drip moulds, pattas, architectural grooves 10mm wide as directed. Cost to include supplying and fixing hexagonal chicken wire mesh 26 G 15mm square with a zinc coating of 120 gms / Sqm of approved make at the Column corners, wall corners, wall edges, with Galvanised nails etc., wherever called for required size. and cost of necessary scaffolding, staging, curing, leads and lifts etc.</t>
    </r>
  </si>
  <si>
    <t>iii)</t>
  </si>
  <si>
    <t>Columns</t>
  </si>
  <si>
    <t>III</t>
  </si>
  <si>
    <t xml:space="preserve">deduction for Door </t>
  </si>
  <si>
    <t>1.2.13</t>
  </si>
  <si>
    <t>Demolision of brickwork</t>
  </si>
  <si>
    <t>QRO</t>
  </si>
  <si>
    <t>Demolition of  brick Work</t>
  </si>
  <si>
    <r>
      <t>Providing &amp; laying to pattern,</t>
    </r>
    <r>
      <rPr>
        <b/>
        <sz val="10"/>
        <rFont val="Arial"/>
        <family val="2"/>
      </rPr>
      <t xml:space="preserve"> homogeneous Ceramic tile</t>
    </r>
    <r>
      <rPr>
        <sz val="10"/>
        <rFont val="Arial"/>
        <family val="2"/>
      </rPr>
      <t xml:space="preserve"> for dado for toilets of approved size  300x600mm of 10mm thickness approved make conforming to IS 15753. Height of the tile fixing should be just above the door height. Including 12mm thick back coat plaster in CM 1:3, providing groove up to 3mm wide and joints shall be pointed with the matching cement based polymer grout by approved make, for tile fixing applying neat cement paste about 3 kg / Sqm. The rate shall be inclusive of centre point fittings i.e. extra labour, material etc. to be considered so as to get outlet of plumbing / sanitary fittings at the junction of  four tiles or centre of  tile including cleaning etc. as tabulated in the finishes schedule.
( Basic Price of Tiles - Rs. 400 / Sqm ) </t>
    </r>
  </si>
  <si>
    <r>
      <t xml:space="preserve">Providing and fixing </t>
    </r>
    <r>
      <rPr>
        <b/>
        <sz val="10"/>
        <rFont val="Arial"/>
        <family val="2"/>
      </rPr>
      <t xml:space="preserve">Gypsum False Ceiling </t>
    </r>
    <r>
      <rPr>
        <sz val="10"/>
        <rFont val="Arial"/>
        <family val="2"/>
      </rPr>
      <t xml:space="preserve">of </t>
    </r>
    <r>
      <rPr>
        <b/>
        <sz val="10"/>
        <rFont val="Arial"/>
        <family val="2"/>
      </rPr>
      <t>approved make</t>
    </r>
    <r>
      <rPr>
        <sz val="10"/>
        <rFont val="Arial"/>
        <family val="2"/>
      </rPr>
      <t xml:space="preserve"> which includes G.I. Perimeter Channels of size 0.55 mm thick ( having One Flange of 20 mm. and another flange of 30 mm and a web of 27 mm ) along with perimeter of ceiling, screw fixed to brick wall / partition with the help of Nylon sleeves and screws at 610 mm centres. Then suspending G.I. intermediate channels of size 45 mm ( 0.9 mm thick with 2 flanges of 15 mm each )  from the soffit at 1220 mm centres with ceiling angle of width 25 mm X 10 mm X 0.55 mm thick fixed to soffit with G.I. cleat and steel expansion fasteners. Ceiling section of 0.55 mm thick having knurled web of 51.5 mm and 2  flanges of 26 mm each with lips of 10.5 mm are then fixed to the intermediate channel with the help of connecting clips and in direction perpendicular to the intermediate channel at 450 mm centres. All steel sections shall be marked with </t>
    </r>
  </si>
  <si>
    <t xml:space="preserve">12.5 mm tapered edge Gypboard (conforming to IS 2095-1982) is then screw fixed to ceiling section with 25 mm dry wall Philips screws at 230 mm centers. Screw fixing is done mechanically  with drilling machine with suitable attachment. Finally  tapered edges of the Gyp boards are to be jointed and finished so as to have a flush look which includes filling and finishing with jointing compound, paper tape etc. complete as per the recommended practices. Rate to be included all kinds of  profiles and cut outs required for light fixtures, Speakers, Smoke detector, trap doors and AC grill in the ceiling, 2 or 3 codes of approved shade, colour painting as specified in schedule of finishes. </t>
  </si>
  <si>
    <t>Flush fitting 1200 mm long cross tees to be interlocked between main runners at 600 mm centers to form 1200 mm x 600 mm modules. Cut cross tees longer than 600 mm require independent support. 600 mm x 600 mm modules to be formed by fitting 600 mm long flush fitting cross tees centrally between the 1200 mm cross tees. Perimeter trim to be (Turlock or approved equivalent) 15 mm exposed trim, with manufacturer specific sized wall angle of approved colour, secured to walls at 450 mm maximum centers.</t>
  </si>
  <si>
    <t>All necessary and required support for hanging Ceiling shall be inclusive in the rates, the supports shall be as follows - Providing and fixing GI studs frame work of size : 50 mm X 25 mm thk as per grid / design, supported with 50mm - 100mm dia SS Pipes/4mmDia SS Wires or (as approved by architect) from ceiling, with Alan key arrangement. All hardware, fixtures, etc. shall be considered while quoting.</t>
  </si>
  <si>
    <t>Providing and applying 12 mm thick cement plaster on all internal masonry walls and RCC columns  at all levels with all leads and lifts in cement mortar 1:4 (1 part cement : 4 parts natural sand), finished smooth, with lime rendering, complete as per drawings, technical specifications and instructions. Rate to include all costs of surface preparation, staging, scaffolding, curing, supplying and fixing hexagonal chicken wire mesh 26 G, 15 sq mm, with a zinc coating of 120 gms / sq m of approved make at all edges, joints &amp; corners with galvanised nails etc</t>
  </si>
  <si>
    <r>
      <t xml:space="preserve">Supply and apply with Approved make two coats of Premium </t>
    </r>
    <r>
      <rPr>
        <b/>
        <sz val="10"/>
        <rFont val="Arial"/>
        <family val="2"/>
      </rPr>
      <t>acrylic exterior emulsion</t>
    </r>
    <r>
      <rPr>
        <sz val="10"/>
        <rFont val="Arial"/>
        <family val="2"/>
      </rPr>
      <t xml:space="preserve"> paint with base coat of primer  in approved consistency, uniform shade to be applied in accordance with manufacture's specifications and to the satisfaction, for exterior surfaces, including cost and conveyance of all materials, labour, scaffolding, cleaning and clearing the area etc., complete as directed.</t>
    </r>
  </si>
  <si>
    <t xml:space="preserve">Floor Finishes </t>
  </si>
  <si>
    <r>
      <t xml:space="preserve">Providing and laying </t>
    </r>
    <r>
      <rPr>
        <b/>
        <sz val="10"/>
        <rFont val="Arial"/>
        <family val="2"/>
      </rPr>
      <t>Anti skid ceramic tile</t>
    </r>
    <r>
      <rPr>
        <sz val="10"/>
        <rFont val="Arial"/>
        <family val="2"/>
      </rPr>
      <t xml:space="preserve"> for worker's toilet of size 300mmx 300mm  of 10 to 12 mm thickness, approved shade and make over minimum 20mm thick cement mortar bed of 1:4 to make up required finished floor level and joints pointing with matching cement based polymer grout recommended by approved make inclusive of acid wash and complete. 
( Basic Price of Tiles - Rs. 400 / Sqm ) </t>
    </r>
  </si>
  <si>
    <r>
      <t xml:space="preserve">Providing &amp; applying </t>
    </r>
    <r>
      <rPr>
        <b/>
        <sz val="10"/>
        <rFont val="Arial"/>
        <family val="2"/>
      </rPr>
      <t>Plastic Emulsion Paint</t>
    </r>
    <r>
      <rPr>
        <sz val="10"/>
        <rFont val="Arial"/>
        <family val="2"/>
      </rPr>
      <t xml:space="preserve"> 90-100 microns, premium quality of approved make and shade, Low VOC, water based, including scaffolding at all levels surface preparation uniformity &amp; smoothness, primer &amp; application of Acrylic based white putty in two coats over cement plastered walls, RCC columns etc. to achieve even &amp; smooth surface. Paint shall be antifungal &amp; bacterial resistant etc. complete and including, providing plastic to cover floor, cleaning of floors, door window frames, covings etc. including scaffolding, surface preparation, sand papering, primer etc., to get uniform levelled surface.</t>
    </r>
  </si>
  <si>
    <t>Flush Door in TW Frame without  Vision Panel</t>
  </si>
  <si>
    <t>Windows</t>
  </si>
  <si>
    <t>MODULAR FALSE CEILING</t>
  </si>
  <si>
    <t xml:space="preserve">Grid Ceiling ( 2' X 2' ) Noise reduction Co-efficient 0.9 </t>
  </si>
  <si>
    <t>Providing and fixing Mineral Fibre Board modular Ceiling of approved  make as approved Mineral textured tiles, pattern of size 600 mm X 600 mm with Slim Grid of 19 mm thk  having  Noise reduction Co-efficient 0.9,  light reflection over 75%, Relative Humidity 95%, Suspension system of Silhouette reveal profile grid system with 15 mm wide flanges incorporating a 3 or 6 mm central recess of colour all white or all black or white with black as directed, Silhouette main runners and cross tees to have mitred ends and "birds mouth" notches to provide mitred cruciform junction, fixed to the structural soffit by Butterfly clip hangers suspension wires &amp; anchor fasteners as per the manufacturer's specification, Suspension wires to be provided at every 600 mm c/c with two nos of ties on each anchor fastener, Perimeter trim of Trulok wall angle in white colour secured to wall at 450 mm maximum centres.</t>
  </si>
  <si>
    <t>False ceiling</t>
  </si>
  <si>
    <t>1.3.5</t>
  </si>
  <si>
    <t>1.3.6</t>
  </si>
  <si>
    <t>1.3.7</t>
  </si>
  <si>
    <t>1.3.8</t>
  </si>
  <si>
    <t>1.3..9</t>
  </si>
  <si>
    <t>1.3.10</t>
  </si>
  <si>
    <t>1.3.11</t>
  </si>
  <si>
    <t>Water Proofing</t>
  </si>
  <si>
    <r>
      <t xml:space="preserve">Providing and applying </t>
    </r>
    <r>
      <rPr>
        <b/>
        <sz val="10"/>
        <rFont val="Arial"/>
        <family val="2"/>
      </rPr>
      <t xml:space="preserve">chemical waterproofing treatment </t>
    </r>
    <r>
      <rPr>
        <sz val="10"/>
        <rFont val="Arial"/>
        <family val="2"/>
      </rPr>
      <t>by using high performance elastomeric cementitious waterproofing system of approved make and as per manufacturer’s specifications. Rate to include cleaning of concrete surfaces, pressure grouting by drilling holes in the concrete surface, coving the junctions of horizontal and vertical surfaces with approved polymer modified 1:3 cement mortar with specified dosages, sealing all the grout holes with non-shrink free flow cementitious concrete and then applying two coats of two components acrylic modified / polymer modified flexible waterproof coating of approved make at a specific mix ratio and at specified intervals as per manufacturers recommendations and providing requisite thickness of screed for horizontal surface and plaster. for vertical surface (Screed measured separately).</t>
    </r>
  </si>
  <si>
    <t>For Toilets</t>
  </si>
  <si>
    <t>BrickBat Coba Water Proofing- Sanitary Blocks</t>
  </si>
  <si>
    <r>
      <t xml:space="preserve">Providing water proofing treatment to floors and </t>
    </r>
    <r>
      <rPr>
        <b/>
        <sz val="10"/>
        <rFont val="Arial"/>
        <family val="2"/>
      </rPr>
      <t>sanitary blocks (India water proofing or alike)</t>
    </r>
    <r>
      <rPr>
        <sz val="10"/>
        <rFont val="Arial"/>
        <family val="2"/>
      </rPr>
      <t xml:space="preserve"> consisting of one layer of B.B.coba of 5cm to 7.5cm thick in cement mortar 1:2 sandwiched between two layer of cement mortar1:4, 20mm thick mixed with approved water proofing compound, top finishing coat of cement slurry 6 to 12mm thick with water proofing compound etc. complete with 32mm dia. PVC pressure relief pipe of adequate length including waterproofing treatment to 30cm height of wall in cement mortar 1:4 and covering 7 year guarantee on court fee stamp of Rs.100 with pounding tests including all lead, lift etc.complete.</t>
    </r>
  </si>
  <si>
    <t>Brickbat coba water proofing</t>
  </si>
  <si>
    <t xml:space="preserve"> water proofing-Sanitary blocks </t>
  </si>
  <si>
    <t>1.2.14</t>
  </si>
  <si>
    <t>Providing &amp; fixing Flush Door in TW Frame without Vision Panel with T.W. Frame , Laminate on both sides, Di2, of size 600mm x 2200mm Single leaf as per Door, window schedule &amp; Elevations of approved make including ironmongery etc.</t>
  </si>
  <si>
    <t>Providing &amp; fixing Flush Door in TW Frame without Vision Panel with T.W. Frame , Laminate on both sides, Di1, of size 750mm x 2200mm Single leaf as per Door, window schedule &amp; Elevations of approved make including ironmongery etc.</t>
  </si>
  <si>
    <t>Providing &amp; fixing powder coated Aluminium frame and powder coated alum. fixed Louvered Window of size 600mm x 900mm as per Door, window schedule &amp; Elevations of approved make including ironmongeries etc.(I.S. 6248 - 1979) etc.</t>
  </si>
  <si>
    <t>Providing &amp; fixing powder coated Aluminium frame glazed sliding window with bottom fixed louvered panel having 12mm thk glass of size 2700mm x 2150mm as per Door, window schedule &amp; Elevations of approved make including ironmongeries etc.(I.S. 6248 - 1979) etc.</t>
  </si>
  <si>
    <t xml:space="preserve">Providing &amp; fixing powder coated Aluminium frame and powder coated alum. fixed Louvered window of size of 2700mm x 2150mm as per Door, window schedule &amp; Elevations of approved make </t>
  </si>
  <si>
    <r>
      <t>Providing &amp; laying Thermo-mechanically Treate</t>
    </r>
    <r>
      <rPr>
        <b/>
        <sz val="10"/>
        <rFont val="Arial"/>
        <family val="2"/>
      </rPr>
      <t xml:space="preserve">d </t>
    </r>
    <r>
      <rPr>
        <sz val="10"/>
        <rFont val="Arial"/>
        <family val="2"/>
      </rPr>
      <t>(TMT</t>
    </r>
    <r>
      <rPr>
        <b/>
        <sz val="10"/>
        <rFont val="Arial"/>
        <family val="2"/>
      </rPr>
      <t xml:space="preserve">) </t>
    </r>
    <r>
      <rPr>
        <sz val="10"/>
        <rFont val="Arial"/>
        <family val="2"/>
      </rPr>
      <t>bars ( Fe 500 D</t>
    </r>
    <r>
      <rPr>
        <b/>
        <sz val="10"/>
        <rFont val="Arial"/>
        <family val="2"/>
      </rPr>
      <t xml:space="preserve">) </t>
    </r>
    <r>
      <rPr>
        <sz val="10"/>
        <rFont val="Arial"/>
        <family val="2"/>
      </rPr>
      <t>of approved quality of different diameters,lengths and shapes for RCC members at all locations. Rate to include straightening, cutting, bending to required sizes and shapes, placing in position with cover blocks of approved size, tying with binding wire of 18 SWG soft black anneled GI wire complete as per technical specifications, approved  drawings and as directed. Rate to also include, cost of cover blocks, binding wire, transport, loading, unloading, storing, rolling margin, pins, spacers, chairs, laps and wastage over the approved measured quantity.
( Basic Price of Steel - Rs. 48000 Per MT )</t>
    </r>
  </si>
  <si>
    <t>Apron</t>
  </si>
  <si>
    <t>Excavation by Mechanical Means</t>
  </si>
  <si>
    <t>Earthwork in excavation for road way by mechanical means in earth soil of all sorts sand, gravel, soft murum and hard murum, hard murum with boulders including dressing section to the required grade, camber and side slopes and conveying the excavated material with all lifts and lead and spreading for embankment or stacking, etc. as directed. (Clause 301 of MORTH)</t>
  </si>
  <si>
    <t>Earthwork in Subgrade</t>
  </si>
  <si>
    <t>Earth work in embankment for subgrade and shoulders  by using mechanical  means with approved material obtained from borrow areas outside ROW having 4 days soaked CBR equal to or more than 8%, laying in layers not exceeding 250 mm loose, breaking clods, dressing to the required lines, curves, grades, watering to OMC and compacting to 97% modified Proctor density with vibratory rollers having minimum 80 - 100 KN  static weight including all leads and lifts etc. complete. (Clause 305 of MORTH)</t>
  </si>
  <si>
    <t>Granular Sub Base (GSB) Coarse Graded</t>
  </si>
  <si>
    <t>Providing and laying Granular Sub Base (GSB) conforming to Grading- VI of Table 400-1 of compacted thickness of maximum 150mm with specified graded stone metal and sand mixed in place and  laid  with mechanical means spreading  with motor grader and compacting with vibratory roller having minimum 80-100 KN static  weight  to achieve  desired density of 98% of MDD (IS 2720 part-8). The strength of each GSB layer shall be evaluated by conducting CBR (IS 2720 part-16 &amp; 31) or plate load test using 750mm dia. plate, (IS 9214) for obtaining equivalent CBR value @ one test per 3000Sq.m compacted surface area as per the grading, including all material, labour, machinery  with all leads &amp; lifts  etc. complete. (Clause 401 of MORTH)</t>
  </si>
  <si>
    <t>Film Barrier Below PQC</t>
  </si>
  <si>
    <t>Pavement Quality Concrete (PQC)</t>
  </si>
  <si>
    <r>
      <t xml:space="preserve">Providing and laying Pavement Quality Concrete of </t>
    </r>
    <r>
      <rPr>
        <b/>
        <sz val="10"/>
        <rFont val="Arial"/>
        <family val="2"/>
      </rPr>
      <t>M40 grade</t>
    </r>
    <r>
      <rPr>
        <sz val="10"/>
        <rFont val="Arial"/>
        <family val="2"/>
      </rPr>
      <t xml:space="preserve"> including providing 125 micron thick impermeable plastic sheet membrane over the surface to be covered, coarse and fine aggregates of specified gradation using minimum cement content 350 kg/cum of concrete with OPC 43 grade cement, approved admixture, mixing with mechanised batch mix plant of appropriate capacity as per the design mix to the specified workability, transporting the mix with  dumpers or transit mixers and laying with self propelled slip form paving train of required capacity having electronic sensor device, curing with approved resin based aluminised reflective curing compound and covering with moist hessian or ponding and sprinkling of water for a minimum period of 14 days and including providing and fixing dowels, tie bars, "Fosroc colpor 200" or equivalent joint sealing compound for joint filling and sealing all types of joints and finishing to the desired surface texture including all material, labour, machinery with all leads and lifts etc. complete as per drawings, specification and as directed.
 (Clause 602 of MORTH)</t>
    </r>
  </si>
  <si>
    <r>
      <t xml:space="preserve">Excavation in hard rock by wedging &amp; chiselling or line drilling </t>
    </r>
    <r>
      <rPr>
        <sz val="10"/>
        <rFont val="Arial"/>
        <family val="2"/>
      </rPr>
      <t>including dressing section to the required grade,  foundation trenches etc. Including shoring &amp; strutting, bailing out surface water, pumping off water from excavated pits, if required. Refilling the trenches, foundation pits ramming, watering, consolidating in 150mm to 200mm layers, removing and stacking simultaneously the excavated stuff as directed within the site area up to a lead of 50M and/or spreading, watering, rolling and consolidating of earth in 150mm to 200mm layers for site development within site battery limits,  etc.complete as per specification, Drawing &amp; as directed.</t>
    </r>
  </si>
  <si>
    <t>filling in platform</t>
  </si>
  <si>
    <t>Below platform grade slab</t>
  </si>
  <si>
    <t>RCC Wall</t>
  </si>
  <si>
    <t>FGL</t>
  </si>
  <si>
    <t>RCC Wall at platform peryphery</t>
  </si>
  <si>
    <t>Rock Anchors</t>
  </si>
  <si>
    <t xml:space="preserve">nos </t>
  </si>
  <si>
    <t>Bolts</t>
  </si>
  <si>
    <t>deduction for wall</t>
  </si>
  <si>
    <t>deduction for Staircase</t>
  </si>
  <si>
    <t>FOH Door deduction</t>
  </si>
  <si>
    <t>deduction for Raft</t>
  </si>
  <si>
    <t>deduction for GSB</t>
  </si>
  <si>
    <t>deduction for PCC</t>
  </si>
  <si>
    <t>Excavation for RCC wall at peryphery of platform</t>
  </si>
  <si>
    <t>RCC Wall for platform peryphery</t>
  </si>
  <si>
    <t>platform RCC Wall</t>
  </si>
  <si>
    <t xml:space="preserve">for platform </t>
  </si>
  <si>
    <t>deduction of platform</t>
  </si>
  <si>
    <t>Excavation For hard Rock (40% of total Excavation)</t>
  </si>
  <si>
    <t>Excavation For Soft Rock/Loose Soil (60% of total Excavation)</t>
  </si>
  <si>
    <t>Concrete Apron - 170mm thick grade slab</t>
  </si>
  <si>
    <t>Up to 1m</t>
  </si>
  <si>
    <t>PHE WORKS</t>
  </si>
  <si>
    <t>600 x 600 Concrete Casing for 150mm dia pipe</t>
  </si>
  <si>
    <t>Pipe Deduction</t>
  </si>
  <si>
    <t>Masonry Works</t>
  </si>
  <si>
    <t>230mm thick</t>
  </si>
  <si>
    <t>PCC Works - M15 Grade</t>
  </si>
  <si>
    <t>i.e. 548.84 /Sq.ft</t>
  </si>
  <si>
    <t>From existing Ground level up to 1.5m level</t>
  </si>
  <si>
    <t>Providing rock anchors in rock for the required Design Pull strength as given in Construction drawings..The rate shall include design of rock anchors for specified pull strength ,drilling of hole of appropriate diameter and length, putting anchors in hole and grouting hole with chemical grout of specified make. The rate shall also include cost of material, chemical grout, all labour and conducting  appropriate number of  Pull strength tests as per codal provisions and as directed by Engineer - in Charge.</t>
  </si>
  <si>
    <t>600mm X 600mm x depth as per site condition &amp; design</t>
  </si>
  <si>
    <t>150mm dia pipe</t>
  </si>
  <si>
    <t xml:space="preserve">Providing, fixing, jointing and testing in position the following SN4 PVC  pipes conforming to IS:4985 of 6 Kg / Sq.cm for drainage system cut to required length.  Pipe to be laid below ground level in trenches upto required depth, Cost shall be inclusive of providing protection to pipe all round / haunches,   jointing material, labour, giving hydraulic testing etc. comlete as per specification, drawing and as directed. </t>
  </si>
  <si>
    <r>
      <t xml:space="preserve">Providing &amp; laying in position machine mixed and machine vibrated </t>
    </r>
    <r>
      <rPr>
        <b/>
        <sz val="10"/>
        <rFont val="Arial"/>
        <family val="2"/>
      </rPr>
      <t xml:space="preserve">M15 grade controlled cement concrete </t>
    </r>
    <r>
      <rPr>
        <sz val="10"/>
        <rFont val="Arial"/>
        <family val="2"/>
      </rPr>
      <t>in encasing around pipes all locations,  of any shape and size  as per  drawings, conforming to IS 456-2000; rate to include mix design, production, pouring concrete with pump, vibrating, finishing, curing, testing complete as per specifications, drawings and instructions. Rate to also include rectification and repairing of defects as per specifications and instructions as directed. Cementetious content shall be OPC 53 grade+15 to 20% approved quality flyash ( Basic Price of Cement - Rs. 280 / Bag )</t>
    </r>
  </si>
  <si>
    <t>Note :-Scope of work under this item  requires the contractor to carry out the work within specified tolerancies, rectify the defective concrete, grinding if required to remove the extra lumps from the RCC members, maintain specified levels of RCC members, deshuttering the formwork, remove all the shuttering material, nails etc. and hand over the site in a clean , vacant state; re-prop the slabs if they are to support extra loads than the design loads during construction of slabs above it till the time they are subjected to the extra loads. It also requires the contractor to implement health and safety measures to protect the work and human life by barricading the openings, edges, removing hazardous obstacles, providing lighting and signage till the completion of the overall work in his scope.Cementetious content shall be OPC 53 grade+15 to 20% approved quality flyash</t>
  </si>
  <si>
    <t xml:space="preserve">Excavation for pipe </t>
  </si>
  <si>
    <r>
      <rPr>
        <b/>
        <sz val="10"/>
        <rFont val="Arial"/>
        <family val="2"/>
      </rPr>
      <t>Excavation by mechanical means</t>
    </r>
    <r>
      <rPr>
        <sz val="10"/>
        <rFont val="Arial"/>
        <family val="2"/>
      </rPr>
      <t xml:space="preserve"> in ordinary soil, hard soil, soft rock without blasting, for pipe laying and trenches , pits, chambers etc. Rate to Include shoring &amp; strutting, bailing out surface water, pumping off water from excavated pits if required, removing and stacking  the excess excavated material as directed within the site, spreading, levelling, watering, rolling, testing and compacting it in 150mm to 200mm layers to 95% proctor density for site development etc. complete as per technical specifications, drawings and as directed. </t>
    </r>
  </si>
  <si>
    <t>2.2.1</t>
  </si>
  <si>
    <t>Side Wall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</si>
</sst>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_-;\-* #,##0_-;_-* &quot;-&quot;_-;_-@_-"/>
    <numFmt numFmtId="165" formatCode="_-* #,##0.00_-;\-* #,##0.00_-;_-* &quot;-&quot;??_-;_-@_-"/>
    <numFmt numFmtId="166" formatCode="##\ ##\ ##\ ###.00"/>
    <numFmt numFmtId="167" formatCode="_(* #,##0_);_(* \(#,##0\);_(* &quot;-&quot;??_);_(@_)"/>
    <numFmt numFmtId="168" formatCode="0.0"/>
    <numFmt numFmtId="169" formatCode="0.000"/>
    <numFmt numFmtId="170" formatCode="_(* #,##0.000_);_(* \(#,##0.000\);_(* &quot;-&quot;??_);_(@_)"/>
    <numFmt numFmtId="171" formatCode="0.000000%"/>
  </numFmts>
  <fonts count="52">
    <font>
      <sz val="11"/>
      <color theme="1"/>
      <name val="Calibri"/>
      <family val="2"/>
      <scheme val="minor"/>
    </font>
    <font>
      <sz val="10"/>
      <color theme="1"/>
      <name val="Arial"/>
      <family val="2"/>
    </font>
    <font>
      <sz val="10"/>
      <color theme="1"/>
      <name val="Arial"/>
      <family val="2"/>
    </font>
    <font>
      <sz val="10"/>
      <color rgb="FFFF0000"/>
      <name val="Arial"/>
      <family val="2"/>
    </font>
    <font>
      <sz val="10"/>
      <name val="Arial"/>
      <family val="2"/>
    </font>
    <font>
      <b/>
      <sz val="12"/>
      <name val="Arial"/>
      <family val="2"/>
    </font>
    <font>
      <b/>
      <sz val="10"/>
      <name val="Arial"/>
      <family val="2"/>
    </font>
    <font>
      <sz val="10"/>
      <name val="Helv"/>
      <charset val="204"/>
    </font>
    <font>
      <sz val="10"/>
      <color indexed="10"/>
      <name val="Arial"/>
      <family val="2"/>
    </font>
    <font>
      <b/>
      <sz val="10"/>
      <color indexed="10"/>
      <name val="Arial"/>
      <family val="2"/>
    </font>
    <font>
      <sz val="12"/>
      <name val="Times New Roman"/>
      <family val="1"/>
    </font>
    <font>
      <sz val="10"/>
      <color indexed="10"/>
      <name val="Times New Roman"/>
      <family val="1"/>
    </font>
    <font>
      <sz val="10"/>
      <name val="Times New Roman"/>
      <family val="1"/>
    </font>
    <font>
      <sz val="10"/>
      <name val="Courier"/>
      <family val="3"/>
    </font>
    <font>
      <b/>
      <sz val="10"/>
      <name val="Times New Roman"/>
      <family val="1"/>
    </font>
    <font>
      <sz val="9"/>
      <name val="Arial Black"/>
      <family val="2"/>
    </font>
    <font>
      <sz val="9"/>
      <name val="Arial"/>
      <family val="2"/>
    </font>
    <font>
      <b/>
      <sz val="9"/>
      <name val="Arial"/>
      <family val="2"/>
    </font>
    <font>
      <b/>
      <sz val="9"/>
      <name val="Arial Black"/>
      <family val="2"/>
    </font>
    <font>
      <b/>
      <sz val="11"/>
      <name val="Times New Roman"/>
      <family val="1"/>
    </font>
    <font>
      <b/>
      <sz val="12"/>
      <name val="Times New Roman"/>
      <family val="1"/>
    </font>
    <font>
      <sz val="11"/>
      <name val="Times New Roman"/>
      <family val="1"/>
    </font>
    <font>
      <sz val="11"/>
      <color indexed="10"/>
      <name val="Times New Roman"/>
      <family val="1"/>
    </font>
    <font>
      <b/>
      <sz val="11"/>
      <color indexed="10"/>
      <name val="Times New Roman"/>
      <family val="1"/>
    </font>
    <font>
      <vertAlign val="superscript"/>
      <sz val="11"/>
      <name val="Times New Roman"/>
      <family val="1"/>
    </font>
    <font>
      <sz val="10"/>
      <name val="Helv"/>
    </font>
    <font>
      <sz val="11"/>
      <name val="돋움"/>
      <family val="3"/>
      <charset val="129"/>
    </font>
    <font>
      <sz val="10"/>
      <color indexed="8"/>
      <name val="Arial"/>
      <family val="2"/>
    </font>
    <font>
      <sz val="10"/>
      <name val="MS Sans Serif"/>
      <family val="2"/>
    </font>
    <font>
      <sz val="10"/>
      <name val="Arial Cyr"/>
      <charset val="204"/>
    </font>
    <font>
      <sz val="11"/>
      <name val="Arial"/>
      <family val="2"/>
    </font>
    <font>
      <sz val="10"/>
      <name val="Arial"/>
      <family val="2"/>
    </font>
    <font>
      <sz val="11"/>
      <color indexed="8"/>
      <name val="Calibri"/>
      <family val="2"/>
    </font>
    <font>
      <sz val="11"/>
      <color theme="1"/>
      <name val="Calibri"/>
      <family val="2"/>
      <scheme val="minor"/>
    </font>
    <font>
      <sz val="11"/>
      <name val="Calibri"/>
      <family val="2"/>
      <scheme val="minor"/>
    </font>
    <font>
      <b/>
      <sz val="11"/>
      <color theme="1"/>
      <name val="Calibri"/>
      <family val="2"/>
      <scheme val="minor"/>
    </font>
    <font>
      <sz val="11"/>
      <color rgb="FFFF0000"/>
      <name val="Calibri"/>
      <family val="2"/>
      <scheme val="minor"/>
    </font>
    <font>
      <b/>
      <sz val="10"/>
      <color theme="1"/>
      <name val="Arial"/>
      <family val="2"/>
    </font>
    <font>
      <vertAlign val="superscript"/>
      <sz val="10"/>
      <name val="Arial"/>
      <family val="2"/>
    </font>
    <font>
      <b/>
      <sz val="10"/>
      <color rgb="FFFF0000"/>
      <name val="Arial"/>
      <family val="2"/>
    </font>
    <font>
      <sz val="11"/>
      <color rgb="FFFF0000"/>
      <name val="Times New Roman"/>
      <family val="1"/>
    </font>
    <font>
      <sz val="10"/>
      <color rgb="FFFF0000"/>
      <name val="Times New Roman"/>
      <family val="1"/>
    </font>
    <font>
      <sz val="12"/>
      <name val="Arial"/>
      <family val="2"/>
    </font>
    <font>
      <sz val="10"/>
      <name val="Calibri"/>
      <family val="2"/>
      <scheme val="minor"/>
    </font>
    <font>
      <b/>
      <sz val="11"/>
      <name val="Calibri"/>
      <family val="2"/>
      <scheme val="minor"/>
    </font>
    <font>
      <b/>
      <sz val="8"/>
      <name val="Arial"/>
      <family val="2"/>
    </font>
    <font>
      <sz val="8"/>
      <name val="Calibri"/>
      <family val="2"/>
      <scheme val="minor"/>
    </font>
    <font>
      <b/>
      <sz val="14"/>
      <name val="Calibri"/>
      <family val="2"/>
      <scheme val="minor"/>
    </font>
    <font>
      <b/>
      <sz val="11"/>
      <color rgb="FFFF0000"/>
      <name val="Times New Roman"/>
      <family val="1"/>
    </font>
    <font>
      <b/>
      <sz val="10"/>
      <color rgb="FFFF0000"/>
      <name val="Times New Roman"/>
      <family val="1"/>
    </font>
    <font>
      <u/>
      <sz val="10"/>
      <name val="Arial"/>
      <family val="2"/>
    </font>
    <font>
      <sz val="11"/>
      <color theme="3" tint="-0.24997711111789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bgColor indexed="64"/>
      </patternFill>
    </fill>
    <fill>
      <patternFill patternType="solid">
        <fgColor theme="0"/>
        <bgColor indexed="64"/>
      </patternFill>
    </fill>
  </fills>
  <borders count="2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s>
  <cellStyleXfs count="59">
    <xf numFmtId="0" fontId="0" fillId="0" borderId="0"/>
    <xf numFmtId="0" fontId="4" fillId="0" borderId="0"/>
    <xf numFmtId="0" fontId="7" fillId="0" borderId="0"/>
    <xf numFmtId="43" fontId="4" fillId="0" borderId="0" applyFont="0" applyFill="0" applyBorder="0" applyAlignment="0" applyProtection="0"/>
    <xf numFmtId="0" fontId="4" fillId="0" borderId="0"/>
    <xf numFmtId="0" fontId="4" fillId="0" borderId="0"/>
    <xf numFmtId="0" fontId="10" fillId="0" borderId="0"/>
    <xf numFmtId="0" fontId="13" fillId="0" borderId="0"/>
    <xf numFmtId="0" fontId="4" fillId="0" borderId="0"/>
    <xf numFmtId="0" fontId="4" fillId="0" borderId="0"/>
    <xf numFmtId="0" fontId="7" fillId="0" borderId="0"/>
    <xf numFmtId="0" fontId="25"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25" fillId="0" borderId="0"/>
    <xf numFmtId="0" fontId="25" fillId="0" borderId="0"/>
    <xf numFmtId="0" fontId="25" fillId="0" borderId="0"/>
    <xf numFmtId="0" fontId="7" fillId="0" borderId="0"/>
    <xf numFmtId="0" fontId="10" fillId="0" borderId="0"/>
    <xf numFmtId="0" fontId="25" fillId="0" borderId="0"/>
    <xf numFmtId="0" fontId="7" fillId="0" borderId="0"/>
    <xf numFmtId="0" fontId="7" fillId="0" borderId="0"/>
    <xf numFmtId="0" fontId="7" fillId="0" borderId="0"/>
    <xf numFmtId="0" fontId="7" fillId="0" borderId="0"/>
    <xf numFmtId="0" fontId="4" fillId="0" borderId="0"/>
    <xf numFmtId="164" fontId="26" fillId="0" borderId="0" applyFont="0" applyFill="0" applyBorder="0" applyAlignment="0" applyProtection="0">
      <alignment vertical="center"/>
    </xf>
    <xf numFmtId="43" fontId="4" fillId="0" borderId="0" applyFont="0" applyFill="0" applyBorder="0" applyAlignment="0" applyProtection="0"/>
    <xf numFmtId="165" fontId="27" fillId="0" borderId="0" applyFont="0" applyFill="0" applyBorder="0" applyAlignment="0" applyProtection="0"/>
    <xf numFmtId="0" fontId="25" fillId="0" borderId="0"/>
    <xf numFmtId="0" fontId="25" fillId="0" borderId="0"/>
    <xf numFmtId="0" fontId="27" fillId="0" borderId="0"/>
    <xf numFmtId="0" fontId="13" fillId="0" borderId="0"/>
    <xf numFmtId="0" fontId="10" fillId="0" borderId="0"/>
    <xf numFmtId="0" fontId="4" fillId="0" borderId="0"/>
    <xf numFmtId="0" fontId="13" fillId="0" borderId="0"/>
    <xf numFmtId="0" fontId="13" fillId="0" borderId="0"/>
    <xf numFmtId="0" fontId="27" fillId="0" borderId="0"/>
    <xf numFmtId="0" fontId="25" fillId="0" borderId="0"/>
    <xf numFmtId="9" fontId="4" fillId="0" borderId="0" applyFont="0" applyFill="0" applyBorder="0" applyAlignment="0" applyProtection="0"/>
    <xf numFmtId="9" fontId="4" fillId="0" borderId="0" applyFont="0" applyFill="0" applyBorder="0" applyAlignment="0" applyProtection="0"/>
    <xf numFmtId="9" fontId="28" fillId="0" borderId="0" applyFont="0" applyFill="0" applyBorder="0" applyAlignment="0" applyProtection="0"/>
    <xf numFmtId="0" fontId="29" fillId="0" borderId="0"/>
    <xf numFmtId="0" fontId="25" fillId="0" borderId="0"/>
    <xf numFmtId="0" fontId="26" fillId="0" borderId="0">
      <alignment vertical="center"/>
    </xf>
    <xf numFmtId="0" fontId="31" fillId="0" borderId="0"/>
    <xf numFmtId="43" fontId="31"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7" fillId="0" borderId="0"/>
    <xf numFmtId="0" fontId="4" fillId="0" borderId="0"/>
    <xf numFmtId="0" fontId="13" fillId="0" borderId="0"/>
  </cellStyleXfs>
  <cellXfs count="716">
    <xf numFmtId="0" fontId="0" fillId="0" borderId="0" xfId="0"/>
    <xf numFmtId="0" fontId="4" fillId="0" borderId="0" xfId="1" applyFont="1" applyFill="1"/>
    <xf numFmtId="0" fontId="6" fillId="0" borderId="3" xfId="1" applyFont="1" applyFill="1" applyBorder="1" applyAlignment="1">
      <alignment horizontal="center" vertical="center" wrapText="1"/>
    </xf>
    <xf numFmtId="0" fontId="6" fillId="0" borderId="3" xfId="1" applyFont="1" applyFill="1" applyBorder="1" applyAlignment="1">
      <alignment horizontal="left" vertical="center" wrapText="1"/>
    </xf>
    <xf numFmtId="2" fontId="6" fillId="0" borderId="3" xfId="1" applyNumberFormat="1" applyFont="1" applyFill="1" applyBorder="1" applyAlignment="1">
      <alignment horizontal="center" vertical="top" wrapText="1"/>
    </xf>
    <xf numFmtId="166" fontId="4" fillId="0" borderId="3" xfId="1" applyNumberFormat="1" applyFont="1" applyFill="1" applyBorder="1" applyAlignment="1">
      <alignment horizontal="center" vertical="top" wrapText="1"/>
    </xf>
    <xf numFmtId="1" fontId="4" fillId="0" borderId="3" xfId="1" applyNumberFormat="1" applyFont="1" applyFill="1" applyBorder="1" applyAlignment="1">
      <alignment horizontal="center" vertical="top" wrapText="1"/>
    </xf>
    <xf numFmtId="1" fontId="4" fillId="0" borderId="3" xfId="1" applyNumberFormat="1" applyFont="1" applyFill="1" applyBorder="1" applyAlignment="1">
      <alignment horizontal="center" vertical="top"/>
    </xf>
    <xf numFmtId="2" fontId="4" fillId="0" borderId="3" xfId="1" applyNumberFormat="1" applyFont="1" applyFill="1" applyBorder="1" applyAlignment="1">
      <alignment horizontal="center" vertical="top" wrapText="1"/>
    </xf>
    <xf numFmtId="167" fontId="4" fillId="0" borderId="3" xfId="3" applyNumberFormat="1" applyFont="1" applyFill="1" applyBorder="1" applyAlignment="1">
      <alignment horizontal="center" vertical="top"/>
    </xf>
    <xf numFmtId="2" fontId="4" fillId="0" borderId="3" xfId="1" applyNumberFormat="1" applyFont="1" applyFill="1" applyBorder="1" applyAlignment="1" applyProtection="1">
      <alignment horizontal="justify" vertical="top" wrapText="1"/>
    </xf>
    <xf numFmtId="168" fontId="6" fillId="0" borderId="3" xfId="1" applyNumberFormat="1" applyFont="1" applyFill="1" applyBorder="1" applyAlignment="1">
      <alignment horizontal="center" vertical="top" wrapText="1"/>
    </xf>
    <xf numFmtId="0" fontId="4" fillId="0" borderId="0" xfId="1" applyFont="1" applyFill="1" applyAlignment="1">
      <alignment horizontal="right" vertical="top"/>
    </xf>
    <xf numFmtId="0" fontId="4" fillId="0" borderId="0" xfId="1" applyFont="1" applyFill="1" applyAlignment="1">
      <alignment horizontal="left" vertical="top"/>
    </xf>
    <xf numFmtId="0" fontId="4" fillId="0" borderId="0" xfId="1" applyFont="1" applyFill="1" applyAlignment="1">
      <alignment vertical="top"/>
    </xf>
    <xf numFmtId="2" fontId="4" fillId="0" borderId="0" xfId="1" applyNumberFormat="1" applyFont="1" applyFill="1" applyAlignment="1">
      <alignment vertical="top"/>
    </xf>
    <xf numFmtId="0" fontId="4" fillId="0" borderId="3" xfId="1" applyFont="1" applyFill="1" applyBorder="1"/>
    <xf numFmtId="167" fontId="4" fillId="0" borderId="3" xfId="3" applyNumberFormat="1" applyFont="1" applyFill="1" applyBorder="1"/>
    <xf numFmtId="0" fontId="6" fillId="0" borderId="0" xfId="1" applyFont="1" applyFill="1" applyAlignment="1">
      <alignment horizontal="right"/>
    </xf>
    <xf numFmtId="1" fontId="4" fillId="0" borderId="0" xfId="1" applyNumberFormat="1" applyFont="1" applyFill="1" applyAlignment="1">
      <alignment vertical="top"/>
    </xf>
    <xf numFmtId="1" fontId="6" fillId="0" borderId="0" xfId="1" applyNumberFormat="1" applyFont="1" applyFill="1" applyAlignment="1">
      <alignment vertical="top"/>
    </xf>
    <xf numFmtId="0" fontId="4" fillId="0" borderId="16" xfId="8" applyFont="1" applyFill="1" applyBorder="1" applyAlignment="1" applyProtection="1">
      <alignment horizontal="center" vertical="center"/>
      <protection locked="0"/>
    </xf>
    <xf numFmtId="0" fontId="6" fillId="0" borderId="1" xfId="1" applyFont="1" applyFill="1" applyBorder="1" applyAlignment="1">
      <alignment horizontal="left" vertical="center" wrapText="1"/>
    </xf>
    <xf numFmtId="0" fontId="4" fillId="0" borderId="0" xfId="1" applyFont="1" applyFill="1" applyAlignment="1">
      <alignment wrapText="1"/>
    </xf>
    <xf numFmtId="0" fontId="4" fillId="2" borderId="3" xfId="1" applyFont="1" applyFill="1" applyBorder="1"/>
    <xf numFmtId="167" fontId="4" fillId="2" borderId="3" xfId="3" applyNumberFormat="1" applyFont="1" applyFill="1" applyBorder="1"/>
    <xf numFmtId="166" fontId="4" fillId="2" borderId="3" xfId="1" applyNumberFormat="1" applyFont="1" applyFill="1" applyBorder="1" applyAlignment="1">
      <alignment horizontal="center" vertical="top" wrapText="1"/>
    </xf>
    <xf numFmtId="1" fontId="4" fillId="2" borderId="3" xfId="1" applyNumberFormat="1" applyFont="1" applyFill="1" applyBorder="1" applyAlignment="1">
      <alignment horizontal="center" vertical="top" wrapText="1"/>
    </xf>
    <xf numFmtId="1" fontId="4" fillId="2" borderId="3" xfId="1" applyNumberFormat="1" applyFont="1" applyFill="1" applyBorder="1" applyAlignment="1">
      <alignment horizontal="center" vertical="top"/>
    </xf>
    <xf numFmtId="167" fontId="4" fillId="2" borderId="3" xfId="3" applyNumberFormat="1" applyFont="1" applyFill="1" applyBorder="1" applyAlignment="1">
      <alignment horizontal="center" vertical="top"/>
    </xf>
    <xf numFmtId="0" fontId="6" fillId="2" borderId="3" xfId="1" applyFont="1" applyFill="1" applyBorder="1" applyAlignment="1">
      <alignment horizontal="center" vertical="center" wrapText="1"/>
    </xf>
    <xf numFmtId="0" fontId="6" fillId="2" borderId="3" xfId="1" applyFont="1" applyFill="1" applyBorder="1" applyAlignment="1">
      <alignment horizontal="left" vertical="center" wrapText="1"/>
    </xf>
    <xf numFmtId="2" fontId="4" fillId="2" borderId="3" xfId="6" applyNumberFormat="1" applyFont="1" applyFill="1" applyBorder="1" applyAlignment="1" applyProtection="1">
      <alignment horizontal="center" vertical="top" wrapText="1"/>
    </xf>
    <xf numFmtId="0" fontId="6" fillId="0" borderId="16" xfId="1" applyFont="1" applyFill="1" applyBorder="1" applyAlignment="1">
      <alignment horizontal="center"/>
    </xf>
    <xf numFmtId="0" fontId="4" fillId="0" borderId="16" xfId="1" applyFont="1" applyFill="1" applyBorder="1" applyAlignment="1">
      <alignment horizontal="center"/>
    </xf>
    <xf numFmtId="16" fontId="12" fillId="0" borderId="16" xfId="1" applyNumberFormat="1" applyFont="1" applyFill="1" applyBorder="1" applyAlignment="1">
      <alignment horizontal="right" vertical="center" wrapText="1"/>
    </xf>
    <xf numFmtId="0" fontId="21" fillId="0" borderId="16" xfId="1" applyFont="1" applyFill="1" applyBorder="1" applyAlignment="1">
      <alignment horizontal="center" vertical="center" wrapText="1"/>
    </xf>
    <xf numFmtId="2" fontId="21" fillId="0" borderId="16" xfId="1" applyNumberFormat="1" applyFont="1" applyFill="1" applyBorder="1" applyAlignment="1">
      <alignment horizontal="right" vertical="center" wrapText="1"/>
    </xf>
    <xf numFmtId="2" fontId="4" fillId="0" borderId="16" xfId="1" applyNumberFormat="1" applyFont="1" applyFill="1" applyBorder="1"/>
    <xf numFmtId="2" fontId="4" fillId="0" borderId="16" xfId="1" applyNumberFormat="1" applyFont="1" applyFill="1" applyBorder="1" applyAlignment="1">
      <alignment horizontal="right"/>
    </xf>
    <xf numFmtId="2" fontId="6" fillId="0" borderId="16" xfId="1" applyNumberFormat="1" applyFont="1" applyFill="1" applyBorder="1" applyAlignment="1">
      <alignment horizontal="right"/>
    </xf>
    <xf numFmtId="1" fontId="4" fillId="0" borderId="0" xfId="1" applyNumberFormat="1" applyFont="1" applyFill="1" applyBorder="1" applyAlignment="1">
      <alignment horizontal="center" vertical="top"/>
    </xf>
    <xf numFmtId="0" fontId="9" fillId="0" borderId="16" xfId="1" applyFont="1" applyFill="1" applyBorder="1" applyAlignment="1">
      <alignment horizontal="center"/>
    </xf>
    <xf numFmtId="0" fontId="8" fillId="0" borderId="16" xfId="1" applyFont="1" applyFill="1" applyBorder="1" applyAlignment="1">
      <alignment horizontal="center"/>
    </xf>
    <xf numFmtId="0" fontId="22" fillId="0" borderId="16" xfId="1" applyFont="1" applyFill="1" applyBorder="1" applyAlignment="1">
      <alignment horizontal="center" vertical="center" wrapText="1"/>
    </xf>
    <xf numFmtId="2" fontId="22" fillId="0" borderId="16" xfId="1" applyNumberFormat="1" applyFont="1" applyFill="1" applyBorder="1" applyAlignment="1">
      <alignment horizontal="right" vertical="center" wrapText="1"/>
    </xf>
    <xf numFmtId="2" fontId="8" fillId="0" borderId="16" xfId="1" applyNumberFormat="1" applyFont="1" applyFill="1" applyBorder="1"/>
    <xf numFmtId="2" fontId="8" fillId="0" borderId="16" xfId="1" applyNumberFormat="1" applyFont="1" applyFill="1" applyBorder="1" applyAlignment="1">
      <alignment horizontal="right"/>
    </xf>
    <xf numFmtId="169" fontId="4" fillId="0" borderId="0" xfId="1" applyNumberFormat="1" applyFont="1" applyFill="1" applyBorder="1" applyAlignment="1">
      <alignment horizontal="center" vertical="top"/>
    </xf>
    <xf numFmtId="2" fontId="4" fillId="0" borderId="0" xfId="1" applyNumberFormat="1" applyFill="1"/>
    <xf numFmtId="2" fontId="4" fillId="0" borderId="0" xfId="1" applyNumberFormat="1" applyFont="1" applyFill="1" applyBorder="1" applyAlignment="1">
      <alignment horizontal="center" vertical="top"/>
    </xf>
    <xf numFmtId="0" fontId="4" fillId="0" borderId="0" xfId="1" applyFill="1" applyBorder="1"/>
    <xf numFmtId="168" fontId="4" fillId="0" borderId="0" xfId="1" applyNumberFormat="1" applyFont="1" applyFill="1" applyBorder="1" applyAlignment="1">
      <alignment horizontal="center" vertical="top"/>
    </xf>
    <xf numFmtId="171" fontId="4" fillId="0" borderId="0" xfId="1" applyNumberFormat="1" applyFill="1"/>
    <xf numFmtId="0" fontId="4" fillId="0" borderId="16" xfId="1" applyFill="1" applyBorder="1"/>
    <xf numFmtId="2" fontId="6" fillId="0" borderId="16" xfId="1" applyNumberFormat="1" applyFont="1" applyFill="1" applyBorder="1" applyAlignment="1">
      <alignment horizontal="center"/>
    </xf>
    <xf numFmtId="0" fontId="4" fillId="0" borderId="0" xfId="1" applyFill="1"/>
    <xf numFmtId="0" fontId="31" fillId="0" borderId="0" xfId="49" applyFill="1"/>
    <xf numFmtId="0" fontId="15" fillId="0" borderId="0" xfId="49" applyFont="1" applyFill="1" applyBorder="1" applyAlignment="1">
      <alignment horizontal="justify" vertical="top" wrapText="1"/>
    </xf>
    <xf numFmtId="0" fontId="16" fillId="0" borderId="9" xfId="49" applyFont="1" applyFill="1" applyBorder="1" applyAlignment="1">
      <alignment horizontal="justify" vertical="top" wrapText="1"/>
    </xf>
    <xf numFmtId="0" fontId="15" fillId="0" borderId="12" xfId="49" applyFont="1" applyFill="1" applyBorder="1" applyAlignment="1">
      <alignment vertical="top" wrapText="1"/>
    </xf>
    <xf numFmtId="0" fontId="15" fillId="0" borderId="12" xfId="49" applyFont="1" applyFill="1" applyBorder="1" applyAlignment="1">
      <alignment horizontal="justify" vertical="top" wrapText="1"/>
    </xf>
    <xf numFmtId="0" fontId="15" fillId="0" borderId="9" xfId="49" applyFont="1" applyFill="1" applyBorder="1" applyAlignment="1">
      <alignment horizontal="center" vertical="top" wrapText="1"/>
    </xf>
    <xf numFmtId="0" fontId="15" fillId="0" borderId="9" xfId="49" applyFont="1" applyFill="1" applyBorder="1" applyAlignment="1">
      <alignment vertical="top" wrapText="1"/>
    </xf>
    <xf numFmtId="0" fontId="15" fillId="0" borderId="9" xfId="49" applyFont="1" applyFill="1" applyBorder="1" applyAlignment="1">
      <alignment horizontal="justify" vertical="top" wrapText="1"/>
    </xf>
    <xf numFmtId="0" fontId="19" fillId="0" borderId="16" xfId="49" applyFont="1" applyFill="1" applyBorder="1" applyAlignment="1">
      <alignment horizontal="center" vertical="center" wrapText="1"/>
    </xf>
    <xf numFmtId="0" fontId="20" fillId="0" borderId="16" xfId="49" applyFont="1" applyFill="1" applyBorder="1" applyAlignment="1">
      <alignment horizontal="center"/>
    </xf>
    <xf numFmtId="0" fontId="6" fillId="0" borderId="16" xfId="49" applyFont="1" applyFill="1" applyBorder="1" applyAlignment="1">
      <alignment horizontal="center"/>
    </xf>
    <xf numFmtId="0" fontId="6" fillId="0" borderId="16" xfId="49" applyFont="1" applyFill="1" applyBorder="1"/>
    <xf numFmtId="0" fontId="31" fillId="0" borderId="16" xfId="49" applyFont="1" applyFill="1" applyBorder="1" applyAlignment="1">
      <alignment horizontal="center"/>
    </xf>
    <xf numFmtId="0" fontId="31" fillId="0" borderId="16" xfId="49" applyFont="1" applyFill="1" applyBorder="1"/>
    <xf numFmtId="2" fontId="6" fillId="0" borderId="16" xfId="49" applyNumberFormat="1" applyFont="1" applyFill="1" applyBorder="1" applyAlignment="1">
      <alignment horizontal="center"/>
    </xf>
    <xf numFmtId="0" fontId="19" fillId="0" borderId="16" xfId="49" applyFont="1" applyFill="1" applyBorder="1" applyAlignment="1">
      <alignment vertical="center" wrapText="1"/>
    </xf>
    <xf numFmtId="16" fontId="12" fillId="0" borderId="16" xfId="49" applyNumberFormat="1" applyFont="1" applyFill="1" applyBorder="1" applyAlignment="1">
      <alignment horizontal="right" vertical="center" wrapText="1"/>
    </xf>
    <xf numFmtId="0" fontId="21" fillId="0" borderId="16" xfId="49" applyFont="1" applyFill="1" applyBorder="1" applyAlignment="1">
      <alignment horizontal="center" vertical="center" wrapText="1"/>
    </xf>
    <xf numFmtId="2" fontId="21" fillId="0" borderId="16" xfId="49" applyNumberFormat="1" applyFont="1" applyFill="1" applyBorder="1" applyAlignment="1">
      <alignment horizontal="right" vertical="center" wrapText="1"/>
    </xf>
    <xf numFmtId="2" fontId="31" fillId="0" borderId="16" xfId="49" applyNumberFormat="1" applyFont="1" applyFill="1" applyBorder="1"/>
    <xf numFmtId="2" fontId="31" fillId="0" borderId="16" xfId="49" applyNumberFormat="1" applyFont="1" applyFill="1" applyBorder="1" applyAlignment="1">
      <alignment horizontal="right"/>
    </xf>
    <xf numFmtId="2" fontId="4" fillId="0" borderId="16" xfId="49" applyNumberFormat="1" applyFont="1" applyFill="1" applyBorder="1" applyAlignment="1">
      <alignment horizontal="right"/>
    </xf>
    <xf numFmtId="1" fontId="4" fillId="0" borderId="0" xfId="49" applyNumberFormat="1" applyFont="1" applyFill="1" applyBorder="1" applyAlignment="1">
      <alignment horizontal="center" vertical="top"/>
    </xf>
    <xf numFmtId="2" fontId="6" fillId="0" borderId="16" xfId="49" applyNumberFormat="1" applyFont="1" applyFill="1" applyBorder="1" applyAlignment="1">
      <alignment horizontal="right"/>
    </xf>
    <xf numFmtId="0" fontId="9" fillId="0" borderId="16" xfId="49" applyFont="1" applyFill="1" applyBorder="1" applyAlignment="1">
      <alignment horizontal="center"/>
    </xf>
    <xf numFmtId="16" fontId="11" fillId="0" borderId="16" xfId="49" applyNumberFormat="1" applyFont="1" applyFill="1" applyBorder="1" applyAlignment="1">
      <alignment horizontal="right" vertical="center" wrapText="1"/>
    </xf>
    <xf numFmtId="0" fontId="8" fillId="0" borderId="16" xfId="49" applyFont="1" applyFill="1" applyBorder="1" applyAlignment="1">
      <alignment horizontal="center"/>
    </xf>
    <xf numFmtId="0" fontId="22" fillId="0" borderId="16" xfId="49" applyFont="1" applyFill="1" applyBorder="1" applyAlignment="1">
      <alignment horizontal="center" vertical="center" wrapText="1"/>
    </xf>
    <xf numFmtId="2" fontId="22" fillId="0" borderId="16" xfId="49" applyNumberFormat="1" applyFont="1" applyFill="1" applyBorder="1" applyAlignment="1">
      <alignment horizontal="right" vertical="center" wrapText="1"/>
    </xf>
    <xf numFmtId="2" fontId="8" fillId="0" borderId="16" xfId="49" applyNumberFormat="1" applyFont="1" applyFill="1" applyBorder="1"/>
    <xf numFmtId="2" fontId="8" fillId="0" borderId="16" xfId="49" applyNumberFormat="1" applyFont="1" applyFill="1" applyBorder="1" applyAlignment="1">
      <alignment horizontal="right"/>
    </xf>
    <xf numFmtId="2" fontId="4" fillId="0" borderId="16" xfId="49" applyNumberFormat="1" applyFont="1" applyFill="1" applyBorder="1"/>
    <xf numFmtId="169" fontId="4" fillId="0" borderId="0" xfId="49" applyNumberFormat="1" applyFont="1" applyFill="1" applyBorder="1" applyAlignment="1">
      <alignment horizontal="center" vertical="top"/>
    </xf>
    <xf numFmtId="2" fontId="31" fillId="0" borderId="0" xfId="49" applyNumberFormat="1" applyFill="1"/>
    <xf numFmtId="2" fontId="4" fillId="0" borderId="0" xfId="49" applyNumberFormat="1" applyFont="1" applyFill="1" applyBorder="1" applyAlignment="1">
      <alignment horizontal="center" vertical="top"/>
    </xf>
    <xf numFmtId="169" fontId="31" fillId="0" borderId="16" xfId="49" applyNumberFormat="1" applyFont="1" applyFill="1" applyBorder="1" applyAlignment="1">
      <alignment horizontal="right"/>
    </xf>
    <xf numFmtId="0" fontId="22" fillId="0" borderId="16" xfId="49" applyFont="1" applyFill="1" applyBorder="1" applyAlignment="1">
      <alignment horizontal="right" vertical="center" wrapText="1"/>
    </xf>
    <xf numFmtId="169" fontId="8" fillId="0" borderId="16" xfId="49" applyNumberFormat="1" applyFont="1" applyFill="1" applyBorder="1" applyAlignment="1">
      <alignment horizontal="right"/>
    </xf>
    <xf numFmtId="0" fontId="21" fillId="0" borderId="16" xfId="49" applyFont="1" applyFill="1" applyBorder="1" applyAlignment="1">
      <alignment horizontal="right" vertical="center" wrapText="1"/>
    </xf>
    <xf numFmtId="0" fontId="23" fillId="0" borderId="16" xfId="49" applyFont="1" applyFill="1" applyBorder="1" applyAlignment="1">
      <alignment vertical="center" wrapText="1"/>
    </xf>
    <xf numFmtId="0" fontId="19" fillId="0" borderId="16" xfId="49" applyFont="1" applyFill="1" applyBorder="1" applyAlignment="1">
      <alignment horizontal="left" vertical="center" wrapText="1"/>
    </xf>
    <xf numFmtId="2" fontId="21" fillId="0" borderId="16" xfId="1" applyNumberFormat="1" applyFont="1" applyFill="1" applyBorder="1" applyAlignment="1">
      <alignment horizontal="right" vertical="top" wrapText="1"/>
    </xf>
    <xf numFmtId="169" fontId="4" fillId="0" borderId="16" xfId="1" applyNumberFormat="1" applyFont="1" applyFill="1" applyBorder="1" applyAlignment="1">
      <alignment horizontal="right" vertical="top"/>
    </xf>
    <xf numFmtId="0" fontId="4" fillId="0" borderId="16" xfId="49" applyFont="1" applyFill="1" applyBorder="1" applyAlignment="1">
      <alignment horizontal="center"/>
    </xf>
    <xf numFmtId="0" fontId="21" fillId="0" borderId="16" xfId="49" applyFont="1" applyFill="1" applyBorder="1" applyAlignment="1">
      <alignment vertical="center" wrapText="1"/>
    </xf>
    <xf numFmtId="16" fontId="12" fillId="0" borderId="16" xfId="49" applyNumberFormat="1" applyFont="1" applyFill="1" applyBorder="1" applyAlignment="1">
      <alignment horizontal="left" vertical="center" wrapText="1"/>
    </xf>
    <xf numFmtId="169" fontId="4" fillId="0" borderId="16" xfId="49" applyNumberFormat="1" applyFont="1" applyFill="1" applyBorder="1" applyAlignment="1">
      <alignment horizontal="center"/>
    </xf>
    <xf numFmtId="169" fontId="21" fillId="0" borderId="16" xfId="49" applyNumberFormat="1" applyFont="1" applyFill="1" applyBorder="1" applyAlignment="1">
      <alignment horizontal="right" vertical="center" wrapText="1"/>
    </xf>
    <xf numFmtId="0" fontId="6" fillId="0" borderId="16" xfId="49" applyFont="1" applyFill="1" applyBorder="1" applyAlignment="1">
      <alignment horizontal="center" vertical="top"/>
    </xf>
    <xf numFmtId="0" fontId="21" fillId="0" borderId="16" xfId="1" applyFont="1" applyFill="1" applyBorder="1" applyAlignment="1">
      <alignment horizontal="right" vertical="center" wrapText="1"/>
    </xf>
    <xf numFmtId="0" fontId="31" fillId="0" borderId="16" xfId="49" applyFont="1" applyFill="1" applyBorder="1" applyAlignment="1">
      <alignment horizontal="center" vertical="top"/>
    </xf>
    <xf numFmtId="0" fontId="21" fillId="0" borderId="16" xfId="49" applyFont="1" applyFill="1" applyBorder="1" applyAlignment="1">
      <alignment horizontal="center" vertical="top" wrapText="1"/>
    </xf>
    <xf numFmtId="2" fontId="21" fillId="0" borderId="16" xfId="49" applyNumberFormat="1" applyFont="1" applyFill="1" applyBorder="1" applyAlignment="1">
      <alignment horizontal="right" vertical="top" wrapText="1"/>
    </xf>
    <xf numFmtId="2" fontId="31" fillId="0" borderId="16" xfId="49" applyNumberFormat="1" applyFont="1" applyFill="1" applyBorder="1" applyAlignment="1">
      <alignment vertical="top"/>
    </xf>
    <xf numFmtId="2" fontId="31" fillId="0" borderId="16" xfId="49" applyNumberFormat="1" applyFont="1" applyFill="1" applyBorder="1" applyAlignment="1">
      <alignment horizontal="right" vertical="top"/>
    </xf>
    <xf numFmtId="2" fontId="6" fillId="0" borderId="16" xfId="49" applyNumberFormat="1" applyFont="1" applyFill="1" applyBorder="1" applyAlignment="1">
      <alignment horizontal="right" vertical="top"/>
    </xf>
    <xf numFmtId="169" fontId="21" fillId="0" borderId="16" xfId="49" applyNumberFormat="1" applyFont="1" applyFill="1" applyBorder="1" applyAlignment="1">
      <alignment vertical="center" wrapText="1"/>
    </xf>
    <xf numFmtId="2" fontId="21" fillId="0" borderId="16" xfId="49" applyNumberFormat="1" applyFont="1" applyFill="1" applyBorder="1" applyAlignment="1">
      <alignment vertical="center" wrapText="1"/>
    </xf>
    <xf numFmtId="2" fontId="4" fillId="0" borderId="16" xfId="49" applyNumberFormat="1" applyFont="1" applyFill="1" applyBorder="1" applyAlignment="1" applyProtection="1">
      <alignment horizontal="justify" vertical="top" wrapText="1"/>
    </xf>
    <xf numFmtId="166" fontId="4" fillId="0" borderId="16" xfId="49" applyNumberFormat="1" applyFont="1" applyFill="1" applyBorder="1" applyAlignment="1">
      <alignment horizontal="center" vertical="top" wrapText="1"/>
    </xf>
    <xf numFmtId="2" fontId="21" fillId="0" borderId="16" xfId="49" applyNumberFormat="1" applyFont="1" applyFill="1" applyBorder="1" applyAlignment="1">
      <alignment horizontal="center" vertical="center" wrapText="1"/>
    </xf>
    <xf numFmtId="16" fontId="12" fillId="0" borderId="16" xfId="1" applyNumberFormat="1" applyFont="1" applyFill="1" applyBorder="1" applyAlignment="1">
      <alignment horizontal="left" vertical="center" wrapText="1"/>
    </xf>
    <xf numFmtId="166" fontId="4" fillId="0" borderId="16" xfId="1" applyNumberFormat="1" applyFont="1" applyFill="1" applyBorder="1" applyAlignment="1">
      <alignment horizontal="center" vertical="top" wrapText="1"/>
    </xf>
    <xf numFmtId="0" fontId="21" fillId="0" borderId="16" xfId="1" applyFont="1" applyFill="1" applyBorder="1" applyAlignment="1">
      <alignment vertical="center" wrapText="1"/>
    </xf>
    <xf numFmtId="0" fontId="6" fillId="0" borderId="16" xfId="49" applyFont="1" applyFill="1" applyBorder="1" applyAlignment="1">
      <alignment horizontal="left" vertical="top" wrapText="1"/>
    </xf>
    <xf numFmtId="0" fontId="4" fillId="0" borderId="16" xfId="49" applyFont="1" applyFill="1" applyBorder="1" applyAlignment="1">
      <alignment vertical="top"/>
    </xf>
    <xf numFmtId="2" fontId="4" fillId="0" borderId="16" xfId="49" applyNumberFormat="1" applyFont="1" applyFill="1" applyBorder="1" applyAlignment="1">
      <alignment horizontal="right" vertical="top"/>
    </xf>
    <xf numFmtId="169" fontId="4" fillId="0" borderId="16" xfId="49" applyNumberFormat="1" applyFont="1" applyFill="1" applyBorder="1" applyAlignment="1">
      <alignment horizontal="right"/>
    </xf>
    <xf numFmtId="169" fontId="4" fillId="0" borderId="16" xfId="49" applyNumberFormat="1" applyFont="1" applyFill="1" applyBorder="1" applyAlignment="1">
      <alignment horizontal="right" vertical="top"/>
    </xf>
    <xf numFmtId="169" fontId="4" fillId="0" borderId="16" xfId="49" applyNumberFormat="1" applyFont="1" applyFill="1" applyBorder="1"/>
    <xf numFmtId="2" fontId="4" fillId="0" borderId="16" xfId="49" applyNumberFormat="1" applyFont="1" applyFill="1" applyBorder="1" applyAlignment="1">
      <alignment horizontal="center" vertical="top" wrapText="1"/>
    </xf>
    <xf numFmtId="2" fontId="6" fillId="0" borderId="16" xfId="49" applyNumberFormat="1" applyFont="1" applyFill="1" applyBorder="1" applyAlignment="1" applyProtection="1">
      <alignment horizontal="justify" vertical="top" wrapText="1"/>
    </xf>
    <xf numFmtId="0" fontId="4" fillId="0" borderId="16" xfId="49" applyFont="1" applyFill="1" applyBorder="1" applyAlignment="1">
      <alignment horizontal="center" vertical="top"/>
    </xf>
    <xf numFmtId="2" fontId="6" fillId="0" borderId="16" xfId="49" applyNumberFormat="1" applyFont="1" applyFill="1" applyBorder="1" applyAlignment="1">
      <alignment horizontal="center" vertical="top"/>
    </xf>
    <xf numFmtId="2" fontId="9" fillId="0" borderId="16" xfId="49" applyNumberFormat="1" applyFont="1" applyFill="1" applyBorder="1" applyAlignment="1">
      <alignment horizontal="center"/>
    </xf>
    <xf numFmtId="2" fontId="9" fillId="0" borderId="16" xfId="49" applyNumberFormat="1" applyFont="1" applyFill="1" applyBorder="1" applyAlignment="1">
      <alignment horizontal="right"/>
    </xf>
    <xf numFmtId="2" fontId="4" fillId="0" borderId="16" xfId="49" applyNumberFormat="1" applyFont="1" applyFill="1" applyBorder="1" applyAlignment="1">
      <alignment horizontal="center"/>
    </xf>
    <xf numFmtId="0" fontId="4" fillId="0" borderId="0" xfId="49" applyFont="1" applyFill="1"/>
    <xf numFmtId="43" fontId="0" fillId="0" borderId="0" xfId="50" applyFont="1" applyFill="1"/>
    <xf numFmtId="170" fontId="4" fillId="0" borderId="16" xfId="50" applyNumberFormat="1" applyFont="1" applyFill="1" applyBorder="1"/>
    <xf numFmtId="0" fontId="4" fillId="0" borderId="16" xfId="49" applyFont="1" applyFill="1" applyBorder="1" applyAlignment="1">
      <alignment horizontal="left" vertical="top" wrapText="1"/>
    </xf>
    <xf numFmtId="0" fontId="9" fillId="0" borderId="16" xfId="49" applyFont="1" applyFill="1" applyBorder="1" applyAlignment="1">
      <alignment horizontal="left" vertical="top" wrapText="1"/>
    </xf>
    <xf numFmtId="169" fontId="31" fillId="0" borderId="16" xfId="49" applyNumberFormat="1" applyFont="1" applyFill="1" applyBorder="1"/>
    <xf numFmtId="169" fontId="22" fillId="0" borderId="16" xfId="49" applyNumberFormat="1" applyFont="1" applyFill="1" applyBorder="1" applyAlignment="1">
      <alignment horizontal="right" vertical="center" wrapText="1"/>
    </xf>
    <xf numFmtId="169" fontId="8" fillId="0" borderId="16" xfId="49" applyNumberFormat="1" applyFont="1" applyFill="1" applyBorder="1"/>
    <xf numFmtId="0" fontId="31" fillId="0" borderId="16" xfId="49" applyFill="1" applyBorder="1" applyAlignment="1">
      <alignment horizontal="center"/>
    </xf>
    <xf numFmtId="2" fontId="31" fillId="0" borderId="16" xfId="49" applyNumberFormat="1" applyFill="1" applyBorder="1"/>
    <xf numFmtId="2" fontId="31" fillId="0" borderId="16" xfId="49" applyNumberFormat="1" applyFill="1" applyBorder="1" applyAlignment="1">
      <alignment horizontal="right"/>
    </xf>
    <xf numFmtId="16" fontId="14" fillId="0" borderId="16" xfId="49" applyNumberFormat="1" applyFont="1" applyFill="1" applyBorder="1" applyAlignment="1">
      <alignment horizontal="left" vertical="center" wrapText="1"/>
    </xf>
    <xf numFmtId="0" fontId="31" fillId="0" borderId="0" xfId="49" applyFill="1" applyAlignment="1">
      <alignment vertical="center"/>
    </xf>
    <xf numFmtId="2" fontId="4" fillId="0" borderId="0" xfId="49" applyNumberFormat="1" applyFont="1" applyFill="1" applyBorder="1" applyAlignment="1">
      <alignment horizontal="center" vertical="center"/>
    </xf>
    <xf numFmtId="0" fontId="31" fillId="0" borderId="0" xfId="49" applyFill="1" applyAlignment="1">
      <alignment horizontal="left" vertical="center"/>
    </xf>
    <xf numFmtId="0" fontId="8" fillId="0" borderId="0" xfId="49" applyFont="1" applyFill="1"/>
    <xf numFmtId="0" fontId="9" fillId="0" borderId="16" xfId="49" applyFont="1" applyFill="1" applyBorder="1" applyAlignment="1">
      <alignment horizontal="center" vertical="top"/>
    </xf>
    <xf numFmtId="0" fontId="8" fillId="0" borderId="16" xfId="49" applyFont="1" applyFill="1" applyBorder="1" applyAlignment="1">
      <alignment horizontal="left" vertical="top" wrapText="1"/>
    </xf>
    <xf numFmtId="0" fontId="9" fillId="0" borderId="16" xfId="49" applyFont="1" applyFill="1" applyBorder="1" applyAlignment="1">
      <alignment horizontal="left" wrapText="1"/>
    </xf>
    <xf numFmtId="0" fontId="8" fillId="0" borderId="16" xfId="49" applyFont="1" applyFill="1" applyBorder="1" applyAlignment="1">
      <alignment horizontal="center" vertical="top"/>
    </xf>
    <xf numFmtId="0" fontId="22" fillId="0" borderId="16" xfId="49" applyFont="1" applyFill="1" applyBorder="1" applyAlignment="1">
      <alignment horizontal="center" vertical="top" wrapText="1"/>
    </xf>
    <xf numFmtId="2" fontId="22" fillId="0" borderId="16" xfId="49" applyNumberFormat="1" applyFont="1" applyFill="1" applyBorder="1" applyAlignment="1">
      <alignment horizontal="right" vertical="top" wrapText="1"/>
    </xf>
    <xf numFmtId="2" fontId="8" fillId="0" borderId="16" xfId="49" applyNumberFormat="1" applyFont="1" applyFill="1" applyBorder="1" applyAlignment="1">
      <alignment horizontal="right" vertical="top"/>
    </xf>
    <xf numFmtId="0" fontId="6" fillId="0" borderId="16" xfId="49" applyFont="1" applyFill="1" applyBorder="1" applyAlignment="1">
      <alignment horizontal="left" wrapText="1"/>
    </xf>
    <xf numFmtId="0" fontId="4" fillId="0" borderId="16" xfId="49" applyFont="1" applyFill="1" applyBorder="1" applyAlignment="1">
      <alignment horizontal="left" wrapText="1"/>
    </xf>
    <xf numFmtId="0" fontId="6" fillId="0" borderId="16" xfId="1" applyFont="1" applyFill="1" applyBorder="1" applyAlignment="1">
      <alignment horizontal="center" vertical="top"/>
    </xf>
    <xf numFmtId="16" fontId="14" fillId="0" borderId="16" xfId="1" applyNumberFormat="1" applyFont="1" applyFill="1" applyBorder="1" applyAlignment="1">
      <alignment horizontal="left" vertical="center" wrapText="1"/>
    </xf>
    <xf numFmtId="0" fontId="31" fillId="0" borderId="16" xfId="49" applyFont="1" applyFill="1" applyBorder="1" applyAlignment="1">
      <alignment horizontal="left"/>
    </xf>
    <xf numFmtId="168" fontId="21" fillId="0" borderId="16" xfId="49" applyNumberFormat="1" applyFont="1" applyFill="1" applyBorder="1" applyAlignment="1">
      <alignment horizontal="center" vertical="center" wrapText="1"/>
    </xf>
    <xf numFmtId="2" fontId="32" fillId="0" borderId="0" xfId="49" applyNumberFormat="1" applyFont="1" applyFill="1"/>
    <xf numFmtId="0" fontId="31" fillId="0" borderId="16" xfId="49" applyFill="1" applyBorder="1" applyAlignment="1">
      <alignment horizontal="right"/>
    </xf>
    <xf numFmtId="0" fontId="31" fillId="0" borderId="16" xfId="49" applyFill="1" applyBorder="1" applyAlignment="1">
      <alignment horizontal="left"/>
    </xf>
    <xf numFmtId="0" fontId="6" fillId="0" borderId="16" xfId="49" applyFont="1" applyFill="1" applyBorder="1" applyAlignment="1">
      <alignment horizontal="left"/>
    </xf>
    <xf numFmtId="0" fontId="4" fillId="0" borderId="16" xfId="49" applyFont="1" applyFill="1" applyBorder="1" applyAlignment="1">
      <alignment horizontal="right"/>
    </xf>
    <xf numFmtId="0" fontId="31" fillId="0" borderId="19" xfId="49" applyFill="1" applyBorder="1" applyAlignment="1">
      <alignment horizontal="center"/>
    </xf>
    <xf numFmtId="0" fontId="31" fillId="0" borderId="20" xfId="49" applyFill="1" applyBorder="1" applyAlignment="1">
      <alignment horizontal="right"/>
    </xf>
    <xf numFmtId="166" fontId="4" fillId="0" borderId="20" xfId="49" applyNumberFormat="1" applyFont="1" applyFill="1" applyBorder="1" applyAlignment="1">
      <alignment horizontal="center" vertical="top" wrapText="1"/>
    </xf>
    <xf numFmtId="0" fontId="21" fillId="0" borderId="20" xfId="49" applyFont="1" applyFill="1" applyBorder="1" applyAlignment="1">
      <alignment horizontal="center" vertical="center" wrapText="1"/>
    </xf>
    <xf numFmtId="2" fontId="21" fillId="0" borderId="20" xfId="49" applyNumberFormat="1" applyFont="1" applyFill="1" applyBorder="1" applyAlignment="1">
      <alignment horizontal="right" vertical="center" wrapText="1"/>
    </xf>
    <xf numFmtId="2" fontId="6" fillId="0" borderId="20" xfId="49" applyNumberFormat="1" applyFont="1" applyFill="1" applyBorder="1" applyAlignment="1">
      <alignment horizontal="center"/>
    </xf>
    <xf numFmtId="2" fontId="6" fillId="0" borderId="21" xfId="49" applyNumberFormat="1" applyFont="1" applyFill="1" applyBorder="1" applyAlignment="1">
      <alignment horizontal="right"/>
    </xf>
    <xf numFmtId="0" fontId="31" fillId="0" borderId="16" xfId="49" applyFill="1" applyBorder="1"/>
    <xf numFmtId="0" fontId="6" fillId="0" borderId="16" xfId="49" applyFont="1" applyFill="1" applyBorder="1" applyAlignment="1">
      <alignment horizontal="left" vertical="center" wrapText="1"/>
    </xf>
    <xf numFmtId="0" fontId="4" fillId="0" borderId="16" xfId="49" applyFont="1" applyFill="1" applyBorder="1"/>
    <xf numFmtId="0" fontId="4" fillId="0" borderId="16" xfId="49" applyFont="1" applyFill="1" applyBorder="1" applyAlignment="1">
      <alignment horizontal="left" vertical="center" wrapText="1"/>
    </xf>
    <xf numFmtId="0" fontId="8" fillId="0" borderId="16" xfId="49" applyFont="1" applyFill="1" applyBorder="1"/>
    <xf numFmtId="0" fontId="4" fillId="0" borderId="16" xfId="49" applyFont="1" applyFill="1" applyBorder="1" applyAlignment="1">
      <alignment horizontal="justify" vertical="top" wrapText="1"/>
    </xf>
    <xf numFmtId="0" fontId="6" fillId="0" borderId="16" xfId="1" applyFont="1" applyFill="1" applyBorder="1" applyAlignment="1">
      <alignment vertical="top"/>
    </xf>
    <xf numFmtId="0" fontId="4" fillId="0" borderId="16" xfId="1" applyFill="1" applyBorder="1" applyAlignment="1">
      <alignment vertical="top"/>
    </xf>
    <xf numFmtId="0" fontId="0" fillId="0" borderId="16" xfId="0" applyFill="1" applyBorder="1"/>
    <xf numFmtId="0" fontId="0" fillId="0" borderId="16" xfId="0" applyFill="1" applyBorder="1" applyAlignment="1">
      <alignment horizontal="center"/>
    </xf>
    <xf numFmtId="2" fontId="0" fillId="0" borderId="16" xfId="0" applyNumberFormat="1" applyFill="1" applyBorder="1"/>
    <xf numFmtId="2" fontId="4" fillId="0" borderId="16" xfId="0" applyNumberFormat="1" applyFont="1" applyFill="1" applyBorder="1" applyAlignment="1">
      <alignment horizontal="right"/>
    </xf>
    <xf numFmtId="2" fontId="4" fillId="0" borderId="16" xfId="1" applyNumberFormat="1" applyFill="1" applyBorder="1"/>
    <xf numFmtId="0" fontId="6" fillId="0" borderId="16" xfId="0" applyFont="1" applyFill="1" applyBorder="1" applyAlignment="1">
      <alignment horizontal="left" wrapText="1"/>
    </xf>
    <xf numFmtId="0" fontId="6" fillId="0" borderId="16" xfId="1" applyFont="1" applyFill="1" applyBorder="1" applyAlignment="1">
      <alignment horizontal="left" wrapText="1"/>
    </xf>
    <xf numFmtId="2" fontId="6" fillId="0" borderId="16" xfId="1" applyNumberFormat="1" applyFont="1" applyFill="1" applyBorder="1" applyAlignment="1">
      <alignment horizontal="right" vertical="top"/>
    </xf>
    <xf numFmtId="0" fontId="4" fillId="0" borderId="16" xfId="1" applyFill="1" applyBorder="1" applyAlignment="1">
      <alignment horizontal="right"/>
    </xf>
    <xf numFmtId="2" fontId="4" fillId="0" borderId="0" xfId="1" applyNumberFormat="1" applyFill="1" applyBorder="1"/>
    <xf numFmtId="0" fontId="4" fillId="0" borderId="0" xfId="1" applyFill="1" applyAlignment="1">
      <alignment horizontal="right"/>
    </xf>
    <xf numFmtId="0" fontId="14" fillId="0" borderId="22"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4" xfId="0" applyFont="1" applyFill="1" applyBorder="1" applyAlignment="1">
      <alignment horizontal="right" vertical="center"/>
    </xf>
    <xf numFmtId="0" fontId="34" fillId="0" borderId="0" xfId="0" applyFont="1"/>
    <xf numFmtId="0" fontId="6" fillId="0" borderId="1" xfId="1" applyFont="1" applyFill="1" applyBorder="1" applyAlignment="1">
      <alignment horizontal="center" vertical="center" wrapText="1"/>
    </xf>
    <xf numFmtId="0" fontId="4" fillId="0" borderId="0" xfId="1" applyFill="1"/>
    <xf numFmtId="0" fontId="4" fillId="0" borderId="16" xfId="1" applyFont="1" applyFill="1" applyBorder="1"/>
    <xf numFmtId="2" fontId="9" fillId="0" borderId="16" xfId="1" applyNumberFormat="1" applyFont="1" applyFill="1" applyBorder="1" applyAlignment="1">
      <alignment horizontal="right"/>
    </xf>
    <xf numFmtId="0" fontId="9" fillId="0" borderId="16" xfId="1" applyFont="1" applyFill="1" applyBorder="1" applyAlignment="1">
      <alignment horizontal="left" vertical="top" wrapText="1"/>
    </xf>
    <xf numFmtId="0" fontId="4" fillId="0" borderId="0" xfId="1" applyFill="1"/>
    <xf numFmtId="0" fontId="4" fillId="0" borderId="0" xfId="1" applyFill="1"/>
    <xf numFmtId="0" fontId="6" fillId="0" borderId="3" xfId="1" applyFont="1" applyFill="1" applyBorder="1" applyAlignment="1">
      <alignment horizontal="left" vertical="top" wrapText="1"/>
    </xf>
    <xf numFmtId="2" fontId="4" fillId="0" borderId="3" xfId="0" applyNumberFormat="1" applyFont="1" applyFill="1" applyBorder="1" applyAlignment="1" applyProtection="1">
      <alignment horizontal="justify" vertical="top" wrapText="1"/>
    </xf>
    <xf numFmtId="0" fontId="15" fillId="0" borderId="6" xfId="1" applyFont="1" applyFill="1" applyBorder="1" applyAlignment="1">
      <alignment horizontal="justify" vertical="top" wrapText="1"/>
    </xf>
    <xf numFmtId="0" fontId="16" fillId="0" borderId="7" xfId="1" applyFont="1" applyFill="1" applyBorder="1" applyAlignment="1">
      <alignment horizontal="justify" vertical="top" wrapText="1"/>
    </xf>
    <xf numFmtId="0" fontId="15" fillId="0" borderId="15" xfId="1" applyFont="1" applyFill="1" applyBorder="1" applyAlignment="1">
      <alignment vertical="top" wrapText="1"/>
    </xf>
    <xf numFmtId="0" fontId="15" fillId="0" borderId="12" xfId="1" applyFont="1" applyFill="1" applyBorder="1" applyAlignment="1">
      <alignment horizontal="justify" vertical="top" wrapText="1"/>
    </xf>
    <xf numFmtId="0" fontId="15" fillId="0" borderId="12" xfId="1" applyFont="1" applyFill="1" applyBorder="1" applyAlignment="1">
      <alignment vertical="top" wrapText="1"/>
    </xf>
    <xf numFmtId="0" fontId="15" fillId="0" borderId="9" xfId="1" applyFont="1" applyFill="1" applyBorder="1" applyAlignment="1">
      <alignment horizontal="center" vertical="top" wrapText="1"/>
    </xf>
    <xf numFmtId="0" fontId="15" fillId="0" borderId="12" xfId="1" applyFont="1" applyFill="1" applyBorder="1" applyAlignment="1">
      <alignment horizontal="center" vertical="top" wrapText="1"/>
    </xf>
    <xf numFmtId="0" fontId="17" fillId="0" borderId="25" xfId="1" applyFont="1" applyFill="1" applyBorder="1" applyAlignment="1">
      <alignment horizontal="justify" vertical="top" wrapText="1"/>
    </xf>
    <xf numFmtId="0" fontId="15" fillId="0" borderId="25" xfId="1" applyFont="1" applyFill="1" applyBorder="1" applyAlignment="1">
      <alignment vertical="top" wrapText="1"/>
    </xf>
    <xf numFmtId="0" fontId="15" fillId="0" borderId="25" xfId="1" applyFont="1" applyFill="1" applyBorder="1" applyAlignment="1">
      <alignment horizontal="justify" vertical="top" wrapText="1"/>
    </xf>
    <xf numFmtId="0" fontId="15" fillId="0" borderId="25" xfId="1" applyFont="1" applyFill="1" applyBorder="1" applyAlignment="1">
      <alignment horizontal="center" vertical="top" wrapText="1"/>
    </xf>
    <xf numFmtId="0" fontId="6" fillId="0" borderId="16" xfId="1" applyFont="1" applyFill="1" applyBorder="1" applyAlignment="1">
      <alignment horizontal="center"/>
    </xf>
    <xf numFmtId="0" fontId="4" fillId="0" borderId="16" xfId="1" applyFill="1" applyBorder="1" applyAlignment="1">
      <alignment horizontal="center"/>
    </xf>
    <xf numFmtId="0" fontId="4" fillId="0" borderId="0" xfId="1" applyFill="1"/>
    <xf numFmtId="0" fontId="4" fillId="0" borderId="0" xfId="1" applyFill="1"/>
    <xf numFmtId="0" fontId="4" fillId="0" borderId="0" xfId="1" applyFill="1"/>
    <xf numFmtId="0" fontId="36" fillId="0" borderId="0" xfId="0" applyFont="1"/>
    <xf numFmtId="0" fontId="4" fillId="0" borderId="0" xfId="1" applyFill="1"/>
    <xf numFmtId="0" fontId="6" fillId="0" borderId="3" xfId="1" applyFont="1" applyFill="1" applyBorder="1" applyAlignment="1">
      <alignment horizontal="right" vertical="top" wrapText="1"/>
    </xf>
    <xf numFmtId="167" fontId="6" fillId="0" borderId="3" xfId="3" applyNumberFormat="1" applyFont="1" applyFill="1" applyBorder="1" applyAlignment="1">
      <alignment horizontal="center" vertical="top"/>
    </xf>
    <xf numFmtId="167" fontId="14" fillId="0" borderId="4" xfId="51" applyNumberFormat="1" applyFont="1" applyFill="1" applyBorder="1" applyAlignment="1">
      <alignment horizontal="right" vertical="center"/>
    </xf>
    <xf numFmtId="0" fontId="21" fillId="0" borderId="16" xfId="1" applyFont="1" applyFill="1" applyBorder="1" applyAlignment="1">
      <alignment horizontal="center" vertical="top" wrapText="1"/>
    </xf>
    <xf numFmtId="2" fontId="4" fillId="0" borderId="16" xfId="1" applyNumberFormat="1" applyFill="1" applyBorder="1" applyAlignment="1">
      <alignment horizontal="right"/>
    </xf>
    <xf numFmtId="2" fontId="0" fillId="0" borderId="16" xfId="0" applyNumberFormat="1" applyFill="1" applyBorder="1" applyAlignment="1"/>
    <xf numFmtId="2" fontId="6" fillId="0" borderId="16" xfId="0" applyNumberFormat="1" applyFont="1" applyFill="1" applyBorder="1" applyAlignment="1">
      <alignment horizontal="right"/>
    </xf>
    <xf numFmtId="0" fontId="4" fillId="0" borderId="0" xfId="1" applyFill="1"/>
    <xf numFmtId="0" fontId="4" fillId="0" borderId="0" xfId="1" applyFill="1"/>
    <xf numFmtId="0" fontId="12" fillId="0" borderId="3" xfId="0" applyFont="1" applyFill="1" applyBorder="1" applyAlignment="1">
      <alignment horizontal="right" vertical="center"/>
    </xf>
    <xf numFmtId="169" fontId="4" fillId="0" borderId="0" xfId="1" applyNumberFormat="1" applyFill="1"/>
    <xf numFmtId="0" fontId="4" fillId="0" borderId="0" xfId="1" applyFill="1"/>
    <xf numFmtId="0" fontId="4" fillId="0" borderId="0" xfId="1" applyFill="1"/>
    <xf numFmtId="2" fontId="0" fillId="0" borderId="16" xfId="0" applyNumberFormat="1" applyFont="1" applyFill="1" applyBorder="1" applyAlignment="1">
      <alignment horizontal="right"/>
    </xf>
    <xf numFmtId="0" fontId="19" fillId="0" borderId="16" xfId="1" applyFont="1" applyFill="1" applyBorder="1" applyAlignment="1">
      <alignment vertical="center" wrapText="1"/>
    </xf>
    <xf numFmtId="2" fontId="4" fillId="0" borderId="16" xfId="1" applyNumberFormat="1" applyFont="1" applyFill="1" applyBorder="1" applyAlignment="1" applyProtection="1">
      <alignment horizontal="justify" vertical="top" wrapText="1"/>
    </xf>
    <xf numFmtId="0" fontId="4" fillId="0" borderId="0" xfId="1" applyFill="1"/>
    <xf numFmtId="0" fontId="19" fillId="4" borderId="16" xfId="1" applyFont="1" applyFill="1" applyBorder="1" applyAlignment="1">
      <alignment horizontal="center" vertical="center" wrapText="1"/>
    </xf>
    <xf numFmtId="0" fontId="6" fillId="4" borderId="16" xfId="1" applyFont="1" applyFill="1" applyBorder="1" applyAlignment="1">
      <alignment horizontal="left" vertical="center" wrapText="1"/>
    </xf>
    <xf numFmtId="0" fontId="20" fillId="4" borderId="16" xfId="1" applyFont="1" applyFill="1" applyBorder="1" applyAlignment="1">
      <alignment horizontal="center"/>
    </xf>
    <xf numFmtId="0" fontId="6" fillId="4" borderId="16" xfId="1" applyFont="1" applyFill="1" applyBorder="1" applyAlignment="1">
      <alignment horizontal="center" vertical="top"/>
    </xf>
    <xf numFmtId="0" fontId="6" fillId="4" borderId="16" xfId="1" applyFont="1" applyFill="1" applyBorder="1" applyAlignment="1">
      <alignment vertical="top"/>
    </xf>
    <xf numFmtId="0" fontId="4" fillId="4" borderId="16" xfId="1" applyFont="1" applyFill="1" applyBorder="1"/>
    <xf numFmtId="0" fontId="0" fillId="4" borderId="16" xfId="0" applyFill="1" applyBorder="1" applyAlignment="1">
      <alignment horizontal="center"/>
    </xf>
    <xf numFmtId="2" fontId="0" fillId="4" borderId="16" xfId="0" applyNumberFormat="1" applyFill="1" applyBorder="1" applyAlignment="1"/>
    <xf numFmtId="2" fontId="35" fillId="4" borderId="16" xfId="0" applyNumberFormat="1" applyFont="1" applyFill="1" applyBorder="1" applyAlignment="1">
      <alignment horizontal="center"/>
    </xf>
    <xf numFmtId="2" fontId="6" fillId="4" borderId="16" xfId="0" applyNumberFormat="1" applyFont="1" applyFill="1" applyBorder="1" applyAlignment="1">
      <alignment horizontal="right"/>
    </xf>
    <xf numFmtId="0" fontId="4" fillId="0" borderId="16" xfId="1" applyFont="1" applyFill="1" applyBorder="1" applyAlignment="1">
      <alignment horizontal="right"/>
    </xf>
    <xf numFmtId="169" fontId="4" fillId="0" borderId="16" xfId="1" applyNumberFormat="1" applyFont="1" applyFill="1" applyBorder="1" applyAlignment="1">
      <alignment horizontal="center"/>
    </xf>
    <xf numFmtId="2" fontId="4" fillId="0" borderId="16" xfId="1" applyNumberFormat="1" applyFont="1" applyFill="1" applyBorder="1" applyAlignment="1">
      <alignment horizontal="right" vertical="top"/>
    </xf>
    <xf numFmtId="2" fontId="21" fillId="0" borderId="16" xfId="1" applyNumberFormat="1" applyFont="1" applyFill="1" applyBorder="1" applyAlignment="1">
      <alignment vertical="center" wrapText="1"/>
    </xf>
    <xf numFmtId="0" fontId="6" fillId="0" borderId="16" xfId="1" applyFont="1" applyFill="1" applyBorder="1" applyAlignment="1">
      <alignment horizontal="left" vertical="top" wrapText="1"/>
    </xf>
    <xf numFmtId="0" fontId="21" fillId="0" borderId="16" xfId="1" applyFont="1" applyFill="1" applyBorder="1" applyAlignment="1">
      <alignment horizontal="left" vertical="center" wrapText="1"/>
    </xf>
    <xf numFmtId="2" fontId="35" fillId="0" borderId="16" xfId="0" applyNumberFormat="1" applyFont="1" applyFill="1" applyBorder="1" applyAlignment="1">
      <alignment horizontal="center"/>
    </xf>
    <xf numFmtId="2" fontId="4" fillId="0" borderId="16" xfId="1" applyNumberFormat="1" applyFont="1" applyFill="1" applyBorder="1" applyAlignment="1"/>
    <xf numFmtId="0" fontId="14" fillId="0" borderId="0" xfId="0" applyFont="1" applyFill="1" applyAlignment="1">
      <alignment vertical="top"/>
    </xf>
    <xf numFmtId="0" fontId="35" fillId="0" borderId="1" xfId="0" applyFont="1" applyFill="1" applyBorder="1" applyAlignment="1">
      <alignment horizontal="center"/>
    </xf>
    <xf numFmtId="0" fontId="0" fillId="0" borderId="1" xfId="0" applyFill="1" applyBorder="1"/>
    <xf numFmtId="167" fontId="0" fillId="0" borderId="3" xfId="51" applyNumberFormat="1" applyFont="1" applyFill="1" applyBorder="1"/>
    <xf numFmtId="0" fontId="35" fillId="0" borderId="3" xfId="0" applyFont="1" applyFill="1" applyBorder="1" applyAlignment="1">
      <alignment horizontal="center"/>
    </xf>
    <xf numFmtId="0" fontId="34" fillId="0" borderId="0" xfId="0" applyFont="1" applyAlignment="1">
      <alignment horizontal="right"/>
    </xf>
    <xf numFmtId="0" fontId="6" fillId="3" borderId="3" xfId="1" applyFont="1" applyFill="1" applyBorder="1" applyAlignment="1">
      <alignment horizontal="center" vertical="center" wrapText="1"/>
    </xf>
    <xf numFmtId="0" fontId="6" fillId="3" borderId="3" xfId="1" applyFont="1" applyFill="1" applyBorder="1" applyAlignment="1">
      <alignment horizontal="left" vertical="center" wrapText="1"/>
    </xf>
    <xf numFmtId="166" fontId="4" fillId="3" borderId="3" xfId="1" applyNumberFormat="1" applyFont="1" applyFill="1" applyBorder="1" applyAlignment="1">
      <alignment horizontal="center" vertical="top" wrapText="1"/>
    </xf>
    <xf numFmtId="1" fontId="4" fillId="3" borderId="3" xfId="1" applyNumberFormat="1" applyFont="1" applyFill="1" applyBorder="1" applyAlignment="1">
      <alignment horizontal="center" vertical="top" wrapText="1"/>
    </xf>
    <xf numFmtId="1" fontId="4" fillId="3" borderId="3" xfId="1" applyNumberFormat="1" applyFont="1" applyFill="1" applyBorder="1" applyAlignment="1">
      <alignment horizontal="center" vertical="top"/>
    </xf>
    <xf numFmtId="167" fontId="6" fillId="3" borderId="3" xfId="3" applyNumberFormat="1" applyFont="1" applyFill="1" applyBorder="1" applyAlignment="1">
      <alignment horizontal="center" vertical="top"/>
    </xf>
    <xf numFmtId="0" fontId="4" fillId="0" borderId="3" xfId="2" applyFont="1" applyFill="1" applyBorder="1" applyAlignment="1">
      <alignment horizontal="left" vertical="top" wrapText="1"/>
    </xf>
    <xf numFmtId="166" fontId="4" fillId="0" borderId="3" xfId="4" applyNumberFormat="1" applyFont="1" applyFill="1" applyBorder="1" applyAlignment="1">
      <alignment horizontal="center" vertical="top" wrapText="1"/>
    </xf>
    <xf numFmtId="2" fontId="6" fillId="0" borderId="3" xfId="1" applyNumberFormat="1" applyFont="1" applyFill="1" applyBorder="1" applyAlignment="1" applyProtection="1">
      <alignment horizontal="justify" vertical="top" wrapText="1"/>
    </xf>
    <xf numFmtId="168" fontId="4" fillId="0" borderId="3" xfId="1" applyNumberFormat="1" applyFont="1" applyFill="1" applyBorder="1" applyAlignment="1">
      <alignment horizontal="center" vertical="top" wrapText="1"/>
    </xf>
    <xf numFmtId="0" fontId="4" fillId="0" borderId="3" xfId="1" applyFont="1" applyFill="1" applyBorder="1" applyAlignment="1">
      <alignment horizontal="justify" vertical="top" wrapText="1"/>
    </xf>
    <xf numFmtId="0" fontId="4" fillId="0" borderId="3" xfId="1" applyFont="1" applyFill="1" applyBorder="1" applyAlignment="1">
      <alignment horizontal="center" vertical="top"/>
    </xf>
    <xf numFmtId="1" fontId="4" fillId="0" borderId="3" xfId="0" applyNumberFormat="1" applyFont="1" applyFill="1" applyBorder="1" applyAlignment="1">
      <alignment horizontal="center" vertical="top"/>
    </xf>
    <xf numFmtId="0" fontId="4" fillId="0" borderId="3" xfId="54" applyFont="1" applyFill="1" applyBorder="1" applyAlignment="1" applyProtection="1">
      <alignment horizontal="center" vertical="top"/>
      <protection locked="0"/>
    </xf>
    <xf numFmtId="0" fontId="4" fillId="0" borderId="3" xfId="54" applyFont="1" applyFill="1" applyBorder="1" applyAlignment="1" applyProtection="1">
      <alignment horizontal="center" vertical="top" wrapText="1"/>
      <protection locked="0"/>
    </xf>
    <xf numFmtId="0" fontId="4" fillId="0" borderId="3" xfId="1" applyFont="1" applyFill="1" applyBorder="1" applyAlignment="1">
      <alignment vertical="top" wrapText="1"/>
    </xf>
    <xf numFmtId="0" fontId="4" fillId="0" borderId="3" xfId="54" applyFont="1" applyFill="1" applyBorder="1" applyAlignment="1">
      <alignment horizontal="center" vertical="top" wrapText="1"/>
    </xf>
    <xf numFmtId="0" fontId="4" fillId="0" borderId="3" xfId="55" applyFont="1" applyFill="1" applyBorder="1" applyAlignment="1">
      <alignment horizontal="justify" vertical="top" wrapText="1"/>
    </xf>
    <xf numFmtId="0" fontId="6" fillId="0" borderId="3" xfId="1" applyFont="1" applyFill="1" applyBorder="1" applyAlignment="1">
      <alignment vertical="top" wrapText="1"/>
    </xf>
    <xf numFmtId="2" fontId="6" fillId="0" borderId="3" xfId="54" quotePrefix="1" applyNumberFormat="1" applyFont="1" applyFill="1" applyBorder="1" applyAlignment="1" applyProtection="1">
      <alignment horizontal="center" vertical="top" wrapText="1"/>
      <protection locked="0"/>
    </xf>
    <xf numFmtId="0" fontId="2" fillId="0" borderId="0" xfId="0" applyFont="1" applyFill="1" applyAlignment="1">
      <alignment vertical="top" wrapText="1"/>
    </xf>
    <xf numFmtId="0" fontId="4" fillId="0" borderId="0" xfId="1" applyFill="1"/>
    <xf numFmtId="43" fontId="0" fillId="0" borderId="0" xfId="0" applyNumberFormat="1" applyBorder="1"/>
    <xf numFmtId="0" fontId="0" fillId="0" borderId="0" xfId="0" applyBorder="1"/>
    <xf numFmtId="0" fontId="4" fillId="0" borderId="0" xfId="1" applyFill="1"/>
    <xf numFmtId="0" fontId="4" fillId="0" borderId="0" xfId="1" applyFill="1"/>
    <xf numFmtId="0" fontId="34" fillId="0" borderId="3" xfId="0" applyFont="1" applyFill="1" applyBorder="1"/>
    <xf numFmtId="167" fontId="34" fillId="0" borderId="3" xfId="51" applyNumberFormat="1" applyFont="1" applyFill="1" applyBorder="1"/>
    <xf numFmtId="168" fontId="6" fillId="2" borderId="3" xfId="1" applyNumberFormat="1" applyFont="1" applyFill="1" applyBorder="1" applyAlignment="1">
      <alignment horizontal="center" vertical="center" wrapText="1"/>
    </xf>
    <xf numFmtId="0" fontId="35" fillId="0" borderId="9" xfId="0" applyFont="1" applyFill="1" applyBorder="1"/>
    <xf numFmtId="0" fontId="14" fillId="0" borderId="26" xfId="0" applyFont="1" applyFill="1" applyBorder="1" applyAlignment="1">
      <alignment horizontal="center" vertical="center"/>
    </xf>
    <xf numFmtId="0" fontId="14" fillId="0" borderId="2" xfId="0" applyFont="1" applyFill="1" applyBorder="1" applyAlignment="1">
      <alignment vertical="center"/>
    </xf>
    <xf numFmtId="0" fontId="12" fillId="0" borderId="0" xfId="0" applyFont="1" applyFill="1" applyAlignment="1">
      <alignment vertical="top"/>
    </xf>
    <xf numFmtId="167" fontId="0" fillId="0" borderId="0" xfId="0" applyNumberFormat="1"/>
    <xf numFmtId="0" fontId="35" fillId="0" borderId="7" xfId="0" applyFont="1" applyFill="1" applyBorder="1"/>
    <xf numFmtId="0" fontId="12" fillId="0" borderId="9" xfId="0" applyFont="1" applyFill="1" applyBorder="1" applyAlignment="1">
      <alignment horizontal="justify" vertical="center"/>
    </xf>
    <xf numFmtId="2" fontId="12" fillId="0" borderId="9" xfId="0" applyNumberFormat="1" applyFont="1" applyFill="1" applyBorder="1" applyAlignment="1">
      <alignment horizontal="justify" vertical="center"/>
    </xf>
    <xf numFmtId="0" fontId="34" fillId="0" borderId="9" xfId="0" applyFont="1" applyFill="1" applyBorder="1"/>
    <xf numFmtId="0" fontId="4" fillId="0" borderId="3" xfId="47" applyFont="1" applyFill="1" applyBorder="1" applyAlignment="1">
      <alignment horizontal="justify" vertical="top" wrapText="1"/>
    </xf>
    <xf numFmtId="0" fontId="4" fillId="0" borderId="3" xfId="0" applyFont="1" applyFill="1" applyBorder="1" applyAlignment="1">
      <alignment horizontal="center" vertical="top"/>
    </xf>
    <xf numFmtId="3" fontId="4" fillId="0" borderId="3" xfId="0" applyNumberFormat="1" applyFont="1" applyFill="1" applyBorder="1" applyAlignment="1">
      <alignment horizontal="center" vertical="top"/>
    </xf>
    <xf numFmtId="0" fontId="30" fillId="0" borderId="3" xfId="0" applyFont="1" applyFill="1" applyBorder="1" applyAlignment="1">
      <alignment vertical="top"/>
    </xf>
    <xf numFmtId="0" fontId="3" fillId="0" borderId="3" xfId="1" applyFont="1" applyFill="1" applyBorder="1" applyAlignment="1" applyProtection="1">
      <alignment horizontal="justify" vertical="top" wrapText="1"/>
    </xf>
    <xf numFmtId="0" fontId="4" fillId="0" borderId="3" xfId="0" applyFont="1" applyFill="1" applyBorder="1" applyAlignment="1">
      <alignment horizontal="center" vertical="top" wrapText="1"/>
    </xf>
    <xf numFmtId="0" fontId="6" fillId="0" borderId="3" xfId="0" applyFont="1" applyFill="1" applyBorder="1" applyAlignment="1">
      <alignment horizontal="center" vertical="top"/>
    </xf>
    <xf numFmtId="2" fontId="4" fillId="0" borderId="3" xfId="0" applyNumberFormat="1" applyFont="1" applyFill="1" applyBorder="1" applyAlignment="1">
      <alignment horizontal="center" vertical="top"/>
    </xf>
    <xf numFmtId="3" fontId="4" fillId="0" borderId="3" xfId="0" applyNumberFormat="1" applyFont="1" applyFill="1" applyBorder="1" applyAlignment="1">
      <alignment horizontal="center" vertical="top" wrapText="1"/>
    </xf>
    <xf numFmtId="0" fontId="4" fillId="0" borderId="3" xfId="0" applyFont="1" applyFill="1" applyBorder="1" applyAlignment="1">
      <alignment vertical="top" wrapText="1"/>
    </xf>
    <xf numFmtId="2" fontId="4" fillId="0" borderId="3" xfId="7" applyNumberFormat="1" applyFont="1" applyFill="1" applyBorder="1" applyAlignment="1" applyProtection="1">
      <alignment horizontal="justify" vertical="top" wrapText="1"/>
    </xf>
    <xf numFmtId="0" fontId="6" fillId="0" borderId="3" xfId="0" applyFont="1" applyFill="1" applyBorder="1" applyAlignment="1">
      <alignment horizontal="left" vertical="center" wrapText="1"/>
    </xf>
    <xf numFmtId="167" fontId="4" fillId="0" borderId="3" xfId="51" applyNumberFormat="1" applyFont="1" applyFill="1" applyBorder="1" applyAlignment="1">
      <alignment horizontal="right" vertical="top"/>
    </xf>
    <xf numFmtId="0" fontId="6" fillId="0" borderId="3" xfId="1" applyFont="1" applyFill="1" applyBorder="1" applyAlignment="1">
      <alignment horizontal="center" vertical="top" wrapText="1"/>
    </xf>
    <xf numFmtId="0" fontId="4" fillId="0" borderId="16" xfId="1" applyFont="1" applyFill="1" applyBorder="1" applyAlignment="1">
      <alignment horizontal="center" vertical="top"/>
    </xf>
    <xf numFmtId="0" fontId="4" fillId="0" borderId="16" xfId="1" applyFont="1" applyFill="1" applyBorder="1" applyAlignment="1">
      <alignment vertical="top"/>
    </xf>
    <xf numFmtId="0" fontId="6" fillId="0" borderId="16" xfId="1" applyFont="1" applyFill="1" applyBorder="1" applyAlignment="1">
      <alignment horizontal="right" wrapText="1"/>
    </xf>
    <xf numFmtId="169" fontId="0" fillId="0" borderId="16" xfId="0" applyNumberFormat="1" applyFont="1" applyFill="1" applyBorder="1" applyAlignment="1">
      <alignment horizontal="right"/>
    </xf>
    <xf numFmtId="0" fontId="0" fillId="0" borderId="16" xfId="0" applyFill="1" applyBorder="1" applyAlignment="1">
      <alignment horizontal="right"/>
    </xf>
    <xf numFmtId="0" fontId="17" fillId="0" borderId="16" xfId="1" applyFont="1" applyFill="1" applyBorder="1" applyAlignment="1">
      <alignment horizontal="left" vertical="top" wrapText="1"/>
    </xf>
    <xf numFmtId="0" fontId="16" fillId="0" borderId="16" xfId="1" applyFont="1" applyFill="1" applyBorder="1" applyAlignment="1">
      <alignment horizontal="center" vertical="top" wrapText="1"/>
    </xf>
    <xf numFmtId="0" fontId="4" fillId="0" borderId="0" xfId="1" applyFill="1"/>
    <xf numFmtId="0" fontId="16" fillId="0" borderId="16" xfId="1" applyFont="1" applyFill="1" applyBorder="1" applyAlignment="1">
      <alignment horizontal="center" vertical="top" wrapText="1"/>
    </xf>
    <xf numFmtId="0" fontId="19" fillId="0" borderId="16" xfId="1" applyFont="1" applyFill="1" applyBorder="1" applyAlignment="1">
      <alignment horizontal="center" vertical="center" wrapText="1"/>
    </xf>
    <xf numFmtId="2" fontId="21" fillId="0" borderId="16" xfId="1" applyNumberFormat="1" applyFont="1" applyFill="1" applyBorder="1" applyAlignment="1">
      <alignment horizontal="center" vertical="center" wrapText="1"/>
    </xf>
    <xf numFmtId="2" fontId="6" fillId="0" borderId="16" xfId="1" applyNumberFormat="1" applyFont="1" applyFill="1" applyBorder="1" applyAlignment="1">
      <alignment horizontal="center"/>
    </xf>
    <xf numFmtId="0" fontId="4" fillId="0" borderId="0" xfId="1" applyFill="1"/>
    <xf numFmtId="2" fontId="35" fillId="0" borderId="16" xfId="0" applyNumberFormat="1" applyFont="1" applyFill="1" applyBorder="1" applyAlignment="1">
      <alignment horizontal="center"/>
    </xf>
    <xf numFmtId="2" fontId="0" fillId="0" borderId="16" xfId="0" applyNumberFormat="1" applyFill="1" applyBorder="1" applyAlignment="1">
      <alignment horizontal="center"/>
    </xf>
    <xf numFmtId="2" fontId="21" fillId="0" borderId="17" xfId="1" applyNumberFormat="1" applyFont="1" applyFill="1" applyBorder="1" applyAlignment="1">
      <alignment horizontal="right" vertical="center" wrapText="1"/>
    </xf>
    <xf numFmtId="0" fontId="6" fillId="0" borderId="16" xfId="1" applyFont="1" applyFill="1" applyBorder="1" applyAlignment="1">
      <alignment horizontal="left"/>
    </xf>
    <xf numFmtId="0" fontId="4" fillId="0" borderId="16" xfId="1" applyFill="1" applyBorder="1" applyAlignment="1">
      <alignment horizontal="left"/>
    </xf>
    <xf numFmtId="169" fontId="21" fillId="0" borderId="16" xfId="1" applyNumberFormat="1" applyFont="1" applyFill="1" applyBorder="1" applyAlignment="1">
      <alignment horizontal="right" vertical="center" wrapText="1"/>
    </xf>
    <xf numFmtId="0" fontId="6" fillId="0" borderId="16" xfId="1" applyFont="1" applyFill="1" applyBorder="1"/>
    <xf numFmtId="0" fontId="20" fillId="0" borderId="16" xfId="1" applyFont="1" applyFill="1" applyBorder="1" applyAlignment="1">
      <alignment horizontal="center"/>
    </xf>
    <xf numFmtId="169" fontId="4" fillId="0" borderId="16" xfId="1" applyNumberFormat="1" applyFont="1" applyFill="1" applyBorder="1" applyAlignment="1">
      <alignment horizontal="right"/>
    </xf>
    <xf numFmtId="169" fontId="21" fillId="0" borderId="16" xfId="1" applyNumberFormat="1" applyFont="1" applyFill="1" applyBorder="1" applyAlignment="1">
      <alignment vertical="center" wrapText="1"/>
    </xf>
    <xf numFmtId="0" fontId="21" fillId="0" borderId="16" xfId="1" applyFont="1" applyFill="1" applyBorder="1" applyAlignment="1">
      <alignment horizontal="center" wrapText="1"/>
    </xf>
    <xf numFmtId="2" fontId="21" fillId="0" borderId="16" xfId="1" applyNumberFormat="1" applyFont="1" applyFill="1" applyBorder="1" applyAlignment="1">
      <alignment horizontal="center" wrapText="1"/>
    </xf>
    <xf numFmtId="169" fontId="4" fillId="0" borderId="16" xfId="1" applyNumberFormat="1" applyFont="1" applyFill="1" applyBorder="1"/>
    <xf numFmtId="2" fontId="6" fillId="0" borderId="16" xfId="53" applyNumberFormat="1" applyFont="1" applyFill="1" applyBorder="1" applyAlignment="1">
      <alignment horizontal="right"/>
    </xf>
    <xf numFmtId="2" fontId="6" fillId="0" borderId="16" xfId="1" applyNumberFormat="1" applyFont="1" applyFill="1" applyBorder="1" applyAlignment="1" applyProtection="1">
      <alignment horizontal="justify" vertical="top" wrapText="1"/>
    </xf>
    <xf numFmtId="169" fontId="21" fillId="0" borderId="16" xfId="1" applyNumberFormat="1" applyFont="1" applyFill="1" applyBorder="1" applyAlignment="1">
      <alignment horizontal="center" vertical="top" wrapText="1"/>
    </xf>
    <xf numFmtId="2" fontId="4" fillId="0" borderId="16" xfId="1" applyNumberFormat="1" applyFont="1" applyFill="1" applyBorder="1" applyAlignment="1">
      <alignment horizontal="center" vertical="top" wrapText="1"/>
    </xf>
    <xf numFmtId="2" fontId="6" fillId="0" borderId="16" xfId="1" applyNumberFormat="1" applyFont="1" applyFill="1" applyBorder="1" applyAlignment="1">
      <alignment horizontal="center" vertical="top"/>
    </xf>
    <xf numFmtId="2" fontId="21" fillId="0" borderId="16" xfId="1" applyNumberFormat="1" applyFont="1" applyFill="1" applyBorder="1" applyAlignment="1">
      <alignment horizontal="right" wrapText="1"/>
    </xf>
    <xf numFmtId="2" fontId="21" fillId="0" borderId="18" xfId="1" applyNumberFormat="1" applyFont="1" applyFill="1" applyBorder="1" applyAlignment="1">
      <alignment horizontal="right" vertical="center" wrapText="1"/>
    </xf>
    <xf numFmtId="0" fontId="4" fillId="0" borderId="16" xfId="1" applyFont="1" applyFill="1" applyBorder="1" applyAlignment="1">
      <alignment horizontal="left" vertical="top" wrapText="1"/>
    </xf>
    <xf numFmtId="169" fontId="0" fillId="0" borderId="16" xfId="0" applyNumberFormat="1" applyFill="1" applyBorder="1"/>
    <xf numFmtId="0" fontId="0" fillId="0" borderId="0" xfId="0" applyFill="1" applyBorder="1"/>
    <xf numFmtId="0" fontId="0" fillId="0" borderId="0" xfId="0" applyFill="1" applyBorder="1" applyAlignment="1">
      <alignment horizontal="center"/>
    </xf>
    <xf numFmtId="2" fontId="0" fillId="0" borderId="0" xfId="0" applyNumberFormat="1" applyFill="1" applyBorder="1" applyAlignment="1"/>
    <xf numFmtId="2" fontId="35" fillId="0" borderId="0" xfId="0" applyNumberFormat="1" applyFont="1" applyFill="1" applyBorder="1" applyAlignment="1">
      <alignment horizontal="center"/>
    </xf>
    <xf numFmtId="2" fontId="6" fillId="0" borderId="0" xfId="0" applyNumberFormat="1" applyFont="1" applyFill="1" applyBorder="1" applyAlignment="1">
      <alignment horizontal="right"/>
    </xf>
    <xf numFmtId="0" fontId="4" fillId="0" borderId="0" xfId="1" applyFill="1"/>
    <xf numFmtId="2" fontId="6" fillId="0" borderId="16" xfId="1" applyNumberFormat="1" applyFont="1" applyFill="1" applyBorder="1" applyAlignment="1">
      <alignment horizontal="center"/>
    </xf>
    <xf numFmtId="2" fontId="6" fillId="0" borderId="17" xfId="1" applyNumberFormat="1" applyFont="1" applyFill="1" applyBorder="1" applyAlignment="1">
      <alignment horizontal="center"/>
    </xf>
    <xf numFmtId="2" fontId="6" fillId="0" borderId="18" xfId="1" applyNumberFormat="1" applyFont="1" applyFill="1" applyBorder="1" applyAlignment="1">
      <alignment horizontal="center"/>
    </xf>
    <xf numFmtId="2" fontId="4" fillId="0" borderId="16" xfId="1" applyNumberFormat="1" applyFont="1" applyFill="1" applyBorder="1" applyAlignment="1">
      <alignment horizontal="center"/>
    </xf>
    <xf numFmtId="0" fontId="4" fillId="0" borderId="0" xfId="1" applyFill="1"/>
    <xf numFmtId="2" fontId="4" fillId="0" borderId="17" xfId="1" applyNumberFormat="1" applyFont="1" applyFill="1" applyBorder="1" applyAlignment="1">
      <alignment horizontal="center"/>
    </xf>
    <xf numFmtId="0" fontId="21" fillId="0" borderId="16" xfId="49" applyFont="1" applyFill="1" applyBorder="1" applyAlignment="1">
      <alignment horizontal="center" vertical="center" wrapText="1"/>
    </xf>
    <xf numFmtId="2" fontId="6" fillId="0" borderId="3" xfId="0" applyNumberFormat="1" applyFont="1" applyFill="1" applyBorder="1" applyAlignment="1">
      <alignment horizontal="center" vertical="top" wrapText="1"/>
    </xf>
    <xf numFmtId="166" fontId="4" fillId="0" borderId="3" xfId="56" applyNumberFormat="1" applyFont="1" applyFill="1" applyBorder="1" applyAlignment="1">
      <alignment horizontal="center" vertical="top" wrapText="1"/>
    </xf>
    <xf numFmtId="2" fontId="4" fillId="0" borderId="3" xfId="56" applyNumberFormat="1" applyFont="1" applyFill="1" applyBorder="1" applyAlignment="1">
      <alignment horizontal="center" vertical="top" wrapText="1"/>
    </xf>
    <xf numFmtId="1" fontId="3" fillId="0" borderId="3" xfId="56" applyNumberFormat="1" applyFont="1" applyFill="1" applyBorder="1" applyAlignment="1">
      <alignment horizontal="center" vertical="top"/>
    </xf>
    <xf numFmtId="167" fontId="4" fillId="0" borderId="3" xfId="31" applyNumberFormat="1" applyFont="1" applyFill="1" applyBorder="1" applyAlignment="1">
      <alignment horizontal="center" vertical="top"/>
    </xf>
    <xf numFmtId="168" fontId="4" fillId="0" borderId="3" xfId="56" applyNumberFormat="1" applyFont="1" applyFill="1" applyBorder="1" applyAlignment="1">
      <alignment horizontal="center" vertical="top" wrapText="1"/>
    </xf>
    <xf numFmtId="1" fontId="4" fillId="0" borderId="3" xfId="56" applyNumberFormat="1" applyFont="1" applyFill="1" applyBorder="1" applyAlignment="1">
      <alignment horizontal="center" vertical="top" wrapText="1"/>
    </xf>
    <xf numFmtId="1" fontId="4" fillId="0" borderId="3" xfId="56" applyNumberFormat="1" applyFont="1" applyFill="1" applyBorder="1" applyAlignment="1">
      <alignment horizontal="center" vertical="top"/>
    </xf>
    <xf numFmtId="2" fontId="35" fillId="0" borderId="16" xfId="0" applyNumberFormat="1" applyFont="1" applyFill="1" applyBorder="1" applyAlignment="1">
      <alignment horizontal="center"/>
    </xf>
    <xf numFmtId="0" fontId="4" fillId="0" borderId="0" xfId="1" applyFill="1"/>
    <xf numFmtId="0" fontId="4" fillId="0" borderId="3" xfId="1" applyFont="1" applyFill="1" applyBorder="1" applyAlignment="1" applyProtection="1">
      <alignment horizontal="justify" vertical="top" wrapText="1"/>
    </xf>
    <xf numFmtId="1" fontId="21" fillId="0" borderId="16" xfId="1" applyNumberFormat="1" applyFont="1" applyFill="1" applyBorder="1" applyAlignment="1">
      <alignment horizontal="center" vertical="center" wrapText="1"/>
    </xf>
    <xf numFmtId="0" fontId="0" fillId="0" borderId="16" xfId="0" applyFill="1" applyBorder="1" applyAlignment="1">
      <alignment wrapText="1"/>
    </xf>
    <xf numFmtId="0" fontId="4" fillId="0" borderId="16" xfId="0" applyFont="1" applyFill="1" applyBorder="1" applyAlignment="1">
      <alignment horizontal="left" wrapText="1"/>
    </xf>
    <xf numFmtId="2" fontId="6" fillId="0" borderId="16" xfId="1" applyNumberFormat="1" applyFont="1" applyFill="1" applyBorder="1" applyAlignment="1">
      <alignment horizontal="center"/>
    </xf>
    <xf numFmtId="2" fontId="4" fillId="0" borderId="16" xfId="1" applyNumberFormat="1" applyFont="1" applyFill="1" applyBorder="1" applyAlignment="1">
      <alignment horizontal="center"/>
    </xf>
    <xf numFmtId="2" fontId="6" fillId="0" borderId="17" xfId="1" applyNumberFormat="1" applyFont="1" applyFill="1" applyBorder="1" applyAlignment="1">
      <alignment horizontal="center"/>
    </xf>
    <xf numFmtId="2" fontId="6" fillId="0" borderId="18" xfId="1" applyNumberFormat="1" applyFont="1" applyFill="1" applyBorder="1" applyAlignment="1">
      <alignment horizontal="center"/>
    </xf>
    <xf numFmtId="0" fontId="4" fillId="0" borderId="0" xfId="1" applyFill="1"/>
    <xf numFmtId="0" fontId="15" fillId="0" borderId="6" xfId="1" applyFont="1" applyFill="1" applyBorder="1" applyAlignment="1">
      <alignment horizontal="justify" vertical="top" wrapText="1"/>
    </xf>
    <xf numFmtId="0" fontId="19" fillId="0" borderId="16" xfId="1" applyFont="1" applyFill="1" applyBorder="1" applyAlignment="1">
      <alignment horizontal="center" vertical="center" wrapText="1"/>
    </xf>
    <xf numFmtId="0" fontId="4" fillId="0" borderId="0" xfId="1" applyFill="1"/>
    <xf numFmtId="0" fontId="17" fillId="0" borderId="16" xfId="1" applyFont="1" applyFill="1" applyBorder="1" applyAlignment="1">
      <alignment horizontal="center" vertical="top" wrapText="1"/>
    </xf>
    <xf numFmtId="0" fontId="4" fillId="0" borderId="0" xfId="1" applyFill="1" applyAlignment="1">
      <alignment horizontal="center"/>
    </xf>
    <xf numFmtId="16" fontId="11" fillId="0" borderId="16" xfId="1" applyNumberFormat="1" applyFont="1" applyFill="1" applyBorder="1" applyAlignment="1">
      <alignment horizontal="right" vertical="center" wrapText="1"/>
    </xf>
    <xf numFmtId="168" fontId="6" fillId="0" borderId="16" xfId="1" applyNumberFormat="1" applyFont="1" applyFill="1" applyBorder="1" applyAlignment="1">
      <alignment horizontal="center"/>
    </xf>
    <xf numFmtId="0" fontId="23" fillId="0" borderId="16" xfId="1" applyFont="1" applyFill="1" applyBorder="1" applyAlignment="1">
      <alignment vertical="center" wrapText="1"/>
    </xf>
    <xf numFmtId="0" fontId="19" fillId="0" borderId="16" xfId="1" applyFont="1" applyFill="1" applyBorder="1" applyAlignment="1">
      <alignment horizontal="left" vertical="center" wrapText="1"/>
    </xf>
    <xf numFmtId="0" fontId="21" fillId="0" borderId="16" xfId="57" applyFont="1" applyFill="1" applyBorder="1" applyAlignment="1">
      <alignment horizontal="center" vertical="center" wrapText="1"/>
    </xf>
    <xf numFmtId="2" fontId="6" fillId="0" borderId="16" xfId="57" applyNumberFormat="1" applyFont="1" applyFill="1" applyBorder="1" applyAlignment="1">
      <alignment horizontal="right"/>
    </xf>
    <xf numFmtId="2" fontId="9" fillId="0" borderId="16" xfId="1" applyNumberFormat="1" applyFont="1" applyFill="1" applyBorder="1" applyAlignment="1">
      <alignment horizontal="center"/>
    </xf>
    <xf numFmtId="0" fontId="21" fillId="5" borderId="16" xfId="1" applyFont="1" applyFill="1" applyBorder="1" applyAlignment="1">
      <alignment horizontal="center" vertical="center" wrapText="1"/>
    </xf>
    <xf numFmtId="169" fontId="21" fillId="5" borderId="16" xfId="1" applyNumberFormat="1" applyFont="1" applyFill="1" applyBorder="1" applyAlignment="1">
      <alignment horizontal="right" vertical="center" wrapText="1"/>
    </xf>
    <xf numFmtId="2" fontId="4" fillId="5" borderId="16" xfId="1" applyNumberFormat="1" applyFont="1" applyFill="1" applyBorder="1" applyAlignment="1">
      <alignment horizontal="center"/>
    </xf>
    <xf numFmtId="0" fontId="4" fillId="5" borderId="0" xfId="1" applyFont="1" applyFill="1"/>
    <xf numFmtId="2" fontId="6" fillId="5" borderId="16" xfId="1" applyNumberFormat="1" applyFont="1" applyFill="1" applyBorder="1" applyAlignment="1">
      <alignment horizontal="center"/>
    </xf>
    <xf numFmtId="0" fontId="39" fillId="0" borderId="16" xfId="1" applyFont="1" applyFill="1" applyBorder="1" applyAlignment="1">
      <alignment horizontal="center"/>
    </xf>
    <xf numFmtId="0" fontId="39" fillId="0" borderId="16" xfId="1" applyFont="1" applyFill="1" applyBorder="1" applyAlignment="1">
      <alignment horizontal="left" vertical="top" wrapText="1"/>
    </xf>
    <xf numFmtId="0" fontId="3" fillId="0" borderId="16" xfId="1" applyFont="1" applyFill="1" applyBorder="1" applyAlignment="1">
      <alignment horizontal="center"/>
    </xf>
    <xf numFmtId="0" fontId="40" fillId="0" borderId="16" xfId="1" applyFont="1" applyFill="1" applyBorder="1" applyAlignment="1">
      <alignment horizontal="center" vertical="center" wrapText="1"/>
    </xf>
    <xf numFmtId="2" fontId="40" fillId="0" borderId="16" xfId="1" applyNumberFormat="1" applyFont="1" applyFill="1" applyBorder="1" applyAlignment="1">
      <alignment horizontal="right" vertical="center" wrapText="1"/>
    </xf>
    <xf numFmtId="2" fontId="3" fillId="0" borderId="16" xfId="1" applyNumberFormat="1" applyFont="1" applyFill="1" applyBorder="1"/>
    <xf numFmtId="2" fontId="3" fillId="0" borderId="16" xfId="1" applyNumberFormat="1" applyFont="1" applyFill="1" applyBorder="1" applyAlignment="1">
      <alignment horizontal="right"/>
    </xf>
    <xf numFmtId="16" fontId="41" fillId="0" borderId="16" xfId="1" applyNumberFormat="1" applyFont="1" applyFill="1" applyBorder="1" applyAlignment="1">
      <alignment horizontal="right" vertical="center" wrapText="1"/>
    </xf>
    <xf numFmtId="0" fontId="40" fillId="5" borderId="16" xfId="1" applyFont="1" applyFill="1" applyBorder="1" applyAlignment="1">
      <alignment horizontal="center" vertical="center" wrapText="1"/>
    </xf>
    <xf numFmtId="169" fontId="40" fillId="5" borderId="16" xfId="1" applyNumberFormat="1" applyFont="1" applyFill="1" applyBorder="1" applyAlignment="1">
      <alignment horizontal="right" vertical="center" wrapText="1"/>
    </xf>
    <xf numFmtId="170" fontId="3" fillId="5" borderId="16" xfId="3" applyNumberFormat="1" applyFont="1" applyFill="1" applyBorder="1"/>
    <xf numFmtId="2" fontId="3" fillId="5" borderId="16" xfId="1" applyNumberFormat="1" applyFont="1" applyFill="1" applyBorder="1" applyAlignment="1">
      <alignment horizontal="right"/>
    </xf>
    <xf numFmtId="2" fontId="40" fillId="5" borderId="16" xfId="1" applyNumberFormat="1" applyFont="1" applyFill="1" applyBorder="1" applyAlignment="1">
      <alignment horizontal="right" vertical="center" wrapText="1"/>
    </xf>
    <xf numFmtId="2" fontId="3" fillId="5" borderId="16" xfId="1" applyNumberFormat="1" applyFont="1" applyFill="1" applyBorder="1"/>
    <xf numFmtId="169" fontId="3" fillId="5" borderId="16" xfId="1" applyNumberFormat="1" applyFont="1" applyFill="1" applyBorder="1" applyAlignment="1">
      <alignment horizontal="right" vertical="top"/>
    </xf>
    <xf numFmtId="2" fontId="39" fillId="0" borderId="16" xfId="1" applyNumberFormat="1" applyFont="1" applyFill="1" applyBorder="1" applyAlignment="1">
      <alignment horizontal="right"/>
    </xf>
    <xf numFmtId="2" fontId="6" fillId="0" borderId="0" xfId="1" applyNumberFormat="1" applyFont="1" applyFill="1" applyBorder="1" applyAlignment="1">
      <alignment horizontal="center" wrapText="1"/>
    </xf>
    <xf numFmtId="0" fontId="19" fillId="0" borderId="20" xfId="1" applyFont="1" applyFill="1" applyBorder="1" applyAlignment="1">
      <alignment horizontal="left" vertical="center" wrapText="1"/>
    </xf>
    <xf numFmtId="166" fontId="42" fillId="0" borderId="16" xfId="1" applyNumberFormat="1" applyFont="1" applyFill="1" applyBorder="1" applyAlignment="1">
      <alignment horizontal="center" wrapText="1"/>
    </xf>
    <xf numFmtId="2" fontId="42" fillId="0" borderId="16" xfId="1" applyNumberFormat="1" applyFont="1" applyFill="1" applyBorder="1" applyAlignment="1">
      <alignment horizontal="center" wrapText="1"/>
    </xf>
    <xf numFmtId="2" fontId="42" fillId="0" borderId="16" xfId="1" applyNumberFormat="1" applyFont="1" applyFill="1" applyBorder="1" applyAlignment="1">
      <alignment horizontal="right" wrapText="1"/>
    </xf>
    <xf numFmtId="2" fontId="42" fillId="0" borderId="16" xfId="1" applyNumberFormat="1" applyFont="1" applyFill="1" applyBorder="1" applyAlignment="1">
      <alignment horizontal="right"/>
    </xf>
    <xf numFmtId="2" fontId="5" fillId="0" borderId="16" xfId="1" applyNumberFormat="1" applyFont="1" applyFill="1" applyBorder="1" applyAlignment="1">
      <alignment horizontal="right"/>
    </xf>
    <xf numFmtId="1" fontId="4" fillId="0" borderId="16" xfId="1" applyNumberFormat="1" applyFont="1" applyFill="1" applyBorder="1" applyAlignment="1">
      <alignment horizontal="center" vertical="top" wrapText="1"/>
    </xf>
    <xf numFmtId="2" fontId="4" fillId="0" borderId="16" xfId="1" applyNumberFormat="1" applyFont="1" applyFill="1" applyBorder="1" applyAlignment="1">
      <alignment horizontal="right" vertical="top" wrapText="1"/>
    </xf>
    <xf numFmtId="0" fontId="6" fillId="0" borderId="19" xfId="1" applyFont="1" applyFill="1" applyBorder="1" applyAlignment="1">
      <alignment horizontal="center" vertical="top"/>
    </xf>
    <xf numFmtId="2" fontId="19" fillId="0" borderId="16" xfId="1" applyNumberFormat="1" applyFont="1" applyFill="1" applyBorder="1" applyAlignment="1">
      <alignment horizontal="right" vertical="center" wrapText="1"/>
    </xf>
    <xf numFmtId="2" fontId="6" fillId="0" borderId="21" xfId="1" applyNumberFormat="1" applyFont="1" applyFill="1" applyBorder="1" applyAlignment="1">
      <alignment horizontal="right" vertical="top"/>
    </xf>
    <xf numFmtId="0" fontId="6" fillId="0" borderId="0" xfId="1" applyFont="1" applyFill="1" applyBorder="1" applyAlignment="1">
      <alignment horizontal="center" vertical="top"/>
    </xf>
    <xf numFmtId="0" fontId="8" fillId="0" borderId="18" xfId="1" applyFont="1" applyFill="1" applyBorder="1" applyAlignment="1">
      <alignment horizontal="center"/>
    </xf>
    <xf numFmtId="0" fontId="4" fillId="0" borderId="18" xfId="1" applyFont="1" applyFill="1" applyBorder="1" applyAlignment="1">
      <alignment horizontal="center"/>
    </xf>
    <xf numFmtId="166" fontId="4" fillId="0" borderId="18" xfId="1" applyNumberFormat="1" applyFont="1" applyFill="1" applyBorder="1" applyAlignment="1">
      <alignment horizontal="center" vertical="top" wrapText="1"/>
    </xf>
    <xf numFmtId="169" fontId="22" fillId="0" borderId="16" xfId="1" applyNumberFormat="1" applyFont="1" applyFill="1" applyBorder="1" applyAlignment="1">
      <alignment horizontal="right" vertical="center" wrapText="1"/>
    </xf>
    <xf numFmtId="169" fontId="8" fillId="0" borderId="16" xfId="1" applyNumberFormat="1" applyFont="1" applyFill="1" applyBorder="1"/>
    <xf numFmtId="169" fontId="8" fillId="0" borderId="16" xfId="1" applyNumberFormat="1" applyFont="1" applyFill="1" applyBorder="1" applyAlignment="1">
      <alignment horizontal="right"/>
    </xf>
    <xf numFmtId="2" fontId="4" fillId="0" borderId="16" xfId="1" applyNumberFormat="1" applyFont="1" applyFill="1" applyBorder="1" applyAlignment="1" applyProtection="1">
      <alignment horizontal="right" vertical="top" wrapText="1"/>
    </xf>
    <xf numFmtId="166" fontId="4" fillId="0" borderId="16" xfId="1" applyNumberFormat="1" applyFont="1" applyFill="1" applyBorder="1" applyAlignment="1">
      <alignment horizontal="left" vertical="top" wrapText="1"/>
    </xf>
    <xf numFmtId="0" fontId="4" fillId="0" borderId="16" xfId="1" applyFont="1" applyFill="1" applyBorder="1" applyAlignment="1">
      <alignment horizontal="left" wrapText="1"/>
    </xf>
    <xf numFmtId="1" fontId="6" fillId="0" borderId="0" xfId="1" applyNumberFormat="1" applyFont="1" applyFill="1" applyBorder="1" applyAlignment="1">
      <alignment horizontal="center" wrapText="1"/>
    </xf>
    <xf numFmtId="166" fontId="6" fillId="0" borderId="16" xfId="1" applyNumberFormat="1" applyFont="1" applyFill="1" applyBorder="1" applyAlignment="1">
      <alignment horizontal="left" wrapText="1"/>
    </xf>
    <xf numFmtId="16" fontId="12" fillId="0" borderId="16" xfId="57" applyNumberFormat="1" applyFont="1" applyFill="1" applyBorder="1" applyAlignment="1">
      <alignment horizontal="right" vertical="center" wrapText="1"/>
    </xf>
    <xf numFmtId="0" fontId="4" fillId="0" borderId="16" xfId="57" applyFont="1" applyFill="1" applyBorder="1" applyAlignment="1">
      <alignment horizontal="center" vertical="top"/>
    </xf>
    <xf numFmtId="2" fontId="21" fillId="0" borderId="16" xfId="57" applyNumberFormat="1" applyFont="1" applyFill="1" applyBorder="1" applyAlignment="1">
      <alignment horizontal="right" vertical="center" wrapText="1"/>
    </xf>
    <xf numFmtId="2" fontId="4" fillId="0" borderId="16" xfId="57" applyNumberFormat="1" applyFill="1" applyBorder="1"/>
    <xf numFmtId="2" fontId="4" fillId="0" borderId="16" xfId="57" applyNumberFormat="1" applyFont="1" applyFill="1" applyBorder="1" applyAlignment="1">
      <alignment horizontal="right"/>
    </xf>
    <xf numFmtId="168" fontId="21" fillId="0" borderId="16" xfId="1" applyNumberFormat="1" applyFont="1" applyFill="1" applyBorder="1" applyAlignment="1">
      <alignment vertical="center" wrapText="1"/>
    </xf>
    <xf numFmtId="43" fontId="21" fillId="0" borderId="16" xfId="3" applyFont="1" applyFill="1" applyBorder="1" applyAlignment="1">
      <alignment horizontal="center" vertical="center" wrapText="1"/>
    </xf>
    <xf numFmtId="165" fontId="4" fillId="0" borderId="0" xfId="1" applyNumberFormat="1" applyFill="1"/>
    <xf numFmtId="16" fontId="12" fillId="0" borderId="16" xfId="57" applyNumberFormat="1" applyFont="1" applyFill="1" applyBorder="1" applyAlignment="1">
      <alignment horizontal="left" vertical="center" wrapText="1"/>
    </xf>
    <xf numFmtId="0" fontId="4" fillId="0" borderId="16" xfId="1" applyFont="1" applyFill="1" applyBorder="1" applyAlignment="1">
      <alignment horizontal="left"/>
    </xf>
    <xf numFmtId="168" fontId="21" fillId="0" borderId="16" xfId="1" applyNumberFormat="1" applyFont="1" applyFill="1" applyBorder="1" applyAlignment="1">
      <alignment horizontal="center" vertical="center" wrapText="1"/>
    </xf>
    <xf numFmtId="0" fontId="43" fillId="0" borderId="16" xfId="0" applyFont="1" applyFill="1" applyBorder="1" applyAlignment="1">
      <alignment wrapText="1"/>
    </xf>
    <xf numFmtId="0" fontId="34" fillId="0" borderId="16" xfId="0" applyFont="1" applyFill="1" applyBorder="1" applyAlignment="1">
      <alignment horizontal="left" wrapText="1"/>
    </xf>
    <xf numFmtId="0" fontId="44" fillId="0" borderId="16" xfId="0" applyFont="1" applyFill="1" applyBorder="1" applyAlignment="1">
      <alignment horizontal="center" wrapText="1"/>
    </xf>
    <xf numFmtId="0" fontId="34" fillId="0" borderId="16" xfId="0" applyFont="1" applyFill="1" applyBorder="1" applyAlignment="1">
      <alignment wrapText="1"/>
    </xf>
    <xf numFmtId="2" fontId="34" fillId="0" borderId="16" xfId="0" applyNumberFormat="1" applyFont="1" applyFill="1" applyBorder="1" applyAlignment="1">
      <alignment horizontal="right" wrapText="1"/>
    </xf>
    <xf numFmtId="0" fontId="34" fillId="0" borderId="16" xfId="0" applyFont="1" applyFill="1" applyBorder="1" applyAlignment="1">
      <alignment horizontal="center" wrapText="1"/>
    </xf>
    <xf numFmtId="2" fontId="44" fillId="0" borderId="16" xfId="0" applyNumberFormat="1" applyFont="1" applyFill="1" applyBorder="1" applyAlignment="1">
      <alignment horizontal="right" wrapText="1"/>
    </xf>
    <xf numFmtId="0" fontId="9" fillId="0" borderId="16" xfId="1" applyFont="1" applyFill="1" applyBorder="1" applyAlignment="1">
      <alignment horizontal="left" wrapText="1"/>
    </xf>
    <xf numFmtId="0" fontId="45" fillId="0" borderId="16" xfId="1" applyFont="1" applyFill="1" applyBorder="1" applyAlignment="1">
      <alignment horizontal="right" vertical="top"/>
    </xf>
    <xf numFmtId="166" fontId="6" fillId="0" borderId="16" xfId="1" applyNumberFormat="1" applyFont="1" applyFill="1" applyBorder="1" applyAlignment="1">
      <alignment horizontal="left" vertical="top" wrapText="1"/>
    </xf>
    <xf numFmtId="0" fontId="46" fillId="0" borderId="16" xfId="0" applyFont="1" applyFill="1" applyBorder="1" applyAlignment="1">
      <alignment horizontal="right" wrapText="1"/>
    </xf>
    <xf numFmtId="2" fontId="34" fillId="0" borderId="16" xfId="0" applyNumberFormat="1" applyFont="1" applyFill="1" applyBorder="1" applyAlignment="1">
      <alignment wrapText="1"/>
    </xf>
    <xf numFmtId="2" fontId="47" fillId="0" borderId="16" xfId="0" applyNumberFormat="1" applyFont="1" applyFill="1" applyBorder="1" applyAlignment="1">
      <alignment horizontal="right" wrapText="1"/>
    </xf>
    <xf numFmtId="0" fontId="6" fillId="0" borderId="16" xfId="1" applyFont="1" applyFill="1" applyBorder="1" applyAlignment="1">
      <alignment horizontal="right"/>
    </xf>
    <xf numFmtId="0" fontId="4" fillId="0" borderId="19" xfId="1" applyFill="1" applyBorder="1" applyAlignment="1">
      <alignment horizontal="center"/>
    </xf>
    <xf numFmtId="0" fontId="4" fillId="0" borderId="20" xfId="1" applyFill="1" applyBorder="1" applyAlignment="1">
      <alignment horizontal="right"/>
    </xf>
    <xf numFmtId="166" fontId="4" fillId="0" borderId="20" xfId="1" applyNumberFormat="1" applyFont="1" applyFill="1" applyBorder="1" applyAlignment="1">
      <alignment horizontal="center" vertical="top" wrapText="1"/>
    </xf>
    <xf numFmtId="0" fontId="21" fillId="0" borderId="20" xfId="1" applyFont="1" applyFill="1" applyBorder="1" applyAlignment="1">
      <alignment horizontal="center" vertical="center" wrapText="1"/>
    </xf>
    <xf numFmtId="2" fontId="21" fillId="0" borderId="20" xfId="1" applyNumberFormat="1" applyFont="1" applyFill="1" applyBorder="1" applyAlignment="1">
      <alignment horizontal="right" vertical="center" wrapText="1"/>
    </xf>
    <xf numFmtId="2" fontId="6" fillId="0" borderId="20" xfId="1" applyNumberFormat="1" applyFont="1" applyFill="1" applyBorder="1" applyAlignment="1">
      <alignment horizontal="center"/>
    </xf>
    <xf numFmtId="2" fontId="6" fillId="0" borderId="21" xfId="1" applyNumberFormat="1" applyFont="1" applyFill="1" applyBorder="1" applyAlignment="1">
      <alignment horizontal="right"/>
    </xf>
    <xf numFmtId="0" fontId="3" fillId="0" borderId="16" xfId="1" applyFont="1" applyFill="1" applyBorder="1"/>
    <xf numFmtId="2" fontId="3" fillId="0" borderId="16" xfId="1" applyNumberFormat="1" applyFont="1" applyFill="1" applyBorder="1" applyAlignment="1">
      <alignment horizontal="center"/>
    </xf>
    <xf numFmtId="2" fontId="6" fillId="0" borderId="16" xfId="1" applyNumberFormat="1" applyFont="1" applyFill="1" applyBorder="1"/>
    <xf numFmtId="0" fontId="6" fillId="0" borderId="17" xfId="1" applyFont="1" applyFill="1" applyBorder="1" applyAlignment="1">
      <alignment horizontal="center"/>
    </xf>
    <xf numFmtId="0" fontId="6" fillId="0" borderId="18" xfId="1" applyFont="1" applyFill="1" applyBorder="1" applyAlignment="1">
      <alignment horizontal="center"/>
    </xf>
    <xf numFmtId="0" fontId="4" fillId="0" borderId="17" xfId="1" applyFill="1" applyBorder="1"/>
    <xf numFmtId="0" fontId="6" fillId="0" borderId="16" xfId="1" applyFont="1" applyFill="1" applyBorder="1" applyAlignment="1">
      <alignment horizontal="left" vertical="center" wrapText="1"/>
    </xf>
    <xf numFmtId="0" fontId="4" fillId="5" borderId="16" xfId="1" applyFill="1" applyBorder="1"/>
    <xf numFmtId="0" fontId="4" fillId="0" borderId="16" xfId="8" applyFont="1" applyFill="1" applyBorder="1" applyAlignment="1" applyProtection="1">
      <alignment horizontal="center" vertical="top" wrapText="1"/>
      <protection locked="0"/>
    </xf>
    <xf numFmtId="0" fontId="4" fillId="0" borderId="16" xfId="1" applyFont="1" applyFill="1" applyBorder="1" applyAlignment="1">
      <alignment vertical="center" wrapText="1"/>
    </xf>
    <xf numFmtId="0" fontId="3" fillId="5" borderId="16" xfId="1" applyFont="1" applyFill="1" applyBorder="1" applyAlignment="1">
      <alignment horizontal="center"/>
    </xf>
    <xf numFmtId="0" fontId="4" fillId="0" borderId="16" xfId="8" quotePrefix="1" applyFont="1" applyFill="1" applyBorder="1" applyAlignment="1" applyProtection="1">
      <alignment horizontal="center" vertical="top" wrapText="1"/>
      <protection locked="0"/>
    </xf>
    <xf numFmtId="0" fontId="4" fillId="5" borderId="16" xfId="1" applyFont="1" applyFill="1" applyBorder="1"/>
    <xf numFmtId="0" fontId="3" fillId="5" borderId="16" xfId="1" applyFont="1" applyFill="1" applyBorder="1"/>
    <xf numFmtId="0" fontId="4" fillId="0" borderId="16" xfId="1" applyFont="1" applyFill="1" applyBorder="1" applyAlignment="1">
      <alignment horizontal="left" vertical="center" wrapText="1"/>
    </xf>
    <xf numFmtId="0" fontId="8" fillId="0" borderId="16" xfId="1" applyFont="1" applyFill="1" applyBorder="1"/>
    <xf numFmtId="0" fontId="8" fillId="5" borderId="16" xfId="1" applyFont="1" applyFill="1" applyBorder="1"/>
    <xf numFmtId="0" fontId="4" fillId="0" borderId="16" xfId="1" applyFont="1" applyFill="1" applyBorder="1" applyAlignment="1">
      <alignment horizontal="justify" vertical="top" wrapText="1"/>
    </xf>
    <xf numFmtId="0" fontId="4" fillId="0" borderId="3" xfId="0" applyFont="1" applyFill="1" applyBorder="1" applyAlignment="1">
      <alignment horizontal="justify" vertical="top" wrapText="1"/>
    </xf>
    <xf numFmtId="2" fontId="4" fillId="0" borderId="16" xfId="1" applyNumberFormat="1" applyFont="1" applyFill="1" applyBorder="1" applyAlignment="1">
      <alignment horizontal="center"/>
    </xf>
    <xf numFmtId="0" fontId="4" fillId="0" borderId="0" xfId="1" applyFill="1"/>
    <xf numFmtId="0" fontId="6" fillId="0" borderId="16" xfId="1" applyFont="1" applyFill="1" applyBorder="1" applyAlignment="1">
      <alignment wrapText="1"/>
    </xf>
    <xf numFmtId="16" fontId="12" fillId="0" borderId="25" xfId="1" applyNumberFormat="1" applyFont="1" applyFill="1" applyBorder="1" applyAlignment="1">
      <alignment horizontal="left" vertical="center" wrapText="1"/>
    </xf>
    <xf numFmtId="1" fontId="3" fillId="0" borderId="3" xfId="1" applyNumberFormat="1" applyFont="1" applyFill="1" applyBorder="1" applyAlignment="1">
      <alignment horizontal="center" vertical="top" wrapText="1"/>
    </xf>
    <xf numFmtId="2" fontId="4" fillId="0" borderId="17" xfId="1" applyNumberFormat="1" applyFont="1" applyFill="1" applyBorder="1" applyAlignment="1">
      <alignment horizontal="center"/>
    </xf>
    <xf numFmtId="2" fontId="4" fillId="0" borderId="18" xfId="1" applyNumberFormat="1" applyFont="1" applyFill="1" applyBorder="1" applyAlignment="1">
      <alignment horizontal="center"/>
    </xf>
    <xf numFmtId="0" fontId="4" fillId="0" borderId="0" xfId="1" applyFill="1"/>
    <xf numFmtId="0" fontId="4" fillId="0" borderId="0" xfId="1" applyFont="1" applyFill="1"/>
    <xf numFmtId="1" fontId="4" fillId="0" borderId="3" xfId="1" applyNumberFormat="1" applyFont="1" applyFill="1" applyBorder="1" applyAlignment="1">
      <alignment horizontal="center" vertical="top"/>
    </xf>
    <xf numFmtId="1" fontId="4" fillId="0" borderId="3" xfId="1" applyNumberFormat="1" applyFont="1" applyFill="1" applyBorder="1" applyAlignment="1">
      <alignment horizontal="center" vertical="top" wrapText="1"/>
    </xf>
    <xf numFmtId="2" fontId="4" fillId="0" borderId="3" xfId="1" applyNumberFormat="1" applyFont="1" applyFill="1" applyBorder="1" applyAlignment="1" applyProtection="1">
      <alignment horizontal="justify" vertical="top" wrapText="1"/>
    </xf>
    <xf numFmtId="166" fontId="4" fillId="0" borderId="3" xfId="1" applyNumberFormat="1" applyFont="1" applyFill="1" applyBorder="1" applyAlignment="1">
      <alignment horizontal="center" vertical="top" wrapText="1"/>
    </xf>
    <xf numFmtId="0" fontId="4" fillId="0" borderId="0" xfId="1" applyFont="1" applyFill="1"/>
    <xf numFmtId="167" fontId="4" fillId="0" borderId="3" xfId="3" applyNumberFormat="1" applyFont="1" applyFill="1" applyBorder="1" applyAlignment="1">
      <alignment horizontal="center" vertical="top"/>
    </xf>
    <xf numFmtId="1" fontId="4" fillId="0" borderId="3" xfId="1" applyNumberFormat="1" applyFont="1" applyFill="1" applyBorder="1" applyAlignment="1">
      <alignment horizontal="center" vertical="top"/>
    </xf>
    <xf numFmtId="1" fontId="4" fillId="0" borderId="3" xfId="1" applyNumberFormat="1" applyFont="1" applyFill="1" applyBorder="1" applyAlignment="1">
      <alignment horizontal="center" vertical="top" wrapText="1"/>
    </xf>
    <xf numFmtId="2" fontId="6" fillId="0" borderId="3" xfId="1" applyNumberFormat="1" applyFont="1" applyFill="1" applyBorder="1" applyAlignment="1">
      <alignment horizontal="center" vertical="top" wrapText="1"/>
    </xf>
    <xf numFmtId="166" fontId="4" fillId="0" borderId="3" xfId="1" applyNumberFormat="1" applyFont="1" applyFill="1" applyBorder="1" applyAlignment="1">
      <alignment horizontal="center" vertical="top" wrapText="1"/>
    </xf>
    <xf numFmtId="0" fontId="4" fillId="0" borderId="3" xfId="7" applyFont="1" applyFill="1" applyBorder="1" applyAlignment="1">
      <alignment horizontal="justify" vertical="top" wrapText="1" shrinkToFit="1"/>
    </xf>
    <xf numFmtId="0" fontId="4" fillId="0" borderId="3" xfId="7" applyFont="1" applyFill="1" applyBorder="1" applyAlignment="1">
      <alignment horizontal="justify" vertical="top" wrapText="1" shrinkToFit="1"/>
    </xf>
    <xf numFmtId="0" fontId="4" fillId="0" borderId="3" xfId="7" applyFont="1" applyFill="1" applyBorder="1" applyAlignment="1">
      <alignment horizontal="justify" vertical="top" wrapText="1" shrinkToFit="1"/>
    </xf>
    <xf numFmtId="0" fontId="4" fillId="0" borderId="0" xfId="1" applyFont="1" applyFill="1"/>
    <xf numFmtId="167" fontId="4" fillId="0" borderId="3" xfId="3" applyNumberFormat="1" applyFont="1" applyFill="1" applyBorder="1" applyAlignment="1">
      <alignment horizontal="center" vertical="top"/>
    </xf>
    <xf numFmtId="1" fontId="4" fillId="0" borderId="3" xfId="1" applyNumberFormat="1" applyFont="1" applyFill="1" applyBorder="1" applyAlignment="1">
      <alignment horizontal="center" vertical="top"/>
    </xf>
    <xf numFmtId="1" fontId="4" fillId="0" borderId="3" xfId="1" applyNumberFormat="1" applyFont="1" applyFill="1" applyBorder="1" applyAlignment="1">
      <alignment horizontal="center" vertical="top" wrapText="1"/>
    </xf>
    <xf numFmtId="2" fontId="6" fillId="0" borderId="3" xfId="1" applyNumberFormat="1" applyFont="1" applyFill="1" applyBorder="1" applyAlignment="1">
      <alignment horizontal="center" vertical="top" wrapText="1"/>
    </xf>
    <xf numFmtId="166" fontId="4" fillId="0" borderId="3" xfId="1" applyNumberFormat="1" applyFont="1" applyFill="1" applyBorder="1" applyAlignment="1">
      <alignment horizontal="center" vertical="top" wrapText="1"/>
    </xf>
    <xf numFmtId="0" fontId="4" fillId="0" borderId="3" xfId="7" applyFont="1" applyFill="1" applyBorder="1" applyAlignment="1">
      <alignment horizontal="justify" vertical="top" wrapText="1" shrinkToFit="1"/>
    </xf>
    <xf numFmtId="0" fontId="6" fillId="0" borderId="3" xfId="1" applyFont="1" applyFill="1" applyBorder="1" applyAlignment="1">
      <alignment horizontal="right" vertical="top" wrapText="1"/>
    </xf>
    <xf numFmtId="167" fontId="6" fillId="0" borderId="3" xfId="3" applyNumberFormat="1" applyFont="1" applyFill="1" applyBorder="1" applyAlignment="1">
      <alignment horizontal="center" vertical="top"/>
    </xf>
    <xf numFmtId="0" fontId="4" fillId="0" borderId="3" xfId="8" applyFont="1" applyFill="1" applyBorder="1" applyAlignment="1">
      <alignment horizontal="center" vertical="top"/>
    </xf>
    <xf numFmtId="0" fontId="6" fillId="0" borderId="3" xfId="7" applyFont="1" applyFill="1" applyBorder="1" applyAlignment="1">
      <alignment horizontal="justify" vertical="center" wrapText="1" shrinkToFit="1"/>
    </xf>
    <xf numFmtId="169" fontId="4" fillId="0" borderId="3" xfId="1" applyNumberFormat="1" applyFont="1" applyFill="1" applyBorder="1" applyAlignment="1">
      <alignment horizontal="center" vertical="top" wrapText="1"/>
    </xf>
    <xf numFmtId="0" fontId="6" fillId="0" borderId="3" xfId="7" applyFont="1" applyFill="1" applyBorder="1" applyAlignment="1">
      <alignment horizontal="right" vertical="top" wrapText="1" shrinkToFit="1"/>
    </xf>
    <xf numFmtId="2" fontId="6" fillId="0" borderId="16" xfId="1" applyNumberFormat="1" applyFont="1" applyFill="1" applyBorder="1" applyAlignment="1">
      <alignment horizontal="center"/>
    </xf>
    <xf numFmtId="0" fontId="4" fillId="0" borderId="0" xfId="1" applyFill="1"/>
    <xf numFmtId="0" fontId="4" fillId="0" borderId="0" xfId="1" applyFill="1"/>
    <xf numFmtId="1" fontId="3" fillId="0" borderId="3" xfId="1" applyNumberFormat="1" applyFont="1" applyFill="1" applyBorder="1" applyAlignment="1">
      <alignment horizontal="center" vertical="top"/>
    </xf>
    <xf numFmtId="0" fontId="6" fillId="0" borderId="3" xfId="4" applyFont="1" applyFill="1" applyBorder="1" applyAlignment="1">
      <alignment horizontal="center" vertical="center" wrapText="1"/>
    </xf>
    <xf numFmtId="2" fontId="6" fillId="0" borderId="3" xfId="4" applyNumberFormat="1" applyFont="1" applyFill="1" applyBorder="1" applyAlignment="1">
      <alignment horizontal="center" vertical="top" wrapText="1"/>
    </xf>
    <xf numFmtId="1" fontId="4" fillId="0" borderId="3" xfId="4" applyNumberFormat="1" applyFont="1" applyFill="1" applyBorder="1" applyAlignment="1">
      <alignment horizontal="center" vertical="top" wrapText="1"/>
    </xf>
    <xf numFmtId="1" fontId="4" fillId="0" borderId="3" xfId="4" applyNumberFormat="1" applyFont="1" applyFill="1" applyBorder="1" applyAlignment="1">
      <alignment horizontal="center" vertical="top"/>
    </xf>
    <xf numFmtId="0" fontId="4" fillId="0" borderId="3" xfId="0" applyFont="1" applyFill="1" applyBorder="1" applyAlignment="1">
      <alignment horizontal="justify" vertical="top"/>
    </xf>
    <xf numFmtId="2" fontId="6" fillId="0" borderId="3" xfId="0" applyNumberFormat="1" applyFont="1" applyFill="1" applyBorder="1" applyAlignment="1" applyProtection="1">
      <alignment horizontal="justify" vertical="top" wrapText="1"/>
    </xf>
    <xf numFmtId="168" fontId="6" fillId="0" borderId="3" xfId="4" applyNumberFormat="1" applyFont="1" applyFill="1" applyBorder="1" applyAlignment="1">
      <alignment horizontal="center" vertical="top" wrapText="1"/>
    </xf>
    <xf numFmtId="168" fontId="4" fillId="0" borderId="3" xfId="4" applyNumberFormat="1" applyFont="1" applyFill="1" applyBorder="1" applyAlignment="1">
      <alignment horizontal="center" vertical="top" wrapText="1"/>
    </xf>
    <xf numFmtId="0" fontId="4" fillId="0" borderId="3" xfId="7" applyFont="1" applyFill="1" applyBorder="1" applyAlignment="1">
      <alignment horizontal="justify" vertical="top" wrapText="1"/>
    </xf>
    <xf numFmtId="0" fontId="6" fillId="0" borderId="3" xfId="0" applyFont="1" applyFill="1" applyBorder="1" applyAlignment="1">
      <alignment horizontal="justify" vertical="top" wrapText="1"/>
    </xf>
    <xf numFmtId="166" fontId="4" fillId="0" borderId="3" xfId="53" applyNumberFormat="1" applyFont="1" applyFill="1" applyBorder="1" applyAlignment="1">
      <alignment horizontal="center" vertical="top" wrapText="1"/>
    </xf>
    <xf numFmtId="0" fontId="39" fillId="0" borderId="16" xfId="1" applyFont="1" applyFill="1" applyBorder="1" applyAlignment="1">
      <alignment horizontal="center" vertical="top"/>
    </xf>
    <xf numFmtId="0" fontId="39" fillId="0" borderId="16" xfId="1" applyFont="1" applyFill="1" applyBorder="1" applyAlignment="1">
      <alignment vertical="top"/>
    </xf>
    <xf numFmtId="0" fontId="48" fillId="0" borderId="16" xfId="1" applyFont="1" applyFill="1" applyBorder="1" applyAlignment="1">
      <alignment vertical="center" wrapText="1"/>
    </xf>
    <xf numFmtId="16" fontId="49" fillId="0" borderId="16" xfId="1" applyNumberFormat="1" applyFont="1" applyFill="1" applyBorder="1" applyAlignment="1">
      <alignment horizontal="right" vertical="center" wrapText="1"/>
    </xf>
    <xf numFmtId="16" fontId="49" fillId="0" borderId="16" xfId="1" applyNumberFormat="1" applyFont="1" applyFill="1" applyBorder="1" applyAlignment="1">
      <alignment horizontal="left" vertical="center" wrapText="1"/>
    </xf>
    <xf numFmtId="2" fontId="4" fillId="0" borderId="0" xfId="1" applyNumberFormat="1" applyFill="1" applyAlignment="1">
      <alignment horizontal="left"/>
    </xf>
    <xf numFmtId="0" fontId="4" fillId="0" borderId="0" xfId="1" applyFill="1" applyAlignment="1">
      <alignment horizontal="left"/>
    </xf>
    <xf numFmtId="0" fontId="36" fillId="0" borderId="16" xfId="0" applyFont="1" applyFill="1" applyBorder="1"/>
    <xf numFmtId="0" fontId="50" fillId="0" borderId="0" xfId="1" applyFont="1" applyFill="1"/>
    <xf numFmtId="168" fontId="3" fillId="0" borderId="3" xfId="1" applyNumberFormat="1" applyFont="1" applyFill="1" applyBorder="1" applyAlignment="1">
      <alignment horizontal="center" vertical="top" wrapText="1"/>
    </xf>
    <xf numFmtId="2" fontId="3" fillId="0" borderId="3" xfId="1" applyNumberFormat="1" applyFont="1" applyFill="1" applyBorder="1" applyAlignment="1" applyProtection="1">
      <alignment horizontal="justify" vertical="top" wrapText="1"/>
    </xf>
    <xf numFmtId="166" fontId="3" fillId="0" borderId="3" xfId="1" applyNumberFormat="1" applyFont="1" applyFill="1" applyBorder="1" applyAlignment="1">
      <alignment horizontal="center" vertical="top" wrapText="1"/>
    </xf>
    <xf numFmtId="167" fontId="3" fillId="0" borderId="3" xfId="3" applyNumberFormat="1" applyFont="1" applyFill="1" applyBorder="1" applyAlignment="1">
      <alignment horizontal="center" vertical="top"/>
    </xf>
    <xf numFmtId="166" fontId="3" fillId="0" borderId="3" xfId="53" applyNumberFormat="1" applyFont="1" applyFill="1" applyBorder="1" applyAlignment="1">
      <alignment horizontal="center" vertical="top" wrapText="1"/>
    </xf>
    <xf numFmtId="1" fontId="3" fillId="0" borderId="3" xfId="56" applyNumberFormat="1" applyFont="1" applyFill="1" applyBorder="1" applyAlignment="1">
      <alignment horizontal="center" vertical="top" wrapText="1"/>
    </xf>
    <xf numFmtId="2" fontId="3" fillId="0" borderId="3" xfId="56" applyNumberFormat="1" applyFont="1" applyFill="1" applyBorder="1" applyAlignment="1">
      <alignment horizontal="center" vertical="top" wrapText="1"/>
    </xf>
    <xf numFmtId="0" fontId="3" fillId="0" borderId="3" xfId="2" applyFont="1" applyFill="1" applyBorder="1" applyAlignment="1">
      <alignment horizontal="left" vertical="top" wrapText="1"/>
    </xf>
    <xf numFmtId="167" fontId="3" fillId="0" borderId="3" xfId="31" applyNumberFormat="1" applyFont="1" applyFill="1" applyBorder="1" applyAlignment="1">
      <alignment horizontal="center" vertical="top"/>
    </xf>
    <xf numFmtId="2" fontId="3" fillId="0" borderId="3" xfId="1" applyNumberFormat="1" applyFont="1" applyFill="1" applyBorder="1" applyAlignment="1">
      <alignment horizontal="center" vertical="top" wrapText="1"/>
    </xf>
    <xf numFmtId="2" fontId="3" fillId="0" borderId="18" xfId="1" applyNumberFormat="1" applyFont="1" applyFill="1" applyBorder="1" applyAlignment="1">
      <alignment horizontal="right"/>
    </xf>
    <xf numFmtId="2" fontId="3" fillId="0" borderId="16" xfId="1" applyNumberFormat="1" applyFont="1" applyFill="1" applyBorder="1" applyAlignment="1" applyProtection="1">
      <alignment horizontal="justify" vertical="top" wrapText="1"/>
    </xf>
    <xf numFmtId="166" fontId="3" fillId="0" borderId="16" xfId="1" applyNumberFormat="1" applyFont="1" applyFill="1" applyBorder="1" applyAlignment="1">
      <alignment horizontal="center" vertical="top" wrapText="1"/>
    </xf>
    <xf numFmtId="0" fontId="40" fillId="0" borderId="16" xfId="1" applyFont="1" applyFill="1" applyBorder="1" applyAlignment="1">
      <alignment vertical="center" wrapText="1"/>
    </xf>
    <xf numFmtId="2" fontId="6" fillId="0" borderId="16" xfId="1" applyNumberFormat="1" applyFont="1" applyFill="1" applyBorder="1" applyAlignment="1">
      <alignment horizontal="center"/>
    </xf>
    <xf numFmtId="0" fontId="4" fillId="0" borderId="0" xfId="1" applyFill="1"/>
    <xf numFmtId="0" fontId="6" fillId="2" borderId="16" xfId="1" applyFont="1" applyFill="1" applyBorder="1" applyAlignment="1">
      <alignment horizontal="center"/>
    </xf>
    <xf numFmtId="0" fontId="48" fillId="2" borderId="16" xfId="1" applyFont="1" applyFill="1" applyBorder="1" applyAlignment="1">
      <alignment vertical="center" wrapText="1"/>
    </xf>
    <xf numFmtId="0" fontId="3" fillId="2" borderId="16" xfId="1" applyFont="1" applyFill="1" applyBorder="1" applyAlignment="1">
      <alignment horizontal="center"/>
    </xf>
    <xf numFmtId="0" fontId="40" fillId="2" borderId="16" xfId="1" applyFont="1" applyFill="1" applyBorder="1" applyAlignment="1">
      <alignment horizontal="center" vertical="center" wrapText="1"/>
    </xf>
    <xf numFmtId="2" fontId="40" fillId="2" borderId="16" xfId="1" applyNumberFormat="1" applyFont="1" applyFill="1" applyBorder="1" applyAlignment="1">
      <alignment horizontal="right" vertical="center" wrapText="1"/>
    </xf>
    <xf numFmtId="2" fontId="3" fillId="2" borderId="16" xfId="1" applyNumberFormat="1" applyFont="1" applyFill="1" applyBorder="1"/>
    <xf numFmtId="2" fontId="3" fillId="2" borderId="16" xfId="1" applyNumberFormat="1" applyFont="1" applyFill="1" applyBorder="1" applyAlignment="1">
      <alignment horizontal="right"/>
    </xf>
    <xf numFmtId="2" fontId="39" fillId="2" borderId="16" xfId="1" applyNumberFormat="1" applyFont="1" applyFill="1" applyBorder="1" applyAlignment="1">
      <alignment horizontal="right"/>
    </xf>
    <xf numFmtId="0" fontId="4" fillId="2" borderId="0" xfId="1" applyFill="1"/>
    <xf numFmtId="1" fontId="4" fillId="2" borderId="0" xfId="1" applyNumberFormat="1" applyFont="1" applyFill="1" applyBorder="1" applyAlignment="1">
      <alignment horizontal="center" vertical="top"/>
    </xf>
    <xf numFmtId="0" fontId="39" fillId="2" borderId="16" xfId="1" applyFont="1" applyFill="1" applyBorder="1" applyAlignment="1">
      <alignment horizontal="center"/>
    </xf>
    <xf numFmtId="16" fontId="41" fillId="2" borderId="16" xfId="1" applyNumberFormat="1" applyFont="1" applyFill="1" applyBorder="1" applyAlignment="1">
      <alignment horizontal="left" vertical="center" wrapText="1"/>
    </xf>
    <xf numFmtId="2" fontId="39" fillId="2" borderId="16" xfId="1" applyNumberFormat="1" applyFont="1" applyFill="1" applyBorder="1" applyAlignment="1">
      <alignment horizontal="center"/>
    </xf>
    <xf numFmtId="0" fontId="4" fillId="2" borderId="0" xfId="1" applyFont="1" applyFill="1"/>
    <xf numFmtId="2" fontId="6" fillId="2" borderId="3" xfId="1" applyNumberFormat="1" applyFont="1" applyFill="1" applyBorder="1" applyAlignment="1">
      <alignment horizontal="center" vertical="top" wrapText="1"/>
    </xf>
    <xf numFmtId="0" fontId="6" fillId="2" borderId="0" xfId="1" applyFont="1" applyFill="1"/>
    <xf numFmtId="2" fontId="6" fillId="0" borderId="16" xfId="1" applyNumberFormat="1" applyFont="1" applyFill="1" applyBorder="1" applyAlignment="1">
      <alignment horizontal="center"/>
    </xf>
    <xf numFmtId="2" fontId="35" fillId="0" borderId="16" xfId="0" applyNumberFormat="1" applyFont="1" applyFill="1" applyBorder="1" applyAlignment="1">
      <alignment horizontal="center"/>
    </xf>
    <xf numFmtId="0" fontId="4" fillId="0" borderId="0" xfId="1" applyFill="1"/>
    <xf numFmtId="2" fontId="4" fillId="2" borderId="3" xfId="1" applyNumberFormat="1" applyFont="1" applyFill="1" applyBorder="1" applyAlignment="1" applyProtection="1">
      <alignment horizontal="justify" vertical="top" wrapText="1"/>
    </xf>
    <xf numFmtId="0" fontId="4" fillId="2" borderId="0" xfId="1" applyFill="1" applyAlignment="1">
      <alignment horizontal="left"/>
    </xf>
    <xf numFmtId="2" fontId="3" fillId="2" borderId="3" xfId="1" applyNumberFormat="1" applyFont="1" applyFill="1" applyBorder="1" applyAlignment="1" applyProtection="1">
      <alignment horizontal="justify" vertical="top" wrapText="1"/>
    </xf>
    <xf numFmtId="166" fontId="3" fillId="2" borderId="3" xfId="1" applyNumberFormat="1" applyFont="1" applyFill="1" applyBorder="1" applyAlignment="1">
      <alignment horizontal="center" vertical="top" wrapText="1"/>
    </xf>
    <xf numFmtId="1" fontId="3" fillId="2" borderId="3" xfId="1" applyNumberFormat="1" applyFont="1" applyFill="1" applyBorder="1" applyAlignment="1">
      <alignment horizontal="center" vertical="top" wrapText="1"/>
    </xf>
    <xf numFmtId="1" fontId="3" fillId="2" borderId="3" xfId="1" applyNumberFormat="1" applyFont="1" applyFill="1" applyBorder="1" applyAlignment="1">
      <alignment horizontal="center" vertical="top"/>
    </xf>
    <xf numFmtId="167" fontId="3" fillId="2" borderId="3" xfId="3" applyNumberFormat="1" applyFont="1" applyFill="1" applyBorder="1" applyAlignment="1">
      <alignment horizontal="center" vertical="top"/>
    </xf>
    <xf numFmtId="167" fontId="51" fillId="0" borderId="0" xfId="0" applyNumberFormat="1" applyFont="1" applyBorder="1"/>
    <xf numFmtId="43" fontId="51" fillId="0" borderId="0" xfId="0" applyNumberFormat="1" applyFont="1" applyBorder="1"/>
    <xf numFmtId="0" fontId="36" fillId="2" borderId="0" xfId="0" applyFont="1" applyFill="1" applyAlignment="1">
      <alignment horizontal="right"/>
    </xf>
    <xf numFmtId="43" fontId="36" fillId="0" borderId="0" xfId="0" applyNumberFormat="1" applyFont="1" applyFill="1"/>
    <xf numFmtId="168" fontId="4" fillId="2" borderId="3" xfId="1" applyNumberFormat="1" applyFont="1" applyFill="1" applyBorder="1" applyAlignment="1">
      <alignment horizontal="center" vertical="top" wrapText="1"/>
    </xf>
    <xf numFmtId="168" fontId="3" fillId="2" borderId="3" xfId="1" applyNumberFormat="1" applyFont="1" applyFill="1" applyBorder="1" applyAlignment="1">
      <alignment horizontal="center" vertical="top" wrapText="1"/>
    </xf>
    <xf numFmtId="0" fontId="4" fillId="2" borderId="16" xfId="1" applyFill="1" applyBorder="1" applyAlignment="1">
      <alignment horizontal="center"/>
    </xf>
    <xf numFmtId="0" fontId="0" fillId="2" borderId="16" xfId="0" applyFill="1" applyBorder="1"/>
    <xf numFmtId="0" fontId="0" fillId="2" borderId="16" xfId="0" applyFill="1" applyBorder="1" applyAlignment="1">
      <alignment horizontal="center"/>
    </xf>
    <xf numFmtId="2" fontId="0" fillId="2" borderId="16" xfId="0" applyNumberFormat="1" applyFill="1" applyBorder="1" applyAlignment="1"/>
    <xf numFmtId="2" fontId="0" fillId="2" borderId="16" xfId="0" applyNumberFormat="1" applyFont="1" applyFill="1" applyBorder="1" applyAlignment="1">
      <alignment horizontal="right"/>
    </xf>
    <xf numFmtId="2" fontId="4" fillId="2" borderId="16" xfId="1" applyNumberFormat="1" applyFill="1" applyBorder="1"/>
    <xf numFmtId="2" fontId="35" fillId="2" borderId="16" xfId="0" applyNumberFormat="1" applyFont="1" applyFill="1" applyBorder="1" applyAlignment="1">
      <alignment horizontal="center"/>
    </xf>
    <xf numFmtId="2" fontId="6" fillId="2" borderId="16" xfId="0" applyNumberFormat="1" applyFont="1" applyFill="1" applyBorder="1" applyAlignment="1">
      <alignment horizontal="right"/>
    </xf>
    <xf numFmtId="2" fontId="4" fillId="2" borderId="16" xfId="0" applyNumberFormat="1" applyFont="1" applyFill="1" applyBorder="1" applyAlignment="1">
      <alignment horizontal="right"/>
    </xf>
    <xf numFmtId="0" fontId="4" fillId="2" borderId="16" xfId="1" applyFill="1" applyBorder="1"/>
    <xf numFmtId="2" fontId="0" fillId="2" borderId="16" xfId="0" applyNumberFormat="1" applyFont="1" applyFill="1" applyBorder="1" applyAlignment="1">
      <alignment horizontal="center"/>
    </xf>
    <xf numFmtId="0" fontId="6" fillId="0" borderId="0" xfId="0" applyFont="1" applyFill="1" applyAlignment="1">
      <alignment horizontal="left" vertical="top"/>
    </xf>
    <xf numFmtId="0" fontId="5" fillId="0" borderId="0" xfId="1" applyFont="1" applyFill="1" applyBorder="1" applyAlignment="1">
      <alignment horizontal="center" vertical="top" wrapText="1"/>
    </xf>
    <xf numFmtId="0" fontId="6" fillId="0" borderId="0" xfId="1" applyFont="1" applyFill="1" applyBorder="1" applyAlignment="1">
      <alignment horizontal="center" vertical="top" wrapText="1"/>
    </xf>
    <xf numFmtId="0" fontId="6" fillId="0" borderId="1" xfId="1" applyFont="1" applyFill="1" applyBorder="1" applyAlignment="1">
      <alignment horizontal="center" vertical="center" wrapText="1"/>
    </xf>
    <xf numFmtId="0" fontId="6" fillId="0" borderId="2" xfId="1" applyFont="1" applyFill="1" applyBorder="1" applyAlignment="1">
      <alignment horizontal="center" vertical="center" wrapText="1"/>
    </xf>
    <xf numFmtId="2" fontId="6" fillId="0" borderId="16" xfId="1" applyNumberFormat="1" applyFont="1" applyFill="1" applyBorder="1" applyAlignment="1">
      <alignment horizontal="center"/>
    </xf>
    <xf numFmtId="2" fontId="4" fillId="0" borderId="16" xfId="1" applyNumberFormat="1" applyFont="1" applyFill="1" applyBorder="1" applyAlignment="1">
      <alignment horizontal="center"/>
    </xf>
    <xf numFmtId="2" fontId="35" fillId="0" borderId="16" xfId="0" applyNumberFormat="1" applyFont="1" applyFill="1" applyBorder="1" applyAlignment="1">
      <alignment horizontal="center"/>
    </xf>
    <xf numFmtId="2" fontId="0" fillId="0" borderId="16" xfId="0" applyNumberFormat="1" applyFont="1" applyFill="1" applyBorder="1" applyAlignment="1">
      <alignment horizontal="center"/>
    </xf>
    <xf numFmtId="2" fontId="6" fillId="0" borderId="17" xfId="1" applyNumberFormat="1" applyFont="1" applyFill="1" applyBorder="1" applyAlignment="1">
      <alignment horizontal="center"/>
    </xf>
    <xf numFmtId="2" fontId="6" fillId="0" borderId="18" xfId="1" applyNumberFormat="1" applyFont="1" applyFill="1" applyBorder="1" applyAlignment="1">
      <alignment horizontal="center"/>
    </xf>
    <xf numFmtId="0" fontId="16" fillId="0" borderId="17" xfId="1" applyFont="1" applyFill="1" applyBorder="1" applyAlignment="1">
      <alignment horizontal="left" vertical="top" wrapText="1"/>
    </xf>
    <xf numFmtId="0" fontId="16" fillId="0" borderId="24" xfId="1" applyFont="1" applyFill="1" applyBorder="1" applyAlignment="1">
      <alignment horizontal="left" vertical="top" wrapText="1"/>
    </xf>
    <xf numFmtId="0" fontId="16" fillId="0" borderId="18" xfId="1" applyFont="1" applyFill="1" applyBorder="1" applyAlignment="1">
      <alignment horizontal="left" vertical="top" wrapText="1"/>
    </xf>
    <xf numFmtId="2" fontId="40" fillId="0" borderId="17" xfId="1" applyNumberFormat="1" applyFont="1" applyFill="1" applyBorder="1" applyAlignment="1">
      <alignment horizontal="center" vertical="center" wrapText="1"/>
    </xf>
    <xf numFmtId="2" fontId="40" fillId="0" borderId="24" xfId="1" applyNumberFormat="1" applyFont="1" applyFill="1" applyBorder="1" applyAlignment="1">
      <alignment horizontal="center" vertical="center" wrapText="1"/>
    </xf>
    <xf numFmtId="2" fontId="6" fillId="0" borderId="16" xfId="53" applyNumberFormat="1" applyFont="1" applyFill="1" applyBorder="1" applyAlignment="1">
      <alignment horizontal="center"/>
    </xf>
    <xf numFmtId="2" fontId="19" fillId="0" borderId="17" xfId="1" applyNumberFormat="1" applyFont="1" applyFill="1" applyBorder="1" applyAlignment="1">
      <alignment horizontal="center" vertical="center" wrapText="1"/>
    </xf>
    <xf numFmtId="2" fontId="19" fillId="0" borderId="18" xfId="1" applyNumberFormat="1" applyFont="1" applyFill="1" applyBorder="1" applyAlignment="1">
      <alignment horizontal="center" vertical="center" wrapText="1"/>
    </xf>
    <xf numFmtId="0" fontId="15" fillId="0" borderId="5" xfId="1" applyFont="1" applyFill="1" applyBorder="1" applyAlignment="1">
      <alignment vertical="top" wrapText="1"/>
    </xf>
    <xf numFmtId="0" fontId="4" fillId="0" borderId="8" xfId="1" applyFill="1" applyBorder="1"/>
    <xf numFmtId="0" fontId="6" fillId="0" borderId="6" xfId="1" applyFont="1" applyFill="1" applyBorder="1" applyAlignment="1">
      <alignment vertical="top" wrapText="1"/>
    </xf>
    <xf numFmtId="0" fontId="4" fillId="0" borderId="7" xfId="1" applyFill="1" applyBorder="1"/>
    <xf numFmtId="0" fontId="4" fillId="0" borderId="0" xfId="1" applyFill="1"/>
    <xf numFmtId="0" fontId="4" fillId="0" borderId="9" xfId="1" applyFill="1" applyBorder="1"/>
    <xf numFmtId="0" fontId="16" fillId="0" borderId="5" xfId="1" applyFont="1" applyFill="1" applyBorder="1" applyAlignment="1">
      <alignment horizontal="right" vertical="top" wrapText="1"/>
    </xf>
    <xf numFmtId="0" fontId="16" fillId="0" borderId="6" xfId="1" applyFont="1" applyFill="1" applyBorder="1" applyAlignment="1">
      <alignment horizontal="right" vertical="top" wrapText="1"/>
    </xf>
    <xf numFmtId="0" fontId="16" fillId="0" borderId="7" xfId="1" applyFont="1" applyFill="1" applyBorder="1" applyAlignment="1">
      <alignment horizontal="right" vertical="top" wrapText="1"/>
    </xf>
    <xf numFmtId="0" fontId="16" fillId="0" borderId="8" xfId="1" applyFont="1" applyFill="1" applyBorder="1" applyAlignment="1">
      <alignment horizontal="right" vertical="top" wrapText="1"/>
    </xf>
    <xf numFmtId="0" fontId="16" fillId="0" borderId="0" xfId="1" applyFont="1" applyFill="1" applyBorder="1" applyAlignment="1">
      <alignment horizontal="right" vertical="top" wrapText="1"/>
    </xf>
    <xf numFmtId="0" fontId="16" fillId="0" borderId="9" xfId="1" applyFont="1" applyFill="1" applyBorder="1" applyAlignment="1">
      <alignment horizontal="right" vertical="top" wrapText="1"/>
    </xf>
    <xf numFmtId="0" fontId="16" fillId="0" borderId="13" xfId="1" applyFont="1" applyFill="1" applyBorder="1" applyAlignment="1">
      <alignment horizontal="right" vertical="top" wrapText="1"/>
    </xf>
    <xf numFmtId="0" fontId="16" fillId="0" borderId="11" xfId="1" applyFont="1" applyFill="1" applyBorder="1" applyAlignment="1">
      <alignment horizontal="right" vertical="top" wrapText="1"/>
    </xf>
    <xf numFmtId="0" fontId="16" fillId="0" borderId="12" xfId="1" applyFont="1" applyFill="1" applyBorder="1" applyAlignment="1">
      <alignment horizontal="right" vertical="top" wrapText="1"/>
    </xf>
    <xf numFmtId="0" fontId="17" fillId="0" borderId="10" xfId="1" applyFont="1" applyFill="1" applyBorder="1" applyAlignment="1">
      <alignment vertical="top" wrapText="1"/>
    </xf>
    <xf numFmtId="0" fontId="4" fillId="0" borderId="11" xfId="1" applyFill="1" applyBorder="1"/>
    <xf numFmtId="0" fontId="4" fillId="0" borderId="12" xfId="1" applyFill="1" applyBorder="1"/>
    <xf numFmtId="0" fontId="15" fillId="0" borderId="5" xfId="1" applyFont="1" applyFill="1" applyBorder="1" applyAlignment="1">
      <alignment horizontal="justify" vertical="top" wrapText="1"/>
    </xf>
    <xf numFmtId="0" fontId="15" fillId="0" borderId="6" xfId="1" applyFont="1" applyFill="1" applyBorder="1" applyAlignment="1">
      <alignment horizontal="justify" vertical="top" wrapText="1"/>
    </xf>
    <xf numFmtId="0" fontId="18" fillId="0" borderId="14" xfId="1" applyFont="1" applyFill="1" applyBorder="1" applyAlignment="1">
      <alignment horizontal="justify" vertical="top" wrapText="1"/>
    </xf>
    <xf numFmtId="0" fontId="18" fillId="0" borderId="15" xfId="1" applyFont="1" applyFill="1" applyBorder="1" applyAlignment="1">
      <alignment horizontal="justify" vertical="top" wrapText="1"/>
    </xf>
    <xf numFmtId="0" fontId="17" fillId="0" borderId="8" xfId="1" applyFont="1" applyFill="1" applyBorder="1" applyAlignment="1">
      <alignment horizontal="justify" vertical="top" wrapText="1"/>
    </xf>
    <xf numFmtId="0" fontId="17" fillId="0" borderId="0" xfId="1" applyFont="1" applyFill="1" applyBorder="1" applyAlignment="1">
      <alignment horizontal="justify" vertical="top" wrapText="1"/>
    </xf>
    <xf numFmtId="0" fontId="17" fillId="0" borderId="9" xfId="1" applyFont="1" applyFill="1" applyBorder="1" applyAlignment="1">
      <alignment horizontal="justify" vertical="top" wrapText="1"/>
    </xf>
    <xf numFmtId="0" fontId="17" fillId="0" borderId="13" xfId="1" applyFont="1" applyFill="1" applyBorder="1" applyAlignment="1">
      <alignment horizontal="justify" vertical="top" wrapText="1"/>
    </xf>
    <xf numFmtId="0" fontId="17" fillId="0" borderId="11" xfId="1" applyFont="1" applyFill="1" applyBorder="1" applyAlignment="1">
      <alignment horizontal="justify" vertical="top" wrapText="1"/>
    </xf>
    <xf numFmtId="0" fontId="17" fillId="0" borderId="12" xfId="1" applyFont="1" applyFill="1" applyBorder="1" applyAlignment="1">
      <alignment horizontal="justify" vertical="top" wrapText="1"/>
    </xf>
    <xf numFmtId="0" fontId="17" fillId="0" borderId="25" xfId="1" applyFont="1" applyFill="1" applyBorder="1" applyAlignment="1">
      <alignment horizontal="left" vertical="top" wrapText="1"/>
    </xf>
    <xf numFmtId="0" fontId="16" fillId="0" borderId="16" xfId="1" applyFont="1" applyFill="1" applyBorder="1" applyAlignment="1">
      <alignment horizontal="left" vertical="top" wrapText="1"/>
    </xf>
    <xf numFmtId="0" fontId="17" fillId="0" borderId="17" xfId="1" applyFont="1" applyFill="1" applyBorder="1" applyAlignment="1">
      <alignment horizontal="left" vertical="top" wrapText="1"/>
    </xf>
    <xf numFmtId="0" fontId="17" fillId="0" borderId="24" xfId="1" applyFont="1" applyFill="1" applyBorder="1" applyAlignment="1">
      <alignment horizontal="left" vertical="top" wrapText="1"/>
    </xf>
    <xf numFmtId="0" fontId="17" fillId="0" borderId="18" xfId="1" applyFont="1" applyFill="1" applyBorder="1" applyAlignment="1">
      <alignment horizontal="left" vertical="top" wrapText="1"/>
    </xf>
    <xf numFmtId="169" fontId="6" fillId="0" borderId="16" xfId="1" applyNumberFormat="1" applyFont="1" applyFill="1" applyBorder="1" applyAlignment="1">
      <alignment horizontal="center"/>
    </xf>
    <xf numFmtId="0" fontId="19" fillId="0" borderId="16" xfId="1" applyFont="1" applyFill="1" applyBorder="1" applyAlignment="1">
      <alignment horizontal="center" vertical="center" wrapText="1"/>
    </xf>
    <xf numFmtId="0" fontId="16" fillId="0" borderId="16" xfId="1" applyFont="1" applyFill="1" applyBorder="1" applyAlignment="1">
      <alignment horizontal="center" vertical="top" wrapText="1"/>
    </xf>
    <xf numFmtId="2" fontId="4" fillId="0" borderId="17" xfId="1" applyNumberFormat="1" applyFont="1" applyFill="1" applyBorder="1" applyAlignment="1">
      <alignment horizontal="center"/>
    </xf>
    <xf numFmtId="2" fontId="4" fillId="0" borderId="18" xfId="1" applyNumberFormat="1" applyFont="1" applyFill="1" applyBorder="1" applyAlignment="1">
      <alignment horizontal="center"/>
    </xf>
    <xf numFmtId="2" fontId="21" fillId="0" borderId="17" xfId="1" applyNumberFormat="1" applyFont="1" applyFill="1" applyBorder="1" applyAlignment="1">
      <alignment horizontal="center" vertical="center" wrapText="1"/>
    </xf>
    <xf numFmtId="2" fontId="21" fillId="0" borderId="18" xfId="1" applyNumberFormat="1" applyFont="1" applyFill="1" applyBorder="1" applyAlignment="1">
      <alignment horizontal="center" vertical="center" wrapText="1"/>
    </xf>
    <xf numFmtId="2" fontId="0" fillId="0" borderId="16" xfId="0" applyNumberFormat="1" applyFill="1" applyBorder="1" applyAlignment="1">
      <alignment horizontal="center"/>
    </xf>
    <xf numFmtId="0" fontId="6" fillId="0" borderId="17" xfId="1" applyFont="1" applyFill="1" applyBorder="1" applyAlignment="1">
      <alignment horizontal="center"/>
    </xf>
    <xf numFmtId="0" fontId="6" fillId="0" borderId="18" xfId="1" applyFont="1" applyFill="1" applyBorder="1" applyAlignment="1">
      <alignment horizontal="center"/>
    </xf>
    <xf numFmtId="2" fontId="39" fillId="0" borderId="16" xfId="1" applyNumberFormat="1" applyFont="1" applyFill="1" applyBorder="1" applyAlignment="1">
      <alignment horizontal="center"/>
    </xf>
    <xf numFmtId="2" fontId="34" fillId="0" borderId="17" xfId="0" applyNumberFormat="1" applyFont="1" applyFill="1" applyBorder="1" applyAlignment="1">
      <alignment horizontal="center" wrapText="1"/>
    </xf>
    <xf numFmtId="2" fontId="34" fillId="0" borderId="18" xfId="0" applyNumberFormat="1" applyFont="1" applyFill="1" applyBorder="1" applyAlignment="1">
      <alignment horizontal="center" wrapText="1"/>
    </xf>
    <xf numFmtId="0" fontId="17" fillId="0" borderId="16" xfId="1" applyFont="1" applyFill="1" applyBorder="1" applyAlignment="1">
      <alignment horizontal="left" vertical="top" wrapText="1"/>
    </xf>
    <xf numFmtId="2" fontId="6" fillId="0" borderId="16" xfId="49" applyNumberFormat="1" applyFont="1" applyFill="1" applyBorder="1" applyAlignment="1">
      <alignment horizontal="center"/>
    </xf>
    <xf numFmtId="0" fontId="21" fillId="0" borderId="16" xfId="49" applyFont="1" applyFill="1" applyBorder="1" applyAlignment="1">
      <alignment horizontal="center" vertical="center" wrapText="1"/>
    </xf>
    <xf numFmtId="2" fontId="21" fillId="0" borderId="17" xfId="49" applyNumberFormat="1" applyFont="1" applyFill="1" applyBorder="1" applyAlignment="1">
      <alignment horizontal="center" vertical="center" wrapText="1"/>
    </xf>
    <xf numFmtId="2" fontId="21" fillId="0" borderId="18" xfId="49" applyNumberFormat="1" applyFont="1" applyFill="1" applyBorder="1" applyAlignment="1">
      <alignment horizontal="center" vertical="center" wrapText="1"/>
    </xf>
    <xf numFmtId="0" fontId="21" fillId="0" borderId="17" xfId="49" applyFont="1" applyFill="1" applyBorder="1" applyAlignment="1">
      <alignment horizontal="center" vertical="center" wrapText="1"/>
    </xf>
    <xf numFmtId="0" fontId="21" fillId="0" borderId="18" xfId="49" applyFont="1" applyFill="1" applyBorder="1" applyAlignment="1">
      <alignment horizontal="center" vertical="center" wrapText="1"/>
    </xf>
    <xf numFmtId="2" fontId="9" fillId="0" borderId="16" xfId="49" applyNumberFormat="1" applyFont="1" applyFill="1" applyBorder="1" applyAlignment="1">
      <alignment horizontal="center"/>
    </xf>
    <xf numFmtId="2" fontId="4" fillId="0" borderId="17" xfId="49" applyNumberFormat="1" applyFont="1" applyFill="1" applyBorder="1" applyAlignment="1">
      <alignment horizontal="center"/>
    </xf>
    <xf numFmtId="2" fontId="4" fillId="0" borderId="18" xfId="49" applyNumberFormat="1" applyFont="1" applyFill="1" applyBorder="1" applyAlignment="1">
      <alignment horizontal="center"/>
    </xf>
    <xf numFmtId="2" fontId="6" fillId="0" borderId="17" xfId="49" applyNumberFormat="1" applyFont="1" applyFill="1" applyBorder="1" applyAlignment="1">
      <alignment horizontal="center"/>
    </xf>
    <xf numFmtId="2" fontId="6" fillId="0" borderId="18" xfId="49" applyNumberFormat="1" applyFont="1" applyFill="1" applyBorder="1" applyAlignment="1">
      <alignment horizontal="center"/>
    </xf>
    <xf numFmtId="169" fontId="6" fillId="0" borderId="16" xfId="49" applyNumberFormat="1" applyFont="1" applyFill="1" applyBorder="1" applyAlignment="1">
      <alignment horizontal="center"/>
    </xf>
    <xf numFmtId="0" fontId="17" fillId="0" borderId="8" xfId="49" applyFont="1" applyFill="1" applyBorder="1" applyAlignment="1">
      <alignment horizontal="justify" vertical="top" wrapText="1"/>
    </xf>
    <xf numFmtId="0" fontId="17" fillId="0" borderId="0" xfId="49" applyFont="1" applyFill="1" applyBorder="1" applyAlignment="1">
      <alignment horizontal="justify" vertical="top" wrapText="1"/>
    </xf>
    <xf numFmtId="0" fontId="17" fillId="0" borderId="9" xfId="49" applyFont="1" applyFill="1" applyBorder="1" applyAlignment="1">
      <alignment horizontal="justify" vertical="top" wrapText="1"/>
    </xf>
    <xf numFmtId="0" fontId="16" fillId="0" borderId="16" xfId="49" applyFont="1" applyFill="1" applyBorder="1" applyAlignment="1">
      <alignment horizontal="center" vertical="top" wrapText="1"/>
    </xf>
    <xf numFmtId="0" fontId="19" fillId="0" borderId="16" xfId="49" applyFont="1" applyFill="1" applyBorder="1" applyAlignment="1">
      <alignment horizontal="center" vertical="center" wrapText="1"/>
    </xf>
    <xf numFmtId="0" fontId="15" fillId="0" borderId="5" xfId="49" applyFont="1" applyFill="1" applyBorder="1" applyAlignment="1">
      <alignment vertical="top" wrapText="1"/>
    </xf>
    <xf numFmtId="0" fontId="31" fillId="0" borderId="8" xfId="49" applyFill="1" applyBorder="1"/>
    <xf numFmtId="0" fontId="6" fillId="0" borderId="6" xfId="49" applyFont="1" applyFill="1" applyBorder="1" applyAlignment="1">
      <alignment vertical="top" wrapText="1"/>
    </xf>
    <xf numFmtId="0" fontId="31" fillId="0" borderId="7" xfId="49" applyFill="1" applyBorder="1"/>
    <xf numFmtId="0" fontId="31" fillId="0" borderId="0" xfId="49" applyFill="1"/>
    <xf numFmtId="0" fontId="31" fillId="0" borderId="9" xfId="49" applyFill="1" applyBorder="1"/>
    <xf numFmtId="0" fontId="16" fillId="0" borderId="5" xfId="49" applyFont="1" applyFill="1" applyBorder="1" applyAlignment="1">
      <alignment horizontal="right" vertical="top" wrapText="1"/>
    </xf>
    <xf numFmtId="0" fontId="16" fillId="0" borderId="6" xfId="49" applyFont="1" applyFill="1" applyBorder="1" applyAlignment="1">
      <alignment horizontal="right" vertical="top" wrapText="1"/>
    </xf>
    <xf numFmtId="0" fontId="16" fillId="0" borderId="7" xfId="49" applyFont="1" applyFill="1" applyBorder="1" applyAlignment="1">
      <alignment horizontal="right" vertical="top" wrapText="1"/>
    </xf>
    <xf numFmtId="0" fontId="16" fillId="0" borderId="8" xfId="49" applyFont="1" applyFill="1" applyBorder="1" applyAlignment="1">
      <alignment horizontal="right" vertical="top" wrapText="1"/>
    </xf>
    <xf numFmtId="0" fontId="16" fillId="0" borderId="0" xfId="49" applyFont="1" applyFill="1" applyBorder="1" applyAlignment="1">
      <alignment horizontal="right" vertical="top" wrapText="1"/>
    </xf>
    <xf numFmtId="0" fontId="16" fillId="0" borderId="9" xfId="49" applyFont="1" applyFill="1" applyBorder="1" applyAlignment="1">
      <alignment horizontal="right" vertical="top" wrapText="1"/>
    </xf>
    <xf numFmtId="0" fontId="16" fillId="0" borderId="13" xfId="49" applyFont="1" applyFill="1" applyBorder="1" applyAlignment="1">
      <alignment horizontal="right" vertical="top" wrapText="1"/>
    </xf>
    <xf numFmtId="0" fontId="16" fillId="0" borderId="11" xfId="49" applyFont="1" applyFill="1" applyBorder="1" applyAlignment="1">
      <alignment horizontal="right" vertical="top" wrapText="1"/>
    </xf>
    <xf numFmtId="0" fontId="16" fillId="0" borderId="12" xfId="49" applyFont="1" applyFill="1" applyBorder="1" applyAlignment="1">
      <alignment horizontal="right" vertical="top" wrapText="1"/>
    </xf>
    <xf numFmtId="0" fontId="17" fillId="0" borderId="10" xfId="49" applyFont="1" applyFill="1" applyBorder="1" applyAlignment="1">
      <alignment vertical="top" wrapText="1"/>
    </xf>
    <xf numFmtId="0" fontId="31" fillId="0" borderId="11" xfId="49" applyFill="1" applyBorder="1"/>
    <xf numFmtId="0" fontId="31" fillId="0" borderId="12" xfId="49" applyFill="1" applyBorder="1"/>
    <xf numFmtId="0" fontId="15" fillId="0" borderId="5" xfId="49" applyFont="1" applyFill="1" applyBorder="1" applyAlignment="1">
      <alignment horizontal="justify" vertical="top" wrapText="1"/>
    </xf>
    <xf numFmtId="0" fontId="15" fillId="0" borderId="6" xfId="49" applyFont="1" applyFill="1" applyBorder="1" applyAlignment="1">
      <alignment horizontal="justify" vertical="top" wrapText="1"/>
    </xf>
    <xf numFmtId="0" fontId="18" fillId="0" borderId="14" xfId="49" applyFont="1" applyFill="1" applyBorder="1" applyAlignment="1">
      <alignment horizontal="justify" vertical="top" wrapText="1"/>
    </xf>
    <xf numFmtId="0" fontId="18" fillId="0" borderId="15" xfId="49" applyFont="1" applyFill="1" applyBorder="1" applyAlignment="1">
      <alignment horizontal="justify" vertical="top" wrapText="1"/>
    </xf>
  </cellXfs>
  <cellStyles count="59">
    <cellStyle name=" 1" xfId="10"/>
    <cellStyle name="_Abs-Laboratory" xfId="11"/>
    <cellStyle name="_Abstract sheet" xfId="12"/>
    <cellStyle name="_Cost estimate Basements rev 2 Opt 1 - 6th Apr 2007" xfId="13"/>
    <cellStyle name="_Cost estimate Basements rev 2 Opt 2 - 6th Apr 2007" xfId="14"/>
    <cellStyle name="_Cost Estimate_FAS_BMS" xfId="15"/>
    <cellStyle name="_Elect. panel &amp; Control Rm " xfId="16"/>
    <cellStyle name="_Electrical Services Estimate_VPK1" xfId="17"/>
    <cellStyle name="_FINAL cost estimate 15th Dec 2006- for GW- Issued" xfId="18"/>
    <cellStyle name="_Laboratory Building" xfId="19"/>
    <cellStyle name="_NTCB_Cost Model_B_101011" xfId="20"/>
    <cellStyle name="_NTCB_Cost_Model_D4_040112" xfId="21"/>
    <cellStyle name="_Rate Analysis - Civil Type 3" xfId="22"/>
    <cellStyle name="_Sheet1" xfId="23"/>
    <cellStyle name="_Shell NTCB- Abstract for qty" xfId="24"/>
    <cellStyle name="_Summary Civil work R2" xfId="25"/>
    <cellStyle name="_Summary Civil work R3A" xfId="26"/>
    <cellStyle name="_Summary Civil work_ VPK1" xfId="27"/>
    <cellStyle name="_UT08 - Thermic Fluid Heater shed" xfId="28"/>
    <cellStyle name="0,0_x000d__x000a_NA_x000d__x000a_" xfId="29"/>
    <cellStyle name="Comma" xfId="51" builtinId="3"/>
    <cellStyle name="Comma [0] 3" xfId="30"/>
    <cellStyle name="Comma 2" xfId="3"/>
    <cellStyle name="Comma 2 2" xfId="52"/>
    <cellStyle name="Comma 3" xfId="31"/>
    <cellStyle name="Comma 4" xfId="32"/>
    <cellStyle name="Comma 5" xfId="50"/>
    <cellStyle name="Fixed1 - Style1" xfId="33"/>
    <cellStyle name="Fixed2 - Style2" xfId="34"/>
    <cellStyle name="Normal" xfId="0" builtinId="0"/>
    <cellStyle name="Normal 10" xfId="35"/>
    <cellStyle name="Normal 2" xfId="1"/>
    <cellStyle name="Normal 2 2" xfId="7"/>
    <cellStyle name="Normal 2 2 2" xfId="53"/>
    <cellStyle name="Normal 2 3" xfId="58"/>
    <cellStyle name="Normal 2_18-10-2012  Summary INC BLDGS BOQ-Civil-Arch" xfId="36"/>
    <cellStyle name="Normal 3" xfId="5"/>
    <cellStyle name="Normal 3 2" xfId="37"/>
    <cellStyle name="Normal 3 3" xfId="55"/>
    <cellStyle name="Normal 3_18-10-2012  Summary INC BLDGS BOQ-Civil-Arch" xfId="9"/>
    <cellStyle name="Normal 3_20-10-2012  BOQ-Civil-Arch-2" xfId="6"/>
    <cellStyle name="Normal 4" xfId="38"/>
    <cellStyle name="Normal 5" xfId="39"/>
    <cellStyle name="Normal 6" xfId="40"/>
    <cellStyle name="Normal 7" xfId="41"/>
    <cellStyle name="Normal 8" xfId="49"/>
    <cellStyle name="Normal 8 2" xfId="57"/>
    <cellStyle name="Normal_20-10-2012  BOQ-Civil-Arch-2" xfId="8"/>
    <cellStyle name="Normal_20-10-2012  BOQ-Civil-Arch-2 2" xfId="54"/>
    <cellStyle name="Normal_BOQ for Road work 29-05-2013" xfId="4"/>
    <cellStyle name="Normal_Sample of BOQ- Volume III" xfId="56"/>
    <cellStyle name="Normal_Summary Civil work R3A" xfId="2"/>
    <cellStyle name="Percen - Style1" xfId="42"/>
    <cellStyle name="Percent 2" xfId="43"/>
    <cellStyle name="Percent 3" xfId="44"/>
    <cellStyle name="Percent 4" xfId="45"/>
    <cellStyle name="Standard_ 4     " xfId="46"/>
    <cellStyle name="Style 1" xfId="47"/>
    <cellStyle name="표준_Book1" xfId="4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3</xdr:col>
      <xdr:colOff>695325</xdr:colOff>
      <xdr:row>0</xdr:row>
      <xdr:rowOff>0</xdr:rowOff>
    </xdr:from>
    <xdr:to>
      <xdr:col>5</xdr:col>
      <xdr:colOff>962025</xdr:colOff>
      <xdr:row>0</xdr:row>
      <xdr:rowOff>0</xdr:rowOff>
    </xdr:to>
    <xdr:pic>
      <xdr:nvPicPr>
        <xdr:cNvPr id="2" name="Picture 2" descr="mm_blac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43525" y="0"/>
          <a:ext cx="16383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695325</xdr:colOff>
      <xdr:row>1</xdr:row>
      <xdr:rowOff>28575</xdr:rowOff>
    </xdr:from>
    <xdr:to>
      <xdr:col>7</xdr:col>
      <xdr:colOff>962025</xdr:colOff>
      <xdr:row>4</xdr:row>
      <xdr:rowOff>66675</xdr:rowOff>
    </xdr:to>
    <xdr:pic>
      <xdr:nvPicPr>
        <xdr:cNvPr id="2" name="Picture 1" descr="mm_blac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24425" y="200025"/>
          <a:ext cx="15144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457200</xdr:colOff>
      <xdr:row>102</xdr:row>
      <xdr:rowOff>152400</xdr:rowOff>
    </xdr:from>
    <xdr:to>
      <xdr:col>10</xdr:col>
      <xdr:colOff>0</xdr:colOff>
      <xdr:row>108</xdr:row>
      <xdr:rowOff>133350</xdr:rowOff>
    </xdr:to>
    <xdr:sp macro="" textlink="">
      <xdr:nvSpPr>
        <xdr:cNvPr id="3" name="Rectangle 2"/>
        <xdr:cNvSpPr/>
      </xdr:nvSpPr>
      <xdr:spPr>
        <a:xfrm>
          <a:off x="7800975" y="19802475"/>
          <a:ext cx="295275" cy="1123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0</xdr:colOff>
      <xdr:row>108</xdr:row>
      <xdr:rowOff>133350</xdr:rowOff>
    </xdr:from>
    <xdr:to>
      <xdr:col>10</xdr:col>
      <xdr:colOff>400050</xdr:colOff>
      <xdr:row>110</xdr:row>
      <xdr:rowOff>28575</xdr:rowOff>
    </xdr:to>
    <xdr:sp macro="" textlink="">
      <xdr:nvSpPr>
        <xdr:cNvPr id="4" name="Rectangle 3"/>
        <xdr:cNvSpPr/>
      </xdr:nvSpPr>
      <xdr:spPr>
        <a:xfrm>
          <a:off x="7343775" y="20926425"/>
          <a:ext cx="115252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28575</xdr:colOff>
      <xdr:row>106</xdr:row>
      <xdr:rowOff>142875</xdr:rowOff>
    </xdr:from>
    <xdr:to>
      <xdr:col>10</xdr:col>
      <xdr:colOff>828675</xdr:colOff>
      <xdr:row>106</xdr:row>
      <xdr:rowOff>142875</xdr:rowOff>
    </xdr:to>
    <xdr:cxnSp macro="">
      <xdr:nvCxnSpPr>
        <xdr:cNvPr id="6" name="Straight Connector 5"/>
        <xdr:cNvCxnSpPr/>
      </xdr:nvCxnSpPr>
      <xdr:spPr>
        <a:xfrm>
          <a:off x="8124825" y="20554950"/>
          <a:ext cx="800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742950</xdr:colOff>
      <xdr:row>106</xdr:row>
      <xdr:rowOff>161925</xdr:rowOff>
    </xdr:from>
    <xdr:to>
      <xdr:col>10</xdr:col>
      <xdr:colOff>742950</xdr:colOff>
      <xdr:row>110</xdr:row>
      <xdr:rowOff>66675</xdr:rowOff>
    </xdr:to>
    <xdr:cxnSp macro="">
      <xdr:nvCxnSpPr>
        <xdr:cNvPr id="8" name="Straight Arrow Connector 7"/>
        <xdr:cNvCxnSpPr/>
      </xdr:nvCxnSpPr>
      <xdr:spPr>
        <a:xfrm>
          <a:off x="8839200" y="20574000"/>
          <a:ext cx="0" cy="6667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xdr:colOff>
      <xdr:row>110</xdr:row>
      <xdr:rowOff>180975</xdr:rowOff>
    </xdr:from>
    <xdr:to>
      <xdr:col>10</xdr:col>
      <xdr:colOff>419100</xdr:colOff>
      <xdr:row>110</xdr:row>
      <xdr:rowOff>180975</xdr:rowOff>
    </xdr:to>
    <xdr:cxnSp macro="">
      <xdr:nvCxnSpPr>
        <xdr:cNvPr id="10" name="Straight Arrow Connector 9"/>
        <xdr:cNvCxnSpPr/>
      </xdr:nvCxnSpPr>
      <xdr:spPr>
        <a:xfrm flipV="1">
          <a:off x="7362825" y="21355050"/>
          <a:ext cx="11525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438150</xdr:colOff>
      <xdr:row>102</xdr:row>
      <xdr:rowOff>76200</xdr:rowOff>
    </xdr:from>
    <xdr:to>
      <xdr:col>10</xdr:col>
      <xdr:colOff>38100</xdr:colOff>
      <xdr:row>102</xdr:row>
      <xdr:rowOff>76200</xdr:rowOff>
    </xdr:to>
    <xdr:cxnSp macro="">
      <xdr:nvCxnSpPr>
        <xdr:cNvPr id="11" name="Straight Arrow Connector 10"/>
        <xdr:cNvCxnSpPr/>
      </xdr:nvCxnSpPr>
      <xdr:spPr>
        <a:xfrm>
          <a:off x="7781925" y="19726275"/>
          <a:ext cx="35242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723900</xdr:colOff>
      <xdr:row>102</xdr:row>
      <xdr:rowOff>142875</xdr:rowOff>
    </xdr:from>
    <xdr:to>
      <xdr:col>10</xdr:col>
      <xdr:colOff>723900</xdr:colOff>
      <xdr:row>106</xdr:row>
      <xdr:rowOff>133350</xdr:rowOff>
    </xdr:to>
    <xdr:cxnSp macro="">
      <xdr:nvCxnSpPr>
        <xdr:cNvPr id="13" name="Straight Arrow Connector 12"/>
        <xdr:cNvCxnSpPr/>
      </xdr:nvCxnSpPr>
      <xdr:spPr>
        <a:xfrm>
          <a:off x="8820150" y="19792950"/>
          <a:ext cx="0" cy="7524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476250</xdr:colOff>
      <xdr:row>108</xdr:row>
      <xdr:rowOff>123825</xdr:rowOff>
    </xdr:from>
    <xdr:to>
      <xdr:col>8</xdr:col>
      <xdr:colOff>476250</xdr:colOff>
      <xdr:row>110</xdr:row>
      <xdr:rowOff>76200</xdr:rowOff>
    </xdr:to>
    <xdr:cxnSp macro="">
      <xdr:nvCxnSpPr>
        <xdr:cNvPr id="15" name="Straight Arrow Connector 14"/>
        <xdr:cNvCxnSpPr/>
      </xdr:nvCxnSpPr>
      <xdr:spPr>
        <a:xfrm>
          <a:off x="7210425" y="20916900"/>
          <a:ext cx="0" cy="3333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695325</xdr:colOff>
      <xdr:row>1</xdr:row>
      <xdr:rowOff>28575</xdr:rowOff>
    </xdr:from>
    <xdr:to>
      <xdr:col>7</xdr:col>
      <xdr:colOff>962025</xdr:colOff>
      <xdr:row>4</xdr:row>
      <xdr:rowOff>66675</xdr:rowOff>
    </xdr:to>
    <xdr:pic>
      <xdr:nvPicPr>
        <xdr:cNvPr id="2" name="Picture 1" descr="mm_blac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24425" y="200025"/>
          <a:ext cx="15144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695325</xdr:colOff>
      <xdr:row>1</xdr:row>
      <xdr:rowOff>28575</xdr:rowOff>
    </xdr:from>
    <xdr:to>
      <xdr:col>7</xdr:col>
      <xdr:colOff>962025</xdr:colOff>
      <xdr:row>4</xdr:row>
      <xdr:rowOff>66675</xdr:rowOff>
    </xdr:to>
    <xdr:pic>
      <xdr:nvPicPr>
        <xdr:cNvPr id="2" name="Picture 1" descr="mm_blac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24425" y="200025"/>
          <a:ext cx="15144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Ahmedabad\BLI\Projects\328738AA01_CHAKAN%201\Calculations\structural\Building%20B-8A\12.05.2016\Documents%20and%20Settings\ART60347\Desktop\Cost%20plan%20Type%202%20with%20link%20-%20210812\Industry%20Bldg%20Civil%20Estimate%20-%20Type%202%20Upda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ART60347\Desktop\Cost%20plan%20Type%202%20with%20link%20-%20210812\Industry%20Bldg%20Civil%20Estimate%20-%20Type%202%20Updat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Ahmedabad\BLI\Projects\328738AA01_CHAKAN%201\Calculations\structural\Building%20B-8A\12.05.2016\Documents%20and%20Settings\dalal\Desktop\Deflection%20Chec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dalal\Desktop\Deflection%20Chec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Ahmedabad\AIB\PROJECTS\293648AA01-Shell\02-Engineering\02-Cvl\Tender-BOM\Estimate\NEW%20Estimate%2025-04-12\for%20type%202%20data\Cost%20Plan%20-Type%20-%202%20Updated%20R2%200107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Laboratory"/>
      <sheetName val="qty Laboratory"/>
      <sheetName val="UT01 Abstract"/>
      <sheetName val="UT01 Utility elect tk off"/>
      <sheetName val="Abst-wrk shp utlty civl"/>
      <sheetName val="workshop+Utility"/>
      <sheetName val="Abs -off Gas"/>
      <sheetName val="Qty-Off Gas"/>
      <sheetName val="Abst-66kV civl"/>
      <sheetName val="Qty-66 KV civl"/>
      <sheetName val="NTCB- Civl Rate wrk"/>
      <sheetName val="Abs-ETP, WTP"/>
      <sheetName val="Qty -ETP"/>
      <sheetName val="Abs-TFH"/>
      <sheetName val="Qty - TFH"/>
      <sheetName val="Abs- UG Tnk"/>
      <sheetName val="Qty-UG"/>
      <sheetName val="Abs-ST01A Mat warehse"/>
      <sheetName val="Qty - Mat warehse"/>
      <sheetName val="Abst-Drum"/>
      <sheetName val="Qty - Drum Strg"/>
      <sheetName val="Abs-Haz waste"/>
      <sheetName val="Haz. mat waste Ware hse"/>
      <sheetName val="Abs-Gas Cyl stre"/>
      <sheetName val="Qty - Gas Cylin stre"/>
      <sheetName val="Abs-Chem Solvnt"/>
      <sheetName val="Qty - Chem Store"/>
      <sheetName val="Abs- LPG"/>
      <sheetName val="LPG Storage "/>
      <sheetName val="Abs-HSD Tnk"/>
      <sheetName val="HSD  FO Tank"/>
      <sheetName val="Abs- EPP"/>
      <sheetName val="Qty EP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Laboratory"/>
      <sheetName val="qty Laboratory"/>
      <sheetName val="UT01 Abstract"/>
      <sheetName val="UT01 Utility elect tk off"/>
      <sheetName val="Abst-wrk shp utlty civl"/>
      <sheetName val="workshop+Utility"/>
      <sheetName val="Abs -off Gas"/>
      <sheetName val="Qty-Off Gas"/>
      <sheetName val="Abst-66kV civl"/>
      <sheetName val="Qty-66 KV civl"/>
      <sheetName val="NTCB- Civl Rate wrk"/>
      <sheetName val="Abs-ETP, WTP"/>
      <sheetName val="Qty -ETP"/>
      <sheetName val="Abs-TFH"/>
      <sheetName val="Qty - TFH"/>
      <sheetName val="Abs- UG Tnk"/>
      <sheetName val="Qty-UG"/>
      <sheetName val="Abs-ST01A Mat warehse"/>
      <sheetName val="Qty - Mat warehse"/>
      <sheetName val="Abst-Drum"/>
      <sheetName val="Qty - Drum Strg"/>
      <sheetName val="Abs-Haz waste"/>
      <sheetName val="Haz. mat waste Ware hse"/>
      <sheetName val="Abs-Gas Cyl stre"/>
      <sheetName val="Qty - Gas Cylin stre"/>
      <sheetName val="Abs-Chem Solvnt"/>
      <sheetName val="Qty - Chem Store"/>
      <sheetName val="Abs- LPG"/>
      <sheetName val="LPG Storage "/>
      <sheetName val="Abs-HSD Tnk"/>
      <sheetName val="HSD  FO Tank"/>
      <sheetName val="Abs- EPP"/>
      <sheetName val="Qty EP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ry Drift-Part 1"/>
      <sheetName val="Story Drift-Part 2"/>
      <sheetName val="Verticle Deflection-Part 1"/>
      <sheetName val="Verticle Deflection-Part 2"/>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ry Drift-Part 1"/>
      <sheetName val="Story Drift-Part 2"/>
      <sheetName val="Verticle Deflection-Part 1"/>
      <sheetName val="Verticle Deflection-Part 2"/>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Cover"/>
      <sheetName val="Document Control"/>
      <sheetName val="Contents"/>
      <sheetName val="Introduction1"/>
      <sheetName val="Introduction2"/>
      <sheetName val="Reconciliation"/>
      <sheetName val="Project scope"/>
      <sheetName val="Project team fees"/>
      <sheetName val="Area Summary"/>
      <sheetName val="Basis"/>
      <sheetName val="Assumptions"/>
      <sheetName val="Exclusions"/>
      <sheetName val="Benchmarks"/>
      <sheetName val="Risks"/>
      <sheetName val="Order of Cost Summary"/>
      <sheetName val="Office Bldg "/>
      <sheetName val="Lab Bldg "/>
      <sheetName val="Carpark Bldg"/>
      <sheetName val="Amenity"/>
      <sheetName val="Kitchen"/>
      <sheetName val="Retail"/>
      <sheetName val="Gate cmplx"/>
      <sheetName val="UT01 Utility Substn"/>
      <sheetName val="UT 02 Workshop"/>
      <sheetName val="Off Gas Burner"/>
      <sheetName val="66kV Ele Stn"/>
      <sheetName val="ETP, WTP"/>
      <sheetName val="Ther Flud Htr"/>
      <sheetName val="Watr tnk pump rm"/>
      <sheetName val="Mach EPP"/>
      <sheetName val="Fame Foul EPP"/>
      <sheetName val="Distillation EPP"/>
      <sheetName val="ST01A Mat Wre Hse"/>
      <sheetName val="ST01B Drum Storge"/>
      <sheetName val="ST01C Haz Wst"/>
      <sheetName val="ST02 Bulk Gas"/>
      <sheetName val="ST03  Gas Cylind"/>
      <sheetName val="ST04 Chem slv stre"/>
      <sheetName val="ST05 Propane r LPG"/>
      <sheetName val="ST06 HSD"/>
      <sheetName val="External devpmnt"/>
      <sheetName val="External trans"/>
      <sheetName val="Others"/>
      <sheetName val="Others -old"/>
    </sheetNames>
    <sheetDataSet>
      <sheetData sheetId="0">
        <row r="49">
          <cell r="B49" t="str">
            <v>m</v>
          </cell>
        </row>
        <row r="50">
          <cell r="B50" t="str">
            <v>m²</v>
          </cell>
        </row>
        <row r="51">
          <cell r="B51" t="str">
            <v>m³</v>
          </cell>
        </row>
        <row r="52">
          <cell r="B52" t="str">
            <v>nr</v>
          </cell>
        </row>
        <row r="53">
          <cell r="B53" t="str">
            <v>item</v>
          </cell>
        </row>
        <row r="54">
          <cell r="B54" t="str">
            <v>kg</v>
          </cell>
        </row>
        <row r="55">
          <cell r="B55" t="str">
            <v>t</v>
          </cell>
        </row>
        <row r="56">
          <cell r="B56"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view="pageBreakPreview" zoomScaleNormal="100" zoomScaleSheetLayoutView="100" workbookViewId="0">
      <selection activeCell="B16" sqref="B16"/>
    </sheetView>
  </sheetViews>
  <sheetFormatPr defaultRowHeight="15"/>
  <cols>
    <col min="1" max="1" width="14.5703125" customWidth="1"/>
    <col min="2" max="2" width="47.7109375" customWidth="1"/>
    <col min="3" max="3" width="16.5703125" customWidth="1"/>
    <col min="5" max="5" width="15.28515625" bestFit="1" customWidth="1"/>
    <col min="6" max="6" width="14.7109375" customWidth="1"/>
  </cols>
  <sheetData>
    <row r="3" spans="1:8">
      <c r="A3" s="611" t="s">
        <v>503</v>
      </c>
      <c r="B3" s="611"/>
      <c r="C3" s="611"/>
    </row>
    <row r="4" spans="1:8">
      <c r="A4" s="611" t="s">
        <v>371</v>
      </c>
      <c r="B4" s="611"/>
      <c r="C4" s="611"/>
    </row>
    <row r="5" spans="1:8">
      <c r="A5" s="611" t="s">
        <v>504</v>
      </c>
      <c r="B5" s="611"/>
      <c r="C5" s="611"/>
    </row>
    <row r="6" spans="1:8" ht="15.75" thickBot="1">
      <c r="A6" s="260" t="s">
        <v>694</v>
      </c>
      <c r="B6" s="298"/>
      <c r="C6" s="298"/>
      <c r="G6" s="387"/>
    </row>
    <row r="7" spans="1:8" ht="15.75" thickBot="1">
      <c r="A7" s="296" t="s">
        <v>1</v>
      </c>
      <c r="B7" s="194" t="s">
        <v>372</v>
      </c>
      <c r="C7" s="195" t="s">
        <v>373</v>
      </c>
      <c r="E7" s="193" t="s">
        <v>94</v>
      </c>
      <c r="F7" s="193" t="s">
        <v>95</v>
      </c>
      <c r="G7" s="387"/>
    </row>
    <row r="8" spans="1:8" ht="18" customHeight="1">
      <c r="A8" s="261">
        <v>1</v>
      </c>
      <c r="B8" s="300" t="s">
        <v>420</v>
      </c>
      <c r="C8" s="262"/>
      <c r="E8" s="387">
        <v>83.5</v>
      </c>
      <c r="F8" s="387">
        <v>48.3</v>
      </c>
      <c r="G8" s="387">
        <f>E8*F8</f>
        <v>4033.0499999999997</v>
      </c>
      <c r="H8" t="s">
        <v>696</v>
      </c>
    </row>
    <row r="9" spans="1:8" ht="18" customHeight="1">
      <c r="A9" s="234">
        <v>1.1000000000000001</v>
      </c>
      <c r="B9" s="301" t="s">
        <v>8</v>
      </c>
      <c r="C9" s="263">
        <f>'Civil-volume1, sec-3,  BA'!F53</f>
        <v>7230304</v>
      </c>
      <c r="E9" s="387">
        <f>E8*3.28</f>
        <v>273.88</v>
      </c>
      <c r="F9" s="387">
        <f>F8*3.28</f>
        <v>158.42399999999998</v>
      </c>
      <c r="G9" s="387">
        <f>E9*F9</f>
        <v>43389.165119999991</v>
      </c>
      <c r="H9" t="s">
        <v>695</v>
      </c>
    </row>
    <row r="10" spans="1:8" ht="18" customHeight="1">
      <c r="A10" s="234">
        <v>1.2</v>
      </c>
      <c r="B10" s="302" t="s">
        <v>33</v>
      </c>
      <c r="C10" s="263">
        <f>'Civil-volume1, sec-3,  BA'!F122</f>
        <v>2706670.13</v>
      </c>
    </row>
    <row r="11" spans="1:8" ht="18" customHeight="1">
      <c r="A11" s="234">
        <v>1.3</v>
      </c>
      <c r="B11" s="302" t="s">
        <v>313</v>
      </c>
      <c r="C11" s="263"/>
    </row>
    <row r="12" spans="1:8" ht="18" customHeight="1">
      <c r="A12" s="234">
        <v>1.4</v>
      </c>
      <c r="B12" s="302" t="s">
        <v>19</v>
      </c>
      <c r="C12" s="263">
        <f>'Civil-volume1, sec-3,  BA'!F141</f>
        <v>9648087</v>
      </c>
    </row>
    <row r="13" spans="1:8" ht="18" customHeight="1">
      <c r="A13" s="292">
        <v>1.5</v>
      </c>
      <c r="B13" s="303" t="s">
        <v>501</v>
      </c>
      <c r="C13" s="293">
        <f>'Civil-volume1, sec-3,  BA'!F157</f>
        <v>619740</v>
      </c>
    </row>
    <row r="14" spans="1:8" ht="18" customHeight="1">
      <c r="A14" s="264">
        <v>2</v>
      </c>
      <c r="B14" s="295" t="s">
        <v>421</v>
      </c>
      <c r="C14" s="263"/>
    </row>
    <row r="15" spans="1:8" ht="18" customHeight="1">
      <c r="A15" s="234">
        <v>2.1</v>
      </c>
      <c r="B15" s="301" t="s">
        <v>429</v>
      </c>
      <c r="C15" s="263">
        <f>'Civil-volume1, sec-3,  BA'!F202</f>
        <v>2386456</v>
      </c>
      <c r="F15" s="299">
        <f>SUM(C9:C16)</f>
        <v>23137354.129999999</v>
      </c>
    </row>
    <row r="16" spans="1:8" ht="18" customHeight="1" thickBot="1">
      <c r="A16" s="234">
        <v>2.2000000000000002</v>
      </c>
      <c r="B16" s="301" t="s">
        <v>430</v>
      </c>
      <c r="C16" s="263">
        <f>'Civil-volume1, sec-3,  BA'!F187</f>
        <v>546097</v>
      </c>
      <c r="E16" s="299"/>
    </row>
    <row r="17" spans="1:6" ht="18" customHeight="1" thickBot="1">
      <c r="A17" s="297"/>
      <c r="B17" s="196" t="s">
        <v>374</v>
      </c>
      <c r="C17" s="227">
        <f>SUM(C8:C16)</f>
        <v>23137354.129999999</v>
      </c>
      <c r="E17" s="288"/>
      <c r="F17" s="289"/>
    </row>
    <row r="18" spans="1:6">
      <c r="A18" s="197"/>
      <c r="B18" s="197"/>
      <c r="C18" s="223"/>
      <c r="E18" s="594">
        <f>SUM(C9:C13)+C16+C15</f>
        <v>23137354.129999999</v>
      </c>
      <c r="F18" s="289"/>
    </row>
    <row r="19" spans="1:6">
      <c r="A19" s="197"/>
      <c r="B19" s="265" t="s">
        <v>502</v>
      </c>
      <c r="C19" s="596" t="s">
        <v>785</v>
      </c>
      <c r="E19" s="595">
        <f>E18/43390</f>
        <v>533.24162548974414</v>
      </c>
      <c r="F19" s="288"/>
    </row>
    <row r="20" spans="1:6">
      <c r="C20" s="597"/>
    </row>
  </sheetData>
  <mergeCells count="3">
    <mergeCell ref="A3:C3"/>
    <mergeCell ref="A4:C4"/>
    <mergeCell ref="A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02"/>
  <sheetViews>
    <sheetView tabSelected="1" view="pageBreakPreview" topLeftCell="A7" zoomScaleNormal="100" zoomScaleSheetLayoutView="100" workbookViewId="0">
      <pane ySplit="2" topLeftCell="A60" activePane="bottomLeft" state="frozen"/>
      <selection activeCell="A7" sqref="A7"/>
      <selection pane="bottomLeft" activeCell="B208" sqref="B208"/>
    </sheetView>
  </sheetViews>
  <sheetFormatPr defaultRowHeight="12.75"/>
  <cols>
    <col min="1" max="1" width="9" style="1" customWidth="1"/>
    <col min="2" max="2" width="52" style="1" customWidth="1"/>
    <col min="3" max="3" width="8.7109375" style="1" customWidth="1"/>
    <col min="4" max="4" width="11.42578125" style="1" customWidth="1"/>
    <col min="5" max="5" width="11" style="1" customWidth="1"/>
    <col min="6" max="6" width="12.5703125" style="1" customWidth="1"/>
    <col min="7" max="7" width="13" style="1" hidden="1" customWidth="1"/>
    <col min="8" max="8" width="17.5703125" style="1" hidden="1" customWidth="1"/>
    <col min="9" max="9" width="11" style="1" hidden="1" customWidth="1"/>
    <col min="10" max="11" width="9.140625" style="1" hidden="1" customWidth="1"/>
    <col min="12" max="256" width="9.140625" style="1"/>
    <col min="257" max="257" width="9" style="1" customWidth="1"/>
    <col min="258" max="258" width="52" style="1" customWidth="1"/>
    <col min="259" max="259" width="8.7109375" style="1" customWidth="1"/>
    <col min="260" max="260" width="11.42578125" style="1" customWidth="1"/>
    <col min="261" max="261" width="11" style="1" customWidth="1"/>
    <col min="262" max="262" width="12.5703125" style="1" customWidth="1"/>
    <col min="263" max="263" width="13" style="1" customWidth="1"/>
    <col min="264" max="264" width="17.5703125" style="1" customWidth="1"/>
    <col min="265" max="265" width="11" style="1" customWidth="1"/>
    <col min="266" max="512" width="9.140625" style="1"/>
    <col min="513" max="513" width="9" style="1" customWidth="1"/>
    <col min="514" max="514" width="52" style="1" customWidth="1"/>
    <col min="515" max="515" width="8.7109375" style="1" customWidth="1"/>
    <col min="516" max="516" width="11.42578125" style="1" customWidth="1"/>
    <col min="517" max="517" width="11" style="1" customWidth="1"/>
    <col min="518" max="518" width="12.5703125" style="1" customWidth="1"/>
    <col min="519" max="519" width="13" style="1" customWidth="1"/>
    <col min="520" max="520" width="17.5703125" style="1" customWidth="1"/>
    <col min="521" max="521" width="11" style="1" customWidth="1"/>
    <col min="522" max="768" width="9.140625" style="1"/>
    <col min="769" max="769" width="9" style="1" customWidth="1"/>
    <col min="770" max="770" width="52" style="1" customWidth="1"/>
    <col min="771" max="771" width="8.7109375" style="1" customWidth="1"/>
    <col min="772" max="772" width="11.42578125" style="1" customWidth="1"/>
    <col min="773" max="773" width="11" style="1" customWidth="1"/>
    <col min="774" max="774" width="12.5703125" style="1" customWidth="1"/>
    <col min="775" max="775" width="13" style="1" customWidth="1"/>
    <col min="776" max="776" width="17.5703125" style="1" customWidth="1"/>
    <col min="777" max="777" width="11" style="1" customWidth="1"/>
    <col min="778" max="1024" width="9.140625" style="1"/>
    <col min="1025" max="1025" width="9" style="1" customWidth="1"/>
    <col min="1026" max="1026" width="52" style="1" customWidth="1"/>
    <col min="1027" max="1027" width="8.7109375" style="1" customWidth="1"/>
    <col min="1028" max="1028" width="11.42578125" style="1" customWidth="1"/>
    <col min="1029" max="1029" width="11" style="1" customWidth="1"/>
    <col min="1030" max="1030" width="12.5703125" style="1" customWidth="1"/>
    <col min="1031" max="1031" width="13" style="1" customWidth="1"/>
    <col min="1032" max="1032" width="17.5703125" style="1" customWidth="1"/>
    <col min="1033" max="1033" width="11" style="1" customWidth="1"/>
    <col min="1034" max="1280" width="9.140625" style="1"/>
    <col min="1281" max="1281" width="9" style="1" customWidth="1"/>
    <col min="1282" max="1282" width="52" style="1" customWidth="1"/>
    <col min="1283" max="1283" width="8.7109375" style="1" customWidth="1"/>
    <col min="1284" max="1284" width="11.42578125" style="1" customWidth="1"/>
    <col min="1285" max="1285" width="11" style="1" customWidth="1"/>
    <col min="1286" max="1286" width="12.5703125" style="1" customWidth="1"/>
    <col min="1287" max="1287" width="13" style="1" customWidth="1"/>
    <col min="1288" max="1288" width="17.5703125" style="1" customWidth="1"/>
    <col min="1289" max="1289" width="11" style="1" customWidth="1"/>
    <col min="1290" max="1536" width="9.140625" style="1"/>
    <col min="1537" max="1537" width="9" style="1" customWidth="1"/>
    <col min="1538" max="1538" width="52" style="1" customWidth="1"/>
    <col min="1539" max="1539" width="8.7109375" style="1" customWidth="1"/>
    <col min="1540" max="1540" width="11.42578125" style="1" customWidth="1"/>
    <col min="1541" max="1541" width="11" style="1" customWidth="1"/>
    <col min="1542" max="1542" width="12.5703125" style="1" customWidth="1"/>
    <col min="1543" max="1543" width="13" style="1" customWidth="1"/>
    <col min="1544" max="1544" width="17.5703125" style="1" customWidth="1"/>
    <col min="1545" max="1545" width="11" style="1" customWidth="1"/>
    <col min="1546" max="1792" width="9.140625" style="1"/>
    <col min="1793" max="1793" width="9" style="1" customWidth="1"/>
    <col min="1794" max="1794" width="52" style="1" customWidth="1"/>
    <col min="1795" max="1795" width="8.7109375" style="1" customWidth="1"/>
    <col min="1796" max="1796" width="11.42578125" style="1" customWidth="1"/>
    <col min="1797" max="1797" width="11" style="1" customWidth="1"/>
    <col min="1798" max="1798" width="12.5703125" style="1" customWidth="1"/>
    <col min="1799" max="1799" width="13" style="1" customWidth="1"/>
    <col min="1800" max="1800" width="17.5703125" style="1" customWidth="1"/>
    <col min="1801" max="1801" width="11" style="1" customWidth="1"/>
    <col min="1802" max="2048" width="9.140625" style="1"/>
    <col min="2049" max="2049" width="9" style="1" customWidth="1"/>
    <col min="2050" max="2050" width="52" style="1" customWidth="1"/>
    <col min="2051" max="2051" width="8.7109375" style="1" customWidth="1"/>
    <col min="2052" max="2052" width="11.42578125" style="1" customWidth="1"/>
    <col min="2053" max="2053" width="11" style="1" customWidth="1"/>
    <col min="2054" max="2054" width="12.5703125" style="1" customWidth="1"/>
    <col min="2055" max="2055" width="13" style="1" customWidth="1"/>
    <col min="2056" max="2056" width="17.5703125" style="1" customWidth="1"/>
    <col min="2057" max="2057" width="11" style="1" customWidth="1"/>
    <col min="2058" max="2304" width="9.140625" style="1"/>
    <col min="2305" max="2305" width="9" style="1" customWidth="1"/>
    <col min="2306" max="2306" width="52" style="1" customWidth="1"/>
    <col min="2307" max="2307" width="8.7109375" style="1" customWidth="1"/>
    <col min="2308" max="2308" width="11.42578125" style="1" customWidth="1"/>
    <col min="2309" max="2309" width="11" style="1" customWidth="1"/>
    <col min="2310" max="2310" width="12.5703125" style="1" customWidth="1"/>
    <col min="2311" max="2311" width="13" style="1" customWidth="1"/>
    <col min="2312" max="2312" width="17.5703125" style="1" customWidth="1"/>
    <col min="2313" max="2313" width="11" style="1" customWidth="1"/>
    <col min="2314" max="2560" width="9.140625" style="1"/>
    <col min="2561" max="2561" width="9" style="1" customWidth="1"/>
    <col min="2562" max="2562" width="52" style="1" customWidth="1"/>
    <col min="2563" max="2563" width="8.7109375" style="1" customWidth="1"/>
    <col min="2564" max="2564" width="11.42578125" style="1" customWidth="1"/>
    <col min="2565" max="2565" width="11" style="1" customWidth="1"/>
    <col min="2566" max="2566" width="12.5703125" style="1" customWidth="1"/>
    <col min="2567" max="2567" width="13" style="1" customWidth="1"/>
    <col min="2568" max="2568" width="17.5703125" style="1" customWidth="1"/>
    <col min="2569" max="2569" width="11" style="1" customWidth="1"/>
    <col min="2570" max="2816" width="9.140625" style="1"/>
    <col min="2817" max="2817" width="9" style="1" customWidth="1"/>
    <col min="2818" max="2818" width="52" style="1" customWidth="1"/>
    <col min="2819" max="2819" width="8.7109375" style="1" customWidth="1"/>
    <col min="2820" max="2820" width="11.42578125" style="1" customWidth="1"/>
    <col min="2821" max="2821" width="11" style="1" customWidth="1"/>
    <col min="2822" max="2822" width="12.5703125" style="1" customWidth="1"/>
    <col min="2823" max="2823" width="13" style="1" customWidth="1"/>
    <col min="2824" max="2824" width="17.5703125" style="1" customWidth="1"/>
    <col min="2825" max="2825" width="11" style="1" customWidth="1"/>
    <col min="2826" max="3072" width="9.140625" style="1"/>
    <col min="3073" max="3073" width="9" style="1" customWidth="1"/>
    <col min="3074" max="3074" width="52" style="1" customWidth="1"/>
    <col min="3075" max="3075" width="8.7109375" style="1" customWidth="1"/>
    <col min="3076" max="3076" width="11.42578125" style="1" customWidth="1"/>
    <col min="3077" max="3077" width="11" style="1" customWidth="1"/>
    <col min="3078" max="3078" width="12.5703125" style="1" customWidth="1"/>
    <col min="3079" max="3079" width="13" style="1" customWidth="1"/>
    <col min="3080" max="3080" width="17.5703125" style="1" customWidth="1"/>
    <col min="3081" max="3081" width="11" style="1" customWidth="1"/>
    <col min="3082" max="3328" width="9.140625" style="1"/>
    <col min="3329" max="3329" width="9" style="1" customWidth="1"/>
    <col min="3330" max="3330" width="52" style="1" customWidth="1"/>
    <col min="3331" max="3331" width="8.7109375" style="1" customWidth="1"/>
    <col min="3332" max="3332" width="11.42578125" style="1" customWidth="1"/>
    <col min="3333" max="3333" width="11" style="1" customWidth="1"/>
    <col min="3334" max="3334" width="12.5703125" style="1" customWidth="1"/>
    <col min="3335" max="3335" width="13" style="1" customWidth="1"/>
    <col min="3336" max="3336" width="17.5703125" style="1" customWidth="1"/>
    <col min="3337" max="3337" width="11" style="1" customWidth="1"/>
    <col min="3338" max="3584" width="9.140625" style="1"/>
    <col min="3585" max="3585" width="9" style="1" customWidth="1"/>
    <col min="3586" max="3586" width="52" style="1" customWidth="1"/>
    <col min="3587" max="3587" width="8.7109375" style="1" customWidth="1"/>
    <col min="3588" max="3588" width="11.42578125" style="1" customWidth="1"/>
    <col min="3589" max="3589" width="11" style="1" customWidth="1"/>
    <col min="3590" max="3590" width="12.5703125" style="1" customWidth="1"/>
    <col min="3591" max="3591" width="13" style="1" customWidth="1"/>
    <col min="3592" max="3592" width="17.5703125" style="1" customWidth="1"/>
    <col min="3593" max="3593" width="11" style="1" customWidth="1"/>
    <col min="3594" max="3840" width="9.140625" style="1"/>
    <col min="3841" max="3841" width="9" style="1" customWidth="1"/>
    <col min="3842" max="3842" width="52" style="1" customWidth="1"/>
    <col min="3843" max="3843" width="8.7109375" style="1" customWidth="1"/>
    <col min="3844" max="3844" width="11.42578125" style="1" customWidth="1"/>
    <col min="3845" max="3845" width="11" style="1" customWidth="1"/>
    <col min="3846" max="3846" width="12.5703125" style="1" customWidth="1"/>
    <col min="3847" max="3847" width="13" style="1" customWidth="1"/>
    <col min="3848" max="3848" width="17.5703125" style="1" customWidth="1"/>
    <col min="3849" max="3849" width="11" style="1" customWidth="1"/>
    <col min="3850" max="4096" width="9.140625" style="1"/>
    <col min="4097" max="4097" width="9" style="1" customWidth="1"/>
    <col min="4098" max="4098" width="52" style="1" customWidth="1"/>
    <col min="4099" max="4099" width="8.7109375" style="1" customWidth="1"/>
    <col min="4100" max="4100" width="11.42578125" style="1" customWidth="1"/>
    <col min="4101" max="4101" width="11" style="1" customWidth="1"/>
    <col min="4102" max="4102" width="12.5703125" style="1" customWidth="1"/>
    <col min="4103" max="4103" width="13" style="1" customWidth="1"/>
    <col min="4104" max="4104" width="17.5703125" style="1" customWidth="1"/>
    <col min="4105" max="4105" width="11" style="1" customWidth="1"/>
    <col min="4106" max="4352" width="9.140625" style="1"/>
    <col min="4353" max="4353" width="9" style="1" customWidth="1"/>
    <col min="4354" max="4354" width="52" style="1" customWidth="1"/>
    <col min="4355" max="4355" width="8.7109375" style="1" customWidth="1"/>
    <col min="4356" max="4356" width="11.42578125" style="1" customWidth="1"/>
    <col min="4357" max="4357" width="11" style="1" customWidth="1"/>
    <col min="4358" max="4358" width="12.5703125" style="1" customWidth="1"/>
    <col min="4359" max="4359" width="13" style="1" customWidth="1"/>
    <col min="4360" max="4360" width="17.5703125" style="1" customWidth="1"/>
    <col min="4361" max="4361" width="11" style="1" customWidth="1"/>
    <col min="4362" max="4608" width="9.140625" style="1"/>
    <col min="4609" max="4609" width="9" style="1" customWidth="1"/>
    <col min="4610" max="4610" width="52" style="1" customWidth="1"/>
    <col min="4611" max="4611" width="8.7109375" style="1" customWidth="1"/>
    <col min="4612" max="4612" width="11.42578125" style="1" customWidth="1"/>
    <col min="4613" max="4613" width="11" style="1" customWidth="1"/>
    <col min="4614" max="4614" width="12.5703125" style="1" customWidth="1"/>
    <col min="4615" max="4615" width="13" style="1" customWidth="1"/>
    <col min="4616" max="4616" width="17.5703125" style="1" customWidth="1"/>
    <col min="4617" max="4617" width="11" style="1" customWidth="1"/>
    <col min="4618" max="4864" width="9.140625" style="1"/>
    <col min="4865" max="4865" width="9" style="1" customWidth="1"/>
    <col min="4866" max="4866" width="52" style="1" customWidth="1"/>
    <col min="4867" max="4867" width="8.7109375" style="1" customWidth="1"/>
    <col min="4868" max="4868" width="11.42578125" style="1" customWidth="1"/>
    <col min="4869" max="4869" width="11" style="1" customWidth="1"/>
    <col min="4870" max="4870" width="12.5703125" style="1" customWidth="1"/>
    <col min="4871" max="4871" width="13" style="1" customWidth="1"/>
    <col min="4872" max="4872" width="17.5703125" style="1" customWidth="1"/>
    <col min="4873" max="4873" width="11" style="1" customWidth="1"/>
    <col min="4874" max="5120" width="9.140625" style="1"/>
    <col min="5121" max="5121" width="9" style="1" customWidth="1"/>
    <col min="5122" max="5122" width="52" style="1" customWidth="1"/>
    <col min="5123" max="5123" width="8.7109375" style="1" customWidth="1"/>
    <col min="5124" max="5124" width="11.42578125" style="1" customWidth="1"/>
    <col min="5125" max="5125" width="11" style="1" customWidth="1"/>
    <col min="5126" max="5126" width="12.5703125" style="1" customWidth="1"/>
    <col min="5127" max="5127" width="13" style="1" customWidth="1"/>
    <col min="5128" max="5128" width="17.5703125" style="1" customWidth="1"/>
    <col min="5129" max="5129" width="11" style="1" customWidth="1"/>
    <col min="5130" max="5376" width="9.140625" style="1"/>
    <col min="5377" max="5377" width="9" style="1" customWidth="1"/>
    <col min="5378" max="5378" width="52" style="1" customWidth="1"/>
    <col min="5379" max="5379" width="8.7109375" style="1" customWidth="1"/>
    <col min="5380" max="5380" width="11.42578125" style="1" customWidth="1"/>
    <col min="5381" max="5381" width="11" style="1" customWidth="1"/>
    <col min="5382" max="5382" width="12.5703125" style="1" customWidth="1"/>
    <col min="5383" max="5383" width="13" style="1" customWidth="1"/>
    <col min="5384" max="5384" width="17.5703125" style="1" customWidth="1"/>
    <col min="5385" max="5385" width="11" style="1" customWidth="1"/>
    <col min="5386" max="5632" width="9.140625" style="1"/>
    <col min="5633" max="5633" width="9" style="1" customWidth="1"/>
    <col min="5634" max="5634" width="52" style="1" customWidth="1"/>
    <col min="5635" max="5635" width="8.7109375" style="1" customWidth="1"/>
    <col min="5636" max="5636" width="11.42578125" style="1" customWidth="1"/>
    <col min="5637" max="5637" width="11" style="1" customWidth="1"/>
    <col min="5638" max="5638" width="12.5703125" style="1" customWidth="1"/>
    <col min="5639" max="5639" width="13" style="1" customWidth="1"/>
    <col min="5640" max="5640" width="17.5703125" style="1" customWidth="1"/>
    <col min="5641" max="5641" width="11" style="1" customWidth="1"/>
    <col min="5642" max="5888" width="9.140625" style="1"/>
    <col min="5889" max="5889" width="9" style="1" customWidth="1"/>
    <col min="5890" max="5890" width="52" style="1" customWidth="1"/>
    <col min="5891" max="5891" width="8.7109375" style="1" customWidth="1"/>
    <col min="5892" max="5892" width="11.42578125" style="1" customWidth="1"/>
    <col min="5893" max="5893" width="11" style="1" customWidth="1"/>
    <col min="5894" max="5894" width="12.5703125" style="1" customWidth="1"/>
    <col min="5895" max="5895" width="13" style="1" customWidth="1"/>
    <col min="5896" max="5896" width="17.5703125" style="1" customWidth="1"/>
    <col min="5897" max="5897" width="11" style="1" customWidth="1"/>
    <col min="5898" max="6144" width="9.140625" style="1"/>
    <col min="6145" max="6145" width="9" style="1" customWidth="1"/>
    <col min="6146" max="6146" width="52" style="1" customWidth="1"/>
    <col min="6147" max="6147" width="8.7109375" style="1" customWidth="1"/>
    <col min="6148" max="6148" width="11.42578125" style="1" customWidth="1"/>
    <col min="6149" max="6149" width="11" style="1" customWidth="1"/>
    <col min="6150" max="6150" width="12.5703125" style="1" customWidth="1"/>
    <col min="6151" max="6151" width="13" style="1" customWidth="1"/>
    <col min="6152" max="6152" width="17.5703125" style="1" customWidth="1"/>
    <col min="6153" max="6153" width="11" style="1" customWidth="1"/>
    <col min="6154" max="6400" width="9.140625" style="1"/>
    <col min="6401" max="6401" width="9" style="1" customWidth="1"/>
    <col min="6402" max="6402" width="52" style="1" customWidth="1"/>
    <col min="6403" max="6403" width="8.7109375" style="1" customWidth="1"/>
    <col min="6404" max="6404" width="11.42578125" style="1" customWidth="1"/>
    <col min="6405" max="6405" width="11" style="1" customWidth="1"/>
    <col min="6406" max="6406" width="12.5703125" style="1" customWidth="1"/>
    <col min="6407" max="6407" width="13" style="1" customWidth="1"/>
    <col min="6408" max="6408" width="17.5703125" style="1" customWidth="1"/>
    <col min="6409" max="6409" width="11" style="1" customWidth="1"/>
    <col min="6410" max="6656" width="9.140625" style="1"/>
    <col min="6657" max="6657" width="9" style="1" customWidth="1"/>
    <col min="6658" max="6658" width="52" style="1" customWidth="1"/>
    <col min="6659" max="6659" width="8.7109375" style="1" customWidth="1"/>
    <col min="6660" max="6660" width="11.42578125" style="1" customWidth="1"/>
    <col min="6661" max="6661" width="11" style="1" customWidth="1"/>
    <col min="6662" max="6662" width="12.5703125" style="1" customWidth="1"/>
    <col min="6663" max="6663" width="13" style="1" customWidth="1"/>
    <col min="6664" max="6664" width="17.5703125" style="1" customWidth="1"/>
    <col min="6665" max="6665" width="11" style="1" customWidth="1"/>
    <col min="6666" max="6912" width="9.140625" style="1"/>
    <col min="6913" max="6913" width="9" style="1" customWidth="1"/>
    <col min="6914" max="6914" width="52" style="1" customWidth="1"/>
    <col min="6915" max="6915" width="8.7109375" style="1" customWidth="1"/>
    <col min="6916" max="6916" width="11.42578125" style="1" customWidth="1"/>
    <col min="6917" max="6917" width="11" style="1" customWidth="1"/>
    <col min="6918" max="6918" width="12.5703125" style="1" customWidth="1"/>
    <col min="6919" max="6919" width="13" style="1" customWidth="1"/>
    <col min="6920" max="6920" width="17.5703125" style="1" customWidth="1"/>
    <col min="6921" max="6921" width="11" style="1" customWidth="1"/>
    <col min="6922" max="7168" width="9.140625" style="1"/>
    <col min="7169" max="7169" width="9" style="1" customWidth="1"/>
    <col min="7170" max="7170" width="52" style="1" customWidth="1"/>
    <col min="7171" max="7171" width="8.7109375" style="1" customWidth="1"/>
    <col min="7172" max="7172" width="11.42578125" style="1" customWidth="1"/>
    <col min="7173" max="7173" width="11" style="1" customWidth="1"/>
    <col min="7174" max="7174" width="12.5703125" style="1" customWidth="1"/>
    <col min="7175" max="7175" width="13" style="1" customWidth="1"/>
    <col min="7176" max="7176" width="17.5703125" style="1" customWidth="1"/>
    <col min="7177" max="7177" width="11" style="1" customWidth="1"/>
    <col min="7178" max="7424" width="9.140625" style="1"/>
    <col min="7425" max="7425" width="9" style="1" customWidth="1"/>
    <col min="7426" max="7426" width="52" style="1" customWidth="1"/>
    <col min="7427" max="7427" width="8.7109375" style="1" customWidth="1"/>
    <col min="7428" max="7428" width="11.42578125" style="1" customWidth="1"/>
    <col min="7429" max="7429" width="11" style="1" customWidth="1"/>
    <col min="7430" max="7430" width="12.5703125" style="1" customWidth="1"/>
    <col min="7431" max="7431" width="13" style="1" customWidth="1"/>
    <col min="7432" max="7432" width="17.5703125" style="1" customWidth="1"/>
    <col min="7433" max="7433" width="11" style="1" customWidth="1"/>
    <col min="7434" max="7680" width="9.140625" style="1"/>
    <col min="7681" max="7681" width="9" style="1" customWidth="1"/>
    <col min="7682" max="7682" width="52" style="1" customWidth="1"/>
    <col min="7683" max="7683" width="8.7109375" style="1" customWidth="1"/>
    <col min="7684" max="7684" width="11.42578125" style="1" customWidth="1"/>
    <col min="7685" max="7685" width="11" style="1" customWidth="1"/>
    <col min="7686" max="7686" width="12.5703125" style="1" customWidth="1"/>
    <col min="7687" max="7687" width="13" style="1" customWidth="1"/>
    <col min="7688" max="7688" width="17.5703125" style="1" customWidth="1"/>
    <col min="7689" max="7689" width="11" style="1" customWidth="1"/>
    <col min="7690" max="7936" width="9.140625" style="1"/>
    <col min="7937" max="7937" width="9" style="1" customWidth="1"/>
    <col min="7938" max="7938" width="52" style="1" customWidth="1"/>
    <col min="7939" max="7939" width="8.7109375" style="1" customWidth="1"/>
    <col min="7940" max="7940" width="11.42578125" style="1" customWidth="1"/>
    <col min="7941" max="7941" width="11" style="1" customWidth="1"/>
    <col min="7942" max="7942" width="12.5703125" style="1" customWidth="1"/>
    <col min="7943" max="7943" width="13" style="1" customWidth="1"/>
    <col min="7944" max="7944" width="17.5703125" style="1" customWidth="1"/>
    <col min="7945" max="7945" width="11" style="1" customWidth="1"/>
    <col min="7946" max="8192" width="9.140625" style="1"/>
    <col min="8193" max="8193" width="9" style="1" customWidth="1"/>
    <col min="8194" max="8194" width="52" style="1" customWidth="1"/>
    <col min="8195" max="8195" width="8.7109375" style="1" customWidth="1"/>
    <col min="8196" max="8196" width="11.42578125" style="1" customWidth="1"/>
    <col min="8197" max="8197" width="11" style="1" customWidth="1"/>
    <col min="8198" max="8198" width="12.5703125" style="1" customWidth="1"/>
    <col min="8199" max="8199" width="13" style="1" customWidth="1"/>
    <col min="8200" max="8200" width="17.5703125" style="1" customWidth="1"/>
    <col min="8201" max="8201" width="11" style="1" customWidth="1"/>
    <col min="8202" max="8448" width="9.140625" style="1"/>
    <col min="8449" max="8449" width="9" style="1" customWidth="1"/>
    <col min="8450" max="8450" width="52" style="1" customWidth="1"/>
    <col min="8451" max="8451" width="8.7109375" style="1" customWidth="1"/>
    <col min="8452" max="8452" width="11.42578125" style="1" customWidth="1"/>
    <col min="8453" max="8453" width="11" style="1" customWidth="1"/>
    <col min="8454" max="8454" width="12.5703125" style="1" customWidth="1"/>
    <col min="8455" max="8455" width="13" style="1" customWidth="1"/>
    <col min="8456" max="8456" width="17.5703125" style="1" customWidth="1"/>
    <col min="8457" max="8457" width="11" style="1" customWidth="1"/>
    <col min="8458" max="8704" width="9.140625" style="1"/>
    <col min="8705" max="8705" width="9" style="1" customWidth="1"/>
    <col min="8706" max="8706" width="52" style="1" customWidth="1"/>
    <col min="8707" max="8707" width="8.7109375" style="1" customWidth="1"/>
    <col min="8708" max="8708" width="11.42578125" style="1" customWidth="1"/>
    <col min="8709" max="8709" width="11" style="1" customWidth="1"/>
    <col min="8710" max="8710" width="12.5703125" style="1" customWidth="1"/>
    <col min="8711" max="8711" width="13" style="1" customWidth="1"/>
    <col min="8712" max="8712" width="17.5703125" style="1" customWidth="1"/>
    <col min="8713" max="8713" width="11" style="1" customWidth="1"/>
    <col min="8714" max="8960" width="9.140625" style="1"/>
    <col min="8961" max="8961" width="9" style="1" customWidth="1"/>
    <col min="8962" max="8962" width="52" style="1" customWidth="1"/>
    <col min="8963" max="8963" width="8.7109375" style="1" customWidth="1"/>
    <col min="8964" max="8964" width="11.42578125" style="1" customWidth="1"/>
    <col min="8965" max="8965" width="11" style="1" customWidth="1"/>
    <col min="8966" max="8966" width="12.5703125" style="1" customWidth="1"/>
    <col min="8967" max="8967" width="13" style="1" customWidth="1"/>
    <col min="8968" max="8968" width="17.5703125" style="1" customWidth="1"/>
    <col min="8969" max="8969" width="11" style="1" customWidth="1"/>
    <col min="8970" max="9216" width="9.140625" style="1"/>
    <col min="9217" max="9217" width="9" style="1" customWidth="1"/>
    <col min="9218" max="9218" width="52" style="1" customWidth="1"/>
    <col min="9219" max="9219" width="8.7109375" style="1" customWidth="1"/>
    <col min="9220" max="9220" width="11.42578125" style="1" customWidth="1"/>
    <col min="9221" max="9221" width="11" style="1" customWidth="1"/>
    <col min="9222" max="9222" width="12.5703125" style="1" customWidth="1"/>
    <col min="9223" max="9223" width="13" style="1" customWidth="1"/>
    <col min="9224" max="9224" width="17.5703125" style="1" customWidth="1"/>
    <col min="9225" max="9225" width="11" style="1" customWidth="1"/>
    <col min="9226" max="9472" width="9.140625" style="1"/>
    <col min="9473" max="9473" width="9" style="1" customWidth="1"/>
    <col min="9474" max="9474" width="52" style="1" customWidth="1"/>
    <col min="9475" max="9475" width="8.7109375" style="1" customWidth="1"/>
    <col min="9476" max="9476" width="11.42578125" style="1" customWidth="1"/>
    <col min="9477" max="9477" width="11" style="1" customWidth="1"/>
    <col min="9478" max="9478" width="12.5703125" style="1" customWidth="1"/>
    <col min="9479" max="9479" width="13" style="1" customWidth="1"/>
    <col min="9480" max="9480" width="17.5703125" style="1" customWidth="1"/>
    <col min="9481" max="9481" width="11" style="1" customWidth="1"/>
    <col min="9482" max="9728" width="9.140625" style="1"/>
    <col min="9729" max="9729" width="9" style="1" customWidth="1"/>
    <col min="9730" max="9730" width="52" style="1" customWidth="1"/>
    <col min="9731" max="9731" width="8.7109375" style="1" customWidth="1"/>
    <col min="9732" max="9732" width="11.42578125" style="1" customWidth="1"/>
    <col min="9733" max="9733" width="11" style="1" customWidth="1"/>
    <col min="9734" max="9734" width="12.5703125" style="1" customWidth="1"/>
    <col min="9735" max="9735" width="13" style="1" customWidth="1"/>
    <col min="9736" max="9736" width="17.5703125" style="1" customWidth="1"/>
    <col min="9737" max="9737" width="11" style="1" customWidth="1"/>
    <col min="9738" max="9984" width="9.140625" style="1"/>
    <col min="9985" max="9985" width="9" style="1" customWidth="1"/>
    <col min="9986" max="9986" width="52" style="1" customWidth="1"/>
    <col min="9987" max="9987" width="8.7109375" style="1" customWidth="1"/>
    <col min="9988" max="9988" width="11.42578125" style="1" customWidth="1"/>
    <col min="9989" max="9989" width="11" style="1" customWidth="1"/>
    <col min="9990" max="9990" width="12.5703125" style="1" customWidth="1"/>
    <col min="9991" max="9991" width="13" style="1" customWidth="1"/>
    <col min="9992" max="9992" width="17.5703125" style="1" customWidth="1"/>
    <col min="9993" max="9993" width="11" style="1" customWidth="1"/>
    <col min="9994" max="10240" width="9.140625" style="1"/>
    <col min="10241" max="10241" width="9" style="1" customWidth="1"/>
    <col min="10242" max="10242" width="52" style="1" customWidth="1"/>
    <col min="10243" max="10243" width="8.7109375" style="1" customWidth="1"/>
    <col min="10244" max="10244" width="11.42578125" style="1" customWidth="1"/>
    <col min="10245" max="10245" width="11" style="1" customWidth="1"/>
    <col min="10246" max="10246" width="12.5703125" style="1" customWidth="1"/>
    <col min="10247" max="10247" width="13" style="1" customWidth="1"/>
    <col min="10248" max="10248" width="17.5703125" style="1" customWidth="1"/>
    <col min="10249" max="10249" width="11" style="1" customWidth="1"/>
    <col min="10250" max="10496" width="9.140625" style="1"/>
    <col min="10497" max="10497" width="9" style="1" customWidth="1"/>
    <col min="10498" max="10498" width="52" style="1" customWidth="1"/>
    <col min="10499" max="10499" width="8.7109375" style="1" customWidth="1"/>
    <col min="10500" max="10500" width="11.42578125" style="1" customWidth="1"/>
    <col min="10501" max="10501" width="11" style="1" customWidth="1"/>
    <col min="10502" max="10502" width="12.5703125" style="1" customWidth="1"/>
    <col min="10503" max="10503" width="13" style="1" customWidth="1"/>
    <col min="10504" max="10504" width="17.5703125" style="1" customWidth="1"/>
    <col min="10505" max="10505" width="11" style="1" customWidth="1"/>
    <col min="10506" max="10752" width="9.140625" style="1"/>
    <col min="10753" max="10753" width="9" style="1" customWidth="1"/>
    <col min="10754" max="10754" width="52" style="1" customWidth="1"/>
    <col min="10755" max="10755" width="8.7109375" style="1" customWidth="1"/>
    <col min="10756" max="10756" width="11.42578125" style="1" customWidth="1"/>
    <col min="10757" max="10757" width="11" style="1" customWidth="1"/>
    <col min="10758" max="10758" width="12.5703125" style="1" customWidth="1"/>
    <col min="10759" max="10759" width="13" style="1" customWidth="1"/>
    <col min="10760" max="10760" width="17.5703125" style="1" customWidth="1"/>
    <col min="10761" max="10761" width="11" style="1" customWidth="1"/>
    <col min="10762" max="11008" width="9.140625" style="1"/>
    <col min="11009" max="11009" width="9" style="1" customWidth="1"/>
    <col min="11010" max="11010" width="52" style="1" customWidth="1"/>
    <col min="11011" max="11011" width="8.7109375" style="1" customWidth="1"/>
    <col min="11012" max="11012" width="11.42578125" style="1" customWidth="1"/>
    <col min="11013" max="11013" width="11" style="1" customWidth="1"/>
    <col min="11014" max="11014" width="12.5703125" style="1" customWidth="1"/>
    <col min="11015" max="11015" width="13" style="1" customWidth="1"/>
    <col min="11016" max="11016" width="17.5703125" style="1" customWidth="1"/>
    <col min="11017" max="11017" width="11" style="1" customWidth="1"/>
    <col min="11018" max="11264" width="9.140625" style="1"/>
    <col min="11265" max="11265" width="9" style="1" customWidth="1"/>
    <col min="11266" max="11266" width="52" style="1" customWidth="1"/>
    <col min="11267" max="11267" width="8.7109375" style="1" customWidth="1"/>
    <col min="11268" max="11268" width="11.42578125" style="1" customWidth="1"/>
    <col min="11269" max="11269" width="11" style="1" customWidth="1"/>
    <col min="11270" max="11270" width="12.5703125" style="1" customWidth="1"/>
    <col min="11271" max="11271" width="13" style="1" customWidth="1"/>
    <col min="11272" max="11272" width="17.5703125" style="1" customWidth="1"/>
    <col min="11273" max="11273" width="11" style="1" customWidth="1"/>
    <col min="11274" max="11520" width="9.140625" style="1"/>
    <col min="11521" max="11521" width="9" style="1" customWidth="1"/>
    <col min="11522" max="11522" width="52" style="1" customWidth="1"/>
    <col min="11523" max="11523" width="8.7109375" style="1" customWidth="1"/>
    <col min="11524" max="11524" width="11.42578125" style="1" customWidth="1"/>
    <col min="11525" max="11525" width="11" style="1" customWidth="1"/>
    <col min="11526" max="11526" width="12.5703125" style="1" customWidth="1"/>
    <col min="11527" max="11527" width="13" style="1" customWidth="1"/>
    <col min="11528" max="11528" width="17.5703125" style="1" customWidth="1"/>
    <col min="11529" max="11529" width="11" style="1" customWidth="1"/>
    <col min="11530" max="11776" width="9.140625" style="1"/>
    <col min="11777" max="11777" width="9" style="1" customWidth="1"/>
    <col min="11778" max="11778" width="52" style="1" customWidth="1"/>
    <col min="11779" max="11779" width="8.7109375" style="1" customWidth="1"/>
    <col min="11780" max="11780" width="11.42578125" style="1" customWidth="1"/>
    <col min="11781" max="11781" width="11" style="1" customWidth="1"/>
    <col min="11782" max="11782" width="12.5703125" style="1" customWidth="1"/>
    <col min="11783" max="11783" width="13" style="1" customWidth="1"/>
    <col min="11784" max="11784" width="17.5703125" style="1" customWidth="1"/>
    <col min="11785" max="11785" width="11" style="1" customWidth="1"/>
    <col min="11786" max="12032" width="9.140625" style="1"/>
    <col min="12033" max="12033" width="9" style="1" customWidth="1"/>
    <col min="12034" max="12034" width="52" style="1" customWidth="1"/>
    <col min="12035" max="12035" width="8.7109375" style="1" customWidth="1"/>
    <col min="12036" max="12036" width="11.42578125" style="1" customWidth="1"/>
    <col min="12037" max="12037" width="11" style="1" customWidth="1"/>
    <col min="12038" max="12038" width="12.5703125" style="1" customWidth="1"/>
    <col min="12039" max="12039" width="13" style="1" customWidth="1"/>
    <col min="12040" max="12040" width="17.5703125" style="1" customWidth="1"/>
    <col min="12041" max="12041" width="11" style="1" customWidth="1"/>
    <col min="12042" max="12288" width="9.140625" style="1"/>
    <col min="12289" max="12289" width="9" style="1" customWidth="1"/>
    <col min="12290" max="12290" width="52" style="1" customWidth="1"/>
    <col min="12291" max="12291" width="8.7109375" style="1" customWidth="1"/>
    <col min="12292" max="12292" width="11.42578125" style="1" customWidth="1"/>
    <col min="12293" max="12293" width="11" style="1" customWidth="1"/>
    <col min="12294" max="12294" width="12.5703125" style="1" customWidth="1"/>
    <col min="12295" max="12295" width="13" style="1" customWidth="1"/>
    <col min="12296" max="12296" width="17.5703125" style="1" customWidth="1"/>
    <col min="12297" max="12297" width="11" style="1" customWidth="1"/>
    <col min="12298" max="12544" width="9.140625" style="1"/>
    <col min="12545" max="12545" width="9" style="1" customWidth="1"/>
    <col min="12546" max="12546" width="52" style="1" customWidth="1"/>
    <col min="12547" max="12547" width="8.7109375" style="1" customWidth="1"/>
    <col min="12548" max="12548" width="11.42578125" style="1" customWidth="1"/>
    <col min="12549" max="12549" width="11" style="1" customWidth="1"/>
    <col min="12550" max="12550" width="12.5703125" style="1" customWidth="1"/>
    <col min="12551" max="12551" width="13" style="1" customWidth="1"/>
    <col min="12552" max="12552" width="17.5703125" style="1" customWidth="1"/>
    <col min="12553" max="12553" width="11" style="1" customWidth="1"/>
    <col min="12554" max="12800" width="9.140625" style="1"/>
    <col min="12801" max="12801" width="9" style="1" customWidth="1"/>
    <col min="12802" max="12802" width="52" style="1" customWidth="1"/>
    <col min="12803" max="12803" width="8.7109375" style="1" customWidth="1"/>
    <col min="12804" max="12804" width="11.42578125" style="1" customWidth="1"/>
    <col min="12805" max="12805" width="11" style="1" customWidth="1"/>
    <col min="12806" max="12806" width="12.5703125" style="1" customWidth="1"/>
    <col min="12807" max="12807" width="13" style="1" customWidth="1"/>
    <col min="12808" max="12808" width="17.5703125" style="1" customWidth="1"/>
    <col min="12809" max="12809" width="11" style="1" customWidth="1"/>
    <col min="12810" max="13056" width="9.140625" style="1"/>
    <col min="13057" max="13057" width="9" style="1" customWidth="1"/>
    <col min="13058" max="13058" width="52" style="1" customWidth="1"/>
    <col min="13059" max="13059" width="8.7109375" style="1" customWidth="1"/>
    <col min="13060" max="13060" width="11.42578125" style="1" customWidth="1"/>
    <col min="13061" max="13061" width="11" style="1" customWidth="1"/>
    <col min="13062" max="13062" width="12.5703125" style="1" customWidth="1"/>
    <col min="13063" max="13063" width="13" style="1" customWidth="1"/>
    <col min="13064" max="13064" width="17.5703125" style="1" customWidth="1"/>
    <col min="13065" max="13065" width="11" style="1" customWidth="1"/>
    <col min="13066" max="13312" width="9.140625" style="1"/>
    <col min="13313" max="13313" width="9" style="1" customWidth="1"/>
    <col min="13314" max="13314" width="52" style="1" customWidth="1"/>
    <col min="13315" max="13315" width="8.7109375" style="1" customWidth="1"/>
    <col min="13316" max="13316" width="11.42578125" style="1" customWidth="1"/>
    <col min="13317" max="13317" width="11" style="1" customWidth="1"/>
    <col min="13318" max="13318" width="12.5703125" style="1" customWidth="1"/>
    <col min="13319" max="13319" width="13" style="1" customWidth="1"/>
    <col min="13320" max="13320" width="17.5703125" style="1" customWidth="1"/>
    <col min="13321" max="13321" width="11" style="1" customWidth="1"/>
    <col min="13322" max="13568" width="9.140625" style="1"/>
    <col min="13569" max="13569" width="9" style="1" customWidth="1"/>
    <col min="13570" max="13570" width="52" style="1" customWidth="1"/>
    <col min="13571" max="13571" width="8.7109375" style="1" customWidth="1"/>
    <col min="13572" max="13572" width="11.42578125" style="1" customWidth="1"/>
    <col min="13573" max="13573" width="11" style="1" customWidth="1"/>
    <col min="13574" max="13574" width="12.5703125" style="1" customWidth="1"/>
    <col min="13575" max="13575" width="13" style="1" customWidth="1"/>
    <col min="13576" max="13576" width="17.5703125" style="1" customWidth="1"/>
    <col min="13577" max="13577" width="11" style="1" customWidth="1"/>
    <col min="13578" max="13824" width="9.140625" style="1"/>
    <col min="13825" max="13825" width="9" style="1" customWidth="1"/>
    <col min="13826" max="13826" width="52" style="1" customWidth="1"/>
    <col min="13827" max="13827" width="8.7109375" style="1" customWidth="1"/>
    <col min="13828" max="13828" width="11.42578125" style="1" customWidth="1"/>
    <col min="13829" max="13829" width="11" style="1" customWidth="1"/>
    <col min="13830" max="13830" width="12.5703125" style="1" customWidth="1"/>
    <col min="13831" max="13831" width="13" style="1" customWidth="1"/>
    <col min="13832" max="13832" width="17.5703125" style="1" customWidth="1"/>
    <col min="13833" max="13833" width="11" style="1" customWidth="1"/>
    <col min="13834" max="14080" width="9.140625" style="1"/>
    <col min="14081" max="14081" width="9" style="1" customWidth="1"/>
    <col min="14082" max="14082" width="52" style="1" customWidth="1"/>
    <col min="14083" max="14083" width="8.7109375" style="1" customWidth="1"/>
    <col min="14084" max="14084" width="11.42578125" style="1" customWidth="1"/>
    <col min="14085" max="14085" width="11" style="1" customWidth="1"/>
    <col min="14086" max="14086" width="12.5703125" style="1" customWidth="1"/>
    <col min="14087" max="14087" width="13" style="1" customWidth="1"/>
    <col min="14088" max="14088" width="17.5703125" style="1" customWidth="1"/>
    <col min="14089" max="14089" width="11" style="1" customWidth="1"/>
    <col min="14090" max="14336" width="9.140625" style="1"/>
    <col min="14337" max="14337" width="9" style="1" customWidth="1"/>
    <col min="14338" max="14338" width="52" style="1" customWidth="1"/>
    <col min="14339" max="14339" width="8.7109375" style="1" customWidth="1"/>
    <col min="14340" max="14340" width="11.42578125" style="1" customWidth="1"/>
    <col min="14341" max="14341" width="11" style="1" customWidth="1"/>
    <col min="14342" max="14342" width="12.5703125" style="1" customWidth="1"/>
    <col min="14343" max="14343" width="13" style="1" customWidth="1"/>
    <col min="14344" max="14344" width="17.5703125" style="1" customWidth="1"/>
    <col min="14345" max="14345" width="11" style="1" customWidth="1"/>
    <col min="14346" max="14592" width="9.140625" style="1"/>
    <col min="14593" max="14593" width="9" style="1" customWidth="1"/>
    <col min="14594" max="14594" width="52" style="1" customWidth="1"/>
    <col min="14595" max="14595" width="8.7109375" style="1" customWidth="1"/>
    <col min="14596" max="14596" width="11.42578125" style="1" customWidth="1"/>
    <col min="14597" max="14597" width="11" style="1" customWidth="1"/>
    <col min="14598" max="14598" width="12.5703125" style="1" customWidth="1"/>
    <col min="14599" max="14599" width="13" style="1" customWidth="1"/>
    <col min="14600" max="14600" width="17.5703125" style="1" customWidth="1"/>
    <col min="14601" max="14601" width="11" style="1" customWidth="1"/>
    <col min="14602" max="14848" width="9.140625" style="1"/>
    <col min="14849" max="14849" width="9" style="1" customWidth="1"/>
    <col min="14850" max="14850" width="52" style="1" customWidth="1"/>
    <col min="14851" max="14851" width="8.7109375" style="1" customWidth="1"/>
    <col min="14852" max="14852" width="11.42578125" style="1" customWidth="1"/>
    <col min="14853" max="14853" width="11" style="1" customWidth="1"/>
    <col min="14854" max="14854" width="12.5703125" style="1" customWidth="1"/>
    <col min="14855" max="14855" width="13" style="1" customWidth="1"/>
    <col min="14856" max="14856" width="17.5703125" style="1" customWidth="1"/>
    <col min="14857" max="14857" width="11" style="1" customWidth="1"/>
    <col min="14858" max="15104" width="9.140625" style="1"/>
    <col min="15105" max="15105" width="9" style="1" customWidth="1"/>
    <col min="15106" max="15106" width="52" style="1" customWidth="1"/>
    <col min="15107" max="15107" width="8.7109375" style="1" customWidth="1"/>
    <col min="15108" max="15108" width="11.42578125" style="1" customWidth="1"/>
    <col min="15109" max="15109" width="11" style="1" customWidth="1"/>
    <col min="15110" max="15110" width="12.5703125" style="1" customWidth="1"/>
    <col min="15111" max="15111" width="13" style="1" customWidth="1"/>
    <col min="15112" max="15112" width="17.5703125" style="1" customWidth="1"/>
    <col min="15113" max="15113" width="11" style="1" customWidth="1"/>
    <col min="15114" max="15360" width="9.140625" style="1"/>
    <col min="15361" max="15361" width="9" style="1" customWidth="1"/>
    <col min="15362" max="15362" width="52" style="1" customWidth="1"/>
    <col min="15363" max="15363" width="8.7109375" style="1" customWidth="1"/>
    <col min="15364" max="15364" width="11.42578125" style="1" customWidth="1"/>
    <col min="15365" max="15365" width="11" style="1" customWidth="1"/>
    <col min="15366" max="15366" width="12.5703125" style="1" customWidth="1"/>
    <col min="15367" max="15367" width="13" style="1" customWidth="1"/>
    <col min="15368" max="15368" width="17.5703125" style="1" customWidth="1"/>
    <col min="15369" max="15369" width="11" style="1" customWidth="1"/>
    <col min="15370" max="15616" width="9.140625" style="1"/>
    <col min="15617" max="15617" width="9" style="1" customWidth="1"/>
    <col min="15618" max="15618" width="52" style="1" customWidth="1"/>
    <col min="15619" max="15619" width="8.7109375" style="1" customWidth="1"/>
    <col min="15620" max="15620" width="11.42578125" style="1" customWidth="1"/>
    <col min="15621" max="15621" width="11" style="1" customWidth="1"/>
    <col min="15622" max="15622" width="12.5703125" style="1" customWidth="1"/>
    <col min="15623" max="15623" width="13" style="1" customWidth="1"/>
    <col min="15624" max="15624" width="17.5703125" style="1" customWidth="1"/>
    <col min="15625" max="15625" width="11" style="1" customWidth="1"/>
    <col min="15626" max="15872" width="9.140625" style="1"/>
    <col min="15873" max="15873" width="9" style="1" customWidth="1"/>
    <col min="15874" max="15874" width="52" style="1" customWidth="1"/>
    <col min="15875" max="15875" width="8.7109375" style="1" customWidth="1"/>
    <col min="15876" max="15876" width="11.42578125" style="1" customWidth="1"/>
    <col min="15877" max="15877" width="11" style="1" customWidth="1"/>
    <col min="15878" max="15878" width="12.5703125" style="1" customWidth="1"/>
    <col min="15879" max="15879" width="13" style="1" customWidth="1"/>
    <col min="15880" max="15880" width="17.5703125" style="1" customWidth="1"/>
    <col min="15881" max="15881" width="11" style="1" customWidth="1"/>
    <col min="15882" max="16128" width="9.140625" style="1"/>
    <col min="16129" max="16129" width="9" style="1" customWidth="1"/>
    <col min="16130" max="16130" width="52" style="1" customWidth="1"/>
    <col min="16131" max="16131" width="8.7109375" style="1" customWidth="1"/>
    <col min="16132" max="16132" width="11.42578125" style="1" customWidth="1"/>
    <col min="16133" max="16133" width="11" style="1" customWidth="1"/>
    <col min="16134" max="16134" width="12.5703125" style="1" customWidth="1"/>
    <col min="16135" max="16135" width="13" style="1" customWidth="1"/>
    <col min="16136" max="16136" width="17.5703125" style="1" customWidth="1"/>
    <col min="16137" max="16137" width="11" style="1" customWidth="1"/>
    <col min="16138" max="16384" width="9.140625" style="1"/>
  </cols>
  <sheetData>
    <row r="3" spans="1:8" ht="20.100000000000001" customHeight="1">
      <c r="A3" s="612" t="s">
        <v>371</v>
      </c>
      <c r="B3" s="612"/>
      <c r="C3" s="612"/>
      <c r="D3" s="612"/>
      <c r="E3" s="612"/>
      <c r="F3" s="612"/>
    </row>
    <row r="4" spans="1:8" ht="20.100000000000001" customHeight="1">
      <c r="A4" s="612" t="s">
        <v>504</v>
      </c>
      <c r="B4" s="612"/>
      <c r="C4" s="612"/>
      <c r="D4" s="612"/>
      <c r="E4" s="612"/>
      <c r="F4" s="612"/>
    </row>
    <row r="5" spans="1:8" ht="20.100000000000001" customHeight="1">
      <c r="A5" s="613" t="s">
        <v>505</v>
      </c>
      <c r="B5" s="613"/>
      <c r="C5" s="613"/>
      <c r="D5" s="613"/>
      <c r="E5" s="613"/>
      <c r="F5" s="613"/>
    </row>
    <row r="6" spans="1:8" ht="20.100000000000001" customHeight="1" thickBot="1">
      <c r="A6" s="613" t="s">
        <v>0</v>
      </c>
      <c r="B6" s="613"/>
      <c r="C6" s="613"/>
      <c r="D6" s="613"/>
      <c r="E6" s="613"/>
      <c r="F6" s="613"/>
    </row>
    <row r="7" spans="1:8">
      <c r="A7" s="614" t="s">
        <v>1</v>
      </c>
      <c r="B7" s="614" t="s">
        <v>2</v>
      </c>
      <c r="C7" s="614" t="s">
        <v>3</v>
      </c>
      <c r="D7" s="614" t="s">
        <v>4</v>
      </c>
      <c r="E7" s="614" t="s">
        <v>5</v>
      </c>
      <c r="F7" s="614" t="s">
        <v>6</v>
      </c>
    </row>
    <row r="8" spans="1:8" ht="13.5" thickBot="1">
      <c r="A8" s="615"/>
      <c r="B8" s="615"/>
      <c r="C8" s="615"/>
      <c r="D8" s="615"/>
      <c r="E8" s="615"/>
      <c r="F8" s="615"/>
    </row>
    <row r="9" spans="1:8" ht="18" customHeight="1">
      <c r="A9" s="198"/>
      <c r="B9" s="22" t="s">
        <v>693</v>
      </c>
      <c r="C9" s="198"/>
      <c r="D9" s="198"/>
      <c r="E9" s="198"/>
      <c r="F9" s="198"/>
    </row>
    <row r="10" spans="1:8" ht="18" customHeight="1">
      <c r="A10" s="266">
        <v>1</v>
      </c>
      <c r="B10" s="267" t="s">
        <v>420</v>
      </c>
      <c r="C10" s="266"/>
      <c r="D10" s="266"/>
      <c r="E10" s="266"/>
      <c r="F10" s="266"/>
    </row>
    <row r="11" spans="1:8" ht="20.100000000000001" customHeight="1">
      <c r="A11" s="30">
        <v>1.1000000000000001</v>
      </c>
      <c r="B11" s="31" t="s">
        <v>8</v>
      </c>
      <c r="C11" s="30"/>
      <c r="D11" s="30"/>
      <c r="E11" s="30"/>
      <c r="F11" s="30"/>
    </row>
    <row r="12" spans="1:8" ht="18" customHeight="1">
      <c r="A12" s="4" t="s">
        <v>454</v>
      </c>
      <c r="B12" s="3" t="s">
        <v>9</v>
      </c>
      <c r="C12" s="2"/>
      <c r="D12" s="2"/>
      <c r="E12" s="2"/>
      <c r="F12" s="2"/>
    </row>
    <row r="13" spans="1:8" ht="233.25" customHeight="1">
      <c r="A13" s="4"/>
      <c r="B13" s="10" t="s">
        <v>476</v>
      </c>
      <c r="C13" s="2"/>
      <c r="D13" s="2"/>
      <c r="E13" s="2"/>
      <c r="F13" s="2"/>
    </row>
    <row r="14" spans="1:8" ht="156" customHeight="1">
      <c r="A14" s="4" t="s">
        <v>10</v>
      </c>
      <c r="B14" s="10" t="s">
        <v>447</v>
      </c>
      <c r="C14" s="5"/>
      <c r="D14" s="6"/>
      <c r="E14" s="7"/>
      <c r="F14" s="7"/>
      <c r="H14" s="23"/>
    </row>
    <row r="15" spans="1:8" ht="18" customHeight="1">
      <c r="A15" s="8" t="s">
        <v>50</v>
      </c>
      <c r="B15" s="272" t="s">
        <v>360</v>
      </c>
      <c r="C15" s="5" t="s">
        <v>11</v>
      </c>
      <c r="D15" s="6">
        <f>'Measurement Sheet'!H42</f>
        <v>316.2</v>
      </c>
      <c r="E15" s="7">
        <v>212</v>
      </c>
      <c r="F15" s="9">
        <f>ROUND(D15*E15,0)</f>
        <v>67034</v>
      </c>
    </row>
    <row r="16" spans="1:8" ht="18" customHeight="1">
      <c r="A16" s="8" t="s">
        <v>254</v>
      </c>
      <c r="B16" s="272" t="s">
        <v>361</v>
      </c>
      <c r="C16" s="5" t="s">
        <v>11</v>
      </c>
      <c r="D16" s="6">
        <f>'Measurement Sheet'!H39</f>
        <v>0</v>
      </c>
      <c r="E16" s="7">
        <v>225</v>
      </c>
      <c r="F16" s="9">
        <f>ROUND(D16*E16,0)</f>
        <v>0</v>
      </c>
    </row>
    <row r="17" spans="1:10" s="515" customFormat="1" ht="18" customHeight="1">
      <c r="A17" s="8"/>
      <c r="B17" s="272"/>
      <c r="C17" s="520"/>
      <c r="D17" s="518"/>
      <c r="E17" s="517"/>
      <c r="F17" s="516"/>
    </row>
    <row r="18" spans="1:10" s="515" customFormat="1" ht="166.5" customHeight="1">
      <c r="A18" s="519" t="s">
        <v>12</v>
      </c>
      <c r="B18" s="541" t="s">
        <v>755</v>
      </c>
      <c r="C18" s="542"/>
      <c r="D18" s="372"/>
      <c r="E18" s="373"/>
      <c r="F18" s="516"/>
    </row>
    <row r="19" spans="1:10" s="515" customFormat="1" ht="18" customHeight="1">
      <c r="A19" s="368" t="s">
        <v>50</v>
      </c>
      <c r="B19" s="272" t="s">
        <v>786</v>
      </c>
      <c r="C19" s="542" t="s">
        <v>11</v>
      </c>
      <c r="D19" s="372">
        <f>'Measurement Sheet'!H40</f>
        <v>210.8</v>
      </c>
      <c r="E19" s="373">
        <v>550</v>
      </c>
      <c r="F19" s="370">
        <f>ROUND(D19*E19,0)</f>
        <v>115940</v>
      </c>
    </row>
    <row r="20" spans="1:10" s="515" customFormat="1" ht="18" customHeight="1">
      <c r="A20" s="8" t="s">
        <v>254</v>
      </c>
      <c r="B20" s="272" t="s">
        <v>361</v>
      </c>
      <c r="C20" s="520" t="s">
        <v>11</v>
      </c>
      <c r="D20" s="518"/>
      <c r="E20" s="517"/>
      <c r="F20" s="516">
        <f>ROUND(D20*E20,0)</f>
        <v>0</v>
      </c>
    </row>
    <row r="21" spans="1:10" s="515" customFormat="1" ht="18" customHeight="1">
      <c r="A21" s="558"/>
      <c r="B21" s="559"/>
      <c r="C21" s="556"/>
      <c r="D21" s="557"/>
      <c r="E21" s="369"/>
      <c r="F21" s="560"/>
    </row>
    <row r="22" spans="1:10" ht="18" customHeight="1">
      <c r="A22" s="4" t="s">
        <v>455</v>
      </c>
      <c r="B22" s="3" t="s">
        <v>14</v>
      </c>
      <c r="C22" s="5"/>
      <c r="D22" s="6"/>
      <c r="E22" s="7"/>
      <c r="F22" s="9"/>
    </row>
    <row r="23" spans="1:10" ht="101.25" customHeight="1">
      <c r="A23" s="4" t="s">
        <v>10</v>
      </c>
      <c r="B23" s="10" t="s">
        <v>451</v>
      </c>
      <c r="C23" s="5" t="s">
        <v>11</v>
      </c>
      <c r="D23" s="6">
        <f>'Measurement Sheet'!H44</f>
        <v>173.11099999999999</v>
      </c>
      <c r="E23" s="7">
        <v>54</v>
      </c>
      <c r="F23" s="9">
        <f>ROUND(D23*E23,0)</f>
        <v>9348</v>
      </c>
    </row>
    <row r="24" spans="1:10" ht="102.75" customHeight="1">
      <c r="A24" s="4" t="s">
        <v>12</v>
      </c>
      <c r="B24" s="10" t="s">
        <v>448</v>
      </c>
      <c r="C24" s="5" t="s">
        <v>11</v>
      </c>
      <c r="D24" s="6">
        <f>'Measurement Sheet'!H49</f>
        <v>354</v>
      </c>
      <c r="E24" s="7">
        <v>90</v>
      </c>
      <c r="F24" s="9">
        <f>ROUND(D24*E24,0)</f>
        <v>31860</v>
      </c>
    </row>
    <row r="25" spans="1:10" ht="117" customHeight="1">
      <c r="A25" s="4" t="s">
        <v>13</v>
      </c>
      <c r="B25" s="10" t="s">
        <v>452</v>
      </c>
      <c r="C25" s="5" t="s">
        <v>11</v>
      </c>
      <c r="D25" s="6">
        <f>'Measurement Sheet'!H50</f>
        <v>2955</v>
      </c>
      <c r="E25" s="7">
        <v>570</v>
      </c>
      <c r="F25" s="9">
        <f>ROUND(D25*E25,0)</f>
        <v>1684350</v>
      </c>
    </row>
    <row r="26" spans="1:10" ht="102.75" customHeight="1">
      <c r="A26" s="4" t="s">
        <v>36</v>
      </c>
      <c r="B26" s="10" t="s">
        <v>449</v>
      </c>
      <c r="C26" s="273" t="s">
        <v>11</v>
      </c>
      <c r="D26" s="6">
        <f>'Measurement Sheet'!H61</f>
        <v>5</v>
      </c>
      <c r="E26" s="7">
        <v>1200</v>
      </c>
      <c r="F26" s="9">
        <f>ROUND(D26*E26,0)</f>
        <v>6000</v>
      </c>
    </row>
    <row r="27" spans="1:10" s="515" customFormat="1" ht="123" customHeight="1">
      <c r="A27" s="8" t="s">
        <v>456</v>
      </c>
      <c r="B27" s="504" t="s">
        <v>787</v>
      </c>
      <c r="C27" s="520" t="s">
        <v>69</v>
      </c>
      <c r="D27" s="518">
        <f>'Measurement Sheet'!H257</f>
        <v>252</v>
      </c>
      <c r="E27" s="517" t="s">
        <v>706</v>
      </c>
      <c r="F27" s="516"/>
      <c r="G27" s="14"/>
      <c r="H27" s="14"/>
      <c r="I27" s="19"/>
      <c r="J27" s="19"/>
    </row>
    <row r="28" spans="1:10" ht="18" customHeight="1">
      <c r="A28" s="4" t="s">
        <v>456</v>
      </c>
      <c r="B28" s="3" t="s">
        <v>15</v>
      </c>
      <c r="C28" s="5"/>
      <c r="D28" s="6"/>
      <c r="E28" s="7"/>
      <c r="F28" s="9"/>
    </row>
    <row r="29" spans="1:10" ht="186" customHeight="1">
      <c r="A29" s="4" t="s">
        <v>10</v>
      </c>
      <c r="B29" s="10" t="s">
        <v>379</v>
      </c>
      <c r="C29" s="5" t="s">
        <v>16</v>
      </c>
      <c r="D29" s="6">
        <f>'Measurement Sheet'!H64</f>
        <v>4033</v>
      </c>
      <c r="E29" s="7">
        <v>55</v>
      </c>
      <c r="F29" s="9">
        <f>ROUND(D29*E29,0)</f>
        <v>221815</v>
      </c>
    </row>
    <row r="30" spans="1:10" ht="18" customHeight="1">
      <c r="A30" s="4" t="s">
        <v>457</v>
      </c>
      <c r="B30" s="3" t="s">
        <v>17</v>
      </c>
      <c r="C30" s="5"/>
      <c r="D30" s="6"/>
      <c r="E30" s="7"/>
      <c r="F30" s="9"/>
    </row>
    <row r="31" spans="1:10" ht="18" customHeight="1">
      <c r="A31" s="4" t="s">
        <v>10</v>
      </c>
      <c r="B31" s="274" t="s">
        <v>18</v>
      </c>
      <c r="C31" s="5"/>
      <c r="D31" s="6"/>
      <c r="E31" s="7"/>
      <c r="F31" s="9"/>
    </row>
    <row r="32" spans="1:10" ht="144" customHeight="1">
      <c r="A32" s="11"/>
      <c r="B32" s="10" t="s">
        <v>539</v>
      </c>
      <c r="C32" s="5" t="s">
        <v>11</v>
      </c>
      <c r="D32" s="6">
        <f>'Measurement Sheet'!H77</f>
        <v>38</v>
      </c>
      <c r="E32" s="7">
        <v>4600</v>
      </c>
      <c r="F32" s="9">
        <f>ROUND(D32*E32,0)</f>
        <v>174800</v>
      </c>
    </row>
    <row r="33" spans="1:6" ht="195.75" customHeight="1">
      <c r="A33" s="11"/>
      <c r="B33" s="10" t="s">
        <v>540</v>
      </c>
      <c r="C33" s="5"/>
      <c r="D33" s="6"/>
      <c r="E33" s="7"/>
      <c r="F33" s="9"/>
    </row>
    <row r="34" spans="1:6" ht="18" customHeight="1">
      <c r="A34" s="4" t="s">
        <v>12</v>
      </c>
      <c r="B34" s="274" t="s">
        <v>300</v>
      </c>
      <c r="C34" s="16"/>
      <c r="D34" s="16"/>
      <c r="E34" s="16"/>
      <c r="F34" s="16"/>
    </row>
    <row r="35" spans="1:6" ht="165.75">
      <c r="A35" s="4"/>
      <c r="B35" s="10" t="s">
        <v>381</v>
      </c>
      <c r="C35" s="5"/>
      <c r="D35" s="6"/>
      <c r="E35" s="7"/>
      <c r="F35" s="9"/>
    </row>
    <row r="36" spans="1:6" ht="18" customHeight="1">
      <c r="A36" s="275" t="s">
        <v>50</v>
      </c>
      <c r="B36" s="10" t="s">
        <v>314</v>
      </c>
      <c r="C36" s="5" t="s">
        <v>11</v>
      </c>
      <c r="D36" s="6">
        <f>'Measurement Sheet'!H87</f>
        <v>253</v>
      </c>
      <c r="E36" s="7">
        <v>5300</v>
      </c>
      <c r="F36" s="9">
        <f>ROUND(D36*E36,0)</f>
        <v>1340900</v>
      </c>
    </row>
    <row r="37" spans="1:6" ht="18" customHeight="1">
      <c r="A37" s="275" t="s">
        <v>254</v>
      </c>
      <c r="B37" s="10" t="s">
        <v>315</v>
      </c>
      <c r="C37" s="5" t="s">
        <v>11</v>
      </c>
      <c r="D37" s="6">
        <f>'Measurement Sheet'!H96</f>
        <v>84</v>
      </c>
      <c r="E37" s="7">
        <v>5300</v>
      </c>
      <c r="F37" s="9">
        <f>ROUND(D37*E37,0)</f>
        <v>445200</v>
      </c>
    </row>
    <row r="38" spans="1:6" ht="18" customHeight="1">
      <c r="A38" s="275" t="s">
        <v>256</v>
      </c>
      <c r="B38" s="10" t="s">
        <v>398</v>
      </c>
      <c r="C38" s="5" t="s">
        <v>11</v>
      </c>
      <c r="D38" s="6">
        <f>'Measurement Sheet'!H101</f>
        <v>71</v>
      </c>
      <c r="E38" s="7">
        <v>5300</v>
      </c>
      <c r="F38" s="9">
        <f>ROUND(D38*E38,0)</f>
        <v>376300</v>
      </c>
    </row>
    <row r="39" spans="1:6" s="515" customFormat="1" ht="18" customHeight="1">
      <c r="A39" s="552" t="s">
        <v>258</v>
      </c>
      <c r="B39" s="553" t="s">
        <v>758</v>
      </c>
      <c r="C39" s="554" t="s">
        <v>11</v>
      </c>
      <c r="D39" s="497">
        <f>'Measurement Sheet'!H115</f>
        <v>5</v>
      </c>
      <c r="E39" s="531">
        <v>5300</v>
      </c>
      <c r="F39" s="555">
        <f>ROUND(D39*E39,0)</f>
        <v>26500</v>
      </c>
    </row>
    <row r="40" spans="1:6" ht="18" customHeight="1">
      <c r="A40" s="4" t="s">
        <v>458</v>
      </c>
      <c r="B40" s="3" t="s">
        <v>21</v>
      </c>
      <c r="C40" s="5"/>
      <c r="D40" s="6"/>
      <c r="E40" s="7"/>
      <c r="F40" s="9"/>
    </row>
    <row r="41" spans="1:6" ht="153">
      <c r="A41" s="4" t="s">
        <v>10</v>
      </c>
      <c r="B41" s="10" t="s">
        <v>382</v>
      </c>
      <c r="C41" s="5"/>
      <c r="D41" s="6"/>
      <c r="E41" s="7"/>
      <c r="F41" s="9"/>
    </row>
    <row r="42" spans="1:6" s="515" customFormat="1" ht="18" customHeight="1">
      <c r="A42" s="8" t="s">
        <v>50</v>
      </c>
      <c r="B42" s="504" t="s">
        <v>541</v>
      </c>
      <c r="C42" s="520" t="s">
        <v>16</v>
      </c>
      <c r="D42" s="518">
        <f>'Measurement Sheet'!H129</f>
        <v>0</v>
      </c>
      <c r="E42" s="517">
        <v>401</v>
      </c>
      <c r="F42" s="516">
        <f t="shared" ref="F42:F45" si="0">ROUND(D42*E42,0)</f>
        <v>0</v>
      </c>
    </row>
    <row r="43" spans="1:6" ht="18" customHeight="1">
      <c r="A43" s="275" t="s">
        <v>254</v>
      </c>
      <c r="B43" s="10" t="s">
        <v>314</v>
      </c>
      <c r="C43" s="5" t="s">
        <v>16</v>
      </c>
      <c r="D43" s="6">
        <f>'Measurement Sheet'!H138</f>
        <v>327</v>
      </c>
      <c r="E43" s="7">
        <v>401</v>
      </c>
      <c r="F43" s="9">
        <f t="shared" si="0"/>
        <v>131127</v>
      </c>
    </row>
    <row r="44" spans="1:6" ht="18" customHeight="1">
      <c r="A44" s="275" t="s">
        <v>256</v>
      </c>
      <c r="B44" s="10" t="s">
        <v>315</v>
      </c>
      <c r="C44" s="5" t="s">
        <v>16</v>
      </c>
      <c r="D44" s="6">
        <f>'Measurement Sheet'!H147</f>
        <v>400</v>
      </c>
      <c r="E44" s="7">
        <v>449</v>
      </c>
      <c r="F44" s="9">
        <f t="shared" si="0"/>
        <v>179600</v>
      </c>
    </row>
    <row r="45" spans="1:6" ht="18" customHeight="1">
      <c r="A45" s="275" t="s">
        <v>258</v>
      </c>
      <c r="B45" s="10" t="s">
        <v>398</v>
      </c>
      <c r="C45" s="5" t="s">
        <v>16</v>
      </c>
      <c r="D45" s="6">
        <f>'Measurement Sheet'!H151</f>
        <v>270</v>
      </c>
      <c r="E45" s="7">
        <v>449</v>
      </c>
      <c r="F45" s="9">
        <f t="shared" si="0"/>
        <v>121230</v>
      </c>
    </row>
    <row r="46" spans="1:6" ht="18" customHeight="1">
      <c r="A46" s="4" t="s">
        <v>459</v>
      </c>
      <c r="B46" s="3" t="s">
        <v>22</v>
      </c>
      <c r="C46" s="5"/>
      <c r="D46" s="6"/>
      <c r="E46" s="7"/>
      <c r="F46" s="9"/>
    </row>
    <row r="47" spans="1:6" ht="46.5" customHeight="1">
      <c r="A47" s="4"/>
      <c r="B47" s="276" t="s">
        <v>383</v>
      </c>
      <c r="C47" s="5"/>
      <c r="D47" s="6"/>
      <c r="E47" s="7"/>
      <c r="F47" s="9"/>
    </row>
    <row r="48" spans="1:6" ht="165.75">
      <c r="A48" s="4" t="s">
        <v>10</v>
      </c>
      <c r="B48" s="276" t="s">
        <v>399</v>
      </c>
      <c r="C48" s="5"/>
      <c r="D48" s="6"/>
      <c r="E48" s="7"/>
      <c r="F48" s="9"/>
    </row>
    <row r="49" spans="1:6" ht="18" customHeight="1">
      <c r="A49" s="275" t="s">
        <v>50</v>
      </c>
      <c r="B49" s="10" t="s">
        <v>314</v>
      </c>
      <c r="C49" s="5" t="s">
        <v>23</v>
      </c>
      <c r="D49" s="8">
        <f>'Measurement Sheet'!H166</f>
        <v>18.975000000000001</v>
      </c>
      <c r="E49" s="7">
        <v>60000</v>
      </c>
      <c r="F49" s="9">
        <f>ROUND(D49*E49,0)</f>
        <v>1138500</v>
      </c>
    </row>
    <row r="50" spans="1:6" ht="18" customHeight="1">
      <c r="A50" s="275" t="s">
        <v>254</v>
      </c>
      <c r="B50" s="10" t="s">
        <v>315</v>
      </c>
      <c r="C50" s="5" t="s">
        <v>23</v>
      </c>
      <c r="D50" s="8">
        <f>'Measurement Sheet'!H167</f>
        <v>10.08</v>
      </c>
      <c r="E50" s="7">
        <v>60000</v>
      </c>
      <c r="F50" s="9">
        <f>ROUND(D50*E50,0)</f>
        <v>604800</v>
      </c>
    </row>
    <row r="51" spans="1:6" ht="18" customHeight="1">
      <c r="A51" s="275" t="s">
        <v>256</v>
      </c>
      <c r="B51" s="10" t="s">
        <v>398</v>
      </c>
      <c r="C51" s="5" t="s">
        <v>23</v>
      </c>
      <c r="D51" s="8">
        <f>'Measurement Sheet'!H168</f>
        <v>8.875</v>
      </c>
      <c r="E51" s="7">
        <v>60000</v>
      </c>
      <c r="F51" s="9">
        <f>ROUND(D51*E51,0)</f>
        <v>532500</v>
      </c>
    </row>
    <row r="52" spans="1:6" s="515" customFormat="1" ht="18" customHeight="1">
      <c r="A52" s="552" t="s">
        <v>258</v>
      </c>
      <c r="B52" s="553" t="s">
        <v>758</v>
      </c>
      <c r="C52" s="554" t="s">
        <v>23</v>
      </c>
      <c r="D52" s="561">
        <f>'Measurement Sheet'!H171</f>
        <v>0.375</v>
      </c>
      <c r="E52" s="531">
        <v>60000</v>
      </c>
      <c r="F52" s="555">
        <f>ROUND(D52*E52,0)</f>
        <v>22500</v>
      </c>
    </row>
    <row r="53" spans="1:6" ht="18" customHeight="1">
      <c r="A53" s="4"/>
      <c r="B53" s="225" t="s">
        <v>310</v>
      </c>
      <c r="C53" s="5"/>
      <c r="D53" s="6"/>
      <c r="E53" s="7"/>
      <c r="F53" s="226">
        <f>SUM(F13:K52)</f>
        <v>7230304</v>
      </c>
    </row>
    <row r="54" spans="1:6" ht="18" customHeight="1">
      <c r="A54" s="30">
        <f>A11+0.1</f>
        <v>1.2000000000000002</v>
      </c>
      <c r="B54" s="31" t="s">
        <v>33</v>
      </c>
      <c r="C54" s="24"/>
      <c r="D54" s="24"/>
      <c r="E54" s="24"/>
      <c r="F54" s="25"/>
    </row>
    <row r="55" spans="1:6" ht="18" customHeight="1">
      <c r="A55" s="4" t="s">
        <v>460</v>
      </c>
      <c r="B55" s="274" t="s">
        <v>300</v>
      </c>
      <c r="C55" s="16"/>
      <c r="D55" s="16"/>
      <c r="E55" s="16"/>
      <c r="F55" s="17"/>
    </row>
    <row r="56" spans="1:6" ht="201" customHeight="1">
      <c r="A56" s="4"/>
      <c r="B56" s="10" t="s">
        <v>538</v>
      </c>
      <c r="C56" s="16"/>
      <c r="D56" s="16"/>
      <c r="E56" s="16"/>
      <c r="F56" s="17"/>
    </row>
    <row r="57" spans="1:6" ht="165.75">
      <c r="A57" s="4" t="s">
        <v>10</v>
      </c>
      <c r="B57" s="10" t="s">
        <v>381</v>
      </c>
      <c r="C57" s="5"/>
      <c r="D57" s="16"/>
      <c r="E57" s="16"/>
      <c r="F57" s="17"/>
    </row>
    <row r="58" spans="1:6" ht="18" customHeight="1">
      <c r="A58" s="275" t="s">
        <v>50</v>
      </c>
      <c r="B58" s="10" t="s">
        <v>316</v>
      </c>
      <c r="C58" s="5" t="s">
        <v>11</v>
      </c>
      <c r="D58" s="6">
        <f>'Measurement Sheet'!H111</f>
        <v>0</v>
      </c>
      <c r="E58" s="7">
        <v>5300</v>
      </c>
      <c r="F58" s="9">
        <f>ROUND(D58*E58,0)</f>
        <v>0</v>
      </c>
    </row>
    <row r="59" spans="1:6" ht="18" customHeight="1">
      <c r="A59" s="275" t="s">
        <v>254</v>
      </c>
      <c r="B59" s="10" t="s">
        <v>152</v>
      </c>
      <c r="C59" s="5" t="s">
        <v>11</v>
      </c>
      <c r="D59" s="6">
        <f>'Measurement Sheet'!H102+'Measurement Sheet'!H103</f>
        <v>20.807640000000003</v>
      </c>
      <c r="E59" s="7">
        <v>5300</v>
      </c>
      <c r="F59" s="9">
        <f>ROUND(D59*E59,0)</f>
        <v>110280</v>
      </c>
    </row>
    <row r="60" spans="1:6" ht="18" customHeight="1">
      <c r="A60" s="275" t="s">
        <v>702</v>
      </c>
      <c r="B60" s="10" t="s">
        <v>701</v>
      </c>
      <c r="C60" s="5" t="s">
        <v>11</v>
      </c>
      <c r="D60" s="6">
        <f>'Measurement Sheet'!H112</f>
        <v>13.661999999999999</v>
      </c>
      <c r="E60" s="7">
        <v>5300</v>
      </c>
      <c r="F60" s="9">
        <f>ROUND(D60*E60,0)</f>
        <v>72409</v>
      </c>
    </row>
    <row r="61" spans="1:6" s="581" customFormat="1" ht="18" customHeight="1">
      <c r="A61" s="582" t="s">
        <v>461</v>
      </c>
      <c r="B61" s="31" t="s">
        <v>21</v>
      </c>
      <c r="C61" s="26"/>
      <c r="D61" s="24"/>
      <c r="E61" s="24"/>
      <c r="F61" s="25"/>
    </row>
    <row r="62" spans="1:6" s="581" customFormat="1" ht="18" customHeight="1">
      <c r="A62" s="598" t="s">
        <v>260</v>
      </c>
      <c r="B62" s="587" t="s">
        <v>701</v>
      </c>
      <c r="C62" s="26" t="s">
        <v>16</v>
      </c>
      <c r="D62" s="27">
        <f>'Measurement Sheet'!H163</f>
        <v>182.15999999999997</v>
      </c>
      <c r="E62" s="28">
        <f>E45</f>
        <v>449</v>
      </c>
      <c r="F62" s="29">
        <f>ROUND(D62*E62,0)</f>
        <v>81790</v>
      </c>
    </row>
    <row r="63" spans="1:6" s="581" customFormat="1" ht="18" customHeight="1">
      <c r="A63" s="599" t="s">
        <v>262</v>
      </c>
      <c r="B63" s="589" t="s">
        <v>758</v>
      </c>
      <c r="C63" s="590" t="s">
        <v>16</v>
      </c>
      <c r="D63" s="591">
        <f>'Measurement Sheet'!H164</f>
        <v>36.750000000000007</v>
      </c>
      <c r="E63" s="592">
        <f>E62</f>
        <v>449</v>
      </c>
      <c r="F63" s="593">
        <f>ROUND(D63*E63,0)</f>
        <v>16501</v>
      </c>
    </row>
    <row r="64" spans="1:6" s="581" customFormat="1" ht="18" customHeight="1">
      <c r="A64" s="599"/>
      <c r="B64" s="589"/>
      <c r="C64" s="590"/>
      <c r="D64" s="591"/>
      <c r="E64" s="592"/>
      <c r="F64" s="593"/>
    </row>
    <row r="65" spans="1:6" ht="18" customHeight="1">
      <c r="A65" s="4" t="s">
        <v>461</v>
      </c>
      <c r="B65" s="3" t="s">
        <v>22</v>
      </c>
      <c r="C65" s="5"/>
      <c r="D65" s="16"/>
      <c r="E65" s="16"/>
      <c r="F65" s="17"/>
    </row>
    <row r="66" spans="1:6" ht="51">
      <c r="A66" s="4"/>
      <c r="B66" s="276" t="s">
        <v>384</v>
      </c>
      <c r="C66" s="5"/>
      <c r="D66" s="16"/>
      <c r="E66" s="16"/>
      <c r="F66" s="17"/>
    </row>
    <row r="67" spans="1:6" ht="170.25" customHeight="1">
      <c r="A67" s="4" t="s">
        <v>10</v>
      </c>
      <c r="B67" s="276" t="s">
        <v>399</v>
      </c>
      <c r="C67" s="5"/>
      <c r="D67" s="16"/>
      <c r="E67" s="16"/>
      <c r="F67" s="17"/>
    </row>
    <row r="68" spans="1:6" ht="18" customHeight="1">
      <c r="A68" s="275" t="s">
        <v>50</v>
      </c>
      <c r="B68" s="10" t="s">
        <v>316</v>
      </c>
      <c r="C68" s="5" t="s">
        <v>23</v>
      </c>
      <c r="D68" s="8">
        <f>'Measurement Sheet'!H169</f>
        <v>0</v>
      </c>
      <c r="E68" s="7">
        <v>60000</v>
      </c>
      <c r="F68" s="9">
        <f>ROUND(D68*E68,0)</f>
        <v>0</v>
      </c>
    </row>
    <row r="69" spans="1:6" ht="18" customHeight="1">
      <c r="A69" s="275" t="s">
        <v>254</v>
      </c>
      <c r="B69" s="10" t="s">
        <v>689</v>
      </c>
      <c r="C69" s="5" t="s">
        <v>23</v>
      </c>
      <c r="D69" s="8">
        <f>'Measurement Sheet'!H173</f>
        <v>2.6009550000000004</v>
      </c>
      <c r="E69" s="7">
        <v>60000</v>
      </c>
      <c r="F69" s="9">
        <f>ROUND(D69*E69,0)</f>
        <v>156057</v>
      </c>
    </row>
    <row r="70" spans="1:6" ht="18" customHeight="1">
      <c r="A70" s="275" t="s">
        <v>256</v>
      </c>
      <c r="B70" s="10" t="s">
        <v>701</v>
      </c>
      <c r="C70" s="5" t="s">
        <v>23</v>
      </c>
      <c r="D70" s="8">
        <f>'Measurement Sheet'!H170</f>
        <v>1.6394399999999998</v>
      </c>
      <c r="E70" s="7">
        <v>60000</v>
      </c>
      <c r="F70" s="9">
        <f>ROUND(D70*E70,0)</f>
        <v>98366</v>
      </c>
    </row>
    <row r="71" spans="1:6" s="515" customFormat="1" ht="18" customHeight="1">
      <c r="A71" s="275"/>
      <c r="B71" s="504"/>
      <c r="C71" s="520"/>
      <c r="D71" s="8"/>
      <c r="E71" s="517"/>
      <c r="F71" s="516"/>
    </row>
    <row r="72" spans="1:6" ht="18" customHeight="1">
      <c r="A72" s="4" t="s">
        <v>461</v>
      </c>
      <c r="B72" s="3" t="s">
        <v>56</v>
      </c>
      <c r="C72" s="5"/>
      <c r="D72" s="6"/>
      <c r="E72" s="7"/>
      <c r="F72" s="9"/>
    </row>
    <row r="73" spans="1:6" ht="255">
      <c r="A73" s="4"/>
      <c r="B73" s="276" t="s">
        <v>468</v>
      </c>
      <c r="C73" s="5"/>
      <c r="D73" s="6"/>
      <c r="E73" s="7"/>
      <c r="F73" s="9"/>
    </row>
    <row r="74" spans="1:6" ht="114.75">
      <c r="A74" s="4" t="s">
        <v>10</v>
      </c>
      <c r="B74" s="276" t="s">
        <v>697</v>
      </c>
      <c r="C74" s="5" t="s">
        <v>11</v>
      </c>
      <c r="D74" s="275">
        <f>'Measurement Sheet'!H383</f>
        <v>151</v>
      </c>
      <c r="E74" s="6">
        <v>5200</v>
      </c>
      <c r="F74" s="9">
        <f>ROUND(D74*E74,0)</f>
        <v>785200</v>
      </c>
    </row>
    <row r="75" spans="1:6" ht="114.75">
      <c r="A75" s="4" t="s">
        <v>12</v>
      </c>
      <c r="B75" s="276" t="s">
        <v>698</v>
      </c>
      <c r="C75" s="5" t="s">
        <v>16</v>
      </c>
      <c r="D75" s="6">
        <f>'Measurement Sheet'!H387</f>
        <v>24.651</v>
      </c>
      <c r="E75" s="6">
        <v>630</v>
      </c>
      <c r="F75" s="9">
        <f>D75*E75</f>
        <v>15530.13</v>
      </c>
    </row>
    <row r="76" spans="1:6">
      <c r="A76" s="4" t="s">
        <v>13</v>
      </c>
      <c r="B76" s="276" t="s">
        <v>707</v>
      </c>
      <c r="C76" s="5" t="s">
        <v>11</v>
      </c>
      <c r="D76" s="6" t="s">
        <v>706</v>
      </c>
      <c r="E76" s="497"/>
      <c r="F76" s="9"/>
    </row>
    <row r="77" spans="1:6">
      <c r="A77" s="4"/>
      <c r="B77" s="276"/>
      <c r="C77" s="5"/>
      <c r="D77" s="6"/>
      <c r="E77" s="6"/>
      <c r="F77" s="9"/>
    </row>
    <row r="78" spans="1:6" ht="18" customHeight="1">
      <c r="A78" s="4" t="s">
        <v>462</v>
      </c>
      <c r="B78" s="3" t="s">
        <v>57</v>
      </c>
      <c r="C78" s="5"/>
      <c r="D78" s="6"/>
      <c r="E78" s="6"/>
      <c r="F78" s="9"/>
    </row>
    <row r="79" spans="1:6" ht="18" customHeight="1">
      <c r="A79" s="8" t="s">
        <v>10</v>
      </c>
      <c r="B79" s="3" t="s">
        <v>58</v>
      </c>
      <c r="C79" s="5"/>
      <c r="D79" s="6"/>
      <c r="E79" s="6"/>
      <c r="F79" s="9"/>
    </row>
    <row r="80" spans="1:6" ht="126" customHeight="1">
      <c r="A80" s="4"/>
      <c r="B80" s="314" t="s">
        <v>713</v>
      </c>
      <c r="C80" s="5" t="s">
        <v>16</v>
      </c>
      <c r="D80" s="6">
        <f>'Measurement Sheet'!H408</f>
        <v>701</v>
      </c>
      <c r="E80" s="6">
        <v>350</v>
      </c>
      <c r="F80" s="9">
        <f>ROUND(D80*E80,0)</f>
        <v>245350</v>
      </c>
    </row>
    <row r="81" spans="1:6" ht="21.75" customHeight="1">
      <c r="A81" s="8" t="s">
        <v>12</v>
      </c>
      <c r="B81" s="3" t="s">
        <v>411</v>
      </c>
      <c r="C81" s="5"/>
      <c r="D81" s="6"/>
      <c r="E81" s="6"/>
      <c r="F81" s="9"/>
    </row>
    <row r="82" spans="1:6" ht="192" customHeight="1">
      <c r="A82" s="4"/>
      <c r="B82" s="206" t="s">
        <v>699</v>
      </c>
      <c r="C82" s="5" t="s">
        <v>16</v>
      </c>
      <c r="D82" s="6">
        <f>'Measurement Sheet'!H409</f>
        <v>594.32999999999993</v>
      </c>
      <c r="E82" s="6">
        <v>440</v>
      </c>
      <c r="F82" s="9">
        <f>ROUND(D82*E82,0)</f>
        <v>261505</v>
      </c>
    </row>
    <row r="83" spans="1:6" ht="18" customHeight="1">
      <c r="A83" s="8" t="s">
        <v>13</v>
      </c>
      <c r="B83" s="3" t="s">
        <v>60</v>
      </c>
      <c r="C83" s="5"/>
      <c r="D83" s="6"/>
      <c r="E83" s="6"/>
      <c r="F83" s="9"/>
    </row>
    <row r="84" spans="1:6" ht="150" customHeight="1">
      <c r="A84" s="4"/>
      <c r="B84" s="10" t="s">
        <v>717</v>
      </c>
      <c r="C84" s="5" t="s">
        <v>16</v>
      </c>
      <c r="D84" s="6">
        <f>'Measurement Sheet'!H415</f>
        <v>594</v>
      </c>
      <c r="E84" s="6">
        <v>210</v>
      </c>
      <c r="F84" s="9">
        <f>ROUND(D84*E84,0)</f>
        <v>124740</v>
      </c>
    </row>
    <row r="85" spans="1:6" ht="18" customHeight="1">
      <c r="A85" s="8" t="s">
        <v>36</v>
      </c>
      <c r="B85" s="3" t="s">
        <v>59</v>
      </c>
      <c r="C85" s="5"/>
      <c r="D85" s="6"/>
      <c r="E85" s="6"/>
      <c r="F85" s="9"/>
    </row>
    <row r="86" spans="1:6" ht="109.5" customHeight="1">
      <c r="A86" s="4"/>
      <c r="B86" s="10" t="s">
        <v>714</v>
      </c>
      <c r="C86" s="5" t="s">
        <v>16</v>
      </c>
      <c r="D86" s="6">
        <f>'Measurement Sheet'!H188</f>
        <v>910.80000000000007</v>
      </c>
      <c r="E86" s="6">
        <v>220</v>
      </c>
      <c r="F86" s="9">
        <f>ROUND(D86*E86,0)</f>
        <v>200376</v>
      </c>
    </row>
    <row r="87" spans="1:6" ht="18" customHeight="1">
      <c r="A87" s="4" t="s">
        <v>463</v>
      </c>
      <c r="B87" s="3" t="s">
        <v>715</v>
      </c>
      <c r="C87" s="5"/>
      <c r="D87" s="6"/>
      <c r="E87" s="7"/>
      <c r="F87" s="9"/>
    </row>
    <row r="88" spans="1:6" ht="94.5" customHeight="1">
      <c r="A88" s="4"/>
      <c r="B88" s="492" t="s">
        <v>716</v>
      </c>
      <c r="C88" s="5" t="s">
        <v>16</v>
      </c>
      <c r="D88" s="6">
        <f>'Measurement Sheet'!H430</f>
        <v>14.88</v>
      </c>
      <c r="E88" s="7">
        <v>800</v>
      </c>
      <c r="F88" s="9">
        <f>ROUND(D88*E88,0)</f>
        <v>11904</v>
      </c>
    </row>
    <row r="89" spans="1:6">
      <c r="A89" s="4"/>
      <c r="B89" s="492"/>
    </row>
    <row r="90" spans="1:6" ht="191.25">
      <c r="A90" s="4" t="s">
        <v>464</v>
      </c>
      <c r="B90" s="504" t="s">
        <v>708</v>
      </c>
      <c r="C90" s="5" t="s">
        <v>16</v>
      </c>
      <c r="D90" s="6">
        <f>'Measurement Sheet'!H433</f>
        <v>49</v>
      </c>
      <c r="E90" s="502">
        <v>1100</v>
      </c>
      <c r="F90" s="9">
        <f>ROUND(D90*E90,0)</f>
        <v>53900</v>
      </c>
    </row>
    <row r="91" spans="1:6" s="515" customFormat="1" ht="18" customHeight="1">
      <c r="A91" s="519" t="s">
        <v>465</v>
      </c>
      <c r="B91" s="3" t="s">
        <v>731</v>
      </c>
      <c r="C91" s="16"/>
      <c r="D91" s="16"/>
      <c r="E91" s="16"/>
      <c r="F91" s="17"/>
    </row>
    <row r="92" spans="1:6" s="515" customFormat="1" ht="204">
      <c r="A92" s="519" t="s">
        <v>528</v>
      </c>
      <c r="B92" s="504" t="s">
        <v>732</v>
      </c>
      <c r="C92" s="520"/>
      <c r="D92" s="518"/>
      <c r="E92" s="517"/>
      <c r="F92" s="516"/>
    </row>
    <row r="93" spans="1:6" s="515" customFormat="1">
      <c r="A93" s="275" t="s">
        <v>10</v>
      </c>
      <c r="B93" s="504" t="s">
        <v>733</v>
      </c>
      <c r="C93" s="520" t="s">
        <v>16</v>
      </c>
      <c r="D93" s="518">
        <f>'Measurement Sheet'!H389</f>
        <v>14.88</v>
      </c>
      <c r="E93" s="517">
        <v>491</v>
      </c>
      <c r="F93" s="516"/>
    </row>
    <row r="94" spans="1:6" s="515" customFormat="1" ht="18" customHeight="1">
      <c r="A94" s="519" t="s">
        <v>536</v>
      </c>
      <c r="B94" s="3" t="s">
        <v>734</v>
      </c>
      <c r="C94" s="520"/>
      <c r="D94" s="16"/>
      <c r="E94" s="517"/>
      <c r="F94" s="516"/>
    </row>
    <row r="95" spans="1:6" s="515" customFormat="1" ht="152.25" customHeight="1">
      <c r="A95" s="275"/>
      <c r="B95" s="504" t="s">
        <v>735</v>
      </c>
      <c r="C95" s="520" t="s">
        <v>11</v>
      </c>
      <c r="D95" s="518">
        <f>'Measurement Sheet'!H388</f>
        <v>4.4640000000000004</v>
      </c>
      <c r="E95" s="517">
        <v>2795</v>
      </c>
      <c r="F95" s="516">
        <f>ROUND(D95*E95,0)</f>
        <v>12477</v>
      </c>
    </row>
    <row r="96" spans="1:6">
      <c r="A96" s="4"/>
      <c r="B96" s="492"/>
      <c r="C96" s="5"/>
      <c r="D96" s="6"/>
      <c r="E96" s="7"/>
      <c r="F96" s="9"/>
    </row>
    <row r="97" spans="1:12" ht="18" customHeight="1">
      <c r="A97" s="4" t="s">
        <v>544</v>
      </c>
      <c r="B97" s="274" t="s">
        <v>62</v>
      </c>
      <c r="C97" s="5"/>
      <c r="D97" s="6"/>
      <c r="E97" s="7"/>
      <c r="F97" s="9"/>
    </row>
    <row r="98" spans="1:12" ht="18" customHeight="1">
      <c r="A98" s="8" t="s">
        <v>10</v>
      </c>
      <c r="B98" s="274" t="s">
        <v>718</v>
      </c>
      <c r="C98" s="5"/>
      <c r="D98" s="6"/>
      <c r="E98" s="7"/>
      <c r="F98" s="9"/>
    </row>
    <row r="99" spans="1:12" ht="58.5" customHeight="1">
      <c r="A99" s="8" t="s">
        <v>50</v>
      </c>
      <c r="B99" s="10" t="s">
        <v>740</v>
      </c>
      <c r="C99" s="5" t="s">
        <v>63</v>
      </c>
      <c r="D99" s="6">
        <v>4</v>
      </c>
      <c r="E99" s="517">
        <v>15700</v>
      </c>
      <c r="F99" s="9">
        <f>ROUND(D99*E99,0)</f>
        <v>62800</v>
      </c>
      <c r="L99" s="14"/>
    </row>
    <row r="100" spans="1:12" s="515" customFormat="1" ht="66" customHeight="1">
      <c r="A100" s="8" t="s">
        <v>254</v>
      </c>
      <c r="B100" s="504" t="s">
        <v>739</v>
      </c>
      <c r="C100" s="520" t="s">
        <v>63</v>
      </c>
      <c r="D100" s="518">
        <v>1</v>
      </c>
      <c r="E100" s="517">
        <v>15700</v>
      </c>
      <c r="F100" s="516">
        <f>ROUND(D100*E100,0)</f>
        <v>15700</v>
      </c>
      <c r="L100" s="14"/>
    </row>
    <row r="101" spans="1:12" ht="18" customHeight="1">
      <c r="A101" s="4" t="s">
        <v>565</v>
      </c>
      <c r="B101" s="274" t="s">
        <v>719</v>
      </c>
      <c r="C101" s="5"/>
      <c r="D101" s="6"/>
      <c r="E101" s="517"/>
      <c r="F101" s="316"/>
      <c r="G101" s="14"/>
      <c r="H101" s="14"/>
      <c r="I101" s="19"/>
      <c r="J101" s="20"/>
    </row>
    <row r="102" spans="1:12" ht="57" customHeight="1">
      <c r="A102" s="275" t="s">
        <v>10</v>
      </c>
      <c r="B102" s="276" t="s">
        <v>741</v>
      </c>
      <c r="C102" s="5" t="s">
        <v>16</v>
      </c>
      <c r="D102" s="6">
        <v>3</v>
      </c>
      <c r="E102" s="517">
        <v>4100</v>
      </c>
      <c r="F102" s="9">
        <f>ROUND(D102*E102,0)</f>
        <v>12300</v>
      </c>
      <c r="L102" s="14"/>
    </row>
    <row r="103" spans="1:12" ht="72" customHeight="1">
      <c r="A103" s="8" t="s">
        <v>12</v>
      </c>
      <c r="B103" s="276" t="s">
        <v>742</v>
      </c>
      <c r="C103" s="5" t="s">
        <v>63</v>
      </c>
      <c r="D103" s="6">
        <v>16</v>
      </c>
      <c r="E103" s="517">
        <v>6900</v>
      </c>
      <c r="F103" s="9">
        <f>ROUND(D103*E103,0)</f>
        <v>110400</v>
      </c>
      <c r="G103" s="14"/>
      <c r="H103" s="14"/>
      <c r="I103" s="19"/>
      <c r="J103" s="20"/>
    </row>
    <row r="104" spans="1:12" s="515" customFormat="1" ht="56.25" customHeight="1">
      <c r="A104" s="8" t="s">
        <v>13</v>
      </c>
      <c r="B104" s="276" t="s">
        <v>743</v>
      </c>
      <c r="C104" s="520" t="s">
        <v>63</v>
      </c>
      <c r="D104" s="518">
        <v>1</v>
      </c>
      <c r="E104" s="517">
        <v>6900</v>
      </c>
      <c r="F104" s="516">
        <f>ROUND(D104*E104,0)</f>
        <v>6900</v>
      </c>
      <c r="G104" s="14"/>
      <c r="H104" s="14"/>
      <c r="I104" s="19"/>
      <c r="J104" s="20"/>
    </row>
    <row r="105" spans="1:12" ht="38.25">
      <c r="A105" s="4" t="s">
        <v>566</v>
      </c>
      <c r="B105" s="10" t="s">
        <v>478</v>
      </c>
      <c r="C105" s="5" t="s">
        <v>16</v>
      </c>
      <c r="D105" s="6">
        <f>'Measurement Sheet'!H274</f>
        <v>11.55</v>
      </c>
      <c r="E105" s="7">
        <v>3800</v>
      </c>
      <c r="F105" s="9">
        <f>D105*E105</f>
        <v>43890</v>
      </c>
      <c r="G105" s="14"/>
      <c r="H105" s="14"/>
      <c r="I105" s="19"/>
      <c r="J105" s="20"/>
    </row>
    <row r="106" spans="1:12" s="515" customFormat="1">
      <c r="A106" s="519"/>
      <c r="B106" s="504"/>
      <c r="C106" s="520"/>
      <c r="D106" s="518"/>
      <c r="E106" s="517"/>
      <c r="F106" s="516"/>
      <c r="G106" s="14"/>
      <c r="H106" s="14"/>
      <c r="I106" s="19"/>
      <c r="J106" s="20"/>
    </row>
    <row r="107" spans="1:12" ht="18" customHeight="1">
      <c r="A107" s="4" t="s">
        <v>704</v>
      </c>
      <c r="B107" s="274" t="s">
        <v>28</v>
      </c>
      <c r="C107" s="16"/>
      <c r="D107" s="16"/>
      <c r="E107" s="16"/>
      <c r="F107" s="17"/>
    </row>
    <row r="108" spans="1:12" ht="38.25" customHeight="1">
      <c r="A108" s="8" t="s">
        <v>10</v>
      </c>
      <c r="B108" s="10" t="s">
        <v>362</v>
      </c>
      <c r="C108" s="5" t="s">
        <v>11</v>
      </c>
      <c r="D108" s="8">
        <f>'Measurement Sheet'!H233</f>
        <v>0.74</v>
      </c>
      <c r="E108" s="7">
        <v>50000</v>
      </c>
      <c r="F108" s="9">
        <f>ROUND(D108*E108,0)</f>
        <v>37000</v>
      </c>
    </row>
    <row r="109" spans="1:12" ht="69" customHeight="1">
      <c r="A109" s="8" t="s">
        <v>12</v>
      </c>
      <c r="B109" s="274" t="s">
        <v>477</v>
      </c>
      <c r="C109" s="5" t="s">
        <v>23</v>
      </c>
      <c r="D109" s="526">
        <f>'Measurement Sheet'!H253+'Measurement Sheet'!H254+'Measurement Sheet'!H255</f>
        <v>0</v>
      </c>
      <c r="E109" s="7">
        <v>32000</v>
      </c>
      <c r="F109" s="9">
        <f>ROUND(D109*E109,0)</f>
        <v>0</v>
      </c>
    </row>
    <row r="110" spans="1:12" ht="18" customHeight="1">
      <c r="A110" s="8" t="s">
        <v>13</v>
      </c>
      <c r="B110" s="274" t="s">
        <v>479</v>
      </c>
      <c r="C110" s="5"/>
      <c r="D110" s="6"/>
      <c r="E110" s="7"/>
      <c r="F110" s="9"/>
      <c r="G110" s="18" t="s">
        <v>64</v>
      </c>
      <c r="H110" s="18" t="s">
        <v>67</v>
      </c>
      <c r="I110" s="18" t="s">
        <v>68</v>
      </c>
      <c r="J110" s="18" t="s">
        <v>65</v>
      </c>
    </row>
    <row r="111" spans="1:12" ht="141.75">
      <c r="A111" s="4"/>
      <c r="B111" s="10" t="s">
        <v>545</v>
      </c>
      <c r="C111" s="5" t="s">
        <v>69</v>
      </c>
      <c r="D111" s="6">
        <v>14</v>
      </c>
      <c r="E111" s="7">
        <f>7380+3000</f>
        <v>10380</v>
      </c>
      <c r="F111" s="9">
        <f>ROUND(D111*E111,0)</f>
        <v>145320</v>
      </c>
      <c r="G111" s="14">
        <v>6300</v>
      </c>
      <c r="H111" s="14">
        <v>300</v>
      </c>
      <c r="I111" s="19">
        <f>G111*12.36%</f>
        <v>778.68</v>
      </c>
      <c r="J111" s="20">
        <f>G111+H111+I111</f>
        <v>7378.68</v>
      </c>
    </row>
    <row r="112" spans="1:12" ht="18" customHeight="1">
      <c r="A112" s="4"/>
      <c r="B112" s="225" t="s">
        <v>310</v>
      </c>
      <c r="C112" s="5"/>
      <c r="D112" s="6"/>
      <c r="E112" s="7"/>
      <c r="F112" s="226"/>
    </row>
    <row r="113" spans="1:6" ht="18" customHeight="1">
      <c r="A113" s="4" t="s">
        <v>738</v>
      </c>
      <c r="B113" s="495" t="s">
        <v>723</v>
      </c>
      <c r="C113" s="5"/>
      <c r="D113" s="6"/>
      <c r="E113" s="7"/>
      <c r="F113" s="9">
        <f>ROUND(D113*E113,0)</f>
        <v>0</v>
      </c>
    </row>
    <row r="114" spans="1:6" s="501" customFormat="1" ht="198.75" customHeight="1">
      <c r="A114" s="8" t="s">
        <v>10</v>
      </c>
      <c r="B114" s="512" t="s">
        <v>709</v>
      </c>
      <c r="C114" s="505" t="s">
        <v>16</v>
      </c>
      <c r="D114" s="503">
        <v>4</v>
      </c>
      <c r="E114" s="502">
        <v>1200</v>
      </c>
      <c r="F114" s="516">
        <f>ROUND(D114*E114,0)</f>
        <v>4800</v>
      </c>
    </row>
    <row r="115" spans="1:6" s="506" customFormat="1" ht="155.25" customHeight="1">
      <c r="A115" s="510"/>
      <c r="B115" s="513" t="s">
        <v>710</v>
      </c>
      <c r="C115" s="511"/>
      <c r="D115" s="509"/>
      <c r="E115" s="508"/>
      <c r="F115" s="507"/>
    </row>
    <row r="116" spans="1:6" s="506" customFormat="1" ht="121.5" customHeight="1">
      <c r="A116" s="510"/>
      <c r="B116" s="514" t="s">
        <v>711</v>
      </c>
      <c r="C116" s="511"/>
      <c r="D116" s="509"/>
      <c r="E116" s="508"/>
      <c r="F116" s="507"/>
    </row>
    <row r="117" spans="1:6" s="506" customFormat="1" ht="89.25" customHeight="1">
      <c r="A117" s="510"/>
      <c r="B117" s="521" t="s">
        <v>712</v>
      </c>
      <c r="C117" s="511"/>
      <c r="D117" s="509"/>
      <c r="E117" s="508"/>
      <c r="F117" s="507"/>
    </row>
    <row r="118" spans="1:6" s="515" customFormat="1" ht="26.25" customHeight="1">
      <c r="A118" s="519"/>
      <c r="B118" s="522"/>
      <c r="C118" s="520"/>
      <c r="D118" s="518"/>
      <c r="E118" s="517"/>
      <c r="F118" s="523"/>
    </row>
    <row r="119" spans="1:6" s="515" customFormat="1" ht="18" customHeight="1">
      <c r="A119" s="8" t="s">
        <v>12</v>
      </c>
      <c r="B119" s="274" t="s">
        <v>720</v>
      </c>
      <c r="C119" s="524"/>
      <c r="D119" s="518"/>
      <c r="E119" s="517"/>
      <c r="F119" s="516"/>
    </row>
    <row r="120" spans="1:6" s="515" customFormat="1">
      <c r="A120" s="519"/>
      <c r="B120" s="525" t="s">
        <v>721</v>
      </c>
      <c r="C120" s="524"/>
      <c r="D120" s="518"/>
      <c r="E120" s="517"/>
      <c r="F120" s="516"/>
    </row>
    <row r="121" spans="1:6" s="515" customFormat="1" ht="204">
      <c r="A121" s="524"/>
      <c r="B121" s="521" t="s">
        <v>722</v>
      </c>
      <c r="C121" s="524" t="s">
        <v>16</v>
      </c>
      <c r="D121" s="518">
        <v>11</v>
      </c>
      <c r="E121" s="517">
        <v>1925</v>
      </c>
      <c r="F121" s="516">
        <f>ROUND(D121*E121,0)</f>
        <v>21175</v>
      </c>
    </row>
    <row r="122" spans="1:6" s="515" customFormat="1">
      <c r="A122" s="524"/>
      <c r="B122" s="527" t="s">
        <v>310</v>
      </c>
      <c r="C122" s="524"/>
      <c r="D122" s="518"/>
      <c r="E122" s="517"/>
      <c r="F122" s="523">
        <f>SUM(F56:F121)</f>
        <v>2706670.13</v>
      </c>
    </row>
    <row r="123" spans="1:6" ht="18" customHeight="1">
      <c r="A123" s="294">
        <f>A54+0.1</f>
        <v>1.3000000000000003</v>
      </c>
      <c r="B123" s="31" t="s">
        <v>19</v>
      </c>
      <c r="C123" s="26"/>
      <c r="D123" s="24"/>
      <c r="E123" s="28"/>
      <c r="F123" s="29"/>
    </row>
    <row r="124" spans="1:6" ht="18" customHeight="1">
      <c r="A124" s="4"/>
      <c r="B124" s="274" t="s">
        <v>300</v>
      </c>
      <c r="C124" s="5"/>
      <c r="D124" s="6"/>
      <c r="E124" s="7"/>
      <c r="F124" s="9"/>
    </row>
    <row r="125" spans="1:6" ht="183" customHeight="1">
      <c r="A125" s="4"/>
      <c r="B125" s="10" t="s">
        <v>557</v>
      </c>
      <c r="C125" s="5"/>
      <c r="D125" s="6"/>
      <c r="E125" s="7"/>
      <c r="F125" s="9"/>
    </row>
    <row r="126" spans="1:6" ht="167.25">
      <c r="A126" s="4" t="s">
        <v>466</v>
      </c>
      <c r="B126" s="10" t="s">
        <v>553</v>
      </c>
      <c r="C126" s="5" t="s">
        <v>11</v>
      </c>
      <c r="D126" s="6">
        <f>'Measurement Sheet'!H286</f>
        <v>673</v>
      </c>
      <c r="E126" s="7">
        <v>5700</v>
      </c>
      <c r="F126" s="9">
        <f>ROUND(D126*E126,0)</f>
        <v>3836100</v>
      </c>
    </row>
    <row r="127" spans="1:6" ht="117" customHeight="1">
      <c r="A127" s="4" t="s">
        <v>467</v>
      </c>
      <c r="B127" s="10" t="s">
        <v>555</v>
      </c>
      <c r="C127" s="5" t="s">
        <v>11</v>
      </c>
      <c r="D127" s="6">
        <f>'Measurement Sheet'!H319</f>
        <v>197</v>
      </c>
      <c r="E127" s="7">
        <v>1378</v>
      </c>
      <c r="F127" s="9">
        <f>ROUND(D127*E127,0)</f>
        <v>271466</v>
      </c>
    </row>
    <row r="128" spans="1:6" ht="96.75" customHeight="1">
      <c r="A128" s="4" t="s">
        <v>546</v>
      </c>
      <c r="B128" s="10" t="s">
        <v>450</v>
      </c>
      <c r="C128" s="273" t="s">
        <v>11</v>
      </c>
      <c r="D128" s="6">
        <f>'Measurement Sheet'!H308</f>
        <v>985</v>
      </c>
      <c r="E128" s="7">
        <v>1200</v>
      </c>
      <c r="F128" s="9">
        <f>ROUND(D128*E128,0)</f>
        <v>1182000</v>
      </c>
    </row>
    <row r="129" spans="1:10" ht="18" customHeight="1">
      <c r="A129" s="4" t="s">
        <v>547</v>
      </c>
      <c r="B129" s="274" t="s">
        <v>480</v>
      </c>
      <c r="C129" s="5"/>
      <c r="D129" s="6"/>
      <c r="E129" s="7"/>
      <c r="F129" s="9"/>
      <c r="H129" s="12" t="s">
        <v>24</v>
      </c>
      <c r="I129" s="12" t="s">
        <v>25</v>
      </c>
      <c r="J129" s="13" t="s">
        <v>26</v>
      </c>
    </row>
    <row r="130" spans="1:10" ht="72" customHeight="1">
      <c r="A130" s="4"/>
      <c r="B130" s="10" t="s">
        <v>481</v>
      </c>
      <c r="C130" s="5" t="s">
        <v>16</v>
      </c>
      <c r="D130" s="6">
        <f>'Measurement Sheet'!H330</f>
        <v>3933</v>
      </c>
      <c r="E130" s="7">
        <v>80</v>
      </c>
      <c r="F130" s="9">
        <f>ROUND(D130*E130,0)</f>
        <v>314640</v>
      </c>
      <c r="G130" s="14">
        <v>53</v>
      </c>
      <c r="H130" s="15">
        <f>G130+G130*12.36%</f>
        <v>59.550800000000002</v>
      </c>
      <c r="I130" s="15">
        <f>H130+H130*3%</f>
        <v>61.337324000000002</v>
      </c>
      <c r="J130" s="15">
        <f>I130+I130*25%</f>
        <v>76.671655000000001</v>
      </c>
    </row>
    <row r="131" spans="1:10" ht="18" customHeight="1">
      <c r="A131" s="4" t="s">
        <v>724</v>
      </c>
      <c r="B131" s="3" t="s">
        <v>427</v>
      </c>
      <c r="C131" s="5"/>
      <c r="D131" s="6"/>
      <c r="E131" s="7"/>
      <c r="F131" s="9"/>
    </row>
    <row r="132" spans="1:10" ht="75.75" customHeight="1">
      <c r="A132" s="4"/>
      <c r="B132" s="276" t="s">
        <v>453</v>
      </c>
      <c r="C132" s="5" t="s">
        <v>16</v>
      </c>
      <c r="D132" s="6">
        <f>'Measurement Sheet'!H297</f>
        <v>3937</v>
      </c>
      <c r="E132" s="7">
        <v>320</v>
      </c>
      <c r="F132" s="9">
        <f>ROUND(D132*E132,0)</f>
        <v>1259840</v>
      </c>
    </row>
    <row r="133" spans="1:10" s="515" customFormat="1" ht="297" customHeight="1">
      <c r="A133" s="519" t="s">
        <v>725</v>
      </c>
      <c r="B133" s="304" t="s">
        <v>556</v>
      </c>
      <c r="C133" s="305" t="s">
        <v>16</v>
      </c>
      <c r="D133" s="306">
        <f>'Measurement Sheet'!H348</f>
        <v>3914</v>
      </c>
      <c r="E133" s="517">
        <v>525</v>
      </c>
      <c r="F133" s="516">
        <f>ROUND(D133*E133,0)</f>
        <v>2054850</v>
      </c>
    </row>
    <row r="134" spans="1:10" ht="30" customHeight="1">
      <c r="A134" s="4" t="s">
        <v>726</v>
      </c>
      <c r="B134" s="304" t="s">
        <v>377</v>
      </c>
      <c r="C134" s="305" t="s">
        <v>27</v>
      </c>
      <c r="D134" s="278">
        <f>3*48.3+2*83.5</f>
        <v>311.89999999999998</v>
      </c>
      <c r="E134" s="7">
        <v>115</v>
      </c>
      <c r="F134" s="9">
        <f t="shared" ref="F134:F135" si="1">ROUND(D134*E134,0)</f>
        <v>35869</v>
      </c>
    </row>
    <row r="135" spans="1:10" ht="25.5">
      <c r="A135" s="4" t="s">
        <v>727</v>
      </c>
      <c r="B135" s="313" t="s">
        <v>558</v>
      </c>
      <c r="C135" s="305" t="s">
        <v>16</v>
      </c>
      <c r="D135" s="306">
        <f>D133</f>
        <v>3914</v>
      </c>
      <c r="E135" s="7">
        <v>75</v>
      </c>
      <c r="F135" s="9">
        <f t="shared" si="1"/>
        <v>293550</v>
      </c>
    </row>
    <row r="136" spans="1:10" ht="14.25">
      <c r="A136" s="307"/>
      <c r="B136" s="308"/>
      <c r="C136" s="309"/>
      <c r="D136" s="306"/>
      <c r="E136" s="7"/>
      <c r="F136" s="9"/>
    </row>
    <row r="137" spans="1:10" ht="63" customHeight="1">
      <c r="A137" s="310" t="s">
        <v>728</v>
      </c>
      <c r="B137" s="376" t="s">
        <v>559</v>
      </c>
      <c r="C137" s="305" t="s">
        <v>74</v>
      </c>
      <c r="D137" s="311">
        <f>ROUND(D134/4,0)</f>
        <v>78</v>
      </c>
      <c r="E137" s="7">
        <v>250</v>
      </c>
      <c r="F137" s="9">
        <f t="shared" ref="F137:F138" si="2">ROUND(D137*E137,0)</f>
        <v>19500</v>
      </c>
    </row>
    <row r="138" spans="1:10" ht="60.75" customHeight="1">
      <c r="A138" s="310" t="s">
        <v>729</v>
      </c>
      <c r="B138" s="376" t="s">
        <v>560</v>
      </c>
      <c r="C138" s="309" t="s">
        <v>16</v>
      </c>
      <c r="D138" s="312">
        <f>D133</f>
        <v>3914</v>
      </c>
      <c r="E138" s="7">
        <v>78</v>
      </c>
      <c r="F138" s="9">
        <f t="shared" si="2"/>
        <v>305292</v>
      </c>
    </row>
    <row r="139" spans="1:10" ht="48.75" customHeight="1">
      <c r="A139" s="310" t="s">
        <v>730</v>
      </c>
      <c r="B139" s="376" t="s">
        <v>561</v>
      </c>
      <c r="C139" s="305"/>
      <c r="D139" s="305"/>
      <c r="E139" s="7"/>
      <c r="F139" s="9"/>
    </row>
    <row r="140" spans="1:10" ht="18" customHeight="1">
      <c r="A140" s="305"/>
      <c r="B140" s="313" t="s">
        <v>312</v>
      </c>
      <c r="C140" s="309" t="s">
        <v>27</v>
      </c>
      <c r="D140" s="311">
        <f>'Measurement Sheet'!H358</f>
        <v>326</v>
      </c>
      <c r="E140" s="7">
        <v>230</v>
      </c>
      <c r="F140" s="9">
        <f t="shared" ref="F140" si="3">ROUND(D140*E140,0)</f>
        <v>74980</v>
      </c>
    </row>
    <row r="141" spans="1:10" ht="18" customHeight="1">
      <c r="A141" s="4"/>
      <c r="B141" s="225" t="s">
        <v>310</v>
      </c>
      <c r="C141" s="5"/>
      <c r="D141" s="6"/>
      <c r="E141" s="7"/>
      <c r="F141" s="226">
        <f>SUM(F124:F140)</f>
        <v>9648087</v>
      </c>
    </row>
    <row r="142" spans="1:10" ht="18" customHeight="1">
      <c r="A142" s="294">
        <f>A123+0.1</f>
        <v>1.4000000000000004</v>
      </c>
      <c r="B142" s="31" t="s">
        <v>70</v>
      </c>
      <c r="C142" s="30"/>
      <c r="D142" s="24"/>
      <c r="E142" s="24"/>
      <c r="F142" s="25"/>
    </row>
    <row r="143" spans="1:10">
      <c r="A143" s="4"/>
      <c r="B143" s="284"/>
      <c r="C143" s="279"/>
      <c r="D143" s="6"/>
      <c r="E143" s="7"/>
      <c r="F143" s="9"/>
    </row>
    <row r="144" spans="1:10" ht="89.25">
      <c r="A144" s="366" t="s">
        <v>10</v>
      </c>
      <c r="B144" s="206" t="s">
        <v>790</v>
      </c>
      <c r="C144" s="367"/>
      <c r="D144" s="368"/>
      <c r="E144" s="369"/>
      <c r="F144" s="370"/>
    </row>
    <row r="145" spans="1:8" ht="18" customHeight="1">
      <c r="A145" s="371" t="s">
        <v>50</v>
      </c>
      <c r="B145" s="206" t="s">
        <v>789</v>
      </c>
      <c r="C145" s="367" t="s">
        <v>27</v>
      </c>
      <c r="D145" s="372">
        <v>6</v>
      </c>
      <c r="E145" s="373">
        <v>550</v>
      </c>
      <c r="F145" s="370">
        <f>ROUND(D145*E145,0)</f>
        <v>3300</v>
      </c>
    </row>
    <row r="146" spans="1:8" s="515" customFormat="1" ht="132" customHeight="1">
      <c r="A146" s="519" t="s">
        <v>254</v>
      </c>
      <c r="B146" s="504" t="s">
        <v>794</v>
      </c>
      <c r="C146" s="520" t="s">
        <v>11</v>
      </c>
      <c r="D146" s="518">
        <f>'Measurement Sheet'!H548</f>
        <v>70</v>
      </c>
      <c r="E146" s="517">
        <v>212</v>
      </c>
      <c r="F146" s="370">
        <f>ROUND(D146*E146,0)</f>
        <v>14840</v>
      </c>
      <c r="H146" s="23"/>
    </row>
    <row r="147" spans="1:8" s="515" customFormat="1" ht="144" customHeight="1">
      <c r="A147" s="11" t="s">
        <v>256</v>
      </c>
      <c r="B147" s="504" t="s">
        <v>791</v>
      </c>
      <c r="C147" s="520" t="s">
        <v>11</v>
      </c>
      <c r="D147" s="518">
        <f>'Measurement Sheet'!H546+'Measurement Sheet'!H547</f>
        <v>61</v>
      </c>
      <c r="E147" s="517">
        <v>4600</v>
      </c>
      <c r="F147" s="516">
        <f>ROUND(D147*E147,0)</f>
        <v>280600</v>
      </c>
    </row>
    <row r="148" spans="1:8" s="515" customFormat="1" ht="195.75" customHeight="1">
      <c r="A148" s="11"/>
      <c r="B148" s="504" t="s">
        <v>792</v>
      </c>
      <c r="C148" s="520"/>
      <c r="D148" s="518"/>
      <c r="E148" s="517"/>
      <c r="F148" s="516"/>
    </row>
    <row r="149" spans="1:8">
      <c r="A149" s="4"/>
      <c r="B149" s="284"/>
      <c r="C149" s="279"/>
      <c r="D149" s="6"/>
      <c r="E149" s="7"/>
      <c r="F149" s="9"/>
    </row>
    <row r="150" spans="1:8" ht="51">
      <c r="A150" s="285" t="s">
        <v>12</v>
      </c>
      <c r="B150" s="283" t="s">
        <v>445</v>
      </c>
      <c r="C150" s="277" t="s">
        <v>30</v>
      </c>
      <c r="D150" s="6">
        <v>2</v>
      </c>
      <c r="E150" s="7">
        <v>3000</v>
      </c>
      <c r="F150" s="9">
        <f>D150*E150</f>
        <v>6000</v>
      </c>
    </row>
    <row r="151" spans="1:8">
      <c r="A151" s="280"/>
      <c r="B151" s="281"/>
      <c r="C151" s="279"/>
      <c r="D151" s="6"/>
      <c r="E151" s="7"/>
      <c r="F151" s="9"/>
    </row>
    <row r="152" spans="1:8" ht="76.5">
      <c r="A152" s="285" t="s">
        <v>13</v>
      </c>
      <c r="B152" s="286" t="s">
        <v>446</v>
      </c>
      <c r="C152" s="282"/>
      <c r="D152" s="6"/>
      <c r="E152" s="7"/>
      <c r="F152" s="9"/>
    </row>
    <row r="153" spans="1:8" ht="18" customHeight="1">
      <c r="A153" s="282" t="s">
        <v>50</v>
      </c>
      <c r="B153" s="276" t="s">
        <v>788</v>
      </c>
      <c r="C153" s="282" t="s">
        <v>73</v>
      </c>
      <c r="D153" s="6">
        <v>21</v>
      </c>
      <c r="E153" s="7">
        <v>15000</v>
      </c>
      <c r="F153" s="9">
        <f>D153*E153</f>
        <v>315000</v>
      </c>
    </row>
    <row r="154" spans="1:8" ht="18" customHeight="1">
      <c r="A154" s="282"/>
      <c r="B154" s="276"/>
      <c r="C154" s="282"/>
      <c r="D154" s="6"/>
      <c r="E154" s="7"/>
      <c r="F154" s="9"/>
    </row>
    <row r="155" spans="1:8" s="515" customFormat="1" ht="18" customHeight="1">
      <c r="A155" s="282"/>
      <c r="B155" s="276"/>
      <c r="C155" s="282"/>
      <c r="D155" s="518"/>
      <c r="E155" s="517"/>
      <c r="F155" s="516"/>
    </row>
    <row r="156" spans="1:8" s="515" customFormat="1" ht="18" customHeight="1">
      <c r="A156" s="282"/>
      <c r="B156" s="276"/>
      <c r="C156" s="282"/>
      <c r="D156" s="518"/>
      <c r="E156" s="517"/>
      <c r="F156" s="516"/>
    </row>
    <row r="157" spans="1:8" ht="18" customHeight="1">
      <c r="A157" s="4"/>
      <c r="B157" s="225" t="s">
        <v>310</v>
      </c>
      <c r="C157" s="5"/>
      <c r="D157" s="6"/>
      <c r="E157" s="7"/>
      <c r="F157" s="226">
        <f>SUM(F144:F156)</f>
        <v>619740</v>
      </c>
    </row>
    <row r="158" spans="1:8" ht="18" customHeight="1">
      <c r="A158" s="266">
        <v>2</v>
      </c>
      <c r="B158" s="267" t="s">
        <v>421</v>
      </c>
      <c r="C158" s="268"/>
      <c r="D158" s="269"/>
      <c r="E158" s="270"/>
      <c r="F158" s="271"/>
    </row>
    <row r="159" spans="1:8" ht="18" customHeight="1">
      <c r="A159" s="30">
        <f>A158+0.1</f>
        <v>2.1</v>
      </c>
      <c r="B159" s="31" t="s">
        <v>430</v>
      </c>
      <c r="C159" s="32"/>
      <c r="D159" s="27"/>
      <c r="E159" s="28"/>
      <c r="F159" s="29"/>
    </row>
    <row r="160" spans="1:8" ht="18" customHeight="1">
      <c r="A160" s="2" t="str">
        <f>A159&amp;"."&amp;1</f>
        <v>2.1.1</v>
      </c>
      <c r="B160" s="3" t="s">
        <v>9</v>
      </c>
      <c r="C160" s="2"/>
      <c r="D160" s="2"/>
      <c r="E160" s="2"/>
      <c r="F160" s="2"/>
    </row>
    <row r="161" spans="1:6" ht="140.25">
      <c r="A161" s="317" t="str">
        <f>LEFT(A160,4)&amp;N(RIGHT(A160,1)+1)</f>
        <v>2.1.2</v>
      </c>
      <c r="B161" s="10" t="s">
        <v>447</v>
      </c>
      <c r="C161" s="5"/>
      <c r="D161" s="6"/>
      <c r="E161" s="7"/>
      <c r="F161" s="7"/>
    </row>
    <row r="162" spans="1:6" ht="18" customHeight="1">
      <c r="A162" s="8" t="s">
        <v>10</v>
      </c>
      <c r="B162" s="272" t="s">
        <v>360</v>
      </c>
      <c r="C162" s="5" t="s">
        <v>11</v>
      </c>
      <c r="D162" s="6">
        <f>'Measurement Sheet'!H499</f>
        <v>32</v>
      </c>
      <c r="E162" s="7">
        <v>212</v>
      </c>
      <c r="F162" s="9">
        <f>ROUND(D162*E162,0)</f>
        <v>6784</v>
      </c>
    </row>
    <row r="163" spans="1:6" ht="18" customHeight="1">
      <c r="A163" s="317" t="str">
        <f>LEFT(A161,4)&amp;N(RIGHT(A161,1)+1)</f>
        <v>2.1.3</v>
      </c>
      <c r="B163" s="3" t="s">
        <v>14</v>
      </c>
      <c r="C163" s="5"/>
      <c r="D163" s="6"/>
      <c r="E163" s="7"/>
      <c r="F163" s="9"/>
    </row>
    <row r="164" spans="1:6" ht="99.75" customHeight="1">
      <c r="A164" s="8" t="s">
        <v>10</v>
      </c>
      <c r="B164" s="10" t="s">
        <v>451</v>
      </c>
      <c r="C164" s="5" t="s">
        <v>11</v>
      </c>
      <c r="D164" s="6">
        <f>'Measurement Sheet'!H506</f>
        <v>10</v>
      </c>
      <c r="E164" s="7">
        <v>54</v>
      </c>
      <c r="F164" s="9">
        <f>ROUND(D164*E164,0)</f>
        <v>540</v>
      </c>
    </row>
    <row r="165" spans="1:6" ht="101.25" customHeight="1">
      <c r="A165" s="8" t="s">
        <v>12</v>
      </c>
      <c r="B165" s="10" t="s">
        <v>448</v>
      </c>
      <c r="C165" s="5" t="s">
        <v>11</v>
      </c>
      <c r="D165" s="6">
        <f>'Measurement Sheet'!H507</f>
        <v>22</v>
      </c>
      <c r="E165" s="7">
        <v>90</v>
      </c>
      <c r="F165" s="9">
        <f>ROUND(D165*E165,0)</f>
        <v>1980</v>
      </c>
    </row>
    <row r="166" spans="1:6" ht="102">
      <c r="A166" s="8" t="s">
        <v>13</v>
      </c>
      <c r="B166" s="10" t="s">
        <v>452</v>
      </c>
      <c r="C166" s="5" t="s">
        <v>11</v>
      </c>
      <c r="D166" s="6">
        <f>'Measurement Sheet'!H511</f>
        <v>57</v>
      </c>
      <c r="E166" s="7">
        <v>570</v>
      </c>
      <c r="F166" s="9">
        <f>ROUND(D166*E166,0)</f>
        <v>32490</v>
      </c>
    </row>
    <row r="167" spans="1:6" ht="109.5" customHeight="1">
      <c r="A167" s="8" t="s">
        <v>36</v>
      </c>
      <c r="B167" s="10" t="s">
        <v>449</v>
      </c>
      <c r="C167" s="273" t="s">
        <v>11</v>
      </c>
      <c r="D167" s="6">
        <f>'Measurement Sheet'!H516</f>
        <v>19</v>
      </c>
      <c r="E167" s="7">
        <v>1200</v>
      </c>
      <c r="F167" s="9">
        <f>ROUND(D167*E167,0)</f>
        <v>22800</v>
      </c>
    </row>
    <row r="168" spans="1:6" ht="18" customHeight="1">
      <c r="A168" s="317" t="str">
        <f>LEFT(A163,4)&amp;N(RIGHT(A163,1)+1)</f>
        <v>2.1.4</v>
      </c>
      <c r="B168" s="274" t="s">
        <v>18</v>
      </c>
      <c r="C168" s="5"/>
      <c r="D168" s="6"/>
      <c r="E168" s="7"/>
      <c r="F168" s="9"/>
    </row>
    <row r="169" spans="1:6" ht="127.5">
      <c r="A169" s="11"/>
      <c r="B169" s="10" t="s">
        <v>380</v>
      </c>
      <c r="C169" s="5" t="s">
        <v>11</v>
      </c>
      <c r="D169" s="6">
        <f>'Measurement Sheet'!H520</f>
        <v>7</v>
      </c>
      <c r="E169" s="7">
        <v>4600</v>
      </c>
      <c r="F169" s="9">
        <f>ROUND(D169*E169,0)</f>
        <v>32200</v>
      </c>
    </row>
    <row r="170" spans="1:6" ht="198.75" customHeight="1">
      <c r="A170" s="11"/>
      <c r="B170" s="10" t="s">
        <v>497</v>
      </c>
      <c r="C170" s="5"/>
      <c r="D170" s="6"/>
      <c r="E170" s="7"/>
      <c r="F170" s="9"/>
    </row>
    <row r="171" spans="1:6" ht="18" customHeight="1">
      <c r="A171" s="317" t="str">
        <f>LEFT(A168,4)&amp;N(RIGHT(A168,1)+1)</f>
        <v>2.1.5</v>
      </c>
      <c r="B171" s="274" t="s">
        <v>300</v>
      </c>
      <c r="C171" s="16"/>
      <c r="D171" s="16"/>
      <c r="E171" s="16"/>
      <c r="F171" s="16"/>
    </row>
    <row r="172" spans="1:6" ht="165.75">
      <c r="A172" s="4"/>
      <c r="B172" s="10" t="s">
        <v>381</v>
      </c>
      <c r="C172" s="5"/>
      <c r="D172" s="6"/>
      <c r="E172" s="7"/>
      <c r="F172" s="9"/>
    </row>
    <row r="173" spans="1:6" ht="18" customHeight="1">
      <c r="A173" s="275" t="s">
        <v>10</v>
      </c>
      <c r="B173" s="10" t="s">
        <v>438</v>
      </c>
      <c r="C173" s="5" t="s">
        <v>11</v>
      </c>
      <c r="D173" s="8">
        <f>'Measurement Sheet'!H522</f>
        <v>11.23</v>
      </c>
      <c r="E173" s="7">
        <v>5300</v>
      </c>
      <c r="F173" s="9">
        <f>ROUND(D173*E173,0)</f>
        <v>59519</v>
      </c>
    </row>
    <row r="174" spans="1:6" ht="18" customHeight="1">
      <c r="A174" s="275" t="s">
        <v>12</v>
      </c>
      <c r="B174" s="10" t="s">
        <v>796</v>
      </c>
      <c r="C174" s="5" t="s">
        <v>11</v>
      </c>
      <c r="D174" s="8">
        <f>'Measurement Sheet'!H523</f>
        <v>13</v>
      </c>
      <c r="E174" s="7">
        <v>5300</v>
      </c>
      <c r="F174" s="9">
        <f>ROUND(D174*E174,0)</f>
        <v>68900</v>
      </c>
    </row>
    <row r="175" spans="1:6" ht="18" customHeight="1">
      <c r="A175" s="4" t="s">
        <v>13</v>
      </c>
      <c r="B175" s="10" t="s">
        <v>19</v>
      </c>
      <c r="C175" s="5" t="s">
        <v>11</v>
      </c>
      <c r="D175" s="8">
        <f>'Measurement Sheet'!H524</f>
        <v>14</v>
      </c>
      <c r="E175" s="7">
        <v>5300</v>
      </c>
      <c r="F175" s="9">
        <f>ROUND(D175*E175,0)</f>
        <v>74200</v>
      </c>
    </row>
    <row r="176" spans="1:6" ht="18" customHeight="1">
      <c r="A176" s="317" t="str">
        <f>LEFT(A171,4)&amp;N(RIGHT(A171,1)+1)</f>
        <v>2.1.6</v>
      </c>
      <c r="B176" s="205" t="s">
        <v>21</v>
      </c>
      <c r="C176" s="5"/>
      <c r="D176" s="6"/>
      <c r="E176" s="7"/>
      <c r="F176" s="226"/>
    </row>
    <row r="177" spans="1:6" ht="153">
      <c r="A177" s="4"/>
      <c r="B177" s="10" t="s">
        <v>382</v>
      </c>
      <c r="C177" s="5"/>
      <c r="D177" s="6"/>
      <c r="E177" s="7"/>
      <c r="F177" s="226"/>
    </row>
    <row r="178" spans="1:6" ht="18" customHeight="1">
      <c r="A178" s="275" t="s">
        <v>10</v>
      </c>
      <c r="B178" s="10" t="s">
        <v>438</v>
      </c>
      <c r="C178" s="5" t="s">
        <v>16</v>
      </c>
      <c r="D178" s="6">
        <f>'Measurement Sheet'!H527</f>
        <v>19</v>
      </c>
      <c r="E178" s="7">
        <v>401</v>
      </c>
      <c r="F178" s="9">
        <f>ROUND(D178*E178,0)</f>
        <v>7619</v>
      </c>
    </row>
    <row r="179" spans="1:6" ht="18" customHeight="1">
      <c r="A179" s="275" t="s">
        <v>12</v>
      </c>
      <c r="B179" s="10" t="s">
        <v>796</v>
      </c>
      <c r="C179" s="5" t="s">
        <v>16</v>
      </c>
      <c r="D179" s="6">
        <f>'Measurement Sheet'!H528</f>
        <v>86</v>
      </c>
      <c r="E179" s="7">
        <v>449</v>
      </c>
      <c r="F179" s="9">
        <f>ROUND(D179*E179,0)</f>
        <v>38614</v>
      </c>
    </row>
    <row r="180" spans="1:6" ht="18" customHeight="1">
      <c r="A180" s="4" t="s">
        <v>13</v>
      </c>
      <c r="B180" s="10" t="s">
        <v>19</v>
      </c>
      <c r="C180" s="5" t="s">
        <v>16</v>
      </c>
      <c r="D180" s="6">
        <f>'Measurement Sheet'!H529</f>
        <v>3</v>
      </c>
      <c r="E180" s="7">
        <v>449</v>
      </c>
      <c r="F180" s="9">
        <f>ROUND(D180*E180,0)</f>
        <v>1347</v>
      </c>
    </row>
    <row r="181" spans="1:6" ht="18" customHeight="1">
      <c r="A181" s="317" t="str">
        <f>LEFT(A176,4)&amp;N(RIGHT(A176,1)+1)</f>
        <v>2.1.7</v>
      </c>
      <c r="B181" s="205" t="s">
        <v>22</v>
      </c>
      <c r="C181" s="5"/>
      <c r="D181" s="6"/>
      <c r="E181" s="7"/>
      <c r="F181" s="9"/>
    </row>
    <row r="182" spans="1:6" ht="48.75" customHeight="1">
      <c r="A182" s="4"/>
      <c r="B182" s="276" t="s">
        <v>383</v>
      </c>
      <c r="C182" s="5"/>
      <c r="D182" s="6"/>
      <c r="E182" s="7"/>
      <c r="F182" s="9"/>
    </row>
    <row r="183" spans="1:6" ht="156" customHeight="1">
      <c r="A183" s="4" t="s">
        <v>10</v>
      </c>
      <c r="B183" s="276" t="s">
        <v>744</v>
      </c>
      <c r="C183" s="5"/>
      <c r="D183" s="6"/>
      <c r="E183" s="7"/>
      <c r="F183" s="9"/>
    </row>
    <row r="184" spans="1:6" ht="18" customHeight="1">
      <c r="A184" s="275" t="s">
        <v>50</v>
      </c>
      <c r="B184" s="10" t="s">
        <v>438</v>
      </c>
      <c r="C184" s="5" t="s">
        <v>23</v>
      </c>
      <c r="D184" s="8">
        <f>'Measurement Sheet'!H532</f>
        <v>0.89840000000000009</v>
      </c>
      <c r="E184" s="7">
        <v>60000</v>
      </c>
      <c r="F184" s="9">
        <f>ROUND(D184*E184,0)</f>
        <v>53904</v>
      </c>
    </row>
    <row r="185" spans="1:6" ht="18" customHeight="1">
      <c r="A185" s="275" t="s">
        <v>254</v>
      </c>
      <c r="B185" s="10" t="s">
        <v>796</v>
      </c>
      <c r="C185" s="5" t="s">
        <v>23</v>
      </c>
      <c r="D185" s="8">
        <f>'Measurement Sheet'!H533</f>
        <v>1.3</v>
      </c>
      <c r="E185" s="7">
        <v>60000</v>
      </c>
      <c r="F185" s="9">
        <f t="shared" ref="F185:F186" si="4">ROUND(D185*E185,0)</f>
        <v>78000</v>
      </c>
    </row>
    <row r="186" spans="1:6" ht="15.75" customHeight="1">
      <c r="A186" s="8" t="s">
        <v>256</v>
      </c>
      <c r="B186" s="10" t="s">
        <v>19</v>
      </c>
      <c r="C186" s="5" t="s">
        <v>23</v>
      </c>
      <c r="D186" s="8">
        <f>'Measurement Sheet'!H534</f>
        <v>1.1200000000000001</v>
      </c>
      <c r="E186" s="7">
        <v>60000</v>
      </c>
      <c r="F186" s="9">
        <f t="shared" si="4"/>
        <v>67200</v>
      </c>
    </row>
    <row r="187" spans="1:6" ht="18" customHeight="1">
      <c r="A187" s="4"/>
      <c r="B187" s="225" t="s">
        <v>310</v>
      </c>
      <c r="C187" s="5"/>
      <c r="D187" s="6"/>
      <c r="E187" s="7"/>
      <c r="F187" s="226">
        <f>SUM(F161:F186)</f>
        <v>546097</v>
      </c>
    </row>
    <row r="188" spans="1:6" s="515" customFormat="1" ht="18" customHeight="1">
      <c r="A188" s="30">
        <f>A159+0.1</f>
        <v>2.2000000000000002</v>
      </c>
      <c r="B188" s="31" t="s">
        <v>745</v>
      </c>
      <c r="C188" s="32"/>
      <c r="D188" s="27"/>
      <c r="E188" s="28"/>
      <c r="F188" s="29"/>
    </row>
    <row r="189" spans="1:6" s="515" customFormat="1" ht="18" customHeight="1">
      <c r="A189" s="2" t="s">
        <v>795</v>
      </c>
      <c r="B189" s="315" t="s">
        <v>9</v>
      </c>
      <c r="C189" s="532"/>
      <c r="D189" s="532"/>
      <c r="E189" s="532"/>
      <c r="F189" s="532"/>
    </row>
    <row r="190" spans="1:6" s="515" customFormat="1" ht="18" customHeight="1">
      <c r="A190" s="533"/>
      <c r="B190" s="315" t="s">
        <v>746</v>
      </c>
      <c r="C190" s="532"/>
      <c r="D190" s="532"/>
      <c r="E190" s="532"/>
      <c r="F190" s="532"/>
    </row>
    <row r="191" spans="1:6" s="515" customFormat="1" ht="98.25" customHeight="1">
      <c r="A191" s="533"/>
      <c r="B191" s="504" t="s">
        <v>747</v>
      </c>
      <c r="C191" s="273" t="s">
        <v>11</v>
      </c>
      <c r="D191" s="534">
        <f>'Measurement Sheet'!H468</f>
        <v>494</v>
      </c>
      <c r="E191" s="535">
        <v>116</v>
      </c>
      <c r="F191" s="516">
        <f>D191*E191</f>
        <v>57304</v>
      </c>
    </row>
    <row r="192" spans="1:6" s="515" customFormat="1" ht="18" customHeight="1">
      <c r="A192" s="2" t="str">
        <f>LEFT(A189,4)&amp;N(RIGHT(A189,1)+1)</f>
        <v>2.2.2</v>
      </c>
      <c r="B192" s="315" t="s">
        <v>748</v>
      </c>
      <c r="C192" s="273"/>
      <c r="D192" s="534"/>
      <c r="E192" s="535"/>
      <c r="F192" s="516"/>
    </row>
    <row r="193" spans="1:6" s="515" customFormat="1" ht="123" customHeight="1">
      <c r="A193" s="533"/>
      <c r="B193" s="536" t="s">
        <v>749</v>
      </c>
      <c r="C193" s="273" t="s">
        <v>11</v>
      </c>
      <c r="D193" s="534">
        <f>'Measurement Sheet'!H473</f>
        <v>494</v>
      </c>
      <c r="E193" s="535">
        <v>399</v>
      </c>
      <c r="F193" s="516">
        <f>D193*E193</f>
        <v>197106</v>
      </c>
    </row>
    <row r="194" spans="1:6" s="515" customFormat="1" ht="18" customHeight="1">
      <c r="A194" s="2" t="str">
        <f>LEFT(A192,4)&amp;N(RIGHT(A192,1)+1)</f>
        <v>2.2.3</v>
      </c>
      <c r="B194" s="537" t="s">
        <v>750</v>
      </c>
      <c r="C194" s="273"/>
      <c r="D194" s="534"/>
      <c r="E194" s="535"/>
      <c r="F194" s="516"/>
    </row>
    <row r="195" spans="1:6" s="515" customFormat="1" ht="178.5">
      <c r="A195" s="538"/>
      <c r="B195" s="504" t="s">
        <v>751</v>
      </c>
      <c r="C195" s="273" t="s">
        <v>11</v>
      </c>
      <c r="D195" s="534">
        <f>'Measurement Sheet'!H478</f>
        <v>148</v>
      </c>
      <c r="E195" s="535">
        <v>1203</v>
      </c>
      <c r="F195" s="516">
        <f>D195*E195</f>
        <v>178044</v>
      </c>
    </row>
    <row r="196" spans="1:6" s="515" customFormat="1" ht="18" customHeight="1">
      <c r="A196" s="2" t="str">
        <f>LEFT(A194,4)&amp;N(RIGHT(A194,1)+1)</f>
        <v>2.2.4</v>
      </c>
      <c r="B196" s="274" t="s">
        <v>18</v>
      </c>
      <c r="C196" s="273"/>
      <c r="D196" s="534"/>
      <c r="E196" s="535"/>
      <c r="F196" s="516"/>
    </row>
    <row r="197" spans="1:6" s="515" customFormat="1" ht="127.5">
      <c r="A197" s="533"/>
      <c r="B197" s="504" t="s">
        <v>380</v>
      </c>
      <c r="C197" s="273" t="s">
        <v>11</v>
      </c>
      <c r="D197" s="534">
        <f>'Measurement Sheet'!H483</f>
        <v>74</v>
      </c>
      <c r="E197" s="535">
        <v>4600</v>
      </c>
      <c r="F197" s="516">
        <f>D197*E197</f>
        <v>340400</v>
      </c>
    </row>
    <row r="198" spans="1:6" s="515" customFormat="1" ht="18" customHeight="1">
      <c r="A198" s="2" t="str">
        <f>LEFT(A196,4)&amp;N(RIGHT(A194,1)+1)</f>
        <v>2.2.4</v>
      </c>
      <c r="B198" s="274" t="s">
        <v>752</v>
      </c>
      <c r="C198" s="520"/>
      <c r="D198" s="518"/>
      <c r="E198" s="517"/>
      <c r="F198" s="516"/>
    </row>
    <row r="199" spans="1:6" s="515" customFormat="1" ht="76.5">
      <c r="A199" s="533"/>
      <c r="B199" s="504" t="s">
        <v>481</v>
      </c>
      <c r="C199" s="520" t="s">
        <v>16</v>
      </c>
      <c r="D199" s="518">
        <f>'Measurement Sheet'!H488</f>
        <v>997</v>
      </c>
      <c r="E199" s="517">
        <v>80</v>
      </c>
      <c r="F199" s="516">
        <f>ROUND(D199*E199,0)</f>
        <v>79760</v>
      </c>
    </row>
    <row r="200" spans="1:6" s="515" customFormat="1" ht="18" customHeight="1">
      <c r="A200" s="2" t="str">
        <f>LEFT(A198,4)&amp;N(RIGHT(A198,1)+1)</f>
        <v>2.2.5</v>
      </c>
      <c r="B200" s="537" t="s">
        <v>753</v>
      </c>
      <c r="C200" s="273"/>
      <c r="D200" s="534"/>
      <c r="E200" s="535"/>
      <c r="F200" s="516"/>
    </row>
    <row r="201" spans="1:6" s="515" customFormat="1" ht="245.25" customHeight="1">
      <c r="A201" s="539"/>
      <c r="B201" s="540" t="s">
        <v>754</v>
      </c>
      <c r="C201" s="273" t="s">
        <v>11</v>
      </c>
      <c r="D201" s="534">
        <f>'Measurement Sheet'!H493</f>
        <v>197</v>
      </c>
      <c r="E201" s="535">
        <v>7786</v>
      </c>
      <c r="F201" s="516">
        <f>D201*E201</f>
        <v>1533842</v>
      </c>
    </row>
    <row r="202" spans="1:6" s="515" customFormat="1" ht="18" customHeight="1">
      <c r="A202" s="519"/>
      <c r="B202" s="522" t="s">
        <v>310</v>
      </c>
      <c r="C202" s="520"/>
      <c r="D202" s="518"/>
      <c r="E202" s="517"/>
      <c r="F202" s="523">
        <f>SUM(F188:F201)</f>
        <v>2386456</v>
      </c>
    </row>
  </sheetData>
  <mergeCells count="10">
    <mergeCell ref="A3:F3"/>
    <mergeCell ref="A4:F4"/>
    <mergeCell ref="A5:F5"/>
    <mergeCell ref="A6:F6"/>
    <mergeCell ref="A7:A8"/>
    <mergeCell ref="B7:B8"/>
    <mergeCell ref="C7:C8"/>
    <mergeCell ref="D7:D8"/>
    <mergeCell ref="E7:E8"/>
    <mergeCell ref="F7:F8"/>
  </mergeCells>
  <pageMargins left="0.86614173228346503" right="0.47244094488188998" top="0.82677165354330695" bottom="0.70866141732283505" header="0.31496062992126" footer="0.27559055118110198"/>
  <pageSetup paperSize="9" scale="62" orientation="portrait" r:id="rId1"/>
  <headerFooter alignWithMargins="0">
    <oddHeader>&amp;C&amp;G</oddHeader>
    <oddFooter>&amp;LContractor&amp;RClient</oddFooter>
  </headerFooter>
  <rowBreaks count="5" manualBreakCount="5">
    <brk id="34" max="5" man="1"/>
    <brk id="57" max="5" man="1"/>
    <brk id="80" max="5" man="1"/>
    <brk id="88" max="5" man="1"/>
    <brk id="109" max="5"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7"/>
  <sheetViews>
    <sheetView view="pageBreakPreview" topLeftCell="A18" zoomScaleNormal="100" zoomScaleSheetLayoutView="100" workbookViewId="0">
      <pane ySplit="2" topLeftCell="A515" activePane="bottomLeft" state="frozen"/>
      <selection activeCell="A18" sqref="A18"/>
      <selection pane="bottomLeft" activeCell="E539" sqref="E539"/>
    </sheetView>
  </sheetViews>
  <sheetFormatPr defaultRowHeight="12.75"/>
  <cols>
    <col min="1" max="1" width="8.85546875" style="199" customWidth="1"/>
    <col min="2" max="2" width="33.85546875" style="199" customWidth="1"/>
    <col min="3" max="4" width="7.5703125" style="199" customWidth="1"/>
    <col min="5" max="5" width="10.140625" style="199" bestFit="1" customWidth="1"/>
    <col min="6" max="6" width="10.28515625" style="199" customWidth="1"/>
    <col min="7" max="7" width="11.140625" style="199" customWidth="1"/>
    <col min="8" max="8" width="11.5703125" style="199" customWidth="1"/>
    <col min="9" max="9" width="9.140625" style="199"/>
    <col min="10" max="10" width="11.28515625" style="199" bestFit="1" customWidth="1"/>
    <col min="11" max="11" width="12.85546875" style="199" bestFit="1" customWidth="1"/>
    <col min="12" max="13" width="10.28515625" style="199" customWidth="1"/>
    <col min="14" max="256" width="9.140625" style="199"/>
    <col min="257" max="257" width="8.85546875" style="199" customWidth="1"/>
    <col min="258" max="258" width="30.42578125" style="199" customWidth="1"/>
    <col min="259" max="260" width="7.5703125" style="199" customWidth="1"/>
    <col min="261" max="261" width="9.140625" style="199"/>
    <col min="262" max="262" width="10.28515625" style="199" customWidth="1"/>
    <col min="263" max="263" width="11.140625" style="199" customWidth="1"/>
    <col min="264" max="264" width="11.5703125" style="199" customWidth="1"/>
    <col min="265" max="265" width="9.140625" style="199"/>
    <col min="266" max="266" width="11.28515625" style="199" bestFit="1" customWidth="1"/>
    <col min="267" max="512" width="9.140625" style="199"/>
    <col min="513" max="513" width="8.85546875" style="199" customWidth="1"/>
    <col min="514" max="514" width="30.42578125" style="199" customWidth="1"/>
    <col min="515" max="516" width="7.5703125" style="199" customWidth="1"/>
    <col min="517" max="517" width="9.140625" style="199"/>
    <col min="518" max="518" width="10.28515625" style="199" customWidth="1"/>
    <col min="519" max="519" width="11.140625" style="199" customWidth="1"/>
    <col min="520" max="520" width="11.5703125" style="199" customWidth="1"/>
    <col min="521" max="521" width="9.140625" style="199"/>
    <col min="522" max="522" width="11.28515625" style="199" bestFit="1" customWidth="1"/>
    <col min="523" max="768" width="9.140625" style="199"/>
    <col min="769" max="769" width="8.85546875" style="199" customWidth="1"/>
    <col min="770" max="770" width="30.42578125" style="199" customWidth="1"/>
    <col min="771" max="772" width="7.5703125" style="199" customWidth="1"/>
    <col min="773" max="773" width="9.140625" style="199"/>
    <col min="774" max="774" width="10.28515625" style="199" customWidth="1"/>
    <col min="775" max="775" width="11.140625" style="199" customWidth="1"/>
    <col min="776" max="776" width="11.5703125" style="199" customWidth="1"/>
    <col min="777" max="777" width="9.140625" style="199"/>
    <col min="778" max="778" width="11.28515625" style="199" bestFit="1" customWidth="1"/>
    <col min="779" max="1024" width="9.140625" style="199"/>
    <col min="1025" max="1025" width="8.85546875" style="199" customWidth="1"/>
    <col min="1026" max="1026" width="30.42578125" style="199" customWidth="1"/>
    <col min="1027" max="1028" width="7.5703125" style="199" customWidth="1"/>
    <col min="1029" max="1029" width="9.140625" style="199"/>
    <col min="1030" max="1030" width="10.28515625" style="199" customWidth="1"/>
    <col min="1031" max="1031" width="11.140625" style="199" customWidth="1"/>
    <col min="1032" max="1032" width="11.5703125" style="199" customWidth="1"/>
    <col min="1033" max="1033" width="9.140625" style="199"/>
    <col min="1034" max="1034" width="11.28515625" style="199" bestFit="1" customWidth="1"/>
    <col min="1035" max="1280" width="9.140625" style="199"/>
    <col min="1281" max="1281" width="8.85546875" style="199" customWidth="1"/>
    <col min="1282" max="1282" width="30.42578125" style="199" customWidth="1"/>
    <col min="1283" max="1284" width="7.5703125" style="199" customWidth="1"/>
    <col min="1285" max="1285" width="9.140625" style="199"/>
    <col min="1286" max="1286" width="10.28515625" style="199" customWidth="1"/>
    <col min="1287" max="1287" width="11.140625" style="199" customWidth="1"/>
    <col min="1288" max="1288" width="11.5703125" style="199" customWidth="1"/>
    <col min="1289" max="1289" width="9.140625" style="199"/>
    <col min="1290" max="1290" width="11.28515625" style="199" bestFit="1" customWidth="1"/>
    <col min="1291" max="1536" width="9.140625" style="199"/>
    <col min="1537" max="1537" width="8.85546875" style="199" customWidth="1"/>
    <col min="1538" max="1538" width="30.42578125" style="199" customWidth="1"/>
    <col min="1539" max="1540" width="7.5703125" style="199" customWidth="1"/>
    <col min="1541" max="1541" width="9.140625" style="199"/>
    <col min="1542" max="1542" width="10.28515625" style="199" customWidth="1"/>
    <col min="1543" max="1543" width="11.140625" style="199" customWidth="1"/>
    <col min="1544" max="1544" width="11.5703125" style="199" customWidth="1"/>
    <col min="1545" max="1545" width="9.140625" style="199"/>
    <col min="1546" max="1546" width="11.28515625" style="199" bestFit="1" customWidth="1"/>
    <col min="1547" max="1792" width="9.140625" style="199"/>
    <col min="1793" max="1793" width="8.85546875" style="199" customWidth="1"/>
    <col min="1794" max="1794" width="30.42578125" style="199" customWidth="1"/>
    <col min="1795" max="1796" width="7.5703125" style="199" customWidth="1"/>
    <col min="1797" max="1797" width="9.140625" style="199"/>
    <col min="1798" max="1798" width="10.28515625" style="199" customWidth="1"/>
    <col min="1799" max="1799" width="11.140625" style="199" customWidth="1"/>
    <col min="1800" max="1800" width="11.5703125" style="199" customWidth="1"/>
    <col min="1801" max="1801" width="9.140625" style="199"/>
    <col min="1802" max="1802" width="11.28515625" style="199" bestFit="1" customWidth="1"/>
    <col min="1803" max="2048" width="9.140625" style="199"/>
    <col min="2049" max="2049" width="8.85546875" style="199" customWidth="1"/>
    <col min="2050" max="2050" width="30.42578125" style="199" customWidth="1"/>
    <col min="2051" max="2052" width="7.5703125" style="199" customWidth="1"/>
    <col min="2053" max="2053" width="9.140625" style="199"/>
    <col min="2054" max="2054" width="10.28515625" style="199" customWidth="1"/>
    <col min="2055" max="2055" width="11.140625" style="199" customWidth="1"/>
    <col min="2056" max="2056" width="11.5703125" style="199" customWidth="1"/>
    <col min="2057" max="2057" width="9.140625" style="199"/>
    <col min="2058" max="2058" width="11.28515625" style="199" bestFit="1" customWidth="1"/>
    <col min="2059" max="2304" width="9.140625" style="199"/>
    <col min="2305" max="2305" width="8.85546875" style="199" customWidth="1"/>
    <col min="2306" max="2306" width="30.42578125" style="199" customWidth="1"/>
    <col min="2307" max="2308" width="7.5703125" style="199" customWidth="1"/>
    <col min="2309" max="2309" width="9.140625" style="199"/>
    <col min="2310" max="2310" width="10.28515625" style="199" customWidth="1"/>
    <col min="2311" max="2311" width="11.140625" style="199" customWidth="1"/>
    <col min="2312" max="2312" width="11.5703125" style="199" customWidth="1"/>
    <col min="2313" max="2313" width="9.140625" style="199"/>
    <col min="2314" max="2314" width="11.28515625" style="199" bestFit="1" customWidth="1"/>
    <col min="2315" max="2560" width="9.140625" style="199"/>
    <col min="2561" max="2561" width="8.85546875" style="199" customWidth="1"/>
    <col min="2562" max="2562" width="30.42578125" style="199" customWidth="1"/>
    <col min="2563" max="2564" width="7.5703125" style="199" customWidth="1"/>
    <col min="2565" max="2565" width="9.140625" style="199"/>
    <col min="2566" max="2566" width="10.28515625" style="199" customWidth="1"/>
    <col min="2567" max="2567" width="11.140625" style="199" customWidth="1"/>
    <col min="2568" max="2568" width="11.5703125" style="199" customWidth="1"/>
    <col min="2569" max="2569" width="9.140625" style="199"/>
    <col min="2570" max="2570" width="11.28515625" style="199" bestFit="1" customWidth="1"/>
    <col min="2571" max="2816" width="9.140625" style="199"/>
    <col min="2817" max="2817" width="8.85546875" style="199" customWidth="1"/>
    <col min="2818" max="2818" width="30.42578125" style="199" customWidth="1"/>
    <col min="2819" max="2820" width="7.5703125" style="199" customWidth="1"/>
    <col min="2821" max="2821" width="9.140625" style="199"/>
    <col min="2822" max="2822" width="10.28515625" style="199" customWidth="1"/>
    <col min="2823" max="2823" width="11.140625" style="199" customWidth="1"/>
    <col min="2824" max="2824" width="11.5703125" style="199" customWidth="1"/>
    <col min="2825" max="2825" width="9.140625" style="199"/>
    <col min="2826" max="2826" width="11.28515625" style="199" bestFit="1" customWidth="1"/>
    <col min="2827" max="3072" width="9.140625" style="199"/>
    <col min="3073" max="3073" width="8.85546875" style="199" customWidth="1"/>
    <col min="3074" max="3074" width="30.42578125" style="199" customWidth="1"/>
    <col min="3075" max="3076" width="7.5703125" style="199" customWidth="1"/>
    <col min="3077" max="3077" width="9.140625" style="199"/>
    <col min="3078" max="3078" width="10.28515625" style="199" customWidth="1"/>
    <col min="3079" max="3079" width="11.140625" style="199" customWidth="1"/>
    <col min="3080" max="3080" width="11.5703125" style="199" customWidth="1"/>
    <col min="3081" max="3081" width="9.140625" style="199"/>
    <col min="3082" max="3082" width="11.28515625" style="199" bestFit="1" customWidth="1"/>
    <col min="3083" max="3328" width="9.140625" style="199"/>
    <col min="3329" max="3329" width="8.85546875" style="199" customWidth="1"/>
    <col min="3330" max="3330" width="30.42578125" style="199" customWidth="1"/>
    <col min="3331" max="3332" width="7.5703125" style="199" customWidth="1"/>
    <col min="3333" max="3333" width="9.140625" style="199"/>
    <col min="3334" max="3334" width="10.28515625" style="199" customWidth="1"/>
    <col min="3335" max="3335" width="11.140625" style="199" customWidth="1"/>
    <col min="3336" max="3336" width="11.5703125" style="199" customWidth="1"/>
    <col min="3337" max="3337" width="9.140625" style="199"/>
    <col min="3338" max="3338" width="11.28515625" style="199" bestFit="1" customWidth="1"/>
    <col min="3339" max="3584" width="9.140625" style="199"/>
    <col min="3585" max="3585" width="8.85546875" style="199" customWidth="1"/>
    <col min="3586" max="3586" width="30.42578125" style="199" customWidth="1"/>
    <col min="3587" max="3588" width="7.5703125" style="199" customWidth="1"/>
    <col min="3589" max="3589" width="9.140625" style="199"/>
    <col min="3590" max="3590" width="10.28515625" style="199" customWidth="1"/>
    <col min="3591" max="3591" width="11.140625" style="199" customWidth="1"/>
    <col min="3592" max="3592" width="11.5703125" style="199" customWidth="1"/>
    <col min="3593" max="3593" width="9.140625" style="199"/>
    <col min="3594" max="3594" width="11.28515625" style="199" bestFit="1" customWidth="1"/>
    <col min="3595" max="3840" width="9.140625" style="199"/>
    <col min="3841" max="3841" width="8.85546875" style="199" customWidth="1"/>
    <col min="3842" max="3842" width="30.42578125" style="199" customWidth="1"/>
    <col min="3843" max="3844" width="7.5703125" style="199" customWidth="1"/>
    <col min="3845" max="3845" width="9.140625" style="199"/>
    <col min="3846" max="3846" width="10.28515625" style="199" customWidth="1"/>
    <col min="3847" max="3847" width="11.140625" style="199" customWidth="1"/>
    <col min="3848" max="3848" width="11.5703125" style="199" customWidth="1"/>
    <col min="3849" max="3849" width="9.140625" style="199"/>
    <col min="3850" max="3850" width="11.28515625" style="199" bestFit="1" customWidth="1"/>
    <col min="3851" max="4096" width="9.140625" style="199"/>
    <col min="4097" max="4097" width="8.85546875" style="199" customWidth="1"/>
    <col min="4098" max="4098" width="30.42578125" style="199" customWidth="1"/>
    <col min="4099" max="4100" width="7.5703125" style="199" customWidth="1"/>
    <col min="4101" max="4101" width="9.140625" style="199"/>
    <col min="4102" max="4102" width="10.28515625" style="199" customWidth="1"/>
    <col min="4103" max="4103" width="11.140625" style="199" customWidth="1"/>
    <col min="4104" max="4104" width="11.5703125" style="199" customWidth="1"/>
    <col min="4105" max="4105" width="9.140625" style="199"/>
    <col min="4106" max="4106" width="11.28515625" style="199" bestFit="1" customWidth="1"/>
    <col min="4107" max="4352" width="9.140625" style="199"/>
    <col min="4353" max="4353" width="8.85546875" style="199" customWidth="1"/>
    <col min="4354" max="4354" width="30.42578125" style="199" customWidth="1"/>
    <col min="4355" max="4356" width="7.5703125" style="199" customWidth="1"/>
    <col min="4357" max="4357" width="9.140625" style="199"/>
    <col min="4358" max="4358" width="10.28515625" style="199" customWidth="1"/>
    <col min="4359" max="4359" width="11.140625" style="199" customWidth="1"/>
    <col min="4360" max="4360" width="11.5703125" style="199" customWidth="1"/>
    <col min="4361" max="4361" width="9.140625" style="199"/>
    <col min="4362" max="4362" width="11.28515625" style="199" bestFit="1" customWidth="1"/>
    <col min="4363" max="4608" width="9.140625" style="199"/>
    <col min="4609" max="4609" width="8.85546875" style="199" customWidth="1"/>
    <col min="4610" max="4610" width="30.42578125" style="199" customWidth="1"/>
    <col min="4611" max="4612" width="7.5703125" style="199" customWidth="1"/>
    <col min="4613" max="4613" width="9.140625" style="199"/>
    <col min="4614" max="4614" width="10.28515625" style="199" customWidth="1"/>
    <col min="4615" max="4615" width="11.140625" style="199" customWidth="1"/>
    <col min="4616" max="4616" width="11.5703125" style="199" customWidth="1"/>
    <col min="4617" max="4617" width="9.140625" style="199"/>
    <col min="4618" max="4618" width="11.28515625" style="199" bestFit="1" customWidth="1"/>
    <col min="4619" max="4864" width="9.140625" style="199"/>
    <col min="4865" max="4865" width="8.85546875" style="199" customWidth="1"/>
    <col min="4866" max="4866" width="30.42578125" style="199" customWidth="1"/>
    <col min="4867" max="4868" width="7.5703125" style="199" customWidth="1"/>
    <col min="4869" max="4869" width="9.140625" style="199"/>
    <col min="4870" max="4870" width="10.28515625" style="199" customWidth="1"/>
    <col min="4871" max="4871" width="11.140625" style="199" customWidth="1"/>
    <col min="4872" max="4872" width="11.5703125" style="199" customWidth="1"/>
    <col min="4873" max="4873" width="9.140625" style="199"/>
    <col min="4874" max="4874" width="11.28515625" style="199" bestFit="1" customWidth="1"/>
    <col min="4875" max="5120" width="9.140625" style="199"/>
    <col min="5121" max="5121" width="8.85546875" style="199" customWidth="1"/>
    <col min="5122" max="5122" width="30.42578125" style="199" customWidth="1"/>
    <col min="5123" max="5124" width="7.5703125" style="199" customWidth="1"/>
    <col min="5125" max="5125" width="9.140625" style="199"/>
    <col min="5126" max="5126" width="10.28515625" style="199" customWidth="1"/>
    <col min="5127" max="5127" width="11.140625" style="199" customWidth="1"/>
    <col min="5128" max="5128" width="11.5703125" style="199" customWidth="1"/>
    <col min="5129" max="5129" width="9.140625" style="199"/>
    <col min="5130" max="5130" width="11.28515625" style="199" bestFit="1" customWidth="1"/>
    <col min="5131" max="5376" width="9.140625" style="199"/>
    <col min="5377" max="5377" width="8.85546875" style="199" customWidth="1"/>
    <col min="5378" max="5378" width="30.42578125" style="199" customWidth="1"/>
    <col min="5379" max="5380" width="7.5703125" style="199" customWidth="1"/>
    <col min="5381" max="5381" width="9.140625" style="199"/>
    <col min="5382" max="5382" width="10.28515625" style="199" customWidth="1"/>
    <col min="5383" max="5383" width="11.140625" style="199" customWidth="1"/>
    <col min="5384" max="5384" width="11.5703125" style="199" customWidth="1"/>
    <col min="5385" max="5385" width="9.140625" style="199"/>
    <col min="5386" max="5386" width="11.28515625" style="199" bestFit="1" customWidth="1"/>
    <col min="5387" max="5632" width="9.140625" style="199"/>
    <col min="5633" max="5633" width="8.85546875" style="199" customWidth="1"/>
    <col min="5634" max="5634" width="30.42578125" style="199" customWidth="1"/>
    <col min="5635" max="5636" width="7.5703125" style="199" customWidth="1"/>
    <col min="5637" max="5637" width="9.140625" style="199"/>
    <col min="5638" max="5638" width="10.28515625" style="199" customWidth="1"/>
    <col min="5639" max="5639" width="11.140625" style="199" customWidth="1"/>
    <col min="5640" max="5640" width="11.5703125" style="199" customWidth="1"/>
    <col min="5641" max="5641" width="9.140625" style="199"/>
    <col min="5642" max="5642" width="11.28515625" style="199" bestFit="1" customWidth="1"/>
    <col min="5643" max="5888" width="9.140625" style="199"/>
    <col min="5889" max="5889" width="8.85546875" style="199" customWidth="1"/>
    <col min="5890" max="5890" width="30.42578125" style="199" customWidth="1"/>
    <col min="5891" max="5892" width="7.5703125" style="199" customWidth="1"/>
    <col min="5893" max="5893" width="9.140625" style="199"/>
    <col min="5894" max="5894" width="10.28515625" style="199" customWidth="1"/>
    <col min="5895" max="5895" width="11.140625" style="199" customWidth="1"/>
    <col min="5896" max="5896" width="11.5703125" style="199" customWidth="1"/>
    <col min="5897" max="5897" width="9.140625" style="199"/>
    <col min="5898" max="5898" width="11.28515625" style="199" bestFit="1" customWidth="1"/>
    <col min="5899" max="6144" width="9.140625" style="199"/>
    <col min="6145" max="6145" width="8.85546875" style="199" customWidth="1"/>
    <col min="6146" max="6146" width="30.42578125" style="199" customWidth="1"/>
    <col min="6147" max="6148" width="7.5703125" style="199" customWidth="1"/>
    <col min="6149" max="6149" width="9.140625" style="199"/>
    <col min="6150" max="6150" width="10.28515625" style="199" customWidth="1"/>
    <col min="6151" max="6151" width="11.140625" style="199" customWidth="1"/>
    <col min="6152" max="6152" width="11.5703125" style="199" customWidth="1"/>
    <col min="6153" max="6153" width="9.140625" style="199"/>
    <col min="6154" max="6154" width="11.28515625" style="199" bestFit="1" customWidth="1"/>
    <col min="6155" max="6400" width="9.140625" style="199"/>
    <col min="6401" max="6401" width="8.85546875" style="199" customWidth="1"/>
    <col min="6402" max="6402" width="30.42578125" style="199" customWidth="1"/>
    <col min="6403" max="6404" width="7.5703125" style="199" customWidth="1"/>
    <col min="6405" max="6405" width="9.140625" style="199"/>
    <col min="6406" max="6406" width="10.28515625" style="199" customWidth="1"/>
    <col min="6407" max="6407" width="11.140625" style="199" customWidth="1"/>
    <col min="6408" max="6408" width="11.5703125" style="199" customWidth="1"/>
    <col min="6409" max="6409" width="9.140625" style="199"/>
    <col min="6410" max="6410" width="11.28515625" style="199" bestFit="1" customWidth="1"/>
    <col min="6411" max="6656" width="9.140625" style="199"/>
    <col min="6657" max="6657" width="8.85546875" style="199" customWidth="1"/>
    <col min="6658" max="6658" width="30.42578125" style="199" customWidth="1"/>
    <col min="6659" max="6660" width="7.5703125" style="199" customWidth="1"/>
    <col min="6661" max="6661" width="9.140625" style="199"/>
    <col min="6662" max="6662" width="10.28515625" style="199" customWidth="1"/>
    <col min="6663" max="6663" width="11.140625" style="199" customWidth="1"/>
    <col min="6664" max="6664" width="11.5703125" style="199" customWidth="1"/>
    <col min="6665" max="6665" width="9.140625" style="199"/>
    <col min="6666" max="6666" width="11.28515625" style="199" bestFit="1" customWidth="1"/>
    <col min="6667" max="6912" width="9.140625" style="199"/>
    <col min="6913" max="6913" width="8.85546875" style="199" customWidth="1"/>
    <col min="6914" max="6914" width="30.42578125" style="199" customWidth="1"/>
    <col min="6915" max="6916" width="7.5703125" style="199" customWidth="1"/>
    <col min="6917" max="6917" width="9.140625" style="199"/>
    <col min="6918" max="6918" width="10.28515625" style="199" customWidth="1"/>
    <col min="6919" max="6919" width="11.140625" style="199" customWidth="1"/>
    <col min="6920" max="6920" width="11.5703125" style="199" customWidth="1"/>
    <col min="6921" max="6921" width="9.140625" style="199"/>
    <col min="6922" max="6922" width="11.28515625" style="199" bestFit="1" customWidth="1"/>
    <col min="6923" max="7168" width="9.140625" style="199"/>
    <col min="7169" max="7169" width="8.85546875" style="199" customWidth="1"/>
    <col min="7170" max="7170" width="30.42578125" style="199" customWidth="1"/>
    <col min="7171" max="7172" width="7.5703125" style="199" customWidth="1"/>
    <col min="7173" max="7173" width="9.140625" style="199"/>
    <col min="7174" max="7174" width="10.28515625" style="199" customWidth="1"/>
    <col min="7175" max="7175" width="11.140625" style="199" customWidth="1"/>
    <col min="7176" max="7176" width="11.5703125" style="199" customWidth="1"/>
    <col min="7177" max="7177" width="9.140625" style="199"/>
    <col min="7178" max="7178" width="11.28515625" style="199" bestFit="1" customWidth="1"/>
    <col min="7179" max="7424" width="9.140625" style="199"/>
    <col min="7425" max="7425" width="8.85546875" style="199" customWidth="1"/>
    <col min="7426" max="7426" width="30.42578125" style="199" customWidth="1"/>
    <col min="7427" max="7428" width="7.5703125" style="199" customWidth="1"/>
    <col min="7429" max="7429" width="9.140625" style="199"/>
    <col min="7430" max="7430" width="10.28515625" style="199" customWidth="1"/>
    <col min="7431" max="7431" width="11.140625" style="199" customWidth="1"/>
    <col min="7432" max="7432" width="11.5703125" style="199" customWidth="1"/>
    <col min="7433" max="7433" width="9.140625" style="199"/>
    <col min="7434" max="7434" width="11.28515625" style="199" bestFit="1" customWidth="1"/>
    <col min="7435" max="7680" width="9.140625" style="199"/>
    <col min="7681" max="7681" width="8.85546875" style="199" customWidth="1"/>
    <col min="7682" max="7682" width="30.42578125" style="199" customWidth="1"/>
    <col min="7683" max="7684" width="7.5703125" style="199" customWidth="1"/>
    <col min="7685" max="7685" width="9.140625" style="199"/>
    <col min="7686" max="7686" width="10.28515625" style="199" customWidth="1"/>
    <col min="7687" max="7687" width="11.140625" style="199" customWidth="1"/>
    <col min="7688" max="7688" width="11.5703125" style="199" customWidth="1"/>
    <col min="7689" max="7689" width="9.140625" style="199"/>
    <col min="7690" max="7690" width="11.28515625" style="199" bestFit="1" customWidth="1"/>
    <col min="7691" max="7936" width="9.140625" style="199"/>
    <col min="7937" max="7937" width="8.85546875" style="199" customWidth="1"/>
    <col min="7938" max="7938" width="30.42578125" style="199" customWidth="1"/>
    <col min="7939" max="7940" width="7.5703125" style="199" customWidth="1"/>
    <col min="7941" max="7941" width="9.140625" style="199"/>
    <col min="7942" max="7942" width="10.28515625" style="199" customWidth="1"/>
    <col min="7943" max="7943" width="11.140625" style="199" customWidth="1"/>
    <col min="7944" max="7944" width="11.5703125" style="199" customWidth="1"/>
    <col min="7945" max="7945" width="9.140625" style="199"/>
    <col min="7946" max="7946" width="11.28515625" style="199" bestFit="1" customWidth="1"/>
    <col min="7947" max="8192" width="9.140625" style="199"/>
    <col min="8193" max="8193" width="8.85546875" style="199" customWidth="1"/>
    <col min="8194" max="8194" width="30.42578125" style="199" customWidth="1"/>
    <col min="8195" max="8196" width="7.5703125" style="199" customWidth="1"/>
    <col min="8197" max="8197" width="9.140625" style="199"/>
    <col min="8198" max="8198" width="10.28515625" style="199" customWidth="1"/>
    <col min="8199" max="8199" width="11.140625" style="199" customWidth="1"/>
    <col min="8200" max="8200" width="11.5703125" style="199" customWidth="1"/>
    <col min="8201" max="8201" width="9.140625" style="199"/>
    <col min="8202" max="8202" width="11.28515625" style="199" bestFit="1" customWidth="1"/>
    <col min="8203" max="8448" width="9.140625" style="199"/>
    <col min="8449" max="8449" width="8.85546875" style="199" customWidth="1"/>
    <col min="8450" max="8450" width="30.42578125" style="199" customWidth="1"/>
    <col min="8451" max="8452" width="7.5703125" style="199" customWidth="1"/>
    <col min="8453" max="8453" width="9.140625" style="199"/>
    <col min="8454" max="8454" width="10.28515625" style="199" customWidth="1"/>
    <col min="8455" max="8455" width="11.140625" style="199" customWidth="1"/>
    <col min="8456" max="8456" width="11.5703125" style="199" customWidth="1"/>
    <col min="8457" max="8457" width="9.140625" style="199"/>
    <col min="8458" max="8458" width="11.28515625" style="199" bestFit="1" customWidth="1"/>
    <col min="8459" max="8704" width="9.140625" style="199"/>
    <col min="8705" max="8705" width="8.85546875" style="199" customWidth="1"/>
    <col min="8706" max="8706" width="30.42578125" style="199" customWidth="1"/>
    <col min="8707" max="8708" width="7.5703125" style="199" customWidth="1"/>
    <col min="8709" max="8709" width="9.140625" style="199"/>
    <col min="8710" max="8710" width="10.28515625" style="199" customWidth="1"/>
    <col min="8711" max="8711" width="11.140625" style="199" customWidth="1"/>
    <col min="8712" max="8712" width="11.5703125" style="199" customWidth="1"/>
    <col min="8713" max="8713" width="9.140625" style="199"/>
    <col min="8714" max="8714" width="11.28515625" style="199" bestFit="1" customWidth="1"/>
    <col min="8715" max="8960" width="9.140625" style="199"/>
    <col min="8961" max="8961" width="8.85546875" style="199" customWidth="1"/>
    <col min="8962" max="8962" width="30.42578125" style="199" customWidth="1"/>
    <col min="8963" max="8964" width="7.5703125" style="199" customWidth="1"/>
    <col min="8965" max="8965" width="9.140625" style="199"/>
    <col min="8966" max="8966" width="10.28515625" style="199" customWidth="1"/>
    <col min="8967" max="8967" width="11.140625" style="199" customWidth="1"/>
    <col min="8968" max="8968" width="11.5703125" style="199" customWidth="1"/>
    <col min="8969" max="8969" width="9.140625" style="199"/>
    <col min="8970" max="8970" width="11.28515625" style="199" bestFit="1" customWidth="1"/>
    <col min="8971" max="9216" width="9.140625" style="199"/>
    <col min="9217" max="9217" width="8.85546875" style="199" customWidth="1"/>
    <col min="9218" max="9218" width="30.42578125" style="199" customWidth="1"/>
    <col min="9219" max="9220" width="7.5703125" style="199" customWidth="1"/>
    <col min="9221" max="9221" width="9.140625" style="199"/>
    <col min="9222" max="9222" width="10.28515625" style="199" customWidth="1"/>
    <col min="9223" max="9223" width="11.140625" style="199" customWidth="1"/>
    <col min="9224" max="9224" width="11.5703125" style="199" customWidth="1"/>
    <col min="9225" max="9225" width="9.140625" style="199"/>
    <col min="9226" max="9226" width="11.28515625" style="199" bestFit="1" customWidth="1"/>
    <col min="9227" max="9472" width="9.140625" style="199"/>
    <col min="9473" max="9473" width="8.85546875" style="199" customWidth="1"/>
    <col min="9474" max="9474" width="30.42578125" style="199" customWidth="1"/>
    <col min="9475" max="9476" width="7.5703125" style="199" customWidth="1"/>
    <col min="9477" max="9477" width="9.140625" style="199"/>
    <col min="9478" max="9478" width="10.28515625" style="199" customWidth="1"/>
    <col min="9479" max="9479" width="11.140625" style="199" customWidth="1"/>
    <col min="9480" max="9480" width="11.5703125" style="199" customWidth="1"/>
    <col min="9481" max="9481" width="9.140625" style="199"/>
    <col min="9482" max="9482" width="11.28515625" style="199" bestFit="1" customWidth="1"/>
    <col min="9483" max="9728" width="9.140625" style="199"/>
    <col min="9729" max="9729" width="8.85546875" style="199" customWidth="1"/>
    <col min="9730" max="9730" width="30.42578125" style="199" customWidth="1"/>
    <col min="9731" max="9732" width="7.5703125" style="199" customWidth="1"/>
    <col min="9733" max="9733" width="9.140625" style="199"/>
    <col min="9734" max="9734" width="10.28515625" style="199" customWidth="1"/>
    <col min="9735" max="9735" width="11.140625" style="199" customWidth="1"/>
    <col min="9736" max="9736" width="11.5703125" style="199" customWidth="1"/>
    <col min="9737" max="9737" width="9.140625" style="199"/>
    <col min="9738" max="9738" width="11.28515625" style="199" bestFit="1" customWidth="1"/>
    <col min="9739" max="9984" width="9.140625" style="199"/>
    <col min="9985" max="9985" width="8.85546875" style="199" customWidth="1"/>
    <col min="9986" max="9986" width="30.42578125" style="199" customWidth="1"/>
    <col min="9987" max="9988" width="7.5703125" style="199" customWidth="1"/>
    <col min="9989" max="9989" width="9.140625" style="199"/>
    <col min="9990" max="9990" width="10.28515625" style="199" customWidth="1"/>
    <col min="9991" max="9991" width="11.140625" style="199" customWidth="1"/>
    <col min="9992" max="9992" width="11.5703125" style="199" customWidth="1"/>
    <col min="9993" max="9993" width="9.140625" style="199"/>
    <col min="9994" max="9994" width="11.28515625" style="199" bestFit="1" customWidth="1"/>
    <col min="9995" max="10240" width="9.140625" style="199"/>
    <col min="10241" max="10241" width="8.85546875" style="199" customWidth="1"/>
    <col min="10242" max="10242" width="30.42578125" style="199" customWidth="1"/>
    <col min="10243" max="10244" width="7.5703125" style="199" customWidth="1"/>
    <col min="10245" max="10245" width="9.140625" style="199"/>
    <col min="10246" max="10246" width="10.28515625" style="199" customWidth="1"/>
    <col min="10247" max="10247" width="11.140625" style="199" customWidth="1"/>
    <col min="10248" max="10248" width="11.5703125" style="199" customWidth="1"/>
    <col min="10249" max="10249" width="9.140625" style="199"/>
    <col min="10250" max="10250" width="11.28515625" style="199" bestFit="1" customWidth="1"/>
    <col min="10251" max="10496" width="9.140625" style="199"/>
    <col min="10497" max="10497" width="8.85546875" style="199" customWidth="1"/>
    <col min="10498" max="10498" width="30.42578125" style="199" customWidth="1"/>
    <col min="10499" max="10500" width="7.5703125" style="199" customWidth="1"/>
    <col min="10501" max="10501" width="9.140625" style="199"/>
    <col min="10502" max="10502" width="10.28515625" style="199" customWidth="1"/>
    <col min="10503" max="10503" width="11.140625" style="199" customWidth="1"/>
    <col min="10504" max="10504" width="11.5703125" style="199" customWidth="1"/>
    <col min="10505" max="10505" width="9.140625" style="199"/>
    <col min="10506" max="10506" width="11.28515625" style="199" bestFit="1" customWidth="1"/>
    <col min="10507" max="10752" width="9.140625" style="199"/>
    <col min="10753" max="10753" width="8.85546875" style="199" customWidth="1"/>
    <col min="10754" max="10754" width="30.42578125" style="199" customWidth="1"/>
    <col min="10755" max="10756" width="7.5703125" style="199" customWidth="1"/>
    <col min="10757" max="10757" width="9.140625" style="199"/>
    <col min="10758" max="10758" width="10.28515625" style="199" customWidth="1"/>
    <col min="10759" max="10759" width="11.140625" style="199" customWidth="1"/>
    <col min="10760" max="10760" width="11.5703125" style="199" customWidth="1"/>
    <col min="10761" max="10761" width="9.140625" style="199"/>
    <col min="10762" max="10762" width="11.28515625" style="199" bestFit="1" customWidth="1"/>
    <col min="10763" max="11008" width="9.140625" style="199"/>
    <col min="11009" max="11009" width="8.85546875" style="199" customWidth="1"/>
    <col min="11010" max="11010" width="30.42578125" style="199" customWidth="1"/>
    <col min="11011" max="11012" width="7.5703125" style="199" customWidth="1"/>
    <col min="11013" max="11013" width="9.140625" style="199"/>
    <col min="11014" max="11014" width="10.28515625" style="199" customWidth="1"/>
    <col min="11015" max="11015" width="11.140625" style="199" customWidth="1"/>
    <col min="11016" max="11016" width="11.5703125" style="199" customWidth="1"/>
    <col min="11017" max="11017" width="9.140625" style="199"/>
    <col min="11018" max="11018" width="11.28515625" style="199" bestFit="1" customWidth="1"/>
    <col min="11019" max="11264" width="9.140625" style="199"/>
    <col min="11265" max="11265" width="8.85546875" style="199" customWidth="1"/>
    <col min="11266" max="11266" width="30.42578125" style="199" customWidth="1"/>
    <col min="11267" max="11268" width="7.5703125" style="199" customWidth="1"/>
    <col min="11269" max="11269" width="9.140625" style="199"/>
    <col min="11270" max="11270" width="10.28515625" style="199" customWidth="1"/>
    <col min="11271" max="11271" width="11.140625" style="199" customWidth="1"/>
    <col min="11272" max="11272" width="11.5703125" style="199" customWidth="1"/>
    <col min="11273" max="11273" width="9.140625" style="199"/>
    <col min="11274" max="11274" width="11.28515625" style="199" bestFit="1" customWidth="1"/>
    <col min="11275" max="11520" width="9.140625" style="199"/>
    <col min="11521" max="11521" width="8.85546875" style="199" customWidth="1"/>
    <col min="11522" max="11522" width="30.42578125" style="199" customWidth="1"/>
    <col min="11523" max="11524" width="7.5703125" style="199" customWidth="1"/>
    <col min="11525" max="11525" width="9.140625" style="199"/>
    <col min="11526" max="11526" width="10.28515625" style="199" customWidth="1"/>
    <col min="11527" max="11527" width="11.140625" style="199" customWidth="1"/>
    <col min="11528" max="11528" width="11.5703125" style="199" customWidth="1"/>
    <col min="11529" max="11529" width="9.140625" style="199"/>
    <col min="11530" max="11530" width="11.28515625" style="199" bestFit="1" customWidth="1"/>
    <col min="11531" max="11776" width="9.140625" style="199"/>
    <col min="11777" max="11777" width="8.85546875" style="199" customWidth="1"/>
    <col min="11778" max="11778" width="30.42578125" style="199" customWidth="1"/>
    <col min="11779" max="11780" width="7.5703125" style="199" customWidth="1"/>
    <col min="11781" max="11781" width="9.140625" style="199"/>
    <col min="11782" max="11782" width="10.28515625" style="199" customWidth="1"/>
    <col min="11783" max="11783" width="11.140625" style="199" customWidth="1"/>
    <col min="11784" max="11784" width="11.5703125" style="199" customWidth="1"/>
    <col min="11785" max="11785" width="9.140625" style="199"/>
    <col min="11786" max="11786" width="11.28515625" style="199" bestFit="1" customWidth="1"/>
    <col min="11787" max="12032" width="9.140625" style="199"/>
    <col min="12033" max="12033" width="8.85546875" style="199" customWidth="1"/>
    <col min="12034" max="12034" width="30.42578125" style="199" customWidth="1"/>
    <col min="12035" max="12036" width="7.5703125" style="199" customWidth="1"/>
    <col min="12037" max="12037" width="9.140625" style="199"/>
    <col min="12038" max="12038" width="10.28515625" style="199" customWidth="1"/>
    <col min="12039" max="12039" width="11.140625" style="199" customWidth="1"/>
    <col min="12040" max="12040" width="11.5703125" style="199" customWidth="1"/>
    <col min="12041" max="12041" width="9.140625" style="199"/>
    <col min="12042" max="12042" width="11.28515625" style="199" bestFit="1" customWidth="1"/>
    <col min="12043" max="12288" width="9.140625" style="199"/>
    <col min="12289" max="12289" width="8.85546875" style="199" customWidth="1"/>
    <col min="12290" max="12290" width="30.42578125" style="199" customWidth="1"/>
    <col min="12291" max="12292" width="7.5703125" style="199" customWidth="1"/>
    <col min="12293" max="12293" width="9.140625" style="199"/>
    <col min="12294" max="12294" width="10.28515625" style="199" customWidth="1"/>
    <col min="12295" max="12295" width="11.140625" style="199" customWidth="1"/>
    <col min="12296" max="12296" width="11.5703125" style="199" customWidth="1"/>
    <col min="12297" max="12297" width="9.140625" style="199"/>
    <col min="12298" max="12298" width="11.28515625" style="199" bestFit="1" customWidth="1"/>
    <col min="12299" max="12544" width="9.140625" style="199"/>
    <col min="12545" max="12545" width="8.85546875" style="199" customWidth="1"/>
    <col min="12546" max="12546" width="30.42578125" style="199" customWidth="1"/>
    <col min="12547" max="12548" width="7.5703125" style="199" customWidth="1"/>
    <col min="12549" max="12549" width="9.140625" style="199"/>
    <col min="12550" max="12550" width="10.28515625" style="199" customWidth="1"/>
    <col min="12551" max="12551" width="11.140625" style="199" customWidth="1"/>
    <col min="12552" max="12552" width="11.5703125" style="199" customWidth="1"/>
    <col min="12553" max="12553" width="9.140625" style="199"/>
    <col min="12554" max="12554" width="11.28515625" style="199" bestFit="1" customWidth="1"/>
    <col min="12555" max="12800" width="9.140625" style="199"/>
    <col min="12801" max="12801" width="8.85546875" style="199" customWidth="1"/>
    <col min="12802" max="12802" width="30.42578125" style="199" customWidth="1"/>
    <col min="12803" max="12804" width="7.5703125" style="199" customWidth="1"/>
    <col min="12805" max="12805" width="9.140625" style="199"/>
    <col min="12806" max="12806" width="10.28515625" style="199" customWidth="1"/>
    <col min="12807" max="12807" width="11.140625" style="199" customWidth="1"/>
    <col min="12808" max="12808" width="11.5703125" style="199" customWidth="1"/>
    <col min="12809" max="12809" width="9.140625" style="199"/>
    <col min="12810" max="12810" width="11.28515625" style="199" bestFit="1" customWidth="1"/>
    <col min="12811" max="13056" width="9.140625" style="199"/>
    <col min="13057" max="13057" width="8.85546875" style="199" customWidth="1"/>
    <col min="13058" max="13058" width="30.42578125" style="199" customWidth="1"/>
    <col min="13059" max="13060" width="7.5703125" style="199" customWidth="1"/>
    <col min="13061" max="13061" width="9.140625" style="199"/>
    <col min="13062" max="13062" width="10.28515625" style="199" customWidth="1"/>
    <col min="13063" max="13063" width="11.140625" style="199" customWidth="1"/>
    <col min="13064" max="13064" width="11.5703125" style="199" customWidth="1"/>
    <col min="13065" max="13065" width="9.140625" style="199"/>
    <col min="13066" max="13066" width="11.28515625" style="199" bestFit="1" customWidth="1"/>
    <col min="13067" max="13312" width="9.140625" style="199"/>
    <col min="13313" max="13313" width="8.85546875" style="199" customWidth="1"/>
    <col min="13314" max="13314" width="30.42578125" style="199" customWidth="1"/>
    <col min="13315" max="13316" width="7.5703125" style="199" customWidth="1"/>
    <col min="13317" max="13317" width="9.140625" style="199"/>
    <col min="13318" max="13318" width="10.28515625" style="199" customWidth="1"/>
    <col min="13319" max="13319" width="11.140625" style="199" customWidth="1"/>
    <col min="13320" max="13320" width="11.5703125" style="199" customWidth="1"/>
    <col min="13321" max="13321" width="9.140625" style="199"/>
    <col min="13322" max="13322" width="11.28515625" style="199" bestFit="1" customWidth="1"/>
    <col min="13323" max="13568" width="9.140625" style="199"/>
    <col min="13569" max="13569" width="8.85546875" style="199" customWidth="1"/>
    <col min="13570" max="13570" width="30.42578125" style="199" customWidth="1"/>
    <col min="13571" max="13572" width="7.5703125" style="199" customWidth="1"/>
    <col min="13573" max="13573" width="9.140625" style="199"/>
    <col min="13574" max="13574" width="10.28515625" style="199" customWidth="1"/>
    <col min="13575" max="13575" width="11.140625" style="199" customWidth="1"/>
    <col min="13576" max="13576" width="11.5703125" style="199" customWidth="1"/>
    <col min="13577" max="13577" width="9.140625" style="199"/>
    <col min="13578" max="13578" width="11.28515625" style="199" bestFit="1" customWidth="1"/>
    <col min="13579" max="13824" width="9.140625" style="199"/>
    <col min="13825" max="13825" width="8.85546875" style="199" customWidth="1"/>
    <col min="13826" max="13826" width="30.42578125" style="199" customWidth="1"/>
    <col min="13827" max="13828" width="7.5703125" style="199" customWidth="1"/>
    <col min="13829" max="13829" width="9.140625" style="199"/>
    <col min="13830" max="13830" width="10.28515625" style="199" customWidth="1"/>
    <col min="13831" max="13831" width="11.140625" style="199" customWidth="1"/>
    <col min="13832" max="13832" width="11.5703125" style="199" customWidth="1"/>
    <col min="13833" max="13833" width="9.140625" style="199"/>
    <col min="13834" max="13834" width="11.28515625" style="199" bestFit="1" customWidth="1"/>
    <col min="13835" max="14080" width="9.140625" style="199"/>
    <col min="14081" max="14081" width="8.85546875" style="199" customWidth="1"/>
    <col min="14082" max="14082" width="30.42578125" style="199" customWidth="1"/>
    <col min="14083" max="14084" width="7.5703125" style="199" customWidth="1"/>
    <col min="14085" max="14085" width="9.140625" style="199"/>
    <col min="14086" max="14086" width="10.28515625" style="199" customWidth="1"/>
    <col min="14087" max="14087" width="11.140625" style="199" customWidth="1"/>
    <col min="14088" max="14088" width="11.5703125" style="199" customWidth="1"/>
    <col min="14089" max="14089" width="9.140625" style="199"/>
    <col min="14090" max="14090" width="11.28515625" style="199" bestFit="1" customWidth="1"/>
    <col min="14091" max="14336" width="9.140625" style="199"/>
    <col min="14337" max="14337" width="8.85546875" style="199" customWidth="1"/>
    <col min="14338" max="14338" width="30.42578125" style="199" customWidth="1"/>
    <col min="14339" max="14340" width="7.5703125" style="199" customWidth="1"/>
    <col min="14341" max="14341" width="9.140625" style="199"/>
    <col min="14342" max="14342" width="10.28515625" style="199" customWidth="1"/>
    <col min="14343" max="14343" width="11.140625" style="199" customWidth="1"/>
    <col min="14344" max="14344" width="11.5703125" style="199" customWidth="1"/>
    <col min="14345" max="14345" width="9.140625" style="199"/>
    <col min="14346" max="14346" width="11.28515625" style="199" bestFit="1" customWidth="1"/>
    <col min="14347" max="14592" width="9.140625" style="199"/>
    <col min="14593" max="14593" width="8.85546875" style="199" customWidth="1"/>
    <col min="14594" max="14594" width="30.42578125" style="199" customWidth="1"/>
    <col min="14595" max="14596" width="7.5703125" style="199" customWidth="1"/>
    <col min="14597" max="14597" width="9.140625" style="199"/>
    <col min="14598" max="14598" width="10.28515625" style="199" customWidth="1"/>
    <col min="14599" max="14599" width="11.140625" style="199" customWidth="1"/>
    <col min="14600" max="14600" width="11.5703125" style="199" customWidth="1"/>
    <col min="14601" max="14601" width="9.140625" style="199"/>
    <col min="14602" max="14602" width="11.28515625" style="199" bestFit="1" customWidth="1"/>
    <col min="14603" max="14848" width="9.140625" style="199"/>
    <col min="14849" max="14849" width="8.85546875" style="199" customWidth="1"/>
    <col min="14850" max="14850" width="30.42578125" style="199" customWidth="1"/>
    <col min="14851" max="14852" width="7.5703125" style="199" customWidth="1"/>
    <col min="14853" max="14853" width="9.140625" style="199"/>
    <col min="14854" max="14854" width="10.28515625" style="199" customWidth="1"/>
    <col min="14855" max="14855" width="11.140625" style="199" customWidth="1"/>
    <col min="14856" max="14856" width="11.5703125" style="199" customWidth="1"/>
    <col min="14857" max="14857" width="9.140625" style="199"/>
    <col min="14858" max="14858" width="11.28515625" style="199" bestFit="1" customWidth="1"/>
    <col min="14859" max="15104" width="9.140625" style="199"/>
    <col min="15105" max="15105" width="8.85546875" style="199" customWidth="1"/>
    <col min="15106" max="15106" width="30.42578125" style="199" customWidth="1"/>
    <col min="15107" max="15108" width="7.5703125" style="199" customWidth="1"/>
    <col min="15109" max="15109" width="9.140625" style="199"/>
    <col min="15110" max="15110" width="10.28515625" style="199" customWidth="1"/>
    <col min="15111" max="15111" width="11.140625" style="199" customWidth="1"/>
    <col min="15112" max="15112" width="11.5703125" style="199" customWidth="1"/>
    <col min="15113" max="15113" width="9.140625" style="199"/>
    <col min="15114" max="15114" width="11.28515625" style="199" bestFit="1" customWidth="1"/>
    <col min="15115" max="15360" width="9.140625" style="199"/>
    <col min="15361" max="15361" width="8.85546875" style="199" customWidth="1"/>
    <col min="15362" max="15362" width="30.42578125" style="199" customWidth="1"/>
    <col min="15363" max="15364" width="7.5703125" style="199" customWidth="1"/>
    <col min="15365" max="15365" width="9.140625" style="199"/>
    <col min="15366" max="15366" width="10.28515625" style="199" customWidth="1"/>
    <col min="15367" max="15367" width="11.140625" style="199" customWidth="1"/>
    <col min="15368" max="15368" width="11.5703125" style="199" customWidth="1"/>
    <col min="15369" max="15369" width="9.140625" style="199"/>
    <col min="15370" max="15370" width="11.28515625" style="199" bestFit="1" customWidth="1"/>
    <col min="15371" max="15616" width="9.140625" style="199"/>
    <col min="15617" max="15617" width="8.85546875" style="199" customWidth="1"/>
    <col min="15618" max="15618" width="30.42578125" style="199" customWidth="1"/>
    <col min="15619" max="15620" width="7.5703125" style="199" customWidth="1"/>
    <col min="15621" max="15621" width="9.140625" style="199"/>
    <col min="15622" max="15622" width="10.28515625" style="199" customWidth="1"/>
    <col min="15623" max="15623" width="11.140625" style="199" customWidth="1"/>
    <col min="15624" max="15624" width="11.5703125" style="199" customWidth="1"/>
    <col min="15625" max="15625" width="9.140625" style="199"/>
    <col min="15626" max="15626" width="11.28515625" style="199" bestFit="1" customWidth="1"/>
    <col min="15627" max="15872" width="9.140625" style="199"/>
    <col min="15873" max="15873" width="8.85546875" style="199" customWidth="1"/>
    <col min="15874" max="15874" width="30.42578125" style="199" customWidth="1"/>
    <col min="15875" max="15876" width="7.5703125" style="199" customWidth="1"/>
    <col min="15877" max="15877" width="9.140625" style="199"/>
    <col min="15878" max="15878" width="10.28515625" style="199" customWidth="1"/>
    <col min="15879" max="15879" width="11.140625" style="199" customWidth="1"/>
    <col min="15880" max="15880" width="11.5703125" style="199" customWidth="1"/>
    <col min="15881" max="15881" width="9.140625" style="199"/>
    <col min="15882" max="15882" width="11.28515625" style="199" bestFit="1" customWidth="1"/>
    <col min="15883" max="16128" width="9.140625" style="199"/>
    <col min="16129" max="16129" width="8.85546875" style="199" customWidth="1"/>
    <col min="16130" max="16130" width="30.42578125" style="199" customWidth="1"/>
    <col min="16131" max="16132" width="7.5703125" style="199" customWidth="1"/>
    <col min="16133" max="16133" width="9.140625" style="199"/>
    <col min="16134" max="16134" width="10.28515625" style="199" customWidth="1"/>
    <col min="16135" max="16135" width="11.140625" style="199" customWidth="1"/>
    <col min="16136" max="16136" width="11.5703125" style="199" customWidth="1"/>
    <col min="16137" max="16137" width="9.140625" style="199"/>
    <col min="16138" max="16138" width="11.28515625" style="199" bestFit="1" customWidth="1"/>
    <col min="16139" max="16384" width="9.140625" style="199"/>
  </cols>
  <sheetData>
    <row r="1" spans="1:8" ht="13.5" thickBot="1">
      <c r="A1" s="204"/>
      <c r="B1" s="204"/>
      <c r="C1" s="204"/>
      <c r="D1" s="204"/>
      <c r="E1" s="204"/>
      <c r="F1" s="204"/>
      <c r="G1" s="204"/>
      <c r="H1" s="204"/>
    </row>
    <row r="2" spans="1:8" ht="12.75" customHeight="1">
      <c r="A2" s="630" t="s">
        <v>85</v>
      </c>
      <c r="B2" s="632" t="s">
        <v>506</v>
      </c>
      <c r="C2" s="632"/>
      <c r="D2" s="632"/>
      <c r="E2" s="633"/>
      <c r="F2" s="636"/>
      <c r="G2" s="637"/>
      <c r="H2" s="638"/>
    </row>
    <row r="3" spans="1:8" ht="12.75" customHeight="1">
      <c r="A3" s="631"/>
      <c r="B3" s="634"/>
      <c r="C3" s="634"/>
      <c r="D3" s="634"/>
      <c r="E3" s="635"/>
      <c r="F3" s="639"/>
      <c r="G3" s="640"/>
      <c r="H3" s="641"/>
    </row>
    <row r="4" spans="1:8" ht="30.75" customHeight="1">
      <c r="A4" s="631"/>
      <c r="B4" s="634"/>
      <c r="C4" s="634"/>
      <c r="D4" s="634"/>
      <c r="E4" s="635"/>
      <c r="F4" s="639"/>
      <c r="G4" s="640"/>
      <c r="H4" s="641"/>
    </row>
    <row r="5" spans="1:8" ht="13.5" thickBot="1">
      <c r="A5" s="645" t="s">
        <v>87</v>
      </c>
      <c r="B5" s="646"/>
      <c r="C5" s="646"/>
      <c r="D5" s="646"/>
      <c r="E5" s="647"/>
      <c r="F5" s="642"/>
      <c r="G5" s="643"/>
      <c r="H5" s="644"/>
    </row>
    <row r="6" spans="1:8" ht="27" thickBot="1">
      <c r="A6" s="648" t="s">
        <v>88</v>
      </c>
      <c r="B6" s="649"/>
      <c r="C6" s="207"/>
      <c r="D6" s="207"/>
      <c r="E6" s="208"/>
      <c r="F6" s="209" t="s">
        <v>89</v>
      </c>
      <c r="G6" s="650" t="s">
        <v>514</v>
      </c>
      <c r="H6" s="651"/>
    </row>
    <row r="7" spans="1:8" ht="33" customHeight="1" thickBot="1">
      <c r="A7" s="652" t="s">
        <v>507</v>
      </c>
      <c r="B7" s="653"/>
      <c r="C7" s="653"/>
      <c r="D7" s="653"/>
      <c r="E7" s="654"/>
      <c r="F7" s="210" t="s">
        <v>91</v>
      </c>
      <c r="G7" s="211" t="s">
        <v>508</v>
      </c>
      <c r="H7" s="212" t="s">
        <v>92</v>
      </c>
    </row>
    <row r="8" spans="1:8" ht="29.25" customHeight="1" thickBot="1">
      <c r="A8" s="655"/>
      <c r="B8" s="656"/>
      <c r="C8" s="656"/>
      <c r="D8" s="656"/>
      <c r="E8" s="657"/>
      <c r="F8" s="211" t="s">
        <v>515</v>
      </c>
      <c r="G8" s="210" t="s">
        <v>509</v>
      </c>
      <c r="H8" s="213"/>
    </row>
    <row r="9" spans="1:8" ht="12" customHeight="1">
      <c r="A9" s="658" t="s">
        <v>385</v>
      </c>
      <c r="B9" s="658"/>
      <c r="C9" s="214"/>
      <c r="D9" s="214"/>
      <c r="E9" s="214"/>
      <c r="F9" s="215"/>
      <c r="G9" s="216"/>
      <c r="H9" s="217"/>
    </row>
    <row r="10" spans="1:8" ht="12" customHeight="1">
      <c r="A10" s="323"/>
      <c r="B10" s="660" t="s">
        <v>386</v>
      </c>
      <c r="C10" s="661"/>
      <c r="D10" s="661"/>
      <c r="E10" s="661"/>
      <c r="F10" s="661"/>
      <c r="G10" s="661"/>
      <c r="H10" s="662"/>
    </row>
    <row r="11" spans="1:8" ht="12" customHeight="1">
      <c r="A11" s="324">
        <v>1</v>
      </c>
      <c r="B11" s="659" t="s">
        <v>571</v>
      </c>
      <c r="C11" s="659"/>
      <c r="D11" s="659"/>
      <c r="E11" s="659"/>
      <c r="F11" s="659"/>
      <c r="G11" s="659"/>
      <c r="H11" s="659"/>
    </row>
    <row r="12" spans="1:8" s="221" customFormat="1" ht="12" customHeight="1">
      <c r="A12" s="324">
        <v>2</v>
      </c>
      <c r="B12" s="659" t="s">
        <v>510</v>
      </c>
      <c r="C12" s="659"/>
      <c r="D12" s="659"/>
      <c r="E12" s="659"/>
      <c r="F12" s="659"/>
      <c r="G12" s="659"/>
      <c r="H12" s="659"/>
    </row>
    <row r="13" spans="1:8" s="325" customFormat="1" ht="12" customHeight="1">
      <c r="A13" s="326">
        <v>3</v>
      </c>
      <c r="B13" s="659" t="s">
        <v>511</v>
      </c>
      <c r="C13" s="659"/>
      <c r="D13" s="659"/>
      <c r="E13" s="659"/>
      <c r="F13" s="659"/>
      <c r="G13" s="659"/>
      <c r="H13" s="659"/>
    </row>
    <row r="14" spans="1:8" s="204" customFormat="1" ht="12" customHeight="1">
      <c r="A14" s="324">
        <v>4</v>
      </c>
      <c r="B14" s="622" t="s">
        <v>512</v>
      </c>
      <c r="C14" s="623"/>
      <c r="D14" s="623"/>
      <c r="E14" s="623"/>
      <c r="F14" s="623"/>
      <c r="G14" s="623"/>
      <c r="H14" s="624"/>
    </row>
    <row r="15" spans="1:8" s="204" customFormat="1" ht="12" customHeight="1">
      <c r="A15" s="324">
        <v>5</v>
      </c>
      <c r="B15" s="622" t="s">
        <v>572</v>
      </c>
      <c r="C15" s="623"/>
      <c r="D15" s="623"/>
      <c r="E15" s="623"/>
      <c r="F15" s="623"/>
      <c r="G15" s="623"/>
      <c r="H15" s="624"/>
    </row>
    <row r="16" spans="1:8" s="325" customFormat="1" ht="12" customHeight="1">
      <c r="A16" s="326">
        <v>6</v>
      </c>
      <c r="B16" s="622" t="s">
        <v>513</v>
      </c>
      <c r="C16" s="623"/>
      <c r="D16" s="623"/>
      <c r="E16" s="623"/>
      <c r="F16" s="623"/>
      <c r="G16" s="623"/>
      <c r="H16" s="624"/>
    </row>
    <row r="17" spans="1:15">
      <c r="A17" s="665"/>
      <c r="B17" s="665"/>
      <c r="C17" s="665"/>
      <c r="D17" s="665"/>
      <c r="E17" s="665"/>
      <c r="F17" s="665"/>
      <c r="G17" s="665"/>
      <c r="H17" s="665"/>
    </row>
    <row r="18" spans="1:15" ht="12.75" customHeight="1">
      <c r="A18" s="664" t="s">
        <v>1</v>
      </c>
      <c r="B18" s="664" t="s">
        <v>2</v>
      </c>
      <c r="C18" s="664" t="s">
        <v>3</v>
      </c>
      <c r="D18" s="664" t="s">
        <v>69</v>
      </c>
      <c r="E18" s="664" t="s">
        <v>94</v>
      </c>
      <c r="F18" s="664" t="s">
        <v>95</v>
      </c>
      <c r="G18" s="664" t="s">
        <v>82</v>
      </c>
      <c r="H18" s="664" t="s">
        <v>4</v>
      </c>
    </row>
    <row r="19" spans="1:15" ht="18" customHeight="1">
      <c r="A19" s="664"/>
      <c r="B19" s="664"/>
      <c r="C19" s="664"/>
      <c r="D19" s="664"/>
      <c r="E19" s="664"/>
      <c r="F19" s="664"/>
      <c r="G19" s="664"/>
      <c r="H19" s="664"/>
    </row>
    <row r="20" spans="1:15" ht="20.100000000000001" customHeight="1">
      <c r="A20" s="242"/>
      <c r="B20" s="243" t="s">
        <v>420</v>
      </c>
      <c r="C20" s="242"/>
      <c r="D20" s="242"/>
      <c r="E20" s="242"/>
      <c r="F20" s="242"/>
      <c r="G20" s="242"/>
      <c r="H20" s="244"/>
      <c r="J20" s="193" t="s">
        <v>94</v>
      </c>
      <c r="K20" s="193" t="s">
        <v>95</v>
      </c>
    </row>
    <row r="21" spans="1:15" ht="12.75" customHeight="1">
      <c r="A21" s="218">
        <v>1</v>
      </c>
      <c r="B21" s="337" t="s">
        <v>96</v>
      </c>
      <c r="C21" s="34"/>
      <c r="D21" s="200"/>
      <c r="E21" s="200"/>
      <c r="F21" s="200"/>
      <c r="G21" s="200"/>
      <c r="H21" s="329"/>
    </row>
    <row r="22" spans="1:15" ht="12.75" customHeight="1">
      <c r="A22" s="327" t="s">
        <v>10</v>
      </c>
      <c r="B22" s="239" t="s">
        <v>778</v>
      </c>
      <c r="C22" s="327"/>
      <c r="D22" s="327"/>
      <c r="E22" s="327"/>
      <c r="F22" s="327"/>
      <c r="G22" s="327"/>
      <c r="H22" s="338"/>
      <c r="J22" s="199">
        <v>83.5</v>
      </c>
      <c r="K22" s="199">
        <v>48.3</v>
      </c>
      <c r="L22" s="199">
        <f>J22*K22</f>
        <v>4033.0499999999997</v>
      </c>
    </row>
    <row r="23" spans="1:15" ht="12.75" customHeight="1">
      <c r="A23" s="218"/>
      <c r="B23" s="35" t="s">
        <v>98</v>
      </c>
      <c r="C23" s="34" t="s">
        <v>11</v>
      </c>
      <c r="D23" s="36">
        <f>D80</f>
        <v>4</v>
      </c>
      <c r="E23" s="37">
        <f>E80+0.3*2</f>
        <v>3.6</v>
      </c>
      <c r="F23" s="38">
        <f>F80+0.3*2</f>
        <v>4.0999999999999996</v>
      </c>
      <c r="G23" s="39">
        <v>1</v>
      </c>
      <c r="H23" s="39">
        <f>D23*E23*F23*G23</f>
        <v>59.04</v>
      </c>
      <c r="J23" s="199">
        <f>J22*3.28</f>
        <v>273.88</v>
      </c>
      <c r="K23" s="199">
        <f>K22*3.28</f>
        <v>158.42399999999998</v>
      </c>
      <c r="L23" s="199">
        <f>J23*K23</f>
        <v>43389.165119999991</v>
      </c>
    </row>
    <row r="24" spans="1:15" s="290" customFormat="1" ht="12.75" customHeight="1">
      <c r="A24" s="218"/>
      <c r="B24" s="35" t="s">
        <v>99</v>
      </c>
      <c r="C24" s="34" t="s">
        <v>11</v>
      </c>
      <c r="D24" s="36">
        <f t="shared" ref="D24:D28" si="0">D81</f>
        <v>22</v>
      </c>
      <c r="E24" s="37">
        <f t="shared" ref="E24:F28" si="1">E81+0.3*2</f>
        <v>3.1</v>
      </c>
      <c r="F24" s="38">
        <f t="shared" si="1"/>
        <v>3.6</v>
      </c>
      <c r="G24" s="39">
        <v>1</v>
      </c>
      <c r="H24" s="39">
        <f t="shared" ref="H24:H28" si="2">D24*E24*F24*G24</f>
        <v>245.52</v>
      </c>
    </row>
    <row r="25" spans="1:15" ht="12.75" customHeight="1">
      <c r="A25" s="218"/>
      <c r="B25" s="35" t="s">
        <v>100</v>
      </c>
      <c r="C25" s="34" t="s">
        <v>11</v>
      </c>
      <c r="D25" s="36">
        <f t="shared" si="0"/>
        <v>10</v>
      </c>
      <c r="E25" s="37">
        <f t="shared" si="1"/>
        <v>3.8000000000000003</v>
      </c>
      <c r="F25" s="38">
        <f t="shared" si="1"/>
        <v>4.0999999999999996</v>
      </c>
      <c r="G25" s="39">
        <v>1</v>
      </c>
      <c r="H25" s="39">
        <f t="shared" si="2"/>
        <v>155.79999999999998</v>
      </c>
      <c r="I25" s="290"/>
    </row>
    <row r="26" spans="1:15" ht="15">
      <c r="A26" s="218"/>
      <c r="B26" s="35" t="s">
        <v>101</v>
      </c>
      <c r="C26" s="34" t="s">
        <v>11</v>
      </c>
      <c r="D26" s="36">
        <f t="shared" si="0"/>
        <v>6</v>
      </c>
      <c r="E26" s="37">
        <f t="shared" si="1"/>
        <v>3.1</v>
      </c>
      <c r="F26" s="38">
        <f t="shared" si="1"/>
        <v>3.4</v>
      </c>
      <c r="G26" s="39">
        <v>1</v>
      </c>
      <c r="H26" s="39">
        <f t="shared" si="2"/>
        <v>63.24</v>
      </c>
      <c r="I26" s="290"/>
      <c r="K26" s="204"/>
    </row>
    <row r="27" spans="1:15" ht="15">
      <c r="A27" s="218"/>
      <c r="B27" s="35" t="s">
        <v>102</v>
      </c>
      <c r="C27" s="34" t="s">
        <v>11</v>
      </c>
      <c r="D27" s="36">
        <f t="shared" si="0"/>
        <v>0</v>
      </c>
      <c r="E27" s="37">
        <f t="shared" si="1"/>
        <v>0.6</v>
      </c>
      <c r="F27" s="38">
        <f t="shared" si="1"/>
        <v>0.6</v>
      </c>
      <c r="G27" s="39">
        <v>1</v>
      </c>
      <c r="H27" s="39">
        <f t="shared" si="2"/>
        <v>0</v>
      </c>
      <c r="I27" s="290"/>
      <c r="K27" s="204"/>
      <c r="L27" s="204"/>
      <c r="M27" s="204"/>
      <c r="O27" s="204"/>
    </row>
    <row r="28" spans="1:15" s="204" customFormat="1" ht="15">
      <c r="A28" s="218"/>
      <c r="B28" s="35" t="s">
        <v>344</v>
      </c>
      <c r="C28" s="34" t="s">
        <v>11</v>
      </c>
      <c r="D28" s="36">
        <f t="shared" si="0"/>
        <v>0</v>
      </c>
      <c r="E28" s="37">
        <f t="shared" si="1"/>
        <v>0.6</v>
      </c>
      <c r="F28" s="38">
        <f t="shared" si="1"/>
        <v>0.6</v>
      </c>
      <c r="G28" s="39">
        <v>1</v>
      </c>
      <c r="H28" s="39">
        <f t="shared" si="2"/>
        <v>0</v>
      </c>
      <c r="I28" s="290"/>
    </row>
    <row r="29" spans="1:15" ht="15">
      <c r="A29" s="218"/>
      <c r="B29" s="35"/>
      <c r="C29" s="34"/>
      <c r="D29" s="36"/>
      <c r="E29" s="37"/>
      <c r="K29" s="204"/>
      <c r="L29" s="204"/>
      <c r="M29" s="204"/>
      <c r="O29" s="204"/>
    </row>
    <row r="30" spans="1:15" s="204" customFormat="1" ht="28.5">
      <c r="A30" s="218"/>
      <c r="B30" s="545" t="s">
        <v>770</v>
      </c>
      <c r="C30" s="404" t="s">
        <v>11</v>
      </c>
      <c r="D30" s="405">
        <v>1</v>
      </c>
      <c r="E30" s="406">
        <f>6.25+3*2</f>
        <v>12.25</v>
      </c>
      <c r="F30" s="406">
        <v>0.6</v>
      </c>
      <c r="G30" s="406">
        <v>0.4</v>
      </c>
      <c r="H30" s="406">
        <f t="shared" ref="H30" si="3">D30*E30*F30*G30</f>
        <v>2.94</v>
      </c>
    </row>
    <row r="31" spans="1:15" s="529" customFormat="1" ht="15">
      <c r="A31" s="218"/>
      <c r="B31" s="239"/>
      <c r="C31" s="34"/>
      <c r="D31" s="36"/>
      <c r="E31" s="37"/>
      <c r="F31" s="616" t="s">
        <v>65</v>
      </c>
      <c r="G31" s="616"/>
      <c r="H31" s="40">
        <f>ROUND(SUM(H23:H30),0)</f>
        <v>527</v>
      </c>
    </row>
    <row r="32" spans="1:15" ht="15.75">
      <c r="A32" s="327" t="s">
        <v>12</v>
      </c>
      <c r="B32" s="239" t="s">
        <v>103</v>
      </c>
      <c r="C32" s="327"/>
      <c r="D32" s="327"/>
      <c r="E32" s="327"/>
      <c r="F32" s="327"/>
      <c r="G32" s="327"/>
      <c r="H32" s="338"/>
      <c r="K32" s="204"/>
      <c r="L32" s="204"/>
      <c r="M32" s="204"/>
      <c r="O32" s="204"/>
    </row>
    <row r="33" spans="1:15" ht="15">
      <c r="A33" s="218"/>
      <c r="B33" s="35" t="s">
        <v>98</v>
      </c>
      <c r="C33" s="34" t="s">
        <v>11</v>
      </c>
      <c r="D33" s="36">
        <f t="shared" ref="D33:F38" si="4">D23</f>
        <v>4</v>
      </c>
      <c r="E33" s="37">
        <f t="shared" si="4"/>
        <v>3.6</v>
      </c>
      <c r="F33" s="37">
        <f t="shared" si="4"/>
        <v>4.0999999999999996</v>
      </c>
      <c r="G33" s="39">
        <v>0</v>
      </c>
      <c r="H33" s="39">
        <f>D33*E33*F33*G33</f>
        <v>0</v>
      </c>
      <c r="K33" s="204"/>
      <c r="L33" s="204"/>
      <c r="M33" s="204"/>
      <c r="O33" s="204"/>
    </row>
    <row r="34" spans="1:15" s="290" customFormat="1" ht="15">
      <c r="A34" s="218"/>
      <c r="B34" s="35" t="s">
        <v>99</v>
      </c>
      <c r="C34" s="34" t="s">
        <v>11</v>
      </c>
      <c r="D34" s="36">
        <f t="shared" si="4"/>
        <v>22</v>
      </c>
      <c r="E34" s="37">
        <f t="shared" si="4"/>
        <v>3.1</v>
      </c>
      <c r="F34" s="37">
        <f t="shared" si="4"/>
        <v>3.6</v>
      </c>
      <c r="G34" s="39">
        <v>0</v>
      </c>
      <c r="H34" s="39">
        <f t="shared" ref="H34:H38" si="5">D34*E34*F34*G34</f>
        <v>0</v>
      </c>
    </row>
    <row r="35" spans="1:15" ht="15">
      <c r="A35" s="218"/>
      <c r="B35" s="35" t="s">
        <v>100</v>
      </c>
      <c r="C35" s="34" t="s">
        <v>11</v>
      </c>
      <c r="D35" s="36">
        <f t="shared" si="4"/>
        <v>10</v>
      </c>
      <c r="E35" s="37">
        <f t="shared" si="4"/>
        <v>3.8000000000000003</v>
      </c>
      <c r="F35" s="37">
        <f t="shared" si="4"/>
        <v>4.0999999999999996</v>
      </c>
      <c r="G35" s="39">
        <v>0</v>
      </c>
      <c r="H35" s="39">
        <f t="shared" si="5"/>
        <v>0</v>
      </c>
      <c r="J35" s="290"/>
      <c r="K35" s="204"/>
      <c r="L35" s="204"/>
      <c r="M35" s="204"/>
      <c r="O35" s="204"/>
    </row>
    <row r="36" spans="1:15" ht="15">
      <c r="A36" s="218"/>
      <c r="B36" s="35" t="s">
        <v>101</v>
      </c>
      <c r="C36" s="34" t="s">
        <v>11</v>
      </c>
      <c r="D36" s="36">
        <f t="shared" si="4"/>
        <v>6</v>
      </c>
      <c r="E36" s="37">
        <f t="shared" si="4"/>
        <v>3.1</v>
      </c>
      <c r="F36" s="37">
        <f t="shared" si="4"/>
        <v>3.4</v>
      </c>
      <c r="G36" s="39">
        <v>0</v>
      </c>
      <c r="H36" s="39">
        <f t="shared" si="5"/>
        <v>0</v>
      </c>
      <c r="J36" s="290"/>
      <c r="K36" s="41"/>
    </row>
    <row r="37" spans="1:15" ht="15">
      <c r="A37" s="218"/>
      <c r="B37" s="35" t="s">
        <v>102</v>
      </c>
      <c r="C37" s="34" t="s">
        <v>11</v>
      </c>
      <c r="D37" s="36">
        <f t="shared" si="4"/>
        <v>0</v>
      </c>
      <c r="E37" s="37">
        <f t="shared" si="4"/>
        <v>0.6</v>
      </c>
      <c r="F37" s="37">
        <f t="shared" si="4"/>
        <v>0.6</v>
      </c>
      <c r="G37" s="39">
        <v>0</v>
      </c>
      <c r="H37" s="39">
        <f t="shared" si="5"/>
        <v>0</v>
      </c>
      <c r="J37" s="290"/>
      <c r="K37" s="41"/>
    </row>
    <row r="38" spans="1:15" s="204" customFormat="1" ht="15">
      <c r="A38" s="218"/>
      <c r="B38" s="35" t="s">
        <v>344</v>
      </c>
      <c r="C38" s="34" t="s">
        <v>11</v>
      </c>
      <c r="D38" s="36">
        <f t="shared" si="4"/>
        <v>0</v>
      </c>
      <c r="E38" s="37">
        <f t="shared" si="4"/>
        <v>0.6</v>
      </c>
      <c r="F38" s="37">
        <f t="shared" si="4"/>
        <v>0.6</v>
      </c>
      <c r="G38" s="39">
        <v>0</v>
      </c>
      <c r="H38" s="39">
        <f t="shared" si="5"/>
        <v>0</v>
      </c>
      <c r="J38" s="290"/>
      <c r="K38" s="41"/>
    </row>
    <row r="39" spans="1:15" ht="15">
      <c r="A39" s="218"/>
      <c r="B39" s="35"/>
      <c r="C39" s="34"/>
      <c r="D39" s="36"/>
      <c r="E39" s="37"/>
      <c r="F39" s="616" t="s">
        <v>65</v>
      </c>
      <c r="G39" s="616"/>
      <c r="H39" s="40">
        <f>ROUND(SUM(H33:H38),0)</f>
        <v>0</v>
      </c>
      <c r="J39" s="49"/>
      <c r="K39" s="41"/>
    </row>
    <row r="40" spans="1:15" s="576" customFormat="1" ht="28.5">
      <c r="A40" s="568" t="s">
        <v>13</v>
      </c>
      <c r="B40" s="569" t="s">
        <v>775</v>
      </c>
      <c r="C40" s="570" t="s">
        <v>11</v>
      </c>
      <c r="D40" s="571"/>
      <c r="E40" s="572"/>
      <c r="F40" s="573"/>
      <c r="G40" s="574"/>
      <c r="H40" s="575">
        <f>0.4*(H31+H39)</f>
        <v>210.8</v>
      </c>
      <c r="K40" s="577"/>
    </row>
    <row r="41" spans="1:15" s="529" customFormat="1">
      <c r="A41" s="218"/>
      <c r="K41" s="41"/>
    </row>
    <row r="42" spans="1:15" s="576" customFormat="1" ht="28.5">
      <c r="A42" s="568" t="s">
        <v>13</v>
      </c>
      <c r="B42" s="569" t="s">
        <v>776</v>
      </c>
      <c r="C42" s="570" t="s">
        <v>11</v>
      </c>
      <c r="D42" s="571"/>
      <c r="E42" s="572"/>
      <c r="F42" s="573"/>
      <c r="G42" s="574"/>
      <c r="H42" s="575">
        <f>0.6*(H31+H39)</f>
        <v>316.2</v>
      </c>
      <c r="K42" s="577"/>
    </row>
    <row r="43" spans="1:15" s="530" customFormat="1" ht="15">
      <c r="A43" s="218"/>
      <c r="B43" s="545"/>
      <c r="C43" s="404"/>
      <c r="D43" s="405"/>
      <c r="E43" s="406"/>
      <c r="F43" s="407"/>
      <c r="G43" s="408"/>
      <c r="H43" s="417"/>
      <c r="K43" s="41"/>
    </row>
    <row r="44" spans="1:15" ht="15">
      <c r="A44" s="218" t="s">
        <v>407</v>
      </c>
      <c r="B44" s="239" t="s">
        <v>105</v>
      </c>
      <c r="C44" s="34" t="s">
        <v>11</v>
      </c>
      <c r="D44" s="200"/>
      <c r="E44" s="37"/>
      <c r="F44" s="38"/>
      <c r="G44" s="39"/>
      <c r="H44" s="39">
        <f>(H31+H39)-SUM(H68:H73)-H86-SUM(H54:H59)-H95</f>
        <v>173.11099999999999</v>
      </c>
      <c r="I44" s="287"/>
      <c r="K44" s="41"/>
    </row>
    <row r="45" spans="1:15" ht="15">
      <c r="A45" s="218" t="s">
        <v>408</v>
      </c>
      <c r="B45" s="239" t="s">
        <v>107</v>
      </c>
      <c r="C45" s="34"/>
      <c r="D45" s="200"/>
      <c r="E45" s="37"/>
      <c r="F45" s="38"/>
      <c r="G45" s="39"/>
      <c r="H45" s="39"/>
      <c r="K45" s="41"/>
    </row>
    <row r="46" spans="1:15" ht="15">
      <c r="A46" s="218"/>
      <c r="B46" s="35" t="s">
        <v>108</v>
      </c>
      <c r="C46" s="34" t="s">
        <v>11</v>
      </c>
      <c r="D46" s="36">
        <v>1</v>
      </c>
      <c r="E46" s="37">
        <f>J22-0.25*2</f>
        <v>83</v>
      </c>
      <c r="F46" s="38">
        <f>K22-0.25*2</f>
        <v>47.8</v>
      </c>
      <c r="G46" s="39">
        <f>1.3-0.17-0.25-0.05</f>
        <v>0.83000000000000007</v>
      </c>
      <c r="H46" s="39">
        <f>ROUND(D46*E46*F46*G46,0)</f>
        <v>3293</v>
      </c>
      <c r="K46" s="50"/>
    </row>
    <row r="47" spans="1:15" s="529" customFormat="1" ht="15">
      <c r="A47" s="218"/>
      <c r="B47" s="546" t="s">
        <v>756</v>
      </c>
      <c r="C47" s="404" t="s">
        <v>11</v>
      </c>
      <c r="D47" s="405">
        <v>1</v>
      </c>
      <c r="E47" s="625">
        <f>(6.25*3*1)-(1.9*2.85*0.6)</f>
        <v>15.500999999999999</v>
      </c>
      <c r="F47" s="626"/>
      <c r="G47" s="562">
        <v>0</v>
      </c>
      <c r="H47" s="408">
        <f>D47*E47</f>
        <v>15.500999999999999</v>
      </c>
      <c r="K47" s="50"/>
    </row>
    <row r="48" spans="1:15" s="221" customFormat="1" ht="15">
      <c r="A48" s="218"/>
      <c r="B48" s="35"/>
      <c r="C48" s="34"/>
      <c r="D48" s="36"/>
      <c r="E48" s="37"/>
      <c r="F48" s="666" t="s">
        <v>65</v>
      </c>
      <c r="G48" s="667"/>
      <c r="H48" s="39">
        <f>SUM(H46:H47)</f>
        <v>3308.5010000000002</v>
      </c>
      <c r="K48" s="41"/>
    </row>
    <row r="49" spans="1:11" ht="15">
      <c r="A49" s="218"/>
      <c r="B49" s="35" t="s">
        <v>109</v>
      </c>
      <c r="C49" s="34" t="s">
        <v>11</v>
      </c>
      <c r="D49" s="36">
        <v>1</v>
      </c>
      <c r="E49" s="37"/>
      <c r="F49" s="38"/>
      <c r="G49" s="39"/>
      <c r="H49" s="40">
        <f>ROUND(H31+H39-H44,0)</f>
        <v>354</v>
      </c>
      <c r="I49" s="287"/>
      <c r="K49" s="41"/>
    </row>
    <row r="50" spans="1:11" ht="15">
      <c r="A50" s="218"/>
      <c r="B50" s="35" t="s">
        <v>110</v>
      </c>
      <c r="C50" s="34" t="s">
        <v>11</v>
      </c>
      <c r="D50" s="36">
        <v>1</v>
      </c>
      <c r="E50" s="37"/>
      <c r="F50" s="38"/>
      <c r="G50" s="39"/>
      <c r="H50" s="40">
        <f>ROUND(H48-H49,0)</f>
        <v>2955</v>
      </c>
      <c r="K50" s="41"/>
    </row>
    <row r="51" spans="1:11" ht="15">
      <c r="A51" s="218"/>
      <c r="B51" s="35"/>
      <c r="C51" s="34"/>
      <c r="D51" s="36"/>
      <c r="E51" s="37"/>
      <c r="F51" s="38"/>
      <c r="G51" s="39"/>
      <c r="H51" s="40"/>
      <c r="K51" s="41"/>
    </row>
    <row r="52" spans="1:11" ht="15">
      <c r="A52" s="218">
        <v>3</v>
      </c>
      <c r="B52" s="239" t="s">
        <v>111</v>
      </c>
      <c r="C52" s="34"/>
      <c r="D52" s="36"/>
      <c r="E52" s="37"/>
      <c r="F52" s="38"/>
      <c r="G52" s="39"/>
      <c r="H52" s="39"/>
      <c r="K52" s="41"/>
    </row>
    <row r="53" spans="1:11" s="237" customFormat="1" ht="15">
      <c r="A53" s="218"/>
      <c r="B53" s="239" t="s">
        <v>112</v>
      </c>
      <c r="C53" s="34"/>
      <c r="D53" s="36"/>
      <c r="E53" s="37"/>
      <c r="F53" s="38"/>
      <c r="G53" s="39"/>
      <c r="H53" s="39"/>
      <c r="K53" s="41"/>
    </row>
    <row r="54" spans="1:11" s="237" customFormat="1" ht="15">
      <c r="A54" s="218"/>
      <c r="B54" s="35" t="s">
        <v>98</v>
      </c>
      <c r="C54" s="34" t="s">
        <v>11</v>
      </c>
      <c r="D54" s="36">
        <f t="shared" ref="D54:F59" si="6">D23</f>
        <v>4</v>
      </c>
      <c r="E54" s="37">
        <f t="shared" si="6"/>
        <v>3.6</v>
      </c>
      <c r="F54" s="37">
        <f t="shared" si="6"/>
        <v>4.0999999999999996</v>
      </c>
      <c r="G54" s="39">
        <v>0</v>
      </c>
      <c r="H54" s="39">
        <f t="shared" ref="H54:H59" si="7">D54*E54*F54*G54</f>
        <v>0</v>
      </c>
      <c r="K54" s="41"/>
    </row>
    <row r="55" spans="1:11" s="290" customFormat="1" ht="15">
      <c r="A55" s="218"/>
      <c r="B55" s="35" t="s">
        <v>99</v>
      </c>
      <c r="C55" s="34" t="s">
        <v>11</v>
      </c>
      <c r="D55" s="36">
        <f t="shared" si="6"/>
        <v>22</v>
      </c>
      <c r="E55" s="37">
        <f t="shared" si="6"/>
        <v>3.1</v>
      </c>
      <c r="F55" s="37">
        <f t="shared" si="6"/>
        <v>3.6</v>
      </c>
      <c r="G55" s="39">
        <v>0</v>
      </c>
      <c r="H55" s="39">
        <f t="shared" si="7"/>
        <v>0</v>
      </c>
      <c r="K55" s="41"/>
    </row>
    <row r="56" spans="1:11" s="237" customFormat="1" ht="15">
      <c r="A56" s="218"/>
      <c r="B56" s="35" t="s">
        <v>100</v>
      </c>
      <c r="C56" s="34" t="s">
        <v>11</v>
      </c>
      <c r="D56" s="36">
        <f t="shared" si="6"/>
        <v>10</v>
      </c>
      <c r="E56" s="37">
        <f t="shared" si="6"/>
        <v>3.8000000000000003</v>
      </c>
      <c r="F56" s="37">
        <f t="shared" si="6"/>
        <v>4.0999999999999996</v>
      </c>
      <c r="G56" s="39">
        <v>0</v>
      </c>
      <c r="H56" s="39">
        <f t="shared" si="7"/>
        <v>0</v>
      </c>
      <c r="K56" s="41"/>
    </row>
    <row r="57" spans="1:11" s="237" customFormat="1" ht="15">
      <c r="A57" s="218"/>
      <c r="B57" s="35" t="s">
        <v>101</v>
      </c>
      <c r="C57" s="34" t="s">
        <v>11</v>
      </c>
      <c r="D57" s="36">
        <f t="shared" si="6"/>
        <v>6</v>
      </c>
      <c r="E57" s="37">
        <f t="shared" si="6"/>
        <v>3.1</v>
      </c>
      <c r="F57" s="37">
        <f t="shared" si="6"/>
        <v>3.4</v>
      </c>
      <c r="G57" s="39">
        <v>0</v>
      </c>
      <c r="H57" s="39">
        <f t="shared" si="7"/>
        <v>0</v>
      </c>
      <c r="K57" s="41"/>
    </row>
    <row r="58" spans="1:11" s="237" customFormat="1" ht="15">
      <c r="A58" s="218"/>
      <c r="B58" s="35" t="s">
        <v>102</v>
      </c>
      <c r="C58" s="34" t="s">
        <v>11</v>
      </c>
      <c r="D58" s="36">
        <f t="shared" si="6"/>
        <v>0</v>
      </c>
      <c r="E58" s="37">
        <f t="shared" si="6"/>
        <v>0.6</v>
      </c>
      <c r="F58" s="37">
        <f t="shared" si="6"/>
        <v>0.6</v>
      </c>
      <c r="G58" s="39">
        <v>0</v>
      </c>
      <c r="H58" s="39">
        <f t="shared" si="7"/>
        <v>0</v>
      </c>
      <c r="K58" s="41"/>
    </row>
    <row r="59" spans="1:11" s="237" customFormat="1" ht="15">
      <c r="A59" s="218"/>
      <c r="B59" s="35" t="s">
        <v>344</v>
      </c>
      <c r="C59" s="34" t="s">
        <v>11</v>
      </c>
      <c r="D59" s="36">
        <f t="shared" si="6"/>
        <v>0</v>
      </c>
      <c r="E59" s="37">
        <f t="shared" si="6"/>
        <v>0.6</v>
      </c>
      <c r="F59" s="37">
        <f t="shared" si="6"/>
        <v>0.6</v>
      </c>
      <c r="G59" s="39">
        <v>0</v>
      </c>
      <c r="H59" s="39">
        <f t="shared" si="7"/>
        <v>0</v>
      </c>
      <c r="K59" s="41"/>
    </row>
    <row r="60" spans="1:11" s="529" customFormat="1" ht="15">
      <c r="A60" s="218"/>
      <c r="B60" s="546" t="s">
        <v>757</v>
      </c>
      <c r="C60" s="404" t="s">
        <v>11</v>
      </c>
      <c r="D60" s="405">
        <v>1</v>
      </c>
      <c r="E60" s="406">
        <v>6.25</v>
      </c>
      <c r="F60" s="406">
        <v>3</v>
      </c>
      <c r="G60" s="408">
        <v>0.25</v>
      </c>
      <c r="H60" s="408">
        <f>D60*E60*F60*G60</f>
        <v>4.6875</v>
      </c>
      <c r="K60" s="41"/>
    </row>
    <row r="61" spans="1:11" ht="15">
      <c r="A61" s="218"/>
      <c r="B61" s="35"/>
      <c r="C61" s="34"/>
      <c r="D61" s="36"/>
      <c r="E61" s="37"/>
      <c r="F61" s="620" t="s">
        <v>65</v>
      </c>
      <c r="G61" s="621"/>
      <c r="H61" s="40">
        <f>ROUND(SUM(H54:H60),0)</f>
        <v>5</v>
      </c>
      <c r="K61" s="41"/>
    </row>
    <row r="62" spans="1:11" ht="15">
      <c r="A62" s="218"/>
      <c r="B62" s="35"/>
      <c r="C62" s="34"/>
      <c r="D62" s="36"/>
      <c r="E62" s="37"/>
      <c r="F62" s="38"/>
      <c r="G62" s="39"/>
      <c r="H62" s="39"/>
      <c r="K62" s="41"/>
    </row>
    <row r="63" spans="1:11" ht="15">
      <c r="A63" s="218">
        <v>4</v>
      </c>
      <c r="B63" s="239" t="s">
        <v>115</v>
      </c>
      <c r="C63" s="34" t="s">
        <v>16</v>
      </c>
      <c r="D63" s="36">
        <v>1</v>
      </c>
      <c r="E63" s="37">
        <f>J22</f>
        <v>83.5</v>
      </c>
      <c r="F63" s="38">
        <f>K22</f>
        <v>48.3</v>
      </c>
      <c r="G63" s="39"/>
      <c r="H63" s="39">
        <f>D63*E63*F63</f>
        <v>4033.0499999999997</v>
      </c>
      <c r="K63" s="41"/>
    </row>
    <row r="64" spans="1:11" ht="15">
      <c r="A64" s="218"/>
      <c r="B64" s="35"/>
      <c r="C64" s="34"/>
      <c r="D64" s="36"/>
      <c r="E64" s="37"/>
      <c r="F64" s="616" t="s">
        <v>65</v>
      </c>
      <c r="G64" s="616"/>
      <c r="H64" s="40">
        <f>ROUND(SUM(H63:H63),0)</f>
        <v>4033</v>
      </c>
      <c r="K64" s="41"/>
    </row>
    <row r="65" spans="1:11" ht="15">
      <c r="A65" s="218"/>
      <c r="B65" s="35"/>
      <c r="C65" s="34"/>
      <c r="D65" s="36"/>
      <c r="E65" s="37"/>
      <c r="F65" s="38"/>
      <c r="G65" s="39"/>
      <c r="H65" s="39"/>
      <c r="K65" s="41"/>
    </row>
    <row r="66" spans="1:11" ht="15">
      <c r="A66" s="218">
        <v>5</v>
      </c>
      <c r="B66" s="239" t="s">
        <v>117</v>
      </c>
      <c r="C66" s="34"/>
      <c r="D66" s="36"/>
      <c r="E66" s="37"/>
      <c r="F66" s="38"/>
      <c r="G66" s="39"/>
      <c r="H66" s="39"/>
      <c r="K66" s="41"/>
    </row>
    <row r="67" spans="1:11" ht="15">
      <c r="A67" s="218"/>
      <c r="B67" s="239" t="s">
        <v>112</v>
      </c>
      <c r="C67" s="34"/>
      <c r="D67" s="36"/>
      <c r="E67" s="37"/>
      <c r="F67" s="38"/>
      <c r="G67" s="39"/>
      <c r="H67" s="39"/>
      <c r="K67" s="41"/>
    </row>
    <row r="68" spans="1:11" ht="15">
      <c r="A68" s="218"/>
      <c r="B68" s="35" t="s">
        <v>98</v>
      </c>
      <c r="C68" s="34" t="s">
        <v>11</v>
      </c>
      <c r="D68" s="36">
        <f>D80</f>
        <v>4</v>
      </c>
      <c r="E68" s="37">
        <f>E80+0.15*2</f>
        <v>3.3</v>
      </c>
      <c r="F68" s="37">
        <f>F80+0.15*2</f>
        <v>3.8</v>
      </c>
      <c r="G68" s="339">
        <v>7.4999999999999997E-2</v>
      </c>
      <c r="H68" s="39">
        <f>D68*E68*F68*G68</f>
        <v>3.7619999999999996</v>
      </c>
      <c r="K68" s="41"/>
    </row>
    <row r="69" spans="1:11" s="290" customFormat="1" ht="15">
      <c r="A69" s="218"/>
      <c r="B69" s="35" t="s">
        <v>99</v>
      </c>
      <c r="C69" s="34" t="s">
        <v>11</v>
      </c>
      <c r="D69" s="36">
        <f t="shared" ref="D69:D73" si="8">D81</f>
        <v>22</v>
      </c>
      <c r="E69" s="37">
        <f t="shared" ref="E69:F73" si="9">E81+0.15*2</f>
        <v>2.8</v>
      </c>
      <c r="F69" s="37">
        <f t="shared" si="9"/>
        <v>3.3</v>
      </c>
      <c r="G69" s="339">
        <v>7.4999999999999997E-2</v>
      </c>
      <c r="H69" s="39">
        <f t="shared" ref="H69:H73" si="10">D69*E69*F69*G69</f>
        <v>15.245999999999997</v>
      </c>
      <c r="K69" s="41"/>
    </row>
    <row r="70" spans="1:11" ht="15">
      <c r="A70" s="218"/>
      <c r="B70" s="35" t="s">
        <v>100</v>
      </c>
      <c r="C70" s="34" t="s">
        <v>11</v>
      </c>
      <c r="D70" s="36">
        <f t="shared" si="8"/>
        <v>10</v>
      </c>
      <c r="E70" s="37">
        <f t="shared" si="9"/>
        <v>3.5</v>
      </c>
      <c r="F70" s="37">
        <f t="shared" si="9"/>
        <v>3.8</v>
      </c>
      <c r="G70" s="339">
        <v>7.4999999999999997E-2</v>
      </c>
      <c r="H70" s="39">
        <f t="shared" si="10"/>
        <v>9.9749999999999996</v>
      </c>
      <c r="K70" s="41"/>
    </row>
    <row r="71" spans="1:11" ht="15">
      <c r="A71" s="218"/>
      <c r="B71" s="35" t="s">
        <v>101</v>
      </c>
      <c r="C71" s="34" t="s">
        <v>11</v>
      </c>
      <c r="D71" s="36">
        <f t="shared" si="8"/>
        <v>6</v>
      </c>
      <c r="E71" s="37">
        <f t="shared" si="9"/>
        <v>2.8</v>
      </c>
      <c r="F71" s="37">
        <f t="shared" si="9"/>
        <v>3.0999999999999996</v>
      </c>
      <c r="G71" s="339">
        <v>7.4999999999999997E-2</v>
      </c>
      <c r="H71" s="39">
        <f t="shared" si="10"/>
        <v>3.9059999999999988</v>
      </c>
      <c r="J71" s="290"/>
      <c r="K71" s="41"/>
    </row>
    <row r="72" spans="1:11" ht="15">
      <c r="A72" s="218"/>
      <c r="B72" s="35" t="s">
        <v>102</v>
      </c>
      <c r="C72" s="34" t="s">
        <v>11</v>
      </c>
      <c r="D72" s="36">
        <f t="shared" si="8"/>
        <v>0</v>
      </c>
      <c r="E72" s="37">
        <f>E84+0.15*2</f>
        <v>0.3</v>
      </c>
      <c r="F72" s="37">
        <f t="shared" si="9"/>
        <v>0.3</v>
      </c>
      <c r="G72" s="339">
        <v>7.4999999999999997E-2</v>
      </c>
      <c r="H72" s="39">
        <f t="shared" si="10"/>
        <v>0</v>
      </c>
      <c r="J72" s="290"/>
      <c r="K72" s="41"/>
    </row>
    <row r="73" spans="1:11" s="204" customFormat="1" ht="15">
      <c r="A73" s="218"/>
      <c r="B73" s="35" t="s">
        <v>344</v>
      </c>
      <c r="C73" s="34" t="s">
        <v>11</v>
      </c>
      <c r="D73" s="36">
        <f t="shared" si="8"/>
        <v>0</v>
      </c>
      <c r="E73" s="37">
        <f t="shared" si="9"/>
        <v>0.3</v>
      </c>
      <c r="F73" s="37">
        <f t="shared" si="9"/>
        <v>0.3</v>
      </c>
      <c r="G73" s="339">
        <v>7.4999999999999997E-2</v>
      </c>
      <c r="H73" s="39">
        <f t="shared" si="10"/>
        <v>0</v>
      </c>
      <c r="J73" s="290"/>
      <c r="K73" s="41"/>
    </row>
    <row r="74" spans="1:11" s="204" customFormat="1" ht="15">
      <c r="A74" s="218"/>
      <c r="B74" s="35"/>
      <c r="C74" s="34"/>
      <c r="D74" s="36"/>
      <c r="E74" s="37"/>
      <c r="F74" s="37"/>
      <c r="G74" s="339"/>
      <c r="H74" s="39"/>
      <c r="K74" s="41"/>
    </row>
    <row r="75" spans="1:11" ht="15">
      <c r="A75" s="218"/>
      <c r="B75" s="106" t="s">
        <v>118</v>
      </c>
      <c r="C75" s="34"/>
      <c r="D75" s="36"/>
      <c r="E75" s="37"/>
      <c r="F75" s="38"/>
      <c r="G75" s="339"/>
      <c r="H75" s="39"/>
      <c r="K75" s="41"/>
    </row>
    <row r="76" spans="1:11" ht="15">
      <c r="A76" s="218"/>
      <c r="B76" s="106" t="s">
        <v>119</v>
      </c>
      <c r="C76" s="34" t="s">
        <v>11</v>
      </c>
      <c r="D76" s="36">
        <f>D99</f>
        <v>1</v>
      </c>
      <c r="E76" s="37">
        <f>E99</f>
        <v>180.1</v>
      </c>
      <c r="F76" s="38">
        <f>F99+0.075*2</f>
        <v>0.4</v>
      </c>
      <c r="G76" s="339">
        <v>7.4999999999999997E-2</v>
      </c>
      <c r="H76" s="39">
        <f>D76*E76*F76*G76</f>
        <v>5.4030000000000005</v>
      </c>
      <c r="K76" s="41"/>
    </row>
    <row r="77" spans="1:11" ht="15">
      <c r="A77" s="218"/>
      <c r="B77" s="239"/>
      <c r="C77" s="34"/>
      <c r="D77" s="36"/>
      <c r="E77" s="37"/>
      <c r="F77" s="663" t="s">
        <v>65</v>
      </c>
      <c r="G77" s="663"/>
      <c r="H77" s="40">
        <f>ROUND(SUM(H67:H76),0)</f>
        <v>38</v>
      </c>
      <c r="K77" s="41"/>
    </row>
    <row r="78" spans="1:11" ht="15">
      <c r="A78" s="218">
        <v>6</v>
      </c>
      <c r="B78" s="239" t="s">
        <v>126</v>
      </c>
      <c r="C78" s="34"/>
      <c r="D78" s="36"/>
      <c r="E78" s="37"/>
      <c r="F78" s="38"/>
      <c r="G78" s="39"/>
      <c r="H78" s="39"/>
      <c r="K78" s="41"/>
    </row>
    <row r="79" spans="1:11" ht="15">
      <c r="A79" s="218"/>
      <c r="B79" s="239" t="s">
        <v>112</v>
      </c>
      <c r="C79" s="34"/>
      <c r="D79" s="36"/>
      <c r="E79" s="37"/>
      <c r="F79" s="38"/>
      <c r="G79" s="39"/>
      <c r="H79" s="39"/>
      <c r="K79" s="41"/>
    </row>
    <row r="80" spans="1:11" ht="15">
      <c r="A80" s="218"/>
      <c r="B80" s="35" t="s">
        <v>98</v>
      </c>
      <c r="C80" s="34" t="s">
        <v>11</v>
      </c>
      <c r="D80" s="36">
        <v>4</v>
      </c>
      <c r="E80" s="37">
        <v>3</v>
      </c>
      <c r="F80" s="38">
        <v>3.5</v>
      </c>
      <c r="G80" s="39">
        <v>0.8</v>
      </c>
      <c r="H80" s="39">
        <f t="shared" ref="H80:H85" si="11">D80*E80*F80*G80</f>
        <v>33.6</v>
      </c>
      <c r="K80" s="41"/>
    </row>
    <row r="81" spans="1:13" s="290" customFormat="1" ht="15">
      <c r="A81" s="218"/>
      <c r="B81" s="35" t="s">
        <v>99</v>
      </c>
      <c r="C81" s="34" t="s">
        <v>11</v>
      </c>
      <c r="D81" s="36">
        <f>11*2</f>
        <v>22</v>
      </c>
      <c r="E81" s="37">
        <v>2.5</v>
      </c>
      <c r="F81" s="38">
        <v>3</v>
      </c>
      <c r="G81" s="39">
        <v>0.65</v>
      </c>
      <c r="H81" s="39">
        <f t="shared" si="11"/>
        <v>107.25</v>
      </c>
      <c r="K81" s="41"/>
    </row>
    <row r="82" spans="1:13" ht="15">
      <c r="A82" s="218"/>
      <c r="B82" s="35" t="s">
        <v>100</v>
      </c>
      <c r="C82" s="34" t="s">
        <v>11</v>
      </c>
      <c r="D82" s="36">
        <f>5*2</f>
        <v>10</v>
      </c>
      <c r="E82" s="37">
        <v>3.2</v>
      </c>
      <c r="F82" s="38">
        <v>3.5</v>
      </c>
      <c r="G82" s="39">
        <v>0.65</v>
      </c>
      <c r="H82" s="39">
        <f t="shared" si="11"/>
        <v>72.8</v>
      </c>
      <c r="J82" s="221"/>
      <c r="K82" s="41"/>
    </row>
    <row r="83" spans="1:13" ht="15">
      <c r="A83" s="218"/>
      <c r="B83" s="35" t="s">
        <v>101</v>
      </c>
      <c r="C83" s="34" t="s">
        <v>11</v>
      </c>
      <c r="D83" s="36">
        <v>6</v>
      </c>
      <c r="E83" s="37">
        <v>2.5</v>
      </c>
      <c r="F83" s="38">
        <v>2.8</v>
      </c>
      <c r="G83" s="39">
        <v>0.65</v>
      </c>
      <c r="H83" s="39">
        <f t="shared" si="11"/>
        <v>27.3</v>
      </c>
      <c r="J83" s="290"/>
      <c r="K83" s="41"/>
    </row>
    <row r="84" spans="1:13" ht="15">
      <c r="A84" s="218"/>
      <c r="B84" s="35" t="s">
        <v>102</v>
      </c>
      <c r="C84" s="34" t="s">
        <v>11</v>
      </c>
      <c r="D84" s="36">
        <v>0</v>
      </c>
      <c r="E84" s="37">
        <v>0</v>
      </c>
      <c r="F84" s="38">
        <v>0</v>
      </c>
      <c r="G84" s="39">
        <v>0</v>
      </c>
      <c r="H84" s="39">
        <f t="shared" si="11"/>
        <v>0</v>
      </c>
      <c r="J84" s="290"/>
      <c r="K84" s="41"/>
    </row>
    <row r="85" spans="1:13" s="204" customFormat="1" ht="15">
      <c r="A85" s="218"/>
      <c r="B85" s="35" t="s">
        <v>344</v>
      </c>
      <c r="C85" s="34" t="s">
        <v>11</v>
      </c>
      <c r="D85" s="36">
        <v>0</v>
      </c>
      <c r="E85" s="37">
        <v>0</v>
      </c>
      <c r="F85" s="38">
        <v>0</v>
      </c>
      <c r="G85" s="39">
        <v>0</v>
      </c>
      <c r="H85" s="39">
        <f t="shared" si="11"/>
        <v>0</v>
      </c>
      <c r="J85" s="290"/>
      <c r="K85" s="41"/>
    </row>
    <row r="86" spans="1:13" ht="15">
      <c r="A86" s="218"/>
      <c r="B86" s="239"/>
      <c r="C86" s="34"/>
      <c r="D86" s="36"/>
      <c r="E86" s="253"/>
      <c r="F86" s="617" t="s">
        <v>65</v>
      </c>
      <c r="G86" s="617"/>
      <c r="H86" s="39">
        <f>ROUND(SUM(H79:H85),0)</f>
        <v>241</v>
      </c>
      <c r="J86" s="290"/>
      <c r="K86" s="48"/>
      <c r="L86" s="49"/>
      <c r="M86" s="49"/>
    </row>
    <row r="87" spans="1:13" s="232" customFormat="1" ht="15">
      <c r="A87" s="218"/>
      <c r="B87" s="239"/>
      <c r="C87" s="34"/>
      <c r="D87" s="36"/>
      <c r="E87" s="253"/>
      <c r="F87" s="616" t="s">
        <v>401</v>
      </c>
      <c r="G87" s="616"/>
      <c r="H87" s="40">
        <f>ROUND(H86+H86*5%,0)</f>
        <v>253</v>
      </c>
      <c r="K87" s="48"/>
      <c r="L87" s="49"/>
      <c r="M87" s="49"/>
    </row>
    <row r="88" spans="1:13" ht="15">
      <c r="A88" s="218"/>
      <c r="B88" s="239" t="s">
        <v>127</v>
      </c>
      <c r="C88" s="34"/>
      <c r="D88" s="36"/>
      <c r="E88" s="37"/>
      <c r="F88" s="616"/>
      <c r="G88" s="616"/>
      <c r="H88" s="40"/>
      <c r="K88" s="41"/>
    </row>
    <row r="89" spans="1:13" ht="15">
      <c r="A89" s="218"/>
      <c r="B89" s="35" t="s">
        <v>128</v>
      </c>
      <c r="C89" s="34" t="s">
        <v>11</v>
      </c>
      <c r="D89" s="36">
        <f t="shared" ref="D89:D94" si="12">D80</f>
        <v>4</v>
      </c>
      <c r="E89" s="37">
        <v>1.2</v>
      </c>
      <c r="F89" s="38">
        <v>0.9</v>
      </c>
      <c r="G89" s="39">
        <f>(1.5+0.6+1.3)-(0.075+G81)</f>
        <v>2.6750000000000003</v>
      </c>
      <c r="H89" s="39">
        <f>D89*E89*F89*G89</f>
        <v>11.556000000000003</v>
      </c>
      <c r="J89" s="204"/>
      <c r="K89" s="50"/>
    </row>
    <row r="90" spans="1:13" s="290" customFormat="1" ht="15">
      <c r="A90" s="218"/>
      <c r="B90" s="35" t="s">
        <v>129</v>
      </c>
      <c r="C90" s="34" t="s">
        <v>11</v>
      </c>
      <c r="D90" s="36">
        <f t="shared" si="12"/>
        <v>22</v>
      </c>
      <c r="E90" s="37">
        <v>1.2</v>
      </c>
      <c r="F90" s="38">
        <v>0.7</v>
      </c>
      <c r="G90" s="39">
        <f>(1.5+0.6+1.3)-(0.075+G82)</f>
        <v>2.6750000000000003</v>
      </c>
      <c r="H90" s="39">
        <f t="shared" ref="H90:H94" si="13">D90*E90*F90*G90</f>
        <v>49.433999999999997</v>
      </c>
      <c r="K90" s="50"/>
    </row>
    <row r="91" spans="1:13" ht="15">
      <c r="A91" s="218"/>
      <c r="B91" s="35" t="s">
        <v>130</v>
      </c>
      <c r="C91" s="34" t="s">
        <v>11</v>
      </c>
      <c r="D91" s="36">
        <f t="shared" si="12"/>
        <v>10</v>
      </c>
      <c r="E91" s="37">
        <v>1.2</v>
      </c>
      <c r="F91" s="38">
        <v>0.4</v>
      </c>
      <c r="G91" s="39">
        <f>(1.5+0.6+1.3)-(0.075+G83)</f>
        <v>2.6750000000000003</v>
      </c>
      <c r="H91" s="39">
        <f t="shared" si="13"/>
        <v>12.840000000000003</v>
      </c>
      <c r="J91" s="221"/>
      <c r="K91" s="50"/>
    </row>
    <row r="92" spans="1:13" ht="15">
      <c r="A92" s="218"/>
      <c r="B92" s="35" t="s">
        <v>131</v>
      </c>
      <c r="C92" s="34" t="s">
        <v>11</v>
      </c>
      <c r="D92" s="36">
        <f t="shared" si="12"/>
        <v>6</v>
      </c>
      <c r="E92" s="37">
        <v>0.75</v>
      </c>
      <c r="F92" s="38">
        <v>0.4</v>
      </c>
      <c r="G92" s="39">
        <f>(1.5+0.6+1.3)-(0.075+G84)</f>
        <v>3.3250000000000002</v>
      </c>
      <c r="H92" s="39">
        <f t="shared" si="13"/>
        <v>5.9850000000000003</v>
      </c>
      <c r="J92" s="235"/>
      <c r="K92" s="41"/>
    </row>
    <row r="93" spans="1:13" ht="15">
      <c r="A93" s="218"/>
      <c r="B93" s="35" t="s">
        <v>132</v>
      </c>
      <c r="C93" s="34" t="s">
        <v>11</v>
      </c>
      <c r="D93" s="36">
        <f t="shared" si="12"/>
        <v>0</v>
      </c>
      <c r="E93" s="37">
        <v>0</v>
      </c>
      <c r="F93" s="38">
        <v>0</v>
      </c>
      <c r="G93" s="39">
        <v>0</v>
      </c>
      <c r="H93" s="39">
        <f t="shared" si="13"/>
        <v>0</v>
      </c>
      <c r="J93" s="221"/>
      <c r="K93" s="41"/>
    </row>
    <row r="94" spans="1:13" s="204" customFormat="1" ht="15">
      <c r="A94" s="218"/>
      <c r="B94" s="35" t="s">
        <v>348</v>
      </c>
      <c r="C94" s="34" t="s">
        <v>11</v>
      </c>
      <c r="D94" s="36">
        <f t="shared" si="12"/>
        <v>0</v>
      </c>
      <c r="E94" s="37">
        <v>0</v>
      </c>
      <c r="F94" s="38">
        <v>0</v>
      </c>
      <c r="G94" s="39">
        <v>0</v>
      </c>
      <c r="H94" s="39">
        <f t="shared" si="13"/>
        <v>0</v>
      </c>
      <c r="J94" s="221"/>
      <c r="K94" s="41"/>
    </row>
    <row r="95" spans="1:13" ht="15">
      <c r="A95" s="218"/>
      <c r="B95" s="35"/>
      <c r="C95" s="34"/>
      <c r="D95" s="36"/>
      <c r="E95" s="37"/>
      <c r="F95" s="617" t="s">
        <v>65</v>
      </c>
      <c r="G95" s="617"/>
      <c r="H95" s="39">
        <f>ROUND(SUM(H89:H94),0)</f>
        <v>80</v>
      </c>
      <c r="K95" s="41"/>
    </row>
    <row r="96" spans="1:13" s="232" customFormat="1" ht="15">
      <c r="A96" s="218"/>
      <c r="B96" s="35"/>
      <c r="C96" s="34"/>
      <c r="D96" s="36"/>
      <c r="E96" s="37"/>
      <c r="F96" s="616" t="s">
        <v>401</v>
      </c>
      <c r="G96" s="616"/>
      <c r="H96" s="40">
        <f>ROUND(H95+H95*5%,0)</f>
        <v>84</v>
      </c>
      <c r="K96" s="41"/>
    </row>
    <row r="97" spans="1:12" ht="15">
      <c r="A97" s="218"/>
      <c r="B97" s="239" t="s">
        <v>135</v>
      </c>
      <c r="C97" s="34"/>
      <c r="D97" s="36"/>
      <c r="E97" s="37"/>
      <c r="F97" s="38"/>
      <c r="G97" s="39"/>
      <c r="H97" s="39"/>
      <c r="K97" s="41"/>
    </row>
    <row r="98" spans="1:12" ht="15">
      <c r="A98" s="218" t="s">
        <v>10</v>
      </c>
      <c r="B98" s="106" t="s">
        <v>136</v>
      </c>
      <c r="C98" s="34"/>
      <c r="D98" s="36"/>
      <c r="E98" s="37"/>
      <c r="F98" s="38"/>
      <c r="G98" s="39"/>
      <c r="H98" s="39"/>
      <c r="K98" s="41"/>
    </row>
    <row r="99" spans="1:12" ht="15">
      <c r="A99" s="218"/>
      <c r="B99" s="106" t="s">
        <v>119</v>
      </c>
      <c r="C99" s="34" t="s">
        <v>11</v>
      </c>
      <c r="D99" s="36">
        <v>1</v>
      </c>
      <c r="E99" s="37">
        <f>(J22+2*K22)</f>
        <v>180.1</v>
      </c>
      <c r="F99" s="38">
        <v>0.25</v>
      </c>
      <c r="G99" s="39">
        <v>1.5</v>
      </c>
      <c r="H99" s="39">
        <f>D99*E99*F99*G99</f>
        <v>67.537499999999994</v>
      </c>
      <c r="K99" s="41"/>
    </row>
    <row r="100" spans="1:12" ht="15">
      <c r="A100" s="218"/>
      <c r="B100" s="106"/>
      <c r="C100" s="34"/>
      <c r="D100" s="36"/>
      <c r="E100" s="37"/>
      <c r="F100" s="617" t="s">
        <v>65</v>
      </c>
      <c r="G100" s="617"/>
      <c r="H100" s="39">
        <f>ROUND(SUM(H98:H99),0)</f>
        <v>68</v>
      </c>
      <c r="K100" s="41"/>
    </row>
    <row r="101" spans="1:12" s="232" customFormat="1" ht="15">
      <c r="A101" s="218"/>
      <c r="B101" s="106"/>
      <c r="C101" s="34"/>
      <c r="D101" s="36"/>
      <c r="E101" s="37"/>
      <c r="F101" s="616" t="s">
        <v>401</v>
      </c>
      <c r="G101" s="616"/>
      <c r="H101" s="40">
        <f>ROUND(H100+H100*5%,0)</f>
        <v>71</v>
      </c>
      <c r="K101" s="41"/>
    </row>
    <row r="102" spans="1:12" ht="15">
      <c r="A102" s="218"/>
      <c r="B102" s="106" t="s">
        <v>687</v>
      </c>
      <c r="C102" s="34" t="s">
        <v>11</v>
      </c>
      <c r="D102" s="36">
        <v>1</v>
      </c>
      <c r="E102" s="37">
        <f>E99</f>
        <v>180.1</v>
      </c>
      <c r="F102" s="381">
        <v>0.23</v>
      </c>
      <c r="G102" s="381">
        <v>0.45</v>
      </c>
      <c r="H102" s="39">
        <f>D102*E102*F102*G102</f>
        <v>18.640350000000002</v>
      </c>
      <c r="J102" s="199">
        <v>0.2</v>
      </c>
      <c r="K102" s="41"/>
    </row>
    <row r="103" spans="1:12" s="384" customFormat="1" ht="15">
      <c r="A103" s="218"/>
      <c r="B103" s="106" t="s">
        <v>688</v>
      </c>
      <c r="C103" s="34" t="s">
        <v>11</v>
      </c>
      <c r="D103" s="36">
        <v>1</v>
      </c>
      <c r="E103" s="37">
        <f>2*4.47+3*4</f>
        <v>20.939999999999998</v>
      </c>
      <c r="F103" s="381">
        <v>0.23</v>
      </c>
      <c r="G103" s="381">
        <v>0.45</v>
      </c>
      <c r="H103" s="39">
        <f>D103*E103*F103*G103</f>
        <v>2.1672899999999999</v>
      </c>
      <c r="K103" s="41"/>
    </row>
    <row r="104" spans="1:12" ht="15">
      <c r="A104" s="218"/>
      <c r="B104" s="239" t="s">
        <v>143</v>
      </c>
      <c r="C104" s="34"/>
      <c r="D104" s="36"/>
      <c r="E104" s="37"/>
      <c r="F104" s="38"/>
      <c r="G104" s="39"/>
      <c r="H104" s="39"/>
      <c r="K104" s="41"/>
    </row>
    <row r="105" spans="1:12" s="233" customFormat="1" ht="15">
      <c r="A105" s="218"/>
      <c r="B105" s="106" t="s">
        <v>483</v>
      </c>
      <c r="C105" s="34" t="s">
        <v>11</v>
      </c>
      <c r="D105" s="36">
        <v>0</v>
      </c>
      <c r="E105" s="37">
        <v>15.4</v>
      </c>
      <c r="F105" s="38">
        <v>15.4</v>
      </c>
      <c r="G105" s="39">
        <v>0.15</v>
      </c>
      <c r="H105" s="254">
        <f t="shared" ref="H105:H110" si="14">D105*E105*F105*G105</f>
        <v>0</v>
      </c>
      <c r="K105" s="41"/>
      <c r="L105" s="549">
        <v>1.3</v>
      </c>
    </row>
    <row r="106" spans="1:12" s="290" customFormat="1" ht="15">
      <c r="A106" s="218"/>
      <c r="B106" s="106" t="s">
        <v>765</v>
      </c>
      <c r="C106" s="34" t="s">
        <v>11</v>
      </c>
      <c r="D106" s="36">
        <v>0</v>
      </c>
      <c r="E106" s="37">
        <v>6.6</v>
      </c>
      <c r="F106" s="38">
        <v>3.15</v>
      </c>
      <c r="G106" s="39">
        <v>0.15</v>
      </c>
      <c r="H106" s="254">
        <f t="shared" si="14"/>
        <v>0</v>
      </c>
    </row>
    <row r="107" spans="1:12" ht="15">
      <c r="A107" s="218"/>
      <c r="B107" s="106" t="s">
        <v>623</v>
      </c>
      <c r="C107" s="34" t="s">
        <v>11</v>
      </c>
      <c r="D107" s="228">
        <v>0</v>
      </c>
      <c r="E107" s="98">
        <v>4.5</v>
      </c>
      <c r="F107" s="98">
        <v>4.17</v>
      </c>
      <c r="G107" s="254">
        <v>0.15</v>
      </c>
      <c r="H107" s="254">
        <f t="shared" si="14"/>
        <v>0</v>
      </c>
      <c r="K107" s="41" t="s">
        <v>759</v>
      </c>
    </row>
    <row r="108" spans="1:12" s="233" customFormat="1" ht="15">
      <c r="A108" s="218"/>
      <c r="B108" s="106" t="s">
        <v>485</v>
      </c>
      <c r="C108" s="34" t="s">
        <v>11</v>
      </c>
      <c r="D108" s="228">
        <v>0</v>
      </c>
      <c r="E108" s="98">
        <f t="shared" ref="E108:F110" si="15">E105</f>
        <v>15.4</v>
      </c>
      <c r="F108" s="98">
        <f t="shared" si="15"/>
        <v>15.4</v>
      </c>
      <c r="G108" s="254">
        <v>0.15</v>
      </c>
      <c r="H108" s="254">
        <f t="shared" si="14"/>
        <v>0</v>
      </c>
      <c r="K108" s="41"/>
    </row>
    <row r="109" spans="1:12" s="290" customFormat="1" ht="15">
      <c r="A109" s="218"/>
      <c r="B109" s="106" t="s">
        <v>765</v>
      </c>
      <c r="C109" s="34" t="s">
        <v>11</v>
      </c>
      <c r="D109" s="228">
        <v>0</v>
      </c>
      <c r="E109" s="98">
        <f t="shared" si="15"/>
        <v>6.6</v>
      </c>
      <c r="F109" s="98">
        <f t="shared" si="15"/>
        <v>3.15</v>
      </c>
      <c r="G109" s="254">
        <v>0.15</v>
      </c>
      <c r="H109" s="254">
        <f t="shared" si="14"/>
        <v>0</v>
      </c>
      <c r="K109" s="41"/>
      <c r="L109" s="548">
        <v>0.4</v>
      </c>
    </row>
    <row r="110" spans="1:12" s="290" customFormat="1" ht="15">
      <c r="A110" s="218"/>
      <c r="B110" s="106" t="s">
        <v>486</v>
      </c>
      <c r="C110" s="34" t="s">
        <v>11</v>
      </c>
      <c r="D110" s="228">
        <v>0</v>
      </c>
      <c r="E110" s="98">
        <f t="shared" si="15"/>
        <v>4.5</v>
      </c>
      <c r="F110" s="98">
        <f t="shared" si="15"/>
        <v>4.17</v>
      </c>
      <c r="G110" s="254">
        <v>0.15</v>
      </c>
      <c r="H110" s="254">
        <f t="shared" si="14"/>
        <v>0</v>
      </c>
      <c r="I110" s="290">
        <v>0.2</v>
      </c>
      <c r="K110" s="41"/>
    </row>
    <row r="111" spans="1:12" ht="15">
      <c r="A111" s="218"/>
      <c r="B111" s="35"/>
      <c r="C111" s="34"/>
      <c r="D111" s="36"/>
      <c r="E111" s="37"/>
      <c r="F111" s="616" t="s">
        <v>65</v>
      </c>
      <c r="G111" s="616"/>
      <c r="H111" s="40">
        <f>ROUND(SUM(H105:H110),0)</f>
        <v>0</v>
      </c>
      <c r="K111" s="41"/>
    </row>
    <row r="112" spans="1:12" ht="15">
      <c r="A112" s="218"/>
      <c r="B112" s="160" t="s">
        <v>701</v>
      </c>
      <c r="C112" s="34" t="s">
        <v>11</v>
      </c>
      <c r="D112" s="36">
        <v>46</v>
      </c>
      <c r="E112" s="37">
        <v>0.3</v>
      </c>
      <c r="F112" s="38">
        <v>0.3</v>
      </c>
      <c r="G112" s="39">
        <f>3+0.3</f>
        <v>3.3</v>
      </c>
      <c r="H112" s="39">
        <f>D112*E112*F112*G112</f>
        <v>13.661999999999999</v>
      </c>
      <c r="J112" s="49">
        <v>0.6</v>
      </c>
      <c r="K112" s="41"/>
    </row>
    <row r="113" spans="1:11" s="529" customFormat="1" ht="15">
      <c r="A113" s="218"/>
      <c r="B113" s="547" t="s">
        <v>771</v>
      </c>
      <c r="C113" s="404" t="s">
        <v>11</v>
      </c>
      <c r="D113" s="405">
        <v>1</v>
      </c>
      <c r="E113" s="406">
        <f>E30</f>
        <v>12.25</v>
      </c>
      <c r="F113" s="407">
        <v>0.2</v>
      </c>
      <c r="G113" s="408">
        <f>1.3+0.4-0.2</f>
        <v>1.5000000000000002</v>
      </c>
      <c r="H113" s="408">
        <f>D113*E113*F113*G113</f>
        <v>3.6750000000000007</v>
      </c>
      <c r="K113" s="41"/>
    </row>
    <row r="114" spans="1:11" s="529" customFormat="1" ht="15">
      <c r="A114" s="218"/>
      <c r="B114" s="160"/>
      <c r="C114" s="404" t="s">
        <v>11</v>
      </c>
      <c r="D114" s="405">
        <v>1</v>
      </c>
      <c r="E114" s="406">
        <f>E113</f>
        <v>12.25</v>
      </c>
      <c r="F114" s="407">
        <f>0.6-F113</f>
        <v>0.39999999999999997</v>
      </c>
      <c r="G114" s="408">
        <v>0.2</v>
      </c>
      <c r="H114" s="408">
        <f>D114*E114*F114*G114</f>
        <v>0.98</v>
      </c>
      <c r="J114" s="551" t="s">
        <v>760</v>
      </c>
      <c r="K114" s="41"/>
    </row>
    <row r="115" spans="1:11" s="529" customFormat="1" ht="15">
      <c r="A115" s="218"/>
      <c r="B115" s="160"/>
      <c r="C115" s="34"/>
      <c r="D115" s="36"/>
      <c r="E115" s="37"/>
      <c r="F115" s="616" t="s">
        <v>65</v>
      </c>
      <c r="G115" s="616"/>
      <c r="H115" s="40">
        <f>ROUND(SUM(H113:H114),0)</f>
        <v>5</v>
      </c>
      <c r="K115" s="41"/>
    </row>
    <row r="116" spans="1:11" s="586" customFormat="1" ht="15">
      <c r="A116" s="218"/>
      <c r="B116" s="160"/>
      <c r="C116" s="34"/>
      <c r="D116" s="36"/>
      <c r="E116" s="37"/>
      <c r="F116" s="584"/>
      <c r="G116" s="584"/>
      <c r="H116" s="40"/>
      <c r="K116" s="41"/>
    </row>
    <row r="117" spans="1:11" ht="15">
      <c r="A117" s="218">
        <v>7</v>
      </c>
      <c r="B117" s="239" t="s">
        <v>148</v>
      </c>
      <c r="C117" s="34"/>
      <c r="D117" s="36"/>
      <c r="E117" s="37"/>
      <c r="F117" s="38"/>
      <c r="G117" s="39"/>
      <c r="H117" s="39"/>
      <c r="K117" s="41"/>
    </row>
    <row r="118" spans="1:11" s="358" customFormat="1" ht="15">
      <c r="A118" s="218"/>
      <c r="B118" s="239"/>
      <c r="C118" s="34"/>
      <c r="D118" s="36"/>
      <c r="E118" s="37"/>
      <c r="F118" s="38"/>
      <c r="G118" s="39"/>
      <c r="H118" s="39"/>
      <c r="K118" s="41"/>
    </row>
    <row r="119" spans="1:11" s="358" customFormat="1" ht="15">
      <c r="A119" s="218"/>
      <c r="B119" s="239" t="s">
        <v>542</v>
      </c>
      <c r="C119" s="34"/>
      <c r="D119" s="36"/>
      <c r="E119" s="37"/>
      <c r="F119" s="38"/>
      <c r="G119" s="39"/>
      <c r="H119" s="39"/>
      <c r="K119" s="41"/>
    </row>
    <row r="120" spans="1:11" s="358" customFormat="1" ht="15">
      <c r="A120" s="218"/>
      <c r="B120" s="35" t="s">
        <v>98</v>
      </c>
      <c r="C120" s="34" t="s">
        <v>16</v>
      </c>
      <c r="D120" s="36">
        <f t="shared" ref="D120:D125" si="16">D68</f>
        <v>4</v>
      </c>
      <c r="E120" s="37">
        <f t="shared" ref="E120:E125" si="17">2*(E68+F68)</f>
        <v>14.2</v>
      </c>
      <c r="F120" s="38"/>
      <c r="G120" s="339">
        <v>0</v>
      </c>
      <c r="H120" s="39">
        <f t="shared" ref="H120:H128" si="18">D120*E120*G120</f>
        <v>0</v>
      </c>
      <c r="K120" s="41"/>
    </row>
    <row r="121" spans="1:11" s="358" customFormat="1" ht="15">
      <c r="A121" s="218"/>
      <c r="B121" s="35" t="s">
        <v>99</v>
      </c>
      <c r="C121" s="34" t="s">
        <v>16</v>
      </c>
      <c r="D121" s="36">
        <f t="shared" si="16"/>
        <v>22</v>
      </c>
      <c r="E121" s="37">
        <f t="shared" si="17"/>
        <v>12.2</v>
      </c>
      <c r="F121" s="38"/>
      <c r="G121" s="339">
        <v>0</v>
      </c>
      <c r="H121" s="39">
        <f t="shared" si="18"/>
        <v>0</v>
      </c>
      <c r="K121" s="41"/>
    </row>
    <row r="122" spans="1:11" s="358" customFormat="1" ht="15">
      <c r="A122" s="218"/>
      <c r="B122" s="35" t="s">
        <v>100</v>
      </c>
      <c r="C122" s="34" t="s">
        <v>16</v>
      </c>
      <c r="D122" s="36">
        <f t="shared" si="16"/>
        <v>10</v>
      </c>
      <c r="E122" s="37">
        <f t="shared" si="17"/>
        <v>14.6</v>
      </c>
      <c r="F122" s="38"/>
      <c r="G122" s="339">
        <v>0</v>
      </c>
      <c r="H122" s="39">
        <f t="shared" si="18"/>
        <v>0</v>
      </c>
      <c r="K122" s="41"/>
    </row>
    <row r="123" spans="1:11" s="358" customFormat="1" ht="15">
      <c r="A123" s="218"/>
      <c r="B123" s="35" t="s">
        <v>101</v>
      </c>
      <c r="C123" s="34" t="s">
        <v>16</v>
      </c>
      <c r="D123" s="36">
        <f t="shared" si="16"/>
        <v>6</v>
      </c>
      <c r="E123" s="37">
        <f t="shared" si="17"/>
        <v>11.799999999999999</v>
      </c>
      <c r="F123" s="38"/>
      <c r="G123" s="339">
        <v>0</v>
      </c>
      <c r="H123" s="39">
        <f t="shared" si="18"/>
        <v>0</v>
      </c>
      <c r="K123" s="41"/>
    </row>
    <row r="124" spans="1:11" s="358" customFormat="1" ht="15">
      <c r="A124" s="218"/>
      <c r="B124" s="35" t="s">
        <v>102</v>
      </c>
      <c r="C124" s="34" t="s">
        <v>16</v>
      </c>
      <c r="D124" s="36">
        <f t="shared" si="16"/>
        <v>0</v>
      </c>
      <c r="E124" s="37">
        <f t="shared" si="17"/>
        <v>1.2</v>
      </c>
      <c r="F124" s="38"/>
      <c r="G124" s="339">
        <v>0</v>
      </c>
      <c r="H124" s="39">
        <f t="shared" si="18"/>
        <v>0</v>
      </c>
      <c r="K124" s="41"/>
    </row>
    <row r="125" spans="1:11" s="358" customFormat="1" ht="15">
      <c r="A125" s="218"/>
      <c r="B125" s="35" t="s">
        <v>344</v>
      </c>
      <c r="C125" s="34" t="s">
        <v>16</v>
      </c>
      <c r="D125" s="36">
        <f t="shared" si="16"/>
        <v>0</v>
      </c>
      <c r="E125" s="37">
        <f t="shared" si="17"/>
        <v>1.2</v>
      </c>
      <c r="F125" s="38"/>
      <c r="G125" s="339">
        <v>0</v>
      </c>
      <c r="H125" s="39">
        <f t="shared" si="18"/>
        <v>0</v>
      </c>
      <c r="K125" s="41"/>
    </row>
    <row r="126" spans="1:11" s="358" customFormat="1" ht="15">
      <c r="A126" s="218"/>
      <c r="B126" s="35"/>
      <c r="C126" s="34"/>
      <c r="D126" s="36"/>
      <c r="E126" s="37"/>
      <c r="F126" s="38"/>
      <c r="G126" s="339"/>
      <c r="H126" s="39"/>
      <c r="K126" s="41"/>
    </row>
    <row r="127" spans="1:11" s="358" customFormat="1" ht="15">
      <c r="A127" s="218"/>
      <c r="B127" s="106" t="s">
        <v>118</v>
      </c>
      <c r="C127" s="34"/>
      <c r="D127" s="36"/>
      <c r="E127" s="37"/>
      <c r="F127" s="38"/>
      <c r="G127" s="339"/>
      <c r="H127" s="39"/>
      <c r="K127" s="41"/>
    </row>
    <row r="128" spans="1:11" s="358" customFormat="1" ht="15">
      <c r="A128" s="218"/>
      <c r="B128" s="106" t="s">
        <v>119</v>
      </c>
      <c r="C128" s="34" t="s">
        <v>16</v>
      </c>
      <c r="D128" s="36">
        <f>D76</f>
        <v>1</v>
      </c>
      <c r="E128" s="37">
        <f>2*(E76+F76)</f>
        <v>361</v>
      </c>
      <c r="F128" s="38"/>
      <c r="G128" s="339">
        <v>0</v>
      </c>
      <c r="H128" s="39">
        <f t="shared" si="18"/>
        <v>0</v>
      </c>
      <c r="K128" s="41"/>
    </row>
    <row r="129" spans="1:11" s="358" customFormat="1" ht="15">
      <c r="A129" s="218"/>
      <c r="B129" s="239"/>
      <c r="C129" s="34"/>
      <c r="D129" s="36"/>
      <c r="E129" s="37"/>
      <c r="F129" s="616" t="s">
        <v>65</v>
      </c>
      <c r="G129" s="616"/>
      <c r="H129" s="40">
        <f>ROUND(SUM(H119:H128),0)</f>
        <v>0</v>
      </c>
      <c r="K129" s="41"/>
    </row>
    <row r="130" spans="1:11" s="358" customFormat="1" ht="15">
      <c r="A130" s="218"/>
      <c r="B130" s="239"/>
      <c r="C130" s="34"/>
      <c r="D130" s="36"/>
      <c r="E130" s="37"/>
      <c r="F130" s="38"/>
      <c r="G130" s="39"/>
      <c r="H130" s="39"/>
      <c r="K130" s="41"/>
    </row>
    <row r="131" spans="1:11" ht="15">
      <c r="A131" s="218"/>
      <c r="B131" s="239" t="s">
        <v>112</v>
      </c>
      <c r="C131" s="34"/>
      <c r="D131" s="36"/>
      <c r="E131" s="37"/>
      <c r="F131" s="38"/>
      <c r="G131" s="39"/>
      <c r="H131" s="39"/>
      <c r="K131" s="41"/>
    </row>
    <row r="132" spans="1:11" ht="15">
      <c r="A132" s="218"/>
      <c r="B132" s="35" t="s">
        <v>98</v>
      </c>
      <c r="C132" s="34" t="s">
        <v>16</v>
      </c>
      <c r="D132" s="36">
        <f t="shared" ref="D132:D137" si="19">D80</f>
        <v>4</v>
      </c>
      <c r="E132" s="37">
        <f>2*(E80+F80)</f>
        <v>13</v>
      </c>
      <c r="F132" s="38"/>
      <c r="G132" s="39">
        <f>G80</f>
        <v>0.8</v>
      </c>
      <c r="H132" s="39">
        <f>D132*E132*G132</f>
        <v>41.6</v>
      </c>
      <c r="K132" s="41"/>
    </row>
    <row r="133" spans="1:11" s="290" customFormat="1" ht="15">
      <c r="A133" s="218"/>
      <c r="B133" s="35" t="s">
        <v>99</v>
      </c>
      <c r="C133" s="34" t="s">
        <v>16</v>
      </c>
      <c r="D133" s="36">
        <f t="shared" si="19"/>
        <v>22</v>
      </c>
      <c r="E133" s="37">
        <f>2*(E81+F81)</f>
        <v>11</v>
      </c>
      <c r="F133" s="38"/>
      <c r="G133" s="39">
        <f>G81</f>
        <v>0.65</v>
      </c>
      <c r="H133" s="39">
        <f t="shared" ref="H133:H137" si="20">D133*E133*G133</f>
        <v>157.30000000000001</v>
      </c>
      <c r="K133" s="41"/>
    </row>
    <row r="134" spans="1:11" ht="15">
      <c r="A134" s="218"/>
      <c r="B134" s="35" t="s">
        <v>100</v>
      </c>
      <c r="C134" s="34" t="s">
        <v>16</v>
      </c>
      <c r="D134" s="36">
        <f t="shared" si="19"/>
        <v>10</v>
      </c>
      <c r="E134" s="37">
        <f>2*(E82+F82)</f>
        <v>13.4</v>
      </c>
      <c r="F134" s="38"/>
      <c r="G134" s="39">
        <f>G82</f>
        <v>0.65</v>
      </c>
      <c r="H134" s="39">
        <f t="shared" si="20"/>
        <v>87.100000000000009</v>
      </c>
      <c r="K134" s="41"/>
    </row>
    <row r="135" spans="1:11" ht="15">
      <c r="A135" s="218"/>
      <c r="B135" s="35" t="s">
        <v>101</v>
      </c>
      <c r="C135" s="34" t="s">
        <v>16</v>
      </c>
      <c r="D135" s="36">
        <f t="shared" si="19"/>
        <v>6</v>
      </c>
      <c r="E135" s="37">
        <f>2*(E83+F83)</f>
        <v>10.6</v>
      </c>
      <c r="F135" s="38"/>
      <c r="G135" s="39">
        <f>G83</f>
        <v>0.65</v>
      </c>
      <c r="H135" s="39">
        <f t="shared" si="20"/>
        <v>41.339999999999996</v>
      </c>
      <c r="K135" s="41"/>
    </row>
    <row r="136" spans="1:11" ht="15">
      <c r="A136" s="218"/>
      <c r="B136" s="35" t="s">
        <v>102</v>
      </c>
      <c r="C136" s="34" t="s">
        <v>16</v>
      </c>
      <c r="D136" s="36">
        <f t="shared" si="19"/>
        <v>0</v>
      </c>
      <c r="E136" s="37">
        <v>0</v>
      </c>
      <c r="F136" s="38"/>
      <c r="G136" s="39">
        <v>0</v>
      </c>
      <c r="H136" s="39">
        <f t="shared" si="20"/>
        <v>0</v>
      </c>
      <c r="K136" s="41"/>
    </row>
    <row r="137" spans="1:11" s="204" customFormat="1" ht="15">
      <c r="A137" s="218"/>
      <c r="B137" s="35" t="s">
        <v>344</v>
      </c>
      <c r="C137" s="34" t="s">
        <v>16</v>
      </c>
      <c r="D137" s="36">
        <f t="shared" si="19"/>
        <v>0</v>
      </c>
      <c r="E137" s="37">
        <f>2*(E85+F85)</f>
        <v>0</v>
      </c>
      <c r="F137" s="38"/>
      <c r="G137" s="39">
        <f>G85</f>
        <v>0</v>
      </c>
      <c r="H137" s="39">
        <f t="shared" si="20"/>
        <v>0</v>
      </c>
      <c r="K137" s="41"/>
    </row>
    <row r="138" spans="1:11" ht="15">
      <c r="A138" s="218"/>
      <c r="B138" s="35"/>
      <c r="C138" s="34"/>
      <c r="D138" s="36"/>
      <c r="E138" s="37"/>
      <c r="F138" s="616" t="s">
        <v>65</v>
      </c>
      <c r="G138" s="616"/>
      <c r="H138" s="40">
        <f>ROUND(SUM(H131:H137),0)</f>
        <v>327</v>
      </c>
      <c r="K138" s="41"/>
    </row>
    <row r="139" spans="1:11" ht="15">
      <c r="A139" s="218"/>
      <c r="B139" s="35"/>
      <c r="C139" s="34"/>
      <c r="D139" s="36"/>
      <c r="E139" s="37"/>
      <c r="F139" s="38"/>
      <c r="G139" s="39"/>
      <c r="H139" s="39"/>
      <c r="K139" s="41"/>
    </row>
    <row r="140" spans="1:11" ht="15">
      <c r="A140" s="218"/>
      <c r="B140" s="239" t="s">
        <v>127</v>
      </c>
      <c r="C140" s="34"/>
      <c r="D140" s="36"/>
      <c r="E140" s="37"/>
      <c r="F140" s="38"/>
      <c r="G140" s="39"/>
      <c r="H140" s="39"/>
      <c r="K140" s="41"/>
    </row>
    <row r="141" spans="1:11" ht="15">
      <c r="A141" s="218"/>
      <c r="B141" s="35" t="s">
        <v>128</v>
      </c>
      <c r="C141" s="34" t="s">
        <v>16</v>
      </c>
      <c r="D141" s="36">
        <f t="shared" ref="D141:D146" si="21">D89</f>
        <v>4</v>
      </c>
      <c r="E141" s="37">
        <f t="shared" ref="E141:E146" si="22">2*(E89+F89)</f>
        <v>4.2</v>
      </c>
      <c r="F141" s="38"/>
      <c r="G141" s="39">
        <f t="shared" ref="G141:G146" si="23">G89</f>
        <v>2.6750000000000003</v>
      </c>
      <c r="H141" s="39">
        <f>D141*E141*G141</f>
        <v>44.940000000000005</v>
      </c>
      <c r="K141" s="41"/>
    </row>
    <row r="142" spans="1:11" s="290" customFormat="1" ht="15">
      <c r="A142" s="218"/>
      <c r="B142" s="35" t="s">
        <v>129</v>
      </c>
      <c r="C142" s="34" t="s">
        <v>16</v>
      </c>
      <c r="D142" s="36">
        <f t="shared" si="21"/>
        <v>22</v>
      </c>
      <c r="E142" s="37">
        <f t="shared" si="22"/>
        <v>3.8</v>
      </c>
      <c r="F142" s="38"/>
      <c r="G142" s="39">
        <f t="shared" si="23"/>
        <v>2.6750000000000003</v>
      </c>
      <c r="H142" s="39">
        <f t="shared" ref="H142:H146" si="24">D142*E142*G142</f>
        <v>223.63</v>
      </c>
      <c r="K142" s="41"/>
    </row>
    <row r="143" spans="1:11" ht="15">
      <c r="A143" s="218"/>
      <c r="B143" s="35" t="s">
        <v>130</v>
      </c>
      <c r="C143" s="34" t="s">
        <v>16</v>
      </c>
      <c r="D143" s="36">
        <f t="shared" si="21"/>
        <v>10</v>
      </c>
      <c r="E143" s="37">
        <f t="shared" si="22"/>
        <v>3.2</v>
      </c>
      <c r="F143" s="38"/>
      <c r="G143" s="39">
        <f t="shared" si="23"/>
        <v>2.6750000000000003</v>
      </c>
      <c r="H143" s="39">
        <f t="shared" si="24"/>
        <v>85.600000000000009</v>
      </c>
      <c r="J143" s="204"/>
      <c r="K143" s="41"/>
    </row>
    <row r="144" spans="1:11" ht="15">
      <c r="A144" s="218"/>
      <c r="B144" s="35" t="s">
        <v>131</v>
      </c>
      <c r="C144" s="34" t="s">
        <v>16</v>
      </c>
      <c r="D144" s="36">
        <f t="shared" si="21"/>
        <v>6</v>
      </c>
      <c r="E144" s="37">
        <f t="shared" si="22"/>
        <v>2.2999999999999998</v>
      </c>
      <c r="F144" s="38"/>
      <c r="G144" s="39">
        <f t="shared" si="23"/>
        <v>3.3250000000000002</v>
      </c>
      <c r="H144" s="39">
        <f t="shared" si="24"/>
        <v>45.884999999999998</v>
      </c>
      <c r="J144" s="204"/>
      <c r="K144" s="41"/>
    </row>
    <row r="145" spans="1:11" ht="15">
      <c r="A145" s="218"/>
      <c r="B145" s="35" t="s">
        <v>132</v>
      </c>
      <c r="C145" s="34" t="s">
        <v>16</v>
      </c>
      <c r="D145" s="36">
        <f t="shared" si="21"/>
        <v>0</v>
      </c>
      <c r="E145" s="37">
        <f t="shared" si="22"/>
        <v>0</v>
      </c>
      <c r="F145" s="38"/>
      <c r="G145" s="39">
        <f t="shared" si="23"/>
        <v>0</v>
      </c>
      <c r="H145" s="39">
        <f t="shared" si="24"/>
        <v>0</v>
      </c>
      <c r="J145" s="204"/>
      <c r="K145" s="41"/>
    </row>
    <row r="146" spans="1:11" s="204" customFormat="1" ht="15">
      <c r="A146" s="218"/>
      <c r="B146" s="35" t="s">
        <v>348</v>
      </c>
      <c r="C146" s="34" t="s">
        <v>16</v>
      </c>
      <c r="D146" s="36">
        <f t="shared" si="21"/>
        <v>0</v>
      </c>
      <c r="E146" s="37">
        <f t="shared" si="22"/>
        <v>0</v>
      </c>
      <c r="F146" s="38"/>
      <c r="G146" s="39">
        <f t="shared" si="23"/>
        <v>0</v>
      </c>
      <c r="H146" s="39">
        <f t="shared" si="24"/>
        <v>0</v>
      </c>
      <c r="K146" s="41"/>
    </row>
    <row r="147" spans="1:11" ht="15">
      <c r="A147" s="218"/>
      <c r="B147" s="35"/>
      <c r="C147" s="34"/>
      <c r="D147" s="36"/>
      <c r="E147" s="37"/>
      <c r="F147" s="616" t="s">
        <v>65</v>
      </c>
      <c r="G147" s="616"/>
      <c r="H147" s="40">
        <f>ROUND(SUM(H140:H146),0)</f>
        <v>400</v>
      </c>
      <c r="K147" s="41"/>
    </row>
    <row r="148" spans="1:11" ht="15">
      <c r="A148" s="218"/>
      <c r="B148" s="239" t="s">
        <v>135</v>
      </c>
      <c r="C148" s="34"/>
      <c r="D148" s="36"/>
      <c r="E148" s="37"/>
      <c r="F148" s="616"/>
      <c r="G148" s="616"/>
      <c r="H148" s="40"/>
      <c r="K148" s="41"/>
    </row>
    <row r="149" spans="1:11" ht="15">
      <c r="A149" s="218" t="s">
        <v>10</v>
      </c>
      <c r="B149" s="106" t="s">
        <v>567</v>
      </c>
      <c r="C149" s="34"/>
      <c r="D149" s="36"/>
      <c r="E149" s="37"/>
      <c r="F149" s="38"/>
      <c r="G149" s="39"/>
      <c r="H149" s="39"/>
      <c r="K149" s="41"/>
    </row>
    <row r="150" spans="1:11" ht="15">
      <c r="A150" s="218"/>
      <c r="B150" s="106" t="s">
        <v>119</v>
      </c>
      <c r="C150" s="34" t="s">
        <v>16</v>
      </c>
      <c r="D150" s="36">
        <v>1</v>
      </c>
      <c r="E150" s="37">
        <f>(J22+2*K22)</f>
        <v>180.1</v>
      </c>
      <c r="F150" s="38"/>
      <c r="G150" s="39">
        <f>G99</f>
        <v>1.5</v>
      </c>
      <c r="H150" s="39">
        <f>D150*E150*G150</f>
        <v>270.14999999999998</v>
      </c>
      <c r="K150" s="41"/>
    </row>
    <row r="151" spans="1:11" ht="15">
      <c r="A151" s="218"/>
      <c r="B151" s="106"/>
      <c r="C151" s="34"/>
      <c r="D151" s="36"/>
      <c r="E151" s="37"/>
      <c r="F151" s="616" t="s">
        <v>65</v>
      </c>
      <c r="G151" s="616"/>
      <c r="H151" s="40">
        <f>ROUND(SUM(H149:H150),0)</f>
        <v>270</v>
      </c>
      <c r="K151" s="41"/>
    </row>
    <row r="152" spans="1:11" s="358" customFormat="1" ht="15">
      <c r="A152" s="218"/>
      <c r="B152" s="106"/>
      <c r="C152" s="34"/>
      <c r="D152" s="36"/>
      <c r="E152" s="37"/>
      <c r="F152" s="359"/>
      <c r="G152" s="359"/>
      <c r="H152" s="40"/>
      <c r="K152" s="41"/>
    </row>
    <row r="153" spans="1:11" s="358" customFormat="1" ht="15">
      <c r="A153" s="218"/>
      <c r="B153" s="106"/>
      <c r="C153" s="34"/>
      <c r="D153" s="36"/>
      <c r="E153" s="37"/>
      <c r="F153" s="359"/>
      <c r="G153" s="359"/>
      <c r="H153" s="40"/>
      <c r="K153" s="41"/>
    </row>
    <row r="154" spans="1:11" ht="15">
      <c r="A154" s="218"/>
      <c r="B154" s="239" t="s">
        <v>143</v>
      </c>
      <c r="C154" s="34"/>
      <c r="D154" s="36"/>
      <c r="E154" s="37"/>
      <c r="F154" s="38"/>
      <c r="G154" s="39"/>
      <c r="H154" s="39"/>
      <c r="K154" s="41"/>
    </row>
    <row r="155" spans="1:11" s="233" customFormat="1" ht="15">
      <c r="A155" s="218"/>
      <c r="B155" s="106" t="s">
        <v>424</v>
      </c>
      <c r="C155" s="34"/>
      <c r="D155" s="36"/>
      <c r="E155" s="37"/>
      <c r="F155" s="38"/>
      <c r="G155" s="39"/>
      <c r="H155" s="39"/>
      <c r="K155" s="41"/>
    </row>
    <row r="156" spans="1:11" s="290" customFormat="1" ht="15">
      <c r="A156" s="218"/>
      <c r="B156" s="106" t="s">
        <v>483</v>
      </c>
      <c r="C156" s="34" t="s">
        <v>16</v>
      </c>
      <c r="D156" s="36">
        <f t="shared" ref="D156:F161" si="25">D105</f>
        <v>0</v>
      </c>
      <c r="E156" s="340">
        <f t="shared" si="25"/>
        <v>15.4</v>
      </c>
      <c r="F156" s="255">
        <f t="shared" si="25"/>
        <v>15.4</v>
      </c>
      <c r="G156" s="39"/>
      <c r="H156" s="39">
        <f t="shared" ref="H156:H157" si="26">D156*E156*F156</f>
        <v>0</v>
      </c>
      <c r="K156" s="41"/>
    </row>
    <row r="157" spans="1:11" s="290" customFormat="1" ht="15">
      <c r="A157" s="218"/>
      <c r="B157" s="106" t="s">
        <v>765</v>
      </c>
      <c r="C157" s="34" t="s">
        <v>16</v>
      </c>
      <c r="D157" s="36">
        <f t="shared" si="25"/>
        <v>0</v>
      </c>
      <c r="E157" s="340">
        <f t="shared" si="25"/>
        <v>6.6</v>
      </c>
      <c r="F157" s="255">
        <f t="shared" si="25"/>
        <v>3.15</v>
      </c>
      <c r="G157" s="39"/>
      <c r="H157" s="39">
        <f t="shared" si="26"/>
        <v>0</v>
      </c>
      <c r="K157" s="41"/>
    </row>
    <row r="158" spans="1:11" ht="15">
      <c r="A158" s="218"/>
      <c r="B158" s="106" t="s">
        <v>484</v>
      </c>
      <c r="C158" s="34" t="s">
        <v>16</v>
      </c>
      <c r="D158" s="36">
        <f t="shared" si="25"/>
        <v>0</v>
      </c>
      <c r="E158" s="340">
        <f t="shared" si="25"/>
        <v>4.5</v>
      </c>
      <c r="F158" s="255">
        <f t="shared" si="25"/>
        <v>4.17</v>
      </c>
      <c r="G158" s="39"/>
      <c r="H158" s="39">
        <f>D158*E158*F158</f>
        <v>0</v>
      </c>
      <c r="K158" s="41"/>
    </row>
    <row r="159" spans="1:11" s="233" customFormat="1" ht="15">
      <c r="A159" s="218"/>
      <c r="B159" s="106" t="s">
        <v>485</v>
      </c>
      <c r="C159" s="34" t="s">
        <v>16</v>
      </c>
      <c r="D159" s="36">
        <f t="shared" si="25"/>
        <v>0</v>
      </c>
      <c r="E159" s="340">
        <f t="shared" si="25"/>
        <v>15.4</v>
      </c>
      <c r="F159" s="255">
        <f t="shared" si="25"/>
        <v>15.4</v>
      </c>
      <c r="G159" s="39"/>
      <c r="H159" s="39">
        <f>D159*E159*F159</f>
        <v>0</v>
      </c>
      <c r="K159" s="41"/>
    </row>
    <row r="160" spans="1:11" s="290" customFormat="1" ht="15">
      <c r="A160" s="218"/>
      <c r="B160" s="106" t="s">
        <v>765</v>
      </c>
      <c r="C160" s="34" t="s">
        <v>16</v>
      </c>
      <c r="D160" s="36">
        <f t="shared" si="25"/>
        <v>0</v>
      </c>
      <c r="E160" s="340">
        <f t="shared" si="25"/>
        <v>6.6</v>
      </c>
      <c r="F160" s="255">
        <f t="shared" si="25"/>
        <v>3.15</v>
      </c>
      <c r="G160" s="39"/>
      <c r="H160" s="39">
        <f t="shared" ref="H160:H161" si="27">D160*E160*F160</f>
        <v>0</v>
      </c>
      <c r="K160" s="41"/>
    </row>
    <row r="161" spans="1:11" s="290" customFormat="1" ht="15">
      <c r="A161" s="218"/>
      <c r="B161" s="106" t="s">
        <v>486</v>
      </c>
      <c r="C161" s="34" t="s">
        <v>16</v>
      </c>
      <c r="D161" s="36">
        <f t="shared" si="25"/>
        <v>0</v>
      </c>
      <c r="E161" s="340">
        <f t="shared" si="25"/>
        <v>4.5</v>
      </c>
      <c r="F161" s="255">
        <f t="shared" si="25"/>
        <v>4.17</v>
      </c>
      <c r="G161" s="39"/>
      <c r="H161" s="39">
        <f t="shared" si="27"/>
        <v>0</v>
      </c>
      <c r="K161" s="41"/>
    </row>
    <row r="162" spans="1:11" ht="15">
      <c r="A162" s="218"/>
      <c r="B162" s="35"/>
      <c r="C162" s="34"/>
      <c r="D162" s="36"/>
      <c r="E162" s="37"/>
      <c r="F162" s="616" t="s">
        <v>65</v>
      </c>
      <c r="G162" s="616"/>
      <c r="H162" s="40">
        <f>ROUND(SUM(H155:H161),0)</f>
        <v>0</v>
      </c>
      <c r="K162" s="41"/>
    </row>
    <row r="163" spans="1:11" ht="15">
      <c r="A163" s="218"/>
      <c r="B163" s="160" t="s">
        <v>701</v>
      </c>
      <c r="C163" s="34" t="s">
        <v>16</v>
      </c>
      <c r="D163" s="36">
        <f>D112</f>
        <v>46</v>
      </c>
      <c r="E163" s="37">
        <f>2*(E112+F112)</f>
        <v>1.2</v>
      </c>
      <c r="F163" s="38"/>
      <c r="G163" s="39">
        <f>G112</f>
        <v>3.3</v>
      </c>
      <c r="H163" s="39">
        <f>D163*E163*G163</f>
        <v>182.15999999999997</v>
      </c>
      <c r="K163" s="41"/>
    </row>
    <row r="164" spans="1:11" s="529" customFormat="1" ht="15">
      <c r="A164" s="218"/>
      <c r="B164" s="547" t="s">
        <v>772</v>
      </c>
      <c r="C164" s="404" t="s">
        <v>16</v>
      </c>
      <c r="D164" s="405">
        <v>1</v>
      </c>
      <c r="E164" s="406">
        <f>E113</f>
        <v>12.25</v>
      </c>
      <c r="F164" s="407"/>
      <c r="G164" s="408">
        <f>(1.3+0.4-0.2)*2</f>
        <v>3.0000000000000004</v>
      </c>
      <c r="H164" s="408">
        <f>D164*E164*G164</f>
        <v>36.750000000000007</v>
      </c>
      <c r="K164" s="41"/>
    </row>
    <row r="165" spans="1:11" ht="28.5">
      <c r="A165" s="159">
        <v>8</v>
      </c>
      <c r="B165" s="239" t="s">
        <v>149</v>
      </c>
      <c r="C165" s="34"/>
      <c r="D165" s="36"/>
      <c r="E165" s="37"/>
      <c r="F165" s="38"/>
      <c r="G165" s="39"/>
      <c r="H165" s="39"/>
      <c r="K165" s="41"/>
    </row>
    <row r="166" spans="1:11" ht="15" customHeight="1">
      <c r="A166" s="218"/>
      <c r="B166" s="240" t="s">
        <v>20</v>
      </c>
      <c r="C166" s="119" t="s">
        <v>23</v>
      </c>
      <c r="D166" s="36">
        <v>75</v>
      </c>
      <c r="E166" s="120" t="s">
        <v>150</v>
      </c>
      <c r="F166" s="38"/>
      <c r="G166" s="39"/>
      <c r="H166" s="39">
        <f>(D166*H87)/1000</f>
        <v>18.975000000000001</v>
      </c>
      <c r="K166" s="41"/>
    </row>
    <row r="167" spans="1:11" ht="15" customHeight="1">
      <c r="A167" s="218"/>
      <c r="B167" s="240" t="s">
        <v>151</v>
      </c>
      <c r="C167" s="119" t="s">
        <v>23</v>
      </c>
      <c r="D167" s="36">
        <v>120</v>
      </c>
      <c r="E167" s="120" t="s">
        <v>150</v>
      </c>
      <c r="F167" s="38"/>
      <c r="G167" s="39"/>
      <c r="H167" s="39">
        <f>(D167*H96)/1000</f>
        <v>10.08</v>
      </c>
      <c r="J167" s="199">
        <v>100</v>
      </c>
      <c r="K167" s="41"/>
    </row>
    <row r="168" spans="1:11" ht="15" customHeight="1">
      <c r="A168" s="218"/>
      <c r="B168" s="240" t="s">
        <v>136</v>
      </c>
      <c r="C168" s="119" t="s">
        <v>23</v>
      </c>
      <c r="D168" s="36">
        <v>125</v>
      </c>
      <c r="E168" s="120" t="s">
        <v>150</v>
      </c>
      <c r="F168" s="38"/>
      <c r="G168" s="39"/>
      <c r="H168" s="39">
        <f>(D168*H101)/1000</f>
        <v>8.875</v>
      </c>
      <c r="K168" s="41"/>
    </row>
    <row r="169" spans="1:11" ht="15" customHeight="1">
      <c r="A169" s="218"/>
      <c r="B169" s="240" t="s">
        <v>35</v>
      </c>
      <c r="C169" s="119" t="s">
        <v>23</v>
      </c>
      <c r="D169" s="36">
        <v>100</v>
      </c>
      <c r="E169" s="120" t="s">
        <v>150</v>
      </c>
      <c r="F169" s="38"/>
      <c r="G169" s="39"/>
      <c r="H169" s="39">
        <f>(D169*H111)/1000</f>
        <v>0</v>
      </c>
      <c r="K169" s="41"/>
    </row>
    <row r="170" spans="1:11" s="494" customFormat="1" ht="15" customHeight="1">
      <c r="A170" s="218"/>
      <c r="B170" s="240" t="s">
        <v>701</v>
      </c>
      <c r="C170" s="119" t="s">
        <v>23</v>
      </c>
      <c r="D170" s="36">
        <v>120</v>
      </c>
      <c r="E170" s="120" t="s">
        <v>150</v>
      </c>
      <c r="F170" s="38"/>
      <c r="G170" s="39"/>
      <c r="H170" s="39">
        <f>(D170*H112)/1000</f>
        <v>1.6394399999999998</v>
      </c>
      <c r="K170" s="41"/>
    </row>
    <row r="171" spans="1:11" s="529" customFormat="1" ht="15" customHeight="1">
      <c r="A171" s="218"/>
      <c r="B171" s="563" t="s">
        <v>758</v>
      </c>
      <c r="C171" s="564" t="s">
        <v>23</v>
      </c>
      <c r="D171" s="405">
        <v>75</v>
      </c>
      <c r="E171" s="565" t="s">
        <v>150</v>
      </c>
      <c r="F171" s="407"/>
      <c r="G171" s="408"/>
      <c r="H171" s="408">
        <f>(D171*H115)/1000</f>
        <v>0.375</v>
      </c>
      <c r="K171" s="41"/>
    </row>
    <row r="172" spans="1:11" ht="15">
      <c r="A172" s="218"/>
      <c r="B172" s="35"/>
      <c r="C172" s="34"/>
      <c r="D172" s="36"/>
      <c r="E172" s="37"/>
      <c r="F172" s="616" t="s">
        <v>65</v>
      </c>
      <c r="G172" s="616"/>
      <c r="H172" s="40">
        <f>ROUND(SUM(H166:H169),0)</f>
        <v>38</v>
      </c>
      <c r="K172" s="41"/>
    </row>
    <row r="173" spans="1:11" s="384" customFormat="1" ht="15">
      <c r="A173" s="218"/>
      <c r="B173" s="118" t="s">
        <v>690</v>
      </c>
      <c r="C173" s="119" t="s">
        <v>23</v>
      </c>
      <c r="D173" s="36">
        <v>125</v>
      </c>
      <c r="E173" s="120" t="s">
        <v>150</v>
      </c>
      <c r="F173" s="380"/>
      <c r="G173" s="380"/>
      <c r="H173" s="39">
        <f>(D173*(H102+H103))/1000</f>
        <v>2.6009550000000004</v>
      </c>
      <c r="K173" s="41"/>
    </row>
    <row r="174" spans="1:11" ht="15">
      <c r="A174" s="218"/>
      <c r="B174" s="35"/>
      <c r="C174" s="34"/>
      <c r="D174" s="36"/>
      <c r="E174" s="37"/>
      <c r="F174" s="359"/>
      <c r="G174" s="359"/>
      <c r="H174" s="40"/>
      <c r="K174" s="41"/>
    </row>
    <row r="175" spans="1:11" ht="48">
      <c r="A175" s="159">
        <v>9</v>
      </c>
      <c r="B175" s="256" t="s">
        <v>172</v>
      </c>
      <c r="C175" s="36" t="s">
        <v>173</v>
      </c>
      <c r="D175" s="36" t="s">
        <v>174</v>
      </c>
      <c r="E175" s="328" t="s">
        <v>175</v>
      </c>
      <c r="F175" s="328" t="s">
        <v>176</v>
      </c>
      <c r="G175" s="328" t="s">
        <v>177</v>
      </c>
      <c r="H175" s="328" t="s">
        <v>178</v>
      </c>
      <c r="K175" s="41"/>
    </row>
    <row r="176" spans="1:11" s="203" customFormat="1" ht="15">
      <c r="A176" s="218"/>
      <c r="B176" s="35"/>
      <c r="C176" s="34"/>
      <c r="D176" s="36"/>
      <c r="E176" s="328"/>
      <c r="F176" s="328"/>
      <c r="G176" s="359"/>
      <c r="H176" s="40"/>
      <c r="J176" s="53"/>
      <c r="K176" s="41"/>
    </row>
    <row r="177" spans="1:11" s="203" customFormat="1" ht="25.5">
      <c r="A177" s="218"/>
      <c r="B177" s="35" t="s">
        <v>425</v>
      </c>
      <c r="C177" s="34" t="s">
        <v>23</v>
      </c>
      <c r="D177" s="341">
        <v>0</v>
      </c>
      <c r="E177" s="342">
        <f>40+0.55*16</f>
        <v>48.8</v>
      </c>
      <c r="F177" s="342">
        <f>D177*E177</f>
        <v>0</v>
      </c>
      <c r="G177" s="362">
        <v>6.8</v>
      </c>
      <c r="H177" s="39">
        <f>(F177*G177)/1000</f>
        <v>0</v>
      </c>
      <c r="J177" s="53"/>
      <c r="K177" s="41"/>
    </row>
    <row r="178" spans="1:11" s="233" customFormat="1" ht="15">
      <c r="A178" s="218"/>
      <c r="B178" s="35" t="s">
        <v>487</v>
      </c>
      <c r="C178" s="34" t="s">
        <v>23</v>
      </c>
      <c r="D178" s="328">
        <v>0</v>
      </c>
      <c r="E178" s="342">
        <f>2*(J22+K22)+K22</f>
        <v>311.90000000000003</v>
      </c>
      <c r="F178" s="342">
        <f>D178*E178</f>
        <v>0</v>
      </c>
      <c r="G178" s="362">
        <v>9.1999999999999993</v>
      </c>
      <c r="H178" s="39">
        <f>(F178*G178)/1000</f>
        <v>0</v>
      </c>
      <c r="K178" s="41"/>
    </row>
    <row r="179" spans="1:11" s="358" customFormat="1" ht="15">
      <c r="A179" s="218"/>
      <c r="B179" s="35" t="s">
        <v>543</v>
      </c>
      <c r="C179" s="34" t="s">
        <v>23</v>
      </c>
      <c r="D179" s="328">
        <v>0</v>
      </c>
      <c r="E179" s="342">
        <f>2*(2.445+2*3)</f>
        <v>16.89</v>
      </c>
      <c r="F179" s="342">
        <f t="shared" ref="F179:F180" si="28">D179*E179</f>
        <v>0</v>
      </c>
      <c r="G179" s="362">
        <v>9.1999999999999993</v>
      </c>
      <c r="H179" s="39">
        <f t="shared" ref="H179:H180" si="29">(F179*G179)/1000</f>
        <v>0</v>
      </c>
      <c r="K179" s="41"/>
    </row>
    <row r="180" spans="1:11" s="358" customFormat="1" ht="15">
      <c r="A180" s="218"/>
      <c r="B180" s="35"/>
      <c r="C180" s="34" t="s">
        <v>23</v>
      </c>
      <c r="D180" s="328">
        <v>0</v>
      </c>
      <c r="E180" s="342">
        <f>2*(4+2*5)</f>
        <v>28</v>
      </c>
      <c r="F180" s="342">
        <f t="shared" si="28"/>
        <v>0</v>
      </c>
      <c r="G180" s="362">
        <v>9.1999999999999993</v>
      </c>
      <c r="H180" s="39">
        <f t="shared" si="29"/>
        <v>0</v>
      </c>
      <c r="K180" s="41"/>
    </row>
    <row r="181" spans="1:11" s="290" customFormat="1" ht="15">
      <c r="A181" s="218"/>
      <c r="B181" s="35"/>
      <c r="C181" s="119"/>
      <c r="D181" s="328"/>
      <c r="E181" s="120"/>
      <c r="F181" s="620" t="s">
        <v>65</v>
      </c>
      <c r="G181" s="621"/>
      <c r="H181" s="40">
        <f>SUM(H177:H180)</f>
        <v>0</v>
      </c>
      <c r="K181" s="41"/>
    </row>
    <row r="182" spans="1:11" s="290" customFormat="1" ht="15">
      <c r="A182" s="218"/>
      <c r="B182" s="35"/>
      <c r="C182" s="119"/>
      <c r="D182" s="328"/>
      <c r="E182" s="120"/>
      <c r="F182" s="38"/>
      <c r="G182" s="39"/>
      <c r="H182" s="40"/>
      <c r="K182" s="41"/>
    </row>
    <row r="183" spans="1:11" ht="15">
      <c r="A183" s="159">
        <v>10</v>
      </c>
      <c r="B183" s="160" t="s">
        <v>226</v>
      </c>
      <c r="C183" s="34"/>
      <c r="D183" s="36"/>
      <c r="E183" s="37"/>
      <c r="F183" s="359"/>
      <c r="G183" s="359"/>
      <c r="H183" s="40"/>
    </row>
    <row r="184" spans="1:11" ht="15" hidden="1">
      <c r="A184" s="34"/>
      <c r="B184" s="35" t="s">
        <v>227</v>
      </c>
      <c r="C184" s="34" t="s">
        <v>16</v>
      </c>
      <c r="D184" s="36"/>
      <c r="E184" s="37">
        <f>2*(J22+K22)-4.5*2</f>
        <v>254.60000000000002</v>
      </c>
      <c r="F184" s="359"/>
      <c r="G184" s="39">
        <v>1.3</v>
      </c>
      <c r="H184" s="39">
        <f>D184*E184*G184</f>
        <v>0</v>
      </c>
    </row>
    <row r="185" spans="1:11" ht="15" hidden="1">
      <c r="A185" s="34"/>
      <c r="B185" s="35" t="s">
        <v>228</v>
      </c>
      <c r="C185" s="34" t="s">
        <v>16</v>
      </c>
      <c r="D185" s="36"/>
      <c r="E185" s="668">
        <f>H223</f>
        <v>0</v>
      </c>
      <c r="F185" s="669"/>
      <c r="G185" s="359"/>
      <c r="H185" s="39">
        <f>D185*E185</f>
        <v>0</v>
      </c>
    </row>
    <row r="186" spans="1:11" s="384" customFormat="1" ht="15">
      <c r="A186" s="34"/>
      <c r="B186" s="35" t="s">
        <v>227</v>
      </c>
      <c r="C186" s="34" t="s">
        <v>16</v>
      </c>
      <c r="D186" s="36">
        <v>1</v>
      </c>
      <c r="E186" s="37">
        <f>E150</f>
        <v>180.1</v>
      </c>
      <c r="F186" s="380"/>
      <c r="G186" s="39">
        <v>1.3</v>
      </c>
      <c r="H186" s="39">
        <f>D186*E186*G186</f>
        <v>234.13</v>
      </c>
    </row>
    <row r="187" spans="1:11" s="363" customFormat="1" ht="15">
      <c r="A187" s="34"/>
      <c r="B187" s="35" t="s">
        <v>627</v>
      </c>
      <c r="C187" s="34" t="s">
        <v>16</v>
      </c>
      <c r="D187" s="36">
        <v>1</v>
      </c>
      <c r="E187" s="37">
        <f>E186</f>
        <v>180.1</v>
      </c>
      <c r="F187" s="380"/>
      <c r="G187" s="39">
        <v>3.3</v>
      </c>
      <c r="H187" s="39">
        <f>D187*E187*G187</f>
        <v>594.32999999999993</v>
      </c>
    </row>
    <row r="188" spans="1:11" ht="15">
      <c r="A188" s="34"/>
      <c r="B188" s="35"/>
      <c r="C188" s="34"/>
      <c r="D188" s="36"/>
      <c r="E188" s="37"/>
      <c r="F188" s="616" t="s">
        <v>65</v>
      </c>
      <c r="G188" s="616"/>
      <c r="H188" s="40">
        <f>(ROUND(SUM(H183:H187),0))*1.1</f>
        <v>910.80000000000007</v>
      </c>
    </row>
    <row r="189" spans="1:11" s="233" customFormat="1" ht="15">
      <c r="A189" s="218"/>
      <c r="B189" s="240"/>
      <c r="C189" s="119"/>
      <c r="D189" s="328"/>
      <c r="E189" s="120"/>
      <c r="F189" s="38"/>
      <c r="G189" s="39"/>
      <c r="H189" s="40"/>
      <c r="K189" s="41"/>
    </row>
    <row r="190" spans="1:11" ht="15">
      <c r="A190" s="159">
        <v>11</v>
      </c>
      <c r="B190" s="160" t="s">
        <v>221</v>
      </c>
      <c r="C190" s="119"/>
      <c r="D190" s="36"/>
      <c r="E190" s="37"/>
      <c r="F190" s="38"/>
      <c r="G190" s="39"/>
      <c r="H190" s="254"/>
    </row>
    <row r="191" spans="1:11" ht="15">
      <c r="A191" s="34"/>
      <c r="B191" s="35" t="s">
        <v>359</v>
      </c>
      <c r="C191" s="34" t="s">
        <v>16</v>
      </c>
      <c r="D191" s="36"/>
      <c r="E191" s="37"/>
      <c r="F191" s="359"/>
      <c r="G191" s="359"/>
      <c r="H191" s="39">
        <f>H185</f>
        <v>0</v>
      </c>
    </row>
    <row r="192" spans="1:11" ht="15">
      <c r="A192" s="34"/>
      <c r="B192" s="35" t="s">
        <v>674</v>
      </c>
      <c r="C192" s="34" t="s">
        <v>16</v>
      </c>
      <c r="D192" s="36">
        <v>1</v>
      </c>
      <c r="E192" s="37">
        <f>2*1.4+2*1.95</f>
        <v>6.6999999999999993</v>
      </c>
      <c r="F192" s="359"/>
      <c r="G192" s="88">
        <f>4-1.65</f>
        <v>2.35</v>
      </c>
      <c r="H192" s="78">
        <f>ROUND(D192*E192*G192,0)</f>
        <v>16</v>
      </c>
    </row>
    <row r="193" spans="1:11" s="384" customFormat="1" ht="15">
      <c r="A193" s="34"/>
      <c r="B193" s="35" t="s">
        <v>675</v>
      </c>
      <c r="C193" s="34" t="s">
        <v>16</v>
      </c>
      <c r="D193" s="36">
        <v>1</v>
      </c>
      <c r="E193" s="37">
        <f>2*1.2+2*1.5+2*1.2+2*1.5+2*2.515+2*2.1+2*1.63+2*1.65</f>
        <v>26.59</v>
      </c>
      <c r="F193" s="380"/>
      <c r="G193" s="88">
        <f>4-1.65</f>
        <v>2.35</v>
      </c>
      <c r="H193" s="78">
        <f>ROUND(D193*E193*G193,0)</f>
        <v>62</v>
      </c>
    </row>
    <row r="194" spans="1:11" s="384" customFormat="1" ht="15">
      <c r="A194" s="34"/>
      <c r="B194" s="35" t="s">
        <v>676</v>
      </c>
      <c r="C194" s="34" t="s">
        <v>16</v>
      </c>
      <c r="D194" s="36">
        <v>0</v>
      </c>
      <c r="E194" s="37">
        <v>4</v>
      </c>
      <c r="F194" s="380"/>
      <c r="G194" s="88">
        <v>3.72</v>
      </c>
      <c r="H194" s="78">
        <f>ROUND(D194*E194*G194,0)</f>
        <v>0</v>
      </c>
    </row>
    <row r="195" spans="1:11" ht="15">
      <c r="A195" s="34"/>
      <c r="B195" s="73" t="s">
        <v>499</v>
      </c>
      <c r="C195" s="129" t="s">
        <v>16</v>
      </c>
      <c r="D195" s="365">
        <v>1</v>
      </c>
      <c r="E195" s="75">
        <f>4.25*2+0.6*2</f>
        <v>9.6999999999999993</v>
      </c>
      <c r="F195" s="88"/>
      <c r="G195" s="88">
        <v>3.65</v>
      </c>
      <c r="H195" s="78">
        <f>ROUND(D195*E195*G195,0)</f>
        <v>35</v>
      </c>
    </row>
    <row r="196" spans="1:11" s="290" customFormat="1" ht="15">
      <c r="A196" s="34"/>
      <c r="B196" s="73" t="s">
        <v>500</v>
      </c>
      <c r="C196" s="129" t="s">
        <v>16</v>
      </c>
      <c r="D196" s="365">
        <v>0</v>
      </c>
      <c r="E196" s="75">
        <f>4.25*2+0.6*2</f>
        <v>9.6999999999999993</v>
      </c>
      <c r="F196" s="88"/>
      <c r="G196" s="88">
        <v>3.65</v>
      </c>
      <c r="H196" s="78">
        <f>ROUND(D196*E196*G196,0)</f>
        <v>0</v>
      </c>
    </row>
    <row r="197" spans="1:11" ht="15">
      <c r="A197" s="34"/>
      <c r="B197" s="35"/>
      <c r="C197" s="34"/>
      <c r="D197" s="36"/>
      <c r="E197" s="37"/>
      <c r="F197" s="620" t="s">
        <v>65</v>
      </c>
      <c r="G197" s="621"/>
      <c r="H197" s="40">
        <f>(ROUND(SUM(H191:H196),0))*1.1</f>
        <v>124.30000000000001</v>
      </c>
    </row>
    <row r="198" spans="1:11" s="233" customFormat="1" ht="15">
      <c r="A198" s="218"/>
      <c r="B198" s="240"/>
      <c r="C198" s="119"/>
      <c r="D198" s="328"/>
      <c r="E198" s="120"/>
      <c r="F198" s="616" t="s">
        <v>401</v>
      </c>
      <c r="G198" s="616"/>
      <c r="H198" s="40">
        <f>ROUND(H197+H197*5%,0)</f>
        <v>131</v>
      </c>
      <c r="K198" s="41"/>
    </row>
    <row r="199" spans="1:11" s="290" customFormat="1" ht="15">
      <c r="A199" s="218"/>
      <c r="B199" s="240"/>
      <c r="C199" s="119"/>
      <c r="D199" s="328"/>
      <c r="E199" s="120"/>
      <c r="F199" s="360"/>
      <c r="G199" s="361"/>
      <c r="H199" s="190"/>
      <c r="K199" s="41"/>
    </row>
    <row r="200" spans="1:11" ht="15">
      <c r="A200" s="218">
        <v>12</v>
      </c>
      <c r="B200" s="256" t="s">
        <v>37</v>
      </c>
      <c r="C200" s="34"/>
      <c r="D200" s="36"/>
      <c r="E200" s="37"/>
      <c r="F200" s="38"/>
      <c r="G200" s="39"/>
      <c r="H200" s="40"/>
      <c r="K200" s="41"/>
    </row>
    <row r="201" spans="1:11" ht="18" customHeight="1">
      <c r="A201" s="318" t="s">
        <v>10</v>
      </c>
      <c r="B201" s="240" t="s">
        <v>364</v>
      </c>
      <c r="C201" s="119" t="s">
        <v>16</v>
      </c>
      <c r="D201" s="36"/>
      <c r="E201" s="336">
        <v>2.4249999999999998</v>
      </c>
      <c r="F201" s="343"/>
      <c r="G201" s="339">
        <v>3.645</v>
      </c>
      <c r="H201" s="39">
        <f>D201*E201*G201</f>
        <v>0</v>
      </c>
      <c r="K201" s="41"/>
    </row>
    <row r="202" spans="1:11" ht="18" customHeight="1">
      <c r="A202" s="318" t="s">
        <v>12</v>
      </c>
      <c r="B202" s="240" t="s">
        <v>365</v>
      </c>
      <c r="C202" s="119" t="s">
        <v>16</v>
      </c>
      <c r="D202" s="36"/>
      <c r="E202" s="336">
        <v>1.859</v>
      </c>
      <c r="F202" s="343"/>
      <c r="G202" s="339">
        <v>3.645</v>
      </c>
      <c r="H202" s="39">
        <f>D202*E202*G202</f>
        <v>0</v>
      </c>
      <c r="K202" s="41"/>
    </row>
    <row r="203" spans="1:11" ht="18" customHeight="1">
      <c r="A203" s="318" t="s">
        <v>13</v>
      </c>
      <c r="B203" s="240" t="s">
        <v>366</v>
      </c>
      <c r="C203" s="119" t="s">
        <v>16</v>
      </c>
      <c r="D203" s="36"/>
      <c r="E203" s="336">
        <v>1.2509999999999999</v>
      </c>
      <c r="F203" s="343"/>
      <c r="G203" s="339">
        <v>3.645</v>
      </c>
      <c r="H203" s="39">
        <f>D203*E203*G203</f>
        <v>0</v>
      </c>
      <c r="K203" s="41"/>
    </row>
    <row r="204" spans="1:11" ht="18" customHeight="1">
      <c r="A204" s="318" t="s">
        <v>36</v>
      </c>
      <c r="B204" s="240" t="s">
        <v>367</v>
      </c>
      <c r="C204" s="119" t="s">
        <v>16</v>
      </c>
      <c r="D204" s="36"/>
      <c r="E204" s="336">
        <v>0.64200000000000002</v>
      </c>
      <c r="F204" s="343"/>
      <c r="G204" s="339">
        <v>3.645</v>
      </c>
      <c r="H204" s="39">
        <f>D204*E204*G204</f>
        <v>0</v>
      </c>
      <c r="K204" s="41"/>
    </row>
    <row r="205" spans="1:11" ht="18" customHeight="1">
      <c r="A205" s="318"/>
      <c r="B205" s="240"/>
      <c r="C205" s="119"/>
      <c r="D205" s="36"/>
      <c r="E205" s="336"/>
      <c r="F205" s="343"/>
      <c r="G205" s="339"/>
      <c r="H205" s="40"/>
      <c r="K205" s="41"/>
    </row>
    <row r="206" spans="1:11" ht="18" customHeight="1">
      <c r="A206" s="318" t="s">
        <v>42</v>
      </c>
      <c r="B206" s="240" t="s">
        <v>368</v>
      </c>
      <c r="C206" s="119" t="s">
        <v>16</v>
      </c>
      <c r="D206" s="36"/>
      <c r="E206" s="336">
        <v>2.4249999999999998</v>
      </c>
      <c r="F206" s="343"/>
      <c r="G206" s="339">
        <v>3.645</v>
      </c>
      <c r="H206" s="39">
        <f>D206*E206*G206</f>
        <v>0</v>
      </c>
      <c r="K206" s="41"/>
    </row>
    <row r="207" spans="1:11" ht="18" customHeight="1">
      <c r="A207" s="318" t="s">
        <v>44</v>
      </c>
      <c r="B207" s="240" t="s">
        <v>369</v>
      </c>
      <c r="C207" s="119" t="s">
        <v>16</v>
      </c>
      <c r="D207" s="36"/>
      <c r="E207" s="336">
        <v>2.4249999999999998</v>
      </c>
      <c r="F207" s="343"/>
      <c r="G207" s="339">
        <v>3.645</v>
      </c>
      <c r="H207" s="39">
        <f>D207*E207*G207</f>
        <v>0</v>
      </c>
      <c r="K207" s="41"/>
    </row>
    <row r="208" spans="1:11" ht="18" customHeight="1">
      <c r="A208" s="318" t="s">
        <v>46</v>
      </c>
      <c r="B208" s="240" t="s">
        <v>370</v>
      </c>
      <c r="C208" s="119" t="s">
        <v>16</v>
      </c>
      <c r="D208" s="36"/>
      <c r="E208" s="336">
        <v>0.64200000000000002</v>
      </c>
      <c r="F208" s="343"/>
      <c r="G208" s="339">
        <v>2.4449999999999998</v>
      </c>
      <c r="H208" s="39">
        <f>D208*E208*G208</f>
        <v>0</v>
      </c>
      <c r="K208" s="41"/>
    </row>
    <row r="209" spans="1:11" s="204" customFormat="1" ht="18" customHeight="1">
      <c r="A209" s="318" t="s">
        <v>48</v>
      </c>
      <c r="B209" s="240" t="s">
        <v>389</v>
      </c>
      <c r="C209" s="119" t="s">
        <v>16</v>
      </c>
      <c r="D209" s="36"/>
      <c r="E209" s="336">
        <v>1.5549999999999999</v>
      </c>
      <c r="F209" s="343"/>
      <c r="G209" s="339">
        <v>3.645</v>
      </c>
      <c r="H209" s="39">
        <f>D209*E209*G209</f>
        <v>0</v>
      </c>
      <c r="K209" s="41"/>
    </row>
    <row r="210" spans="1:11" s="204" customFormat="1" ht="18" customHeight="1">
      <c r="A210" s="318" t="s">
        <v>50</v>
      </c>
      <c r="B210" s="240" t="s">
        <v>392</v>
      </c>
      <c r="C210" s="119" t="s">
        <v>16</v>
      </c>
      <c r="D210" s="36"/>
      <c r="E210" s="336">
        <v>0.49</v>
      </c>
      <c r="F210" s="343"/>
      <c r="G210" s="339">
        <v>3.645</v>
      </c>
      <c r="H210" s="39">
        <f t="shared" ref="H210:H215" si="30">D210*E210*G210</f>
        <v>0</v>
      </c>
      <c r="K210" s="41"/>
    </row>
    <row r="211" spans="1:11" s="204" customFormat="1" ht="18" customHeight="1">
      <c r="A211" s="318" t="s">
        <v>51</v>
      </c>
      <c r="B211" s="240" t="s">
        <v>393</v>
      </c>
      <c r="C211" s="119" t="s">
        <v>16</v>
      </c>
      <c r="D211" s="36"/>
      <c r="E211" s="336">
        <v>1.6619999999999999</v>
      </c>
      <c r="F211" s="343"/>
      <c r="G211" s="339">
        <v>3.645</v>
      </c>
      <c r="H211" s="39">
        <f t="shared" si="30"/>
        <v>0</v>
      </c>
      <c r="K211" s="41"/>
    </row>
    <row r="212" spans="1:11" s="204" customFormat="1" ht="18" customHeight="1">
      <c r="A212" s="318" t="s">
        <v>52</v>
      </c>
      <c r="B212" s="240" t="s">
        <v>394</v>
      </c>
      <c r="C212" s="119" t="s">
        <v>16</v>
      </c>
      <c r="D212" s="36"/>
      <c r="E212" s="336">
        <v>1.1950000000000001</v>
      </c>
      <c r="F212" s="343"/>
      <c r="G212" s="339">
        <v>3.645</v>
      </c>
      <c r="H212" s="39">
        <f t="shared" si="30"/>
        <v>0</v>
      </c>
      <c r="K212" s="41"/>
    </row>
    <row r="213" spans="1:11" s="204" customFormat="1" ht="18" customHeight="1">
      <c r="A213" s="318" t="s">
        <v>53</v>
      </c>
      <c r="B213" s="240" t="s">
        <v>395</v>
      </c>
      <c r="C213" s="119" t="s">
        <v>16</v>
      </c>
      <c r="D213" s="36"/>
      <c r="E213" s="336">
        <v>1.4750000000000001</v>
      </c>
      <c r="F213" s="343"/>
      <c r="G213" s="339">
        <v>3.645</v>
      </c>
      <c r="H213" s="39">
        <f t="shared" si="30"/>
        <v>0</v>
      </c>
      <c r="K213" s="41"/>
    </row>
    <row r="214" spans="1:11" s="204" customFormat="1" ht="18" customHeight="1">
      <c r="A214" s="318" t="s">
        <v>390</v>
      </c>
      <c r="B214" s="240" t="s">
        <v>396</v>
      </c>
      <c r="C214" s="119" t="s">
        <v>16</v>
      </c>
      <c r="D214" s="36"/>
      <c r="E214" s="336">
        <v>0.22700000000000001</v>
      </c>
      <c r="F214" s="343"/>
      <c r="G214" s="339">
        <v>3.645</v>
      </c>
      <c r="H214" s="39">
        <f t="shared" si="30"/>
        <v>0</v>
      </c>
      <c r="K214" s="41"/>
    </row>
    <row r="215" spans="1:11" s="204" customFormat="1" ht="18" customHeight="1">
      <c r="A215" s="318" t="s">
        <v>391</v>
      </c>
      <c r="B215" s="240" t="s">
        <v>397</v>
      </c>
      <c r="C215" s="119" t="s">
        <v>16</v>
      </c>
      <c r="D215" s="36"/>
      <c r="E215" s="336">
        <v>0.79200000000000004</v>
      </c>
      <c r="F215" s="343"/>
      <c r="G215" s="339">
        <v>3.645</v>
      </c>
      <c r="H215" s="39">
        <f t="shared" si="30"/>
        <v>0</v>
      </c>
      <c r="K215" s="41"/>
    </row>
    <row r="216" spans="1:11" ht="15">
      <c r="A216" s="318"/>
      <c r="B216" s="240"/>
      <c r="C216" s="119"/>
      <c r="D216" s="36"/>
      <c r="E216" s="336"/>
      <c r="F216" s="343"/>
      <c r="G216" s="339"/>
      <c r="H216" s="39"/>
      <c r="K216" s="41"/>
    </row>
    <row r="217" spans="1:11" ht="15">
      <c r="A217" s="318"/>
      <c r="B217" s="240" t="s">
        <v>378</v>
      </c>
      <c r="C217" s="119" t="s">
        <v>16</v>
      </c>
      <c r="D217" s="36">
        <v>0</v>
      </c>
      <c r="E217" s="336">
        <f>2*(J22+K22)</f>
        <v>263.60000000000002</v>
      </c>
      <c r="F217" s="343"/>
      <c r="G217" s="339">
        <v>3.645</v>
      </c>
      <c r="H217" s="39">
        <f>D217*E217*G217</f>
        <v>0</v>
      </c>
      <c r="K217" s="41"/>
    </row>
    <row r="218" spans="1:11" s="224" customFormat="1" ht="15">
      <c r="A218" s="318"/>
      <c r="B218" s="240" t="s">
        <v>419</v>
      </c>
      <c r="C218" s="119" t="s">
        <v>16</v>
      </c>
      <c r="D218" s="36">
        <v>0</v>
      </c>
      <c r="E218" s="336">
        <f>K22</f>
        <v>48.3</v>
      </c>
      <c r="F218" s="343"/>
      <c r="G218" s="339">
        <v>3.645</v>
      </c>
      <c r="H218" s="39">
        <f>D218*E218*G218</f>
        <v>0</v>
      </c>
      <c r="K218" s="41"/>
    </row>
    <row r="219" spans="1:11" ht="15">
      <c r="A219" s="318"/>
      <c r="B219" s="240" t="s">
        <v>568</v>
      </c>
      <c r="C219" s="119" t="s">
        <v>16</v>
      </c>
      <c r="D219" s="36">
        <v>0</v>
      </c>
      <c r="E219" s="336">
        <f>E440</f>
        <v>31.5</v>
      </c>
      <c r="F219" s="343"/>
      <c r="G219" s="339">
        <v>3.645</v>
      </c>
      <c r="H219" s="39">
        <f>D219*E219*G219</f>
        <v>0</v>
      </c>
      <c r="K219" s="41"/>
    </row>
    <row r="220" spans="1:11" ht="15">
      <c r="A220" s="318"/>
      <c r="B220" s="240" t="s">
        <v>388</v>
      </c>
      <c r="C220" s="119" t="s">
        <v>16</v>
      </c>
      <c r="D220" s="36">
        <v>0</v>
      </c>
      <c r="E220" s="336">
        <v>2.5</v>
      </c>
      <c r="F220" s="343"/>
      <c r="G220" s="339">
        <v>3.645</v>
      </c>
      <c r="H220" s="39">
        <f t="shared" ref="H220" si="31">D220*E220*G220</f>
        <v>0</v>
      </c>
      <c r="K220" s="41"/>
    </row>
    <row r="221" spans="1:11" s="287" customFormat="1" ht="15">
      <c r="A221" s="318"/>
      <c r="B221" s="240"/>
      <c r="C221" s="119"/>
      <c r="D221" s="36">
        <v>0</v>
      </c>
      <c r="E221" s="336">
        <v>4</v>
      </c>
      <c r="F221" s="343"/>
      <c r="G221" s="339">
        <v>3.645</v>
      </c>
      <c r="H221" s="39">
        <f t="shared" ref="H221" si="32">D221*E221*G221</f>
        <v>0</v>
      </c>
      <c r="K221" s="41"/>
    </row>
    <row r="222" spans="1:11" s="241" customFormat="1" ht="15">
      <c r="A222" s="318"/>
      <c r="B222" s="240" t="s">
        <v>470</v>
      </c>
      <c r="C222" s="119" t="s">
        <v>16</v>
      </c>
      <c r="D222" s="36">
        <v>0</v>
      </c>
      <c r="E222" s="336">
        <v>1.113</v>
      </c>
      <c r="F222" s="343"/>
      <c r="G222" s="339">
        <v>3.645</v>
      </c>
      <c r="H222" s="39">
        <f t="shared" ref="H222" si="33">D222*E222*G222</f>
        <v>0</v>
      </c>
      <c r="K222" s="41"/>
    </row>
    <row r="223" spans="1:11" ht="15">
      <c r="A223" s="218"/>
      <c r="B223" s="35"/>
      <c r="C223" s="34"/>
      <c r="D223" s="36"/>
      <c r="E223" s="37"/>
      <c r="F223" s="617" t="s">
        <v>65</v>
      </c>
      <c r="G223" s="617"/>
      <c r="H223" s="39">
        <f>ROUND(SUM(H200:H222),0)</f>
        <v>0</v>
      </c>
      <c r="K223" s="41"/>
    </row>
    <row r="224" spans="1:11" ht="15">
      <c r="A224" s="218"/>
      <c r="B224" s="35"/>
      <c r="C224" s="34"/>
      <c r="D224" s="36"/>
      <c r="E224" s="37"/>
      <c r="F224" s="627" t="s">
        <v>401</v>
      </c>
      <c r="G224" s="627"/>
      <c r="H224" s="344">
        <f>ROUND(H223+H223*5%,0)</f>
        <v>0</v>
      </c>
      <c r="K224" s="41"/>
    </row>
    <row r="225" spans="1:12" s="233" customFormat="1" ht="15">
      <c r="A225" s="218"/>
      <c r="B225" s="240"/>
      <c r="C225" s="119"/>
      <c r="D225" s="328"/>
      <c r="E225" s="120"/>
      <c r="F225" s="38"/>
      <c r="G225" s="39"/>
      <c r="H225" s="40"/>
      <c r="K225" s="41"/>
    </row>
    <row r="226" spans="1:12" ht="15">
      <c r="A226" s="218">
        <v>13</v>
      </c>
      <c r="B226" s="256" t="s">
        <v>159</v>
      </c>
      <c r="C226" s="34"/>
      <c r="D226" s="36"/>
      <c r="E226" s="37"/>
      <c r="F226" s="38"/>
      <c r="G226" s="39"/>
      <c r="H226" s="39"/>
      <c r="K226" s="41"/>
    </row>
    <row r="227" spans="1:12" ht="15">
      <c r="A227" s="218"/>
      <c r="B227" s="35" t="s">
        <v>128</v>
      </c>
      <c r="C227" s="34" t="s">
        <v>11</v>
      </c>
      <c r="D227" s="36">
        <f t="shared" ref="D227:D232" si="34">D141</f>
        <v>4</v>
      </c>
      <c r="E227" s="37">
        <v>0.75</v>
      </c>
      <c r="F227" s="38">
        <v>0.45</v>
      </c>
      <c r="G227" s="339">
        <v>0.05</v>
      </c>
      <c r="H227" s="39">
        <f>D227*E227*F227*G227</f>
        <v>6.7500000000000004E-2</v>
      </c>
      <c r="K227" s="41"/>
    </row>
    <row r="228" spans="1:12" s="290" customFormat="1" ht="15">
      <c r="A228" s="218"/>
      <c r="B228" s="35" t="s">
        <v>129</v>
      </c>
      <c r="C228" s="34" t="s">
        <v>11</v>
      </c>
      <c r="D228" s="36">
        <f t="shared" si="34"/>
        <v>22</v>
      </c>
      <c r="E228" s="37">
        <v>0.75</v>
      </c>
      <c r="F228" s="38">
        <v>0.45</v>
      </c>
      <c r="G228" s="339">
        <v>0.05</v>
      </c>
      <c r="H228" s="39">
        <f>D228*E228*F228*G228</f>
        <v>0.37125000000000002</v>
      </c>
      <c r="K228" s="41"/>
    </row>
    <row r="229" spans="1:12" ht="15">
      <c r="A229" s="218"/>
      <c r="B229" s="35" t="s">
        <v>130</v>
      </c>
      <c r="C229" s="34" t="s">
        <v>11</v>
      </c>
      <c r="D229" s="36">
        <f t="shared" si="34"/>
        <v>10</v>
      </c>
      <c r="E229" s="37">
        <v>0.9</v>
      </c>
      <c r="F229" s="38">
        <v>0.55000000000000004</v>
      </c>
      <c r="G229" s="339">
        <v>0.05</v>
      </c>
      <c r="H229" s="39">
        <f t="shared" ref="H229:H232" si="35">D229*E229*F229*G229</f>
        <v>0.24750000000000003</v>
      </c>
      <c r="K229" s="41"/>
    </row>
    <row r="230" spans="1:12" ht="15">
      <c r="A230" s="218"/>
      <c r="B230" s="35" t="s">
        <v>131</v>
      </c>
      <c r="C230" s="34" t="s">
        <v>11</v>
      </c>
      <c r="D230" s="36">
        <f t="shared" si="34"/>
        <v>6</v>
      </c>
      <c r="E230" s="37">
        <v>0.65</v>
      </c>
      <c r="F230" s="38">
        <v>0.3</v>
      </c>
      <c r="G230" s="339">
        <v>0.05</v>
      </c>
      <c r="H230" s="39">
        <f t="shared" si="35"/>
        <v>5.850000000000001E-2</v>
      </c>
      <c r="J230" s="204"/>
      <c r="K230" s="41"/>
    </row>
    <row r="231" spans="1:12" ht="15">
      <c r="A231" s="218"/>
      <c r="B231" s="35" t="s">
        <v>132</v>
      </c>
      <c r="C231" s="34" t="s">
        <v>11</v>
      </c>
      <c r="D231" s="36">
        <f t="shared" si="34"/>
        <v>0</v>
      </c>
      <c r="E231" s="37">
        <v>0.75</v>
      </c>
      <c r="F231" s="38">
        <v>0.55000000000000004</v>
      </c>
      <c r="G231" s="339">
        <v>0.05</v>
      </c>
      <c r="H231" s="39">
        <f t="shared" si="35"/>
        <v>0</v>
      </c>
      <c r="K231" s="41"/>
    </row>
    <row r="232" spans="1:12" s="241" customFormat="1" ht="15">
      <c r="A232" s="218"/>
      <c r="B232" s="35" t="s">
        <v>348</v>
      </c>
      <c r="C232" s="34" t="s">
        <v>11</v>
      </c>
      <c r="D232" s="36">
        <f t="shared" si="34"/>
        <v>0</v>
      </c>
      <c r="E232" s="37">
        <v>0.75</v>
      </c>
      <c r="F232" s="38">
        <v>0.55000000000000004</v>
      </c>
      <c r="G232" s="339">
        <v>0.05</v>
      </c>
      <c r="H232" s="39">
        <f t="shared" si="35"/>
        <v>0</v>
      </c>
      <c r="K232" s="41"/>
    </row>
    <row r="233" spans="1:12" ht="15">
      <c r="A233" s="218"/>
      <c r="B233" s="35"/>
      <c r="C233" s="34"/>
      <c r="D233" s="36"/>
      <c r="E233" s="37"/>
      <c r="F233" s="616" t="s">
        <v>65</v>
      </c>
      <c r="G233" s="616"/>
      <c r="H233" s="40">
        <f>ROUND(SUM(H227:H232),2)</f>
        <v>0.74</v>
      </c>
      <c r="K233" s="41"/>
    </row>
    <row r="234" spans="1:12" ht="15">
      <c r="A234" s="218"/>
      <c r="B234" s="35"/>
      <c r="C234" s="34"/>
      <c r="D234" s="36"/>
      <c r="E234" s="37"/>
      <c r="F234" s="359"/>
      <c r="G234" s="359"/>
      <c r="H234" s="40"/>
      <c r="K234" s="41"/>
    </row>
    <row r="235" spans="1:12" ht="45">
      <c r="A235" s="159">
        <v>14</v>
      </c>
      <c r="B235" s="256" t="s">
        <v>160</v>
      </c>
      <c r="C235" s="34"/>
      <c r="D235" s="228" t="s">
        <v>161</v>
      </c>
      <c r="E235" s="98" t="s">
        <v>162</v>
      </c>
      <c r="F235" s="319" t="s">
        <v>163</v>
      </c>
      <c r="G235" s="98" t="s">
        <v>164</v>
      </c>
      <c r="H235" s="254"/>
      <c r="K235" s="51"/>
      <c r="L235" s="192"/>
    </row>
    <row r="236" spans="1:12" ht="15">
      <c r="A236" s="159"/>
      <c r="B236" s="256" t="s">
        <v>763</v>
      </c>
      <c r="C236" s="34"/>
      <c r="D236" s="228"/>
      <c r="E236" s="98"/>
      <c r="F236" s="319"/>
      <c r="G236" s="98"/>
      <c r="H236" s="254"/>
      <c r="K236" s="52">
        <f>(12^2)/162</f>
        <v>0.88888888888888884</v>
      </c>
    </row>
    <row r="237" spans="1:12" ht="15">
      <c r="A237" s="218"/>
      <c r="B237" s="35" t="s">
        <v>488</v>
      </c>
      <c r="C237" s="34" t="s">
        <v>23</v>
      </c>
      <c r="D237" s="36">
        <v>0</v>
      </c>
      <c r="E237" s="37">
        <v>16</v>
      </c>
      <c r="F237" s="38">
        <v>1</v>
      </c>
      <c r="G237" s="39">
        <v>8</v>
      </c>
      <c r="H237" s="339">
        <f t="shared" ref="H237:H242" si="36">(D237*E237*F237*G237)/1000</f>
        <v>0</v>
      </c>
      <c r="K237" s="52">
        <f>(50^2)/162</f>
        <v>15.432098765432098</v>
      </c>
    </row>
    <row r="238" spans="1:12" s="290" customFormat="1" ht="15">
      <c r="A238" s="218"/>
      <c r="B238" s="35" t="s">
        <v>489</v>
      </c>
      <c r="C238" s="34" t="s">
        <v>23</v>
      </c>
      <c r="D238" s="36">
        <v>0</v>
      </c>
      <c r="E238" s="37">
        <v>16</v>
      </c>
      <c r="F238" s="38">
        <v>1</v>
      </c>
      <c r="G238" s="39">
        <v>8</v>
      </c>
      <c r="H238" s="339">
        <f t="shared" si="36"/>
        <v>0</v>
      </c>
      <c r="K238" s="52"/>
    </row>
    <row r="239" spans="1:12" ht="15">
      <c r="A239" s="218"/>
      <c r="B239" s="35" t="s">
        <v>516</v>
      </c>
      <c r="C239" s="34" t="s">
        <v>23</v>
      </c>
      <c r="D239" s="36">
        <v>0</v>
      </c>
      <c r="E239" s="37">
        <v>16</v>
      </c>
      <c r="F239" s="38">
        <v>1</v>
      </c>
      <c r="G239" s="39">
        <v>8</v>
      </c>
      <c r="H239" s="339">
        <f t="shared" si="36"/>
        <v>0</v>
      </c>
      <c r="K239" s="41"/>
    </row>
    <row r="240" spans="1:12" ht="15">
      <c r="A240" s="218"/>
      <c r="B240" s="35" t="s">
        <v>490</v>
      </c>
      <c r="C240" s="34" t="s">
        <v>23</v>
      </c>
      <c r="D240" s="36">
        <v>0</v>
      </c>
      <c r="E240" s="37">
        <v>8</v>
      </c>
      <c r="F240" s="38">
        <v>1</v>
      </c>
      <c r="G240" s="39">
        <v>8</v>
      </c>
      <c r="H240" s="339">
        <f t="shared" si="36"/>
        <v>0</v>
      </c>
      <c r="K240" s="41"/>
    </row>
    <row r="241" spans="1:11" ht="15">
      <c r="A241" s="218"/>
      <c r="B241" s="35" t="s">
        <v>491</v>
      </c>
      <c r="C241" s="34" t="s">
        <v>23</v>
      </c>
      <c r="D241" s="36">
        <v>0</v>
      </c>
      <c r="E241" s="37">
        <v>8</v>
      </c>
      <c r="F241" s="38">
        <v>1</v>
      </c>
      <c r="G241" s="39">
        <v>8</v>
      </c>
      <c r="H241" s="339">
        <f t="shared" si="36"/>
        <v>0</v>
      </c>
      <c r="K241" s="41"/>
    </row>
    <row r="242" spans="1:11" s="290" customFormat="1" ht="15">
      <c r="A242" s="218"/>
      <c r="B242" s="35" t="s">
        <v>492</v>
      </c>
      <c r="C242" s="34" t="s">
        <v>23</v>
      </c>
      <c r="D242" s="36">
        <v>0</v>
      </c>
      <c r="E242" s="37">
        <v>8</v>
      </c>
      <c r="F242" s="38">
        <v>0.7</v>
      </c>
      <c r="G242" s="39">
        <v>3.6</v>
      </c>
      <c r="H242" s="339">
        <f t="shared" si="36"/>
        <v>0</v>
      </c>
      <c r="K242" s="41"/>
    </row>
    <row r="243" spans="1:11" s="204" customFormat="1" ht="15">
      <c r="A243" s="218"/>
      <c r="B243" s="35"/>
      <c r="C243" s="34"/>
      <c r="D243" s="36"/>
      <c r="E243" s="37"/>
      <c r="F243" s="38"/>
      <c r="G243" s="39"/>
      <c r="H243" s="39"/>
      <c r="K243" s="41"/>
    </row>
    <row r="244" spans="1:11" s="290" customFormat="1" ht="15">
      <c r="A244" s="218"/>
      <c r="B244" s="256" t="s">
        <v>169</v>
      </c>
      <c r="C244" s="34"/>
      <c r="D244" s="36"/>
      <c r="E244" s="37"/>
      <c r="F244" s="38"/>
      <c r="G244" s="39"/>
      <c r="H244" s="39"/>
      <c r="K244" s="41"/>
    </row>
    <row r="245" spans="1:11" s="290" customFormat="1" ht="15">
      <c r="A245" s="218"/>
      <c r="B245" s="35" t="s">
        <v>488</v>
      </c>
      <c r="C245" s="34" t="s">
        <v>23</v>
      </c>
      <c r="D245" s="36">
        <f>D237</f>
        <v>0</v>
      </c>
      <c r="E245" s="37">
        <f>E237*2</f>
        <v>32</v>
      </c>
      <c r="F245" s="99">
        <v>2.5999999999999999E-2</v>
      </c>
      <c r="G245" s="39">
        <f t="shared" ref="G245:G249" si="37">22.2-6.3</f>
        <v>15.899999999999999</v>
      </c>
      <c r="H245" s="39">
        <f t="shared" ref="H245:H250" si="38">(D245*E245*F245*G245)/1000</f>
        <v>0</v>
      </c>
      <c r="K245" s="41"/>
    </row>
    <row r="246" spans="1:11" s="290" customFormat="1" ht="15">
      <c r="A246" s="218"/>
      <c r="B246" s="35" t="s">
        <v>489</v>
      </c>
      <c r="C246" s="34" t="s">
        <v>23</v>
      </c>
      <c r="D246" s="36">
        <f t="shared" ref="D246:D250" si="39">D238</f>
        <v>0</v>
      </c>
      <c r="E246" s="37">
        <f t="shared" ref="E246:E250" si="40">E238*2</f>
        <v>32</v>
      </c>
      <c r="F246" s="99">
        <v>2.5999999999999999E-2</v>
      </c>
      <c r="G246" s="39">
        <f t="shared" si="37"/>
        <v>15.899999999999999</v>
      </c>
      <c r="H246" s="39">
        <f t="shared" si="38"/>
        <v>0</v>
      </c>
      <c r="K246" s="41"/>
    </row>
    <row r="247" spans="1:11" s="290" customFormat="1" ht="15">
      <c r="A247" s="218"/>
      <c r="B247" s="35" t="s">
        <v>516</v>
      </c>
      <c r="C247" s="34" t="s">
        <v>23</v>
      </c>
      <c r="D247" s="36">
        <f t="shared" si="39"/>
        <v>0</v>
      </c>
      <c r="E247" s="37">
        <f t="shared" si="40"/>
        <v>32</v>
      </c>
      <c r="F247" s="99">
        <v>2.5999999999999999E-2</v>
      </c>
      <c r="G247" s="39">
        <f t="shared" si="37"/>
        <v>15.899999999999999</v>
      </c>
      <c r="H247" s="39">
        <f t="shared" si="38"/>
        <v>0</v>
      </c>
      <c r="K247" s="41"/>
    </row>
    <row r="248" spans="1:11" s="290" customFormat="1" ht="15">
      <c r="A248" s="218"/>
      <c r="B248" s="35" t="s">
        <v>490</v>
      </c>
      <c r="C248" s="34" t="s">
        <v>23</v>
      </c>
      <c r="D248" s="36">
        <f t="shared" si="39"/>
        <v>0</v>
      </c>
      <c r="E248" s="37">
        <f t="shared" si="40"/>
        <v>16</v>
      </c>
      <c r="F248" s="99">
        <v>2.5999999999999999E-2</v>
      </c>
      <c r="G248" s="39">
        <f t="shared" si="37"/>
        <v>15.899999999999999</v>
      </c>
      <c r="H248" s="39">
        <f t="shared" si="38"/>
        <v>0</v>
      </c>
      <c r="K248" s="41"/>
    </row>
    <row r="249" spans="1:11" s="290" customFormat="1" ht="15">
      <c r="A249" s="218"/>
      <c r="B249" s="35" t="s">
        <v>491</v>
      </c>
      <c r="C249" s="34" t="s">
        <v>23</v>
      </c>
      <c r="D249" s="36">
        <f t="shared" si="39"/>
        <v>0</v>
      </c>
      <c r="E249" s="37">
        <f t="shared" si="40"/>
        <v>16</v>
      </c>
      <c r="F249" s="99">
        <v>2.5999999999999999E-2</v>
      </c>
      <c r="G249" s="39">
        <f t="shared" si="37"/>
        <v>15.899999999999999</v>
      </c>
      <c r="H249" s="39">
        <f t="shared" si="38"/>
        <v>0</v>
      </c>
      <c r="K249" s="41"/>
    </row>
    <row r="250" spans="1:11" s="290" customFormat="1" ht="15">
      <c r="A250" s="218"/>
      <c r="B250" s="35" t="s">
        <v>492</v>
      </c>
      <c r="C250" s="34" t="s">
        <v>23</v>
      </c>
      <c r="D250" s="36">
        <f t="shared" si="39"/>
        <v>0</v>
      </c>
      <c r="E250" s="37">
        <f t="shared" si="40"/>
        <v>16</v>
      </c>
      <c r="F250" s="99">
        <v>2.5999999999999999E-2</v>
      </c>
      <c r="G250" s="39">
        <f>22.2-6.3</f>
        <v>15.899999999999999</v>
      </c>
      <c r="H250" s="39">
        <f t="shared" si="38"/>
        <v>0</v>
      </c>
      <c r="K250" s="41"/>
    </row>
    <row r="251" spans="1:11" s="290" customFormat="1" ht="15">
      <c r="A251" s="218"/>
      <c r="B251" s="35"/>
      <c r="C251" s="34"/>
      <c r="D251" s="36"/>
      <c r="E251" s="37"/>
      <c r="F251" s="38"/>
      <c r="G251" s="39"/>
      <c r="H251" s="39"/>
      <c r="K251" s="41"/>
    </row>
    <row r="252" spans="1:11" s="290" customFormat="1" ht="15">
      <c r="A252" s="218"/>
      <c r="B252" s="35"/>
      <c r="C252" s="34"/>
      <c r="D252" s="36"/>
      <c r="E252" s="37"/>
      <c r="F252" s="38"/>
      <c r="G252" s="39"/>
      <c r="H252" s="39"/>
      <c r="K252" s="41"/>
    </row>
    <row r="253" spans="1:11" s="290" customFormat="1" ht="15">
      <c r="A253" s="218" t="s">
        <v>10</v>
      </c>
      <c r="B253" s="345" t="s">
        <v>493</v>
      </c>
      <c r="C253" s="34" t="s">
        <v>23</v>
      </c>
      <c r="D253" s="346">
        <f>H237+H238+H239+H245+H246+H247</f>
        <v>0</v>
      </c>
      <c r="E253" s="37"/>
      <c r="F253" s="38"/>
      <c r="G253" s="39"/>
      <c r="H253" s="190">
        <f>D253</f>
        <v>0</v>
      </c>
      <c r="K253" s="41"/>
    </row>
    <row r="254" spans="1:11" ht="15">
      <c r="A254" s="347" t="s">
        <v>12</v>
      </c>
      <c r="B254" s="345" t="s">
        <v>494</v>
      </c>
      <c r="C254" s="34" t="s">
        <v>23</v>
      </c>
      <c r="D254" s="346">
        <f>H240+H241+H248+H249</f>
        <v>0</v>
      </c>
      <c r="E254" s="98"/>
      <c r="F254" s="348"/>
      <c r="G254" s="348"/>
      <c r="H254" s="190">
        <f t="shared" ref="H254:H255" si="41">D254</f>
        <v>0</v>
      </c>
      <c r="K254" s="41"/>
    </row>
    <row r="255" spans="1:11" ht="15">
      <c r="A255" s="347" t="s">
        <v>13</v>
      </c>
      <c r="B255" s="345" t="s">
        <v>495</v>
      </c>
      <c r="C255" s="34" t="s">
        <v>23</v>
      </c>
      <c r="D255" s="346">
        <f>H242+H250</f>
        <v>0</v>
      </c>
      <c r="E255" s="98"/>
      <c r="F255" s="348"/>
      <c r="G255" s="348"/>
      <c r="H255" s="190">
        <f t="shared" si="41"/>
        <v>0</v>
      </c>
      <c r="K255" s="41"/>
    </row>
    <row r="256" spans="1:11" ht="15">
      <c r="A256" s="218"/>
      <c r="B256" s="35"/>
      <c r="C256" s="34"/>
      <c r="D256" s="36"/>
      <c r="E256" s="37"/>
      <c r="F256" s="359"/>
      <c r="G256" s="359"/>
      <c r="H256" s="40"/>
      <c r="K256" s="41"/>
    </row>
    <row r="257" spans="1:11" s="576" customFormat="1" ht="15">
      <c r="A257" s="578" t="s">
        <v>36</v>
      </c>
      <c r="B257" s="579" t="s">
        <v>761</v>
      </c>
      <c r="C257" s="570" t="s">
        <v>762</v>
      </c>
      <c r="D257" s="571">
        <f>(D227+D228+D229+D230)*6</f>
        <v>252</v>
      </c>
      <c r="E257" s="572"/>
      <c r="F257" s="580"/>
      <c r="G257" s="580"/>
      <c r="H257" s="575">
        <f>D257</f>
        <v>252</v>
      </c>
      <c r="K257" s="577"/>
    </row>
    <row r="258" spans="1:11" s="529" customFormat="1" ht="15">
      <c r="A258" s="218"/>
      <c r="B258" s="35"/>
      <c r="C258" s="34"/>
      <c r="D258" s="36"/>
      <c r="E258" s="37"/>
      <c r="F258" s="528"/>
      <c r="G258" s="528"/>
      <c r="H258" s="40"/>
      <c r="K258" s="41"/>
    </row>
    <row r="259" spans="1:11" ht="15">
      <c r="A259" s="218">
        <v>15</v>
      </c>
      <c r="B259" s="189" t="s">
        <v>252</v>
      </c>
      <c r="C259" s="119" t="s">
        <v>63</v>
      </c>
      <c r="D259" s="36">
        <v>0</v>
      </c>
      <c r="E259" s="37"/>
      <c r="F259" s="359"/>
      <c r="G259" s="359"/>
      <c r="H259" s="40">
        <f>D259</f>
        <v>0</v>
      </c>
    </row>
    <row r="260" spans="1:11" s="233" customFormat="1" ht="15">
      <c r="A260" s="218"/>
      <c r="B260" s="35"/>
      <c r="C260" s="34"/>
      <c r="D260" s="36"/>
      <c r="E260" s="37"/>
      <c r="F260" s="359"/>
      <c r="G260" s="359"/>
      <c r="H260" s="40"/>
      <c r="K260" s="41"/>
    </row>
    <row r="261" spans="1:11" ht="15">
      <c r="A261" s="159">
        <v>16</v>
      </c>
      <c r="B261" s="189" t="s">
        <v>250</v>
      </c>
      <c r="C261" s="119" t="s">
        <v>63</v>
      </c>
      <c r="D261" s="36">
        <v>1</v>
      </c>
      <c r="E261" s="37"/>
      <c r="F261" s="359"/>
      <c r="G261" s="359"/>
      <c r="H261" s="40">
        <f>D261</f>
        <v>1</v>
      </c>
    </row>
    <row r="262" spans="1:11" s="330" customFormat="1" ht="15">
      <c r="A262" s="159"/>
      <c r="B262" s="189"/>
      <c r="C262" s="119"/>
      <c r="D262" s="36"/>
      <c r="E262" s="37"/>
      <c r="F262" s="359"/>
      <c r="G262" s="359"/>
      <c r="H262" s="40"/>
    </row>
    <row r="263" spans="1:11" s="330" customFormat="1" ht="15">
      <c r="A263" s="218">
        <v>17</v>
      </c>
      <c r="B263" s="334" t="s">
        <v>529</v>
      </c>
      <c r="C263" s="119"/>
      <c r="D263" s="36"/>
      <c r="E263" s="37"/>
      <c r="F263" s="359"/>
      <c r="G263" s="359"/>
      <c r="H263" s="40"/>
    </row>
    <row r="264" spans="1:11" s="330" customFormat="1" ht="15">
      <c r="A264" s="219"/>
      <c r="B264" s="335" t="s">
        <v>677</v>
      </c>
      <c r="C264" s="119"/>
      <c r="D264" s="36"/>
      <c r="E264" s="37"/>
      <c r="F264" s="359"/>
      <c r="G264" s="359"/>
      <c r="H264" s="40"/>
    </row>
    <row r="265" spans="1:11" s="330" customFormat="1" ht="15">
      <c r="A265" s="219"/>
      <c r="B265" s="335" t="s">
        <v>531</v>
      </c>
      <c r="C265" s="119" t="s">
        <v>30</v>
      </c>
      <c r="D265" s="36">
        <v>9</v>
      </c>
      <c r="E265" s="37"/>
      <c r="F265" s="359"/>
      <c r="G265" s="359"/>
      <c r="H265" s="39">
        <f>D265</f>
        <v>9</v>
      </c>
    </row>
    <row r="266" spans="1:11" s="330" customFormat="1" ht="15">
      <c r="A266" s="219"/>
      <c r="B266" s="335" t="s">
        <v>532</v>
      </c>
      <c r="C266" s="119" t="s">
        <v>30</v>
      </c>
      <c r="D266" s="36">
        <v>0</v>
      </c>
      <c r="E266" s="37"/>
      <c r="F266" s="359"/>
      <c r="G266" s="359"/>
      <c r="H266" s="39">
        <f t="shared" ref="H266:H268" si="42">D266</f>
        <v>0</v>
      </c>
    </row>
    <row r="267" spans="1:11" s="330" customFormat="1" ht="15">
      <c r="A267" s="219"/>
      <c r="B267" s="335" t="s">
        <v>533</v>
      </c>
      <c r="C267" s="119" t="s">
        <v>30</v>
      </c>
      <c r="D267" s="36">
        <v>8</v>
      </c>
      <c r="E267" s="37"/>
      <c r="F267" s="359"/>
      <c r="G267" s="359"/>
      <c r="H267" s="39">
        <f t="shared" si="42"/>
        <v>8</v>
      </c>
    </row>
    <row r="268" spans="1:11" s="330" customFormat="1" ht="15">
      <c r="A268" s="219"/>
      <c r="B268" s="335" t="s">
        <v>534</v>
      </c>
      <c r="C268" s="119" t="s">
        <v>30</v>
      </c>
      <c r="D268" s="36">
        <v>0</v>
      </c>
      <c r="E268" s="37"/>
      <c r="F268" s="359"/>
      <c r="G268" s="359"/>
      <c r="H268" s="39">
        <f t="shared" si="42"/>
        <v>0</v>
      </c>
    </row>
    <row r="269" spans="1:11" s="330" customFormat="1" ht="15">
      <c r="A269" s="219"/>
      <c r="B269" s="191"/>
      <c r="C269" s="119"/>
      <c r="D269" s="36"/>
      <c r="E269" s="37"/>
      <c r="F269" s="616" t="s">
        <v>65</v>
      </c>
      <c r="G269" s="616"/>
      <c r="H269" s="40">
        <f>SUM(H264:H268)</f>
        <v>17</v>
      </c>
    </row>
    <row r="270" spans="1:11" s="330" customFormat="1" ht="15">
      <c r="A270" s="159"/>
      <c r="B270" s="189"/>
      <c r="C270" s="119"/>
      <c r="D270" s="36"/>
      <c r="E270" s="37"/>
      <c r="F270" s="359"/>
      <c r="G270" s="359"/>
      <c r="H270" s="40"/>
    </row>
    <row r="271" spans="1:11" s="330" customFormat="1" ht="25.5">
      <c r="A271" s="218">
        <v>18</v>
      </c>
      <c r="B271" s="189" t="s">
        <v>535</v>
      </c>
      <c r="C271" s="119"/>
      <c r="D271" s="36"/>
      <c r="E271" s="37"/>
      <c r="F271" s="359"/>
      <c r="G271" s="359"/>
      <c r="H271" s="40"/>
    </row>
    <row r="272" spans="1:11" s="330" customFormat="1" ht="15">
      <c r="A272" s="159"/>
      <c r="B272" s="335" t="s">
        <v>530</v>
      </c>
      <c r="C272" s="119"/>
      <c r="D272" s="36"/>
      <c r="E272" s="37"/>
      <c r="F272" s="362"/>
      <c r="G272" s="359"/>
      <c r="H272" s="39"/>
    </row>
    <row r="273" spans="1:11" s="330" customFormat="1" ht="15">
      <c r="A273" s="159"/>
      <c r="B273" s="335" t="s">
        <v>531</v>
      </c>
      <c r="C273" s="119" t="s">
        <v>16</v>
      </c>
      <c r="D273" s="36">
        <f>D265+D266+D267+D268</f>
        <v>17</v>
      </c>
      <c r="E273" s="336">
        <v>2.7</v>
      </c>
      <c r="F273" s="362">
        <v>0.23</v>
      </c>
      <c r="G273" s="359"/>
      <c r="H273" s="39">
        <f>D273*E273*F273</f>
        <v>10.557000000000002</v>
      </c>
    </row>
    <row r="274" spans="1:11" s="330" customFormat="1" ht="15">
      <c r="A274" s="159"/>
      <c r="B274" s="335"/>
      <c r="C274" s="119"/>
      <c r="D274" s="36"/>
      <c r="E274" s="37"/>
      <c r="F274" s="628" t="s">
        <v>65</v>
      </c>
      <c r="G274" s="629"/>
      <c r="H274" s="40">
        <f>ROUND(SUM(H272:H273),0)*1.05</f>
        <v>11.55</v>
      </c>
    </row>
    <row r="275" spans="1:11" s="330" customFormat="1" ht="15">
      <c r="A275" s="159"/>
      <c r="B275" s="189"/>
      <c r="C275" s="119"/>
      <c r="D275" s="36"/>
      <c r="E275" s="37"/>
      <c r="F275" s="359"/>
      <c r="G275" s="359"/>
      <c r="H275" s="40"/>
    </row>
    <row r="276" spans="1:11" s="233" customFormat="1" ht="15">
      <c r="A276" s="218">
        <v>19</v>
      </c>
      <c r="B276" s="239" t="s">
        <v>426</v>
      </c>
      <c r="C276" s="119"/>
      <c r="D276" s="328"/>
      <c r="E276" s="120"/>
      <c r="F276" s="38"/>
      <c r="G276" s="39"/>
      <c r="H276" s="40"/>
      <c r="K276" s="41"/>
    </row>
    <row r="277" spans="1:11" ht="15">
      <c r="A277" s="218">
        <v>19.100000000000001</v>
      </c>
      <c r="B277" s="239" t="s">
        <v>474</v>
      </c>
      <c r="C277" s="34"/>
      <c r="D277" s="36"/>
      <c r="E277" s="37"/>
      <c r="F277" s="38"/>
      <c r="G277" s="39"/>
      <c r="H277" s="39"/>
      <c r="K277" s="41"/>
    </row>
    <row r="278" spans="1:11" ht="15">
      <c r="A278" s="218"/>
      <c r="B278" s="120" t="s">
        <v>123</v>
      </c>
      <c r="C278" s="34" t="s">
        <v>11</v>
      </c>
      <c r="D278" s="36">
        <v>1</v>
      </c>
      <c r="E278" s="37">
        <f>E300</f>
        <v>83</v>
      </c>
      <c r="F278" s="38">
        <f>F300</f>
        <v>47.8</v>
      </c>
      <c r="G278" s="39">
        <v>0.17</v>
      </c>
      <c r="H278" s="39">
        <f>D278*E278*F278*G278</f>
        <v>674.45799999999997</v>
      </c>
      <c r="K278" s="41"/>
    </row>
    <row r="279" spans="1:11" ht="15">
      <c r="A279" s="218"/>
      <c r="B279" s="106" t="s">
        <v>423</v>
      </c>
      <c r="C279" s="34" t="s">
        <v>11</v>
      </c>
      <c r="D279" s="36">
        <f t="shared" ref="D279:D284" si="43">-D89</f>
        <v>-4</v>
      </c>
      <c r="E279" s="37">
        <f t="shared" ref="E279:F284" si="44">E89</f>
        <v>1.2</v>
      </c>
      <c r="F279" s="37">
        <f t="shared" si="44"/>
        <v>0.9</v>
      </c>
      <c r="G279" s="39">
        <v>0.17</v>
      </c>
      <c r="H279" s="39">
        <f t="shared" ref="H279:H284" si="45">D279*E279*F279*G279</f>
        <v>-0.73440000000000005</v>
      </c>
      <c r="K279" s="41"/>
    </row>
    <row r="280" spans="1:11" s="290" customFormat="1" ht="15">
      <c r="A280" s="218"/>
      <c r="B280" s="106"/>
      <c r="C280" s="34" t="s">
        <v>11</v>
      </c>
      <c r="D280" s="36">
        <f t="shared" si="43"/>
        <v>-22</v>
      </c>
      <c r="E280" s="37">
        <f t="shared" si="44"/>
        <v>1.2</v>
      </c>
      <c r="F280" s="37">
        <f t="shared" si="44"/>
        <v>0.7</v>
      </c>
      <c r="G280" s="39">
        <v>0.17</v>
      </c>
      <c r="H280" s="39">
        <f t="shared" si="45"/>
        <v>-3.1415999999999995</v>
      </c>
      <c r="K280" s="41"/>
    </row>
    <row r="281" spans="1:11" s="233" customFormat="1" ht="15">
      <c r="A281" s="218"/>
      <c r="B281" s="239"/>
      <c r="C281" s="34" t="s">
        <v>11</v>
      </c>
      <c r="D281" s="36">
        <f t="shared" si="43"/>
        <v>-10</v>
      </c>
      <c r="E281" s="37">
        <f t="shared" si="44"/>
        <v>1.2</v>
      </c>
      <c r="F281" s="37">
        <f t="shared" si="44"/>
        <v>0.4</v>
      </c>
      <c r="G281" s="39">
        <v>0.17</v>
      </c>
      <c r="H281" s="39">
        <f t="shared" si="45"/>
        <v>-0.81600000000000017</v>
      </c>
      <c r="K281" s="41"/>
    </row>
    <row r="282" spans="1:11" s="233" customFormat="1" ht="15">
      <c r="A282" s="218"/>
      <c r="B282" s="239"/>
      <c r="C282" s="34" t="s">
        <v>11</v>
      </c>
      <c r="D282" s="36">
        <f t="shared" si="43"/>
        <v>-6</v>
      </c>
      <c r="E282" s="37">
        <f t="shared" si="44"/>
        <v>0.75</v>
      </c>
      <c r="F282" s="37">
        <f t="shared" si="44"/>
        <v>0.4</v>
      </c>
      <c r="G282" s="39">
        <v>0.17</v>
      </c>
      <c r="H282" s="39">
        <f t="shared" si="45"/>
        <v>-0.30600000000000005</v>
      </c>
      <c r="K282" s="41"/>
    </row>
    <row r="283" spans="1:11" s="233" customFormat="1" ht="15">
      <c r="A283" s="218"/>
      <c r="B283" s="239"/>
      <c r="C283" s="34" t="s">
        <v>11</v>
      </c>
      <c r="D283" s="36">
        <f t="shared" si="43"/>
        <v>0</v>
      </c>
      <c r="E283" s="37">
        <f t="shared" si="44"/>
        <v>0</v>
      </c>
      <c r="F283" s="37">
        <f t="shared" si="44"/>
        <v>0</v>
      </c>
      <c r="G283" s="39">
        <v>0.17</v>
      </c>
      <c r="H283" s="39">
        <f t="shared" si="45"/>
        <v>0</v>
      </c>
      <c r="K283" s="41"/>
    </row>
    <row r="284" spans="1:11" s="241" customFormat="1" ht="15">
      <c r="A284" s="218"/>
      <c r="B284" s="239"/>
      <c r="C284" s="34" t="s">
        <v>11</v>
      </c>
      <c r="D284" s="36">
        <f t="shared" si="43"/>
        <v>0</v>
      </c>
      <c r="E284" s="37">
        <f t="shared" si="44"/>
        <v>0</v>
      </c>
      <c r="F284" s="37">
        <f t="shared" si="44"/>
        <v>0</v>
      </c>
      <c r="G284" s="39">
        <v>0.17</v>
      </c>
      <c r="H284" s="39">
        <f t="shared" si="45"/>
        <v>0</v>
      </c>
      <c r="K284" s="41"/>
    </row>
    <row r="285" spans="1:11" s="290" customFormat="1" ht="15">
      <c r="A285" s="218"/>
      <c r="B285" s="239" t="s">
        <v>773</v>
      </c>
      <c r="C285" s="34" t="s">
        <v>11</v>
      </c>
      <c r="D285" s="36">
        <v>1</v>
      </c>
      <c r="E285" s="37">
        <v>6.25</v>
      </c>
      <c r="F285" s="37">
        <v>3</v>
      </c>
      <c r="G285" s="39">
        <v>0.17</v>
      </c>
      <c r="H285" s="39">
        <f t="shared" ref="H285" si="46">D285*E285*F285*G285</f>
        <v>3.1875000000000004</v>
      </c>
      <c r="K285" s="41"/>
    </row>
    <row r="286" spans="1:11" ht="15">
      <c r="A286" s="218"/>
      <c r="B286" s="239"/>
      <c r="C286" s="34"/>
      <c r="D286" s="36"/>
      <c r="E286" s="37"/>
      <c r="F286" s="616" t="s">
        <v>65</v>
      </c>
      <c r="G286" s="616"/>
      <c r="H286" s="40">
        <f>ROUND(SUM(H277:H285),0)</f>
        <v>673</v>
      </c>
      <c r="K286" s="41"/>
    </row>
    <row r="287" spans="1:11" ht="15">
      <c r="A287" s="218">
        <v>19.2</v>
      </c>
      <c r="B287" s="239" t="s">
        <v>427</v>
      </c>
      <c r="C287" s="34"/>
      <c r="D287" s="36"/>
      <c r="E287" s="37"/>
      <c r="F287" s="38"/>
      <c r="G287" s="39"/>
      <c r="H287" s="39"/>
      <c r="K287" s="41"/>
    </row>
    <row r="288" spans="1:11" ht="15">
      <c r="A288" s="218"/>
      <c r="B288" s="118" t="s">
        <v>19</v>
      </c>
      <c r="C288" s="119" t="s">
        <v>16</v>
      </c>
      <c r="D288" s="36">
        <f t="shared" ref="D288:F294" si="47">D278</f>
        <v>1</v>
      </c>
      <c r="E288" s="255">
        <f t="shared" si="47"/>
        <v>83</v>
      </c>
      <c r="F288" s="255">
        <f t="shared" si="47"/>
        <v>47.8</v>
      </c>
      <c r="G288" s="39"/>
      <c r="H288" s="39">
        <f>D288*E288*F288</f>
        <v>3967.3999999999996</v>
      </c>
      <c r="K288" s="41"/>
    </row>
    <row r="289" spans="1:11" s="237" customFormat="1" ht="15">
      <c r="A289" s="218"/>
      <c r="B289" s="106" t="s">
        <v>423</v>
      </c>
      <c r="C289" s="119" t="s">
        <v>16</v>
      </c>
      <c r="D289" s="36">
        <f t="shared" si="47"/>
        <v>-4</v>
      </c>
      <c r="E289" s="255">
        <f t="shared" si="47"/>
        <v>1.2</v>
      </c>
      <c r="F289" s="255">
        <f t="shared" si="47"/>
        <v>0.9</v>
      </c>
      <c r="G289" s="39"/>
      <c r="H289" s="39">
        <f t="shared" ref="H289:H294" si="48">D289*E289*F289</f>
        <v>-4.32</v>
      </c>
      <c r="K289" s="41"/>
    </row>
    <row r="290" spans="1:11" s="290" customFormat="1" ht="15">
      <c r="A290" s="218"/>
      <c r="B290" s="106"/>
      <c r="C290" s="119" t="s">
        <v>16</v>
      </c>
      <c r="D290" s="36">
        <f t="shared" si="47"/>
        <v>-22</v>
      </c>
      <c r="E290" s="255">
        <f t="shared" si="47"/>
        <v>1.2</v>
      </c>
      <c r="F290" s="255">
        <f t="shared" si="47"/>
        <v>0.7</v>
      </c>
      <c r="G290" s="39"/>
      <c r="H290" s="39">
        <f t="shared" si="48"/>
        <v>-18.479999999999997</v>
      </c>
      <c r="K290" s="41"/>
    </row>
    <row r="291" spans="1:11" s="237" customFormat="1" ht="15">
      <c r="A291" s="218"/>
      <c r="B291" s="118"/>
      <c r="C291" s="119" t="s">
        <v>16</v>
      </c>
      <c r="D291" s="36">
        <f t="shared" si="47"/>
        <v>-10</v>
      </c>
      <c r="E291" s="255">
        <f t="shared" si="47"/>
        <v>1.2</v>
      </c>
      <c r="F291" s="255">
        <f t="shared" si="47"/>
        <v>0.4</v>
      </c>
      <c r="G291" s="39"/>
      <c r="H291" s="39">
        <f t="shared" si="48"/>
        <v>-4.8000000000000007</v>
      </c>
      <c r="K291" s="41"/>
    </row>
    <row r="292" spans="1:11" s="237" customFormat="1" ht="15">
      <c r="A292" s="218"/>
      <c r="B292" s="118"/>
      <c r="C292" s="119" t="s">
        <v>16</v>
      </c>
      <c r="D292" s="36">
        <f t="shared" si="47"/>
        <v>-6</v>
      </c>
      <c r="E292" s="255">
        <f t="shared" si="47"/>
        <v>0.75</v>
      </c>
      <c r="F292" s="255">
        <f t="shared" si="47"/>
        <v>0.4</v>
      </c>
      <c r="G292" s="39"/>
      <c r="H292" s="39">
        <f t="shared" si="48"/>
        <v>-1.8</v>
      </c>
      <c r="K292" s="41"/>
    </row>
    <row r="293" spans="1:11" s="237" customFormat="1" ht="15">
      <c r="A293" s="218"/>
      <c r="B293" s="118"/>
      <c r="C293" s="119" t="s">
        <v>16</v>
      </c>
      <c r="D293" s="36">
        <f t="shared" si="47"/>
        <v>0</v>
      </c>
      <c r="E293" s="255">
        <f t="shared" si="47"/>
        <v>0</v>
      </c>
      <c r="F293" s="255">
        <f t="shared" si="47"/>
        <v>0</v>
      </c>
      <c r="G293" s="39"/>
      <c r="H293" s="39">
        <f t="shared" si="48"/>
        <v>0</v>
      </c>
      <c r="K293" s="41"/>
    </row>
    <row r="294" spans="1:11" s="241" customFormat="1" ht="15">
      <c r="A294" s="218"/>
      <c r="B294" s="118"/>
      <c r="C294" s="119" t="s">
        <v>16</v>
      </c>
      <c r="D294" s="36">
        <f t="shared" si="47"/>
        <v>0</v>
      </c>
      <c r="E294" s="255">
        <f t="shared" si="47"/>
        <v>0</v>
      </c>
      <c r="F294" s="255">
        <f t="shared" si="47"/>
        <v>0</v>
      </c>
      <c r="G294" s="39"/>
      <c r="H294" s="39">
        <f t="shared" si="48"/>
        <v>0</v>
      </c>
      <c r="K294" s="41"/>
    </row>
    <row r="295" spans="1:11" s="290" customFormat="1" ht="15">
      <c r="A295" s="218"/>
      <c r="B295" s="118"/>
      <c r="C295" s="119"/>
      <c r="D295" s="36"/>
      <c r="E295" s="255"/>
      <c r="F295" s="255"/>
      <c r="G295" s="39"/>
      <c r="H295" s="39"/>
      <c r="K295" s="41"/>
    </row>
    <row r="296" spans="1:11" s="287" customFormat="1" ht="15">
      <c r="A296" s="218"/>
      <c r="B296" s="239" t="s">
        <v>473</v>
      </c>
      <c r="C296" s="119" t="s">
        <v>16</v>
      </c>
      <c r="D296" s="36">
        <v>-1</v>
      </c>
      <c r="E296" s="37">
        <v>2</v>
      </c>
      <c r="F296" s="37">
        <v>2.5</v>
      </c>
      <c r="G296" s="39">
        <v>0.17</v>
      </c>
      <c r="H296" s="39">
        <f t="shared" ref="H296" si="49">D296*E296*F296*G296</f>
        <v>-0.85000000000000009</v>
      </c>
      <c r="K296" s="41"/>
    </row>
    <row r="297" spans="1:11" s="237" customFormat="1" ht="15">
      <c r="A297" s="218"/>
      <c r="B297" s="118"/>
      <c r="C297" s="119"/>
      <c r="D297" s="36"/>
      <c r="E297" s="120"/>
      <c r="F297" s="616" t="s">
        <v>65</v>
      </c>
      <c r="G297" s="616"/>
      <c r="H297" s="40">
        <f>ROUND(SUM(H288:H296),0)</f>
        <v>3937</v>
      </c>
      <c r="K297" s="41"/>
    </row>
    <row r="298" spans="1:11" s="237" customFormat="1" ht="15">
      <c r="A298" s="218"/>
      <c r="B298" s="118"/>
      <c r="C298" s="119"/>
      <c r="D298" s="36"/>
      <c r="E298" s="120"/>
      <c r="F298" s="38"/>
      <c r="G298" s="39"/>
      <c r="H298" s="39"/>
      <c r="K298" s="41"/>
    </row>
    <row r="299" spans="1:11" ht="15">
      <c r="A299" s="218">
        <v>19.3</v>
      </c>
      <c r="B299" s="239" t="s">
        <v>469</v>
      </c>
      <c r="C299" s="34"/>
      <c r="D299" s="36"/>
      <c r="E299" s="37"/>
      <c r="F299" s="38"/>
      <c r="G299" s="39"/>
      <c r="H299" s="39"/>
      <c r="K299" s="41"/>
    </row>
    <row r="300" spans="1:11" ht="15">
      <c r="A300" s="218"/>
      <c r="B300" s="120" t="s">
        <v>113</v>
      </c>
      <c r="C300" s="34" t="s">
        <v>11</v>
      </c>
      <c r="D300" s="36">
        <f>D46</f>
        <v>1</v>
      </c>
      <c r="E300" s="37">
        <f>E46</f>
        <v>83</v>
      </c>
      <c r="F300" s="37">
        <f>F46</f>
        <v>47.8</v>
      </c>
      <c r="G300" s="39">
        <v>0.25</v>
      </c>
      <c r="H300" s="39">
        <f>D300*E300*F300*G300</f>
        <v>991.84999999999991</v>
      </c>
      <c r="K300" s="41"/>
    </row>
    <row r="301" spans="1:11" s="233" customFormat="1" ht="15">
      <c r="A301" s="218"/>
      <c r="B301" s="106" t="s">
        <v>423</v>
      </c>
      <c r="C301" s="34" t="s">
        <v>11</v>
      </c>
      <c r="D301" s="36">
        <f t="shared" ref="D301:F306" si="50">D279</f>
        <v>-4</v>
      </c>
      <c r="E301" s="37">
        <f t="shared" si="50"/>
        <v>1.2</v>
      </c>
      <c r="F301" s="37">
        <f t="shared" si="50"/>
        <v>0.9</v>
      </c>
      <c r="G301" s="39">
        <v>0.25</v>
      </c>
      <c r="H301" s="39">
        <f t="shared" ref="H301:H306" si="51">D301*E301*F301*G301</f>
        <v>-1.08</v>
      </c>
      <c r="K301" s="41"/>
    </row>
    <row r="302" spans="1:11" s="290" customFormat="1" ht="15">
      <c r="A302" s="218"/>
      <c r="B302" s="106"/>
      <c r="C302" s="34" t="s">
        <v>11</v>
      </c>
      <c r="D302" s="36">
        <f t="shared" si="50"/>
        <v>-22</v>
      </c>
      <c r="E302" s="37">
        <f t="shared" si="50"/>
        <v>1.2</v>
      </c>
      <c r="F302" s="37">
        <f t="shared" si="50"/>
        <v>0.7</v>
      </c>
      <c r="G302" s="39">
        <v>0.25</v>
      </c>
      <c r="H302" s="39">
        <f t="shared" si="51"/>
        <v>-4.6199999999999992</v>
      </c>
      <c r="K302" s="41"/>
    </row>
    <row r="303" spans="1:11" s="233" customFormat="1" ht="15">
      <c r="A303" s="218"/>
      <c r="B303" s="239"/>
      <c r="C303" s="34" t="s">
        <v>11</v>
      </c>
      <c r="D303" s="36">
        <f t="shared" si="50"/>
        <v>-10</v>
      </c>
      <c r="E303" s="37">
        <f t="shared" si="50"/>
        <v>1.2</v>
      </c>
      <c r="F303" s="37">
        <f t="shared" si="50"/>
        <v>0.4</v>
      </c>
      <c r="G303" s="39">
        <v>0.25</v>
      </c>
      <c r="H303" s="39">
        <f t="shared" si="51"/>
        <v>-1.2000000000000002</v>
      </c>
      <c r="K303" s="41"/>
    </row>
    <row r="304" spans="1:11" s="233" customFormat="1" ht="15">
      <c r="A304" s="218"/>
      <c r="B304" s="239"/>
      <c r="C304" s="34" t="s">
        <v>11</v>
      </c>
      <c r="D304" s="36">
        <f t="shared" si="50"/>
        <v>-6</v>
      </c>
      <c r="E304" s="37">
        <f t="shared" si="50"/>
        <v>0.75</v>
      </c>
      <c r="F304" s="37">
        <f t="shared" si="50"/>
        <v>0.4</v>
      </c>
      <c r="G304" s="39">
        <v>0.25</v>
      </c>
      <c r="H304" s="39">
        <f t="shared" si="51"/>
        <v>-0.45</v>
      </c>
      <c r="K304" s="41"/>
    </row>
    <row r="305" spans="1:11" s="233" customFormat="1" ht="15">
      <c r="A305" s="218"/>
      <c r="B305" s="239"/>
      <c r="C305" s="34" t="s">
        <v>11</v>
      </c>
      <c r="D305" s="36">
        <f t="shared" si="50"/>
        <v>0</v>
      </c>
      <c r="E305" s="37">
        <f t="shared" si="50"/>
        <v>0</v>
      </c>
      <c r="F305" s="37">
        <f t="shared" si="50"/>
        <v>0</v>
      </c>
      <c r="G305" s="39">
        <v>0.25</v>
      </c>
      <c r="H305" s="39">
        <f t="shared" si="51"/>
        <v>0</v>
      </c>
      <c r="K305" s="41"/>
    </row>
    <row r="306" spans="1:11" s="241" customFormat="1" ht="15">
      <c r="A306" s="218"/>
      <c r="B306" s="239"/>
      <c r="C306" s="34" t="s">
        <v>11</v>
      </c>
      <c r="D306" s="36">
        <f t="shared" si="50"/>
        <v>0</v>
      </c>
      <c r="E306" s="37">
        <f t="shared" si="50"/>
        <v>0</v>
      </c>
      <c r="F306" s="37">
        <f t="shared" si="50"/>
        <v>0</v>
      </c>
      <c r="G306" s="39">
        <v>0.25</v>
      </c>
      <c r="H306" s="39">
        <f t="shared" si="51"/>
        <v>0</v>
      </c>
      <c r="K306" s="41"/>
    </row>
    <row r="307" spans="1:11" s="290" customFormat="1" ht="15">
      <c r="A307" s="218"/>
      <c r="B307" s="239"/>
      <c r="C307" s="34"/>
      <c r="D307" s="36"/>
      <c r="E307" s="37"/>
      <c r="F307" s="37"/>
      <c r="G307" s="39"/>
      <c r="H307" s="39"/>
      <c r="K307" s="41"/>
    </row>
    <row r="308" spans="1:11" s="237" customFormat="1" ht="15">
      <c r="A308" s="218"/>
      <c r="B308" s="118"/>
      <c r="C308" s="119"/>
      <c r="D308" s="36"/>
      <c r="E308" s="120"/>
      <c r="F308" s="616" t="s">
        <v>65</v>
      </c>
      <c r="G308" s="616"/>
      <c r="H308" s="40">
        <f>ROUND(SUM(H299:H307),0)</f>
        <v>985</v>
      </c>
      <c r="K308" s="41"/>
    </row>
    <row r="309" spans="1:11" s="358" customFormat="1" ht="15">
      <c r="A309" s="218">
        <v>19.399999999999999</v>
      </c>
      <c r="B309" s="239" t="s">
        <v>554</v>
      </c>
      <c r="C309" s="119"/>
      <c r="D309" s="36"/>
      <c r="E309" s="120"/>
      <c r="F309" s="359"/>
      <c r="G309" s="359"/>
      <c r="H309" s="40"/>
      <c r="K309" s="41"/>
    </row>
    <row r="310" spans="1:11" s="358" customFormat="1" ht="15">
      <c r="A310" s="218"/>
      <c r="B310" s="120" t="s">
        <v>113</v>
      </c>
      <c r="C310" s="34" t="s">
        <v>11</v>
      </c>
      <c r="D310" s="36">
        <f t="shared" ref="D310:F317" si="52">D300</f>
        <v>1</v>
      </c>
      <c r="E310" s="255">
        <f t="shared" si="52"/>
        <v>83</v>
      </c>
      <c r="F310" s="255">
        <f t="shared" si="52"/>
        <v>47.8</v>
      </c>
      <c r="G310" s="39">
        <v>0.05</v>
      </c>
      <c r="H310" s="39">
        <f t="shared" ref="H310:H318" si="53">D310*E310*F310*G310</f>
        <v>198.37</v>
      </c>
      <c r="K310" s="41"/>
    </row>
    <row r="311" spans="1:11" s="358" customFormat="1" ht="15">
      <c r="A311" s="218"/>
      <c r="B311" s="106" t="s">
        <v>423</v>
      </c>
      <c r="C311" s="34" t="s">
        <v>11</v>
      </c>
      <c r="D311" s="36">
        <f t="shared" si="52"/>
        <v>-4</v>
      </c>
      <c r="E311" s="255">
        <f t="shared" si="52"/>
        <v>1.2</v>
      </c>
      <c r="F311" s="255">
        <f t="shared" si="52"/>
        <v>0.9</v>
      </c>
      <c r="G311" s="39">
        <v>0.05</v>
      </c>
      <c r="H311" s="39">
        <f t="shared" si="53"/>
        <v>-0.21600000000000003</v>
      </c>
      <c r="K311" s="41"/>
    </row>
    <row r="312" spans="1:11" s="358" customFormat="1" ht="15">
      <c r="A312" s="218"/>
      <c r="B312" s="106"/>
      <c r="C312" s="34" t="s">
        <v>11</v>
      </c>
      <c r="D312" s="36">
        <f t="shared" si="52"/>
        <v>-22</v>
      </c>
      <c r="E312" s="255">
        <f t="shared" si="52"/>
        <v>1.2</v>
      </c>
      <c r="F312" s="255">
        <f t="shared" si="52"/>
        <v>0.7</v>
      </c>
      <c r="G312" s="39">
        <v>0.05</v>
      </c>
      <c r="H312" s="39">
        <f t="shared" si="53"/>
        <v>-0.92399999999999993</v>
      </c>
      <c r="K312" s="41"/>
    </row>
    <row r="313" spans="1:11" s="358" customFormat="1" ht="15">
      <c r="A313" s="218"/>
      <c r="B313" s="239"/>
      <c r="C313" s="34" t="s">
        <v>11</v>
      </c>
      <c r="D313" s="36">
        <f t="shared" si="52"/>
        <v>-10</v>
      </c>
      <c r="E313" s="255">
        <f t="shared" si="52"/>
        <v>1.2</v>
      </c>
      <c r="F313" s="255">
        <f t="shared" si="52"/>
        <v>0.4</v>
      </c>
      <c r="G313" s="39">
        <v>0.05</v>
      </c>
      <c r="H313" s="39">
        <f t="shared" si="53"/>
        <v>-0.24000000000000005</v>
      </c>
      <c r="K313" s="41"/>
    </row>
    <row r="314" spans="1:11" s="358" customFormat="1" ht="15">
      <c r="A314" s="218"/>
      <c r="B314" s="239"/>
      <c r="C314" s="34" t="s">
        <v>11</v>
      </c>
      <c r="D314" s="36">
        <f t="shared" si="52"/>
        <v>-6</v>
      </c>
      <c r="E314" s="255">
        <f t="shared" si="52"/>
        <v>0.75</v>
      </c>
      <c r="F314" s="255">
        <f t="shared" si="52"/>
        <v>0.4</v>
      </c>
      <c r="G314" s="39">
        <v>0.05</v>
      </c>
      <c r="H314" s="39">
        <f t="shared" si="53"/>
        <v>-9.0000000000000011E-2</v>
      </c>
      <c r="K314" s="41"/>
    </row>
    <row r="315" spans="1:11" s="358" customFormat="1" ht="15">
      <c r="A315" s="218"/>
      <c r="B315" s="239"/>
      <c r="C315" s="34" t="s">
        <v>11</v>
      </c>
      <c r="D315" s="36">
        <f t="shared" si="52"/>
        <v>0</v>
      </c>
      <c r="E315" s="255">
        <f t="shared" si="52"/>
        <v>0</v>
      </c>
      <c r="F315" s="255">
        <f t="shared" si="52"/>
        <v>0</v>
      </c>
      <c r="G315" s="39">
        <v>0.05</v>
      </c>
      <c r="H315" s="39">
        <f t="shared" si="53"/>
        <v>0</v>
      </c>
      <c r="K315" s="41"/>
    </row>
    <row r="316" spans="1:11" s="358" customFormat="1" ht="15">
      <c r="A316" s="218"/>
      <c r="B316" s="239"/>
      <c r="C316" s="34" t="s">
        <v>11</v>
      </c>
      <c r="D316" s="36">
        <f t="shared" si="52"/>
        <v>0</v>
      </c>
      <c r="E316" s="255">
        <f t="shared" si="52"/>
        <v>0</v>
      </c>
      <c r="F316" s="255">
        <f t="shared" si="52"/>
        <v>0</v>
      </c>
      <c r="G316" s="39">
        <v>0.05</v>
      </c>
      <c r="H316" s="39">
        <f t="shared" si="53"/>
        <v>0</v>
      </c>
      <c r="K316" s="41"/>
    </row>
    <row r="317" spans="1:11" s="358" customFormat="1" ht="15">
      <c r="A317" s="218"/>
      <c r="B317" s="239"/>
      <c r="C317" s="119"/>
      <c r="D317" s="36">
        <f t="shared" si="52"/>
        <v>0</v>
      </c>
      <c r="E317" s="255">
        <f t="shared" si="52"/>
        <v>0</v>
      </c>
      <c r="F317" s="255">
        <f t="shared" si="52"/>
        <v>0</v>
      </c>
      <c r="G317" s="39">
        <v>0.05</v>
      </c>
      <c r="H317" s="39">
        <f t="shared" si="53"/>
        <v>0</v>
      </c>
      <c r="K317" s="41"/>
    </row>
    <row r="318" spans="1:11" s="358" customFormat="1" ht="15">
      <c r="A318" s="218"/>
      <c r="B318" s="239" t="s">
        <v>473</v>
      </c>
      <c r="C318" s="119"/>
      <c r="D318" s="36">
        <f>D296</f>
        <v>-1</v>
      </c>
      <c r="E318" s="255">
        <f>E296</f>
        <v>2</v>
      </c>
      <c r="F318" s="255">
        <f>F296</f>
        <v>2.5</v>
      </c>
      <c r="G318" s="39">
        <v>0.05</v>
      </c>
      <c r="H318" s="39">
        <f t="shared" si="53"/>
        <v>-0.25</v>
      </c>
      <c r="K318" s="41"/>
    </row>
    <row r="319" spans="1:11" s="358" customFormat="1" ht="15">
      <c r="A319" s="218"/>
      <c r="B319" s="118"/>
      <c r="C319" s="119"/>
      <c r="D319" s="36"/>
      <c r="E319" s="120"/>
      <c r="F319" s="616" t="s">
        <v>65</v>
      </c>
      <c r="G319" s="616"/>
      <c r="H319" s="40">
        <f>ROUND(SUM(H310:H318),0)</f>
        <v>197</v>
      </c>
      <c r="K319" s="41"/>
    </row>
    <row r="320" spans="1:11" s="237" customFormat="1" ht="15">
      <c r="A320" s="218"/>
      <c r="B320" s="118"/>
      <c r="C320" s="119"/>
      <c r="D320" s="36"/>
      <c r="E320" s="120"/>
      <c r="F320" s="359"/>
      <c r="G320" s="359"/>
      <c r="H320" s="40"/>
      <c r="K320" s="41"/>
    </row>
    <row r="321" spans="1:11" ht="25.5">
      <c r="A321" s="159">
        <v>19.5</v>
      </c>
      <c r="B321" s="256" t="s">
        <v>155</v>
      </c>
      <c r="C321" s="318"/>
      <c r="D321" s="36"/>
      <c r="E321" s="37"/>
      <c r="F321" s="38"/>
      <c r="G321" s="39"/>
      <c r="H321" s="39"/>
      <c r="K321" s="41"/>
    </row>
    <row r="322" spans="1:11" ht="15">
      <c r="A322" s="218"/>
      <c r="B322" s="120" t="s">
        <v>123</v>
      </c>
      <c r="C322" s="318" t="s">
        <v>16</v>
      </c>
      <c r="D322" s="36">
        <f t="shared" ref="D322:F328" si="54">D278</f>
        <v>1</v>
      </c>
      <c r="E322" s="37">
        <f t="shared" si="54"/>
        <v>83</v>
      </c>
      <c r="F322" s="37">
        <f t="shared" si="54"/>
        <v>47.8</v>
      </c>
      <c r="G322" s="39"/>
      <c r="H322" s="39">
        <f>D322*E322*F322</f>
        <v>3967.3999999999996</v>
      </c>
      <c r="K322" s="41"/>
    </row>
    <row r="323" spans="1:11" s="233" customFormat="1" ht="15">
      <c r="A323" s="218"/>
      <c r="B323" s="106" t="s">
        <v>423</v>
      </c>
      <c r="C323" s="318" t="s">
        <v>16</v>
      </c>
      <c r="D323" s="36">
        <f t="shared" si="54"/>
        <v>-4</v>
      </c>
      <c r="E323" s="37">
        <f t="shared" si="54"/>
        <v>1.2</v>
      </c>
      <c r="F323" s="37">
        <f t="shared" si="54"/>
        <v>0.9</v>
      </c>
      <c r="G323" s="39"/>
      <c r="H323" s="39">
        <f t="shared" ref="H323:H328" si="55">D323*E323*F323</f>
        <v>-4.32</v>
      </c>
      <c r="K323" s="41"/>
    </row>
    <row r="324" spans="1:11" s="290" customFormat="1" ht="15">
      <c r="A324" s="218"/>
      <c r="B324" s="106"/>
      <c r="C324" s="318" t="s">
        <v>16</v>
      </c>
      <c r="D324" s="36">
        <f t="shared" si="54"/>
        <v>-22</v>
      </c>
      <c r="E324" s="37">
        <f t="shared" si="54"/>
        <v>1.2</v>
      </c>
      <c r="F324" s="37">
        <f t="shared" si="54"/>
        <v>0.7</v>
      </c>
      <c r="G324" s="39"/>
      <c r="H324" s="39">
        <f t="shared" si="55"/>
        <v>-18.479999999999997</v>
      </c>
      <c r="K324" s="41"/>
    </row>
    <row r="325" spans="1:11" s="233" customFormat="1" ht="15">
      <c r="A325" s="218"/>
      <c r="B325" s="239"/>
      <c r="C325" s="318" t="s">
        <v>16</v>
      </c>
      <c r="D325" s="36">
        <f t="shared" si="54"/>
        <v>-10</v>
      </c>
      <c r="E325" s="37">
        <f t="shared" si="54"/>
        <v>1.2</v>
      </c>
      <c r="F325" s="37">
        <f t="shared" si="54"/>
        <v>0.4</v>
      </c>
      <c r="G325" s="39"/>
      <c r="H325" s="39">
        <f t="shared" si="55"/>
        <v>-4.8000000000000007</v>
      </c>
      <c r="K325" s="41"/>
    </row>
    <row r="326" spans="1:11" s="233" customFormat="1" ht="15">
      <c r="A326" s="218"/>
      <c r="B326" s="239"/>
      <c r="C326" s="318" t="s">
        <v>16</v>
      </c>
      <c r="D326" s="36">
        <f t="shared" si="54"/>
        <v>-6</v>
      </c>
      <c r="E326" s="37">
        <f t="shared" si="54"/>
        <v>0.75</v>
      </c>
      <c r="F326" s="37">
        <f t="shared" si="54"/>
        <v>0.4</v>
      </c>
      <c r="G326" s="39"/>
      <c r="H326" s="39">
        <f t="shared" si="55"/>
        <v>-1.8</v>
      </c>
      <c r="K326" s="41"/>
    </row>
    <row r="327" spans="1:11" s="233" customFormat="1" ht="15">
      <c r="A327" s="218"/>
      <c r="B327" s="239"/>
      <c r="C327" s="318" t="s">
        <v>16</v>
      </c>
      <c r="D327" s="36">
        <f t="shared" si="54"/>
        <v>0</v>
      </c>
      <c r="E327" s="37">
        <f t="shared" si="54"/>
        <v>0</v>
      </c>
      <c r="F327" s="37">
        <f t="shared" si="54"/>
        <v>0</v>
      </c>
      <c r="G327" s="39"/>
      <c r="H327" s="39">
        <f t="shared" si="55"/>
        <v>0</v>
      </c>
      <c r="K327" s="41"/>
    </row>
    <row r="328" spans="1:11" s="241" customFormat="1" ht="15">
      <c r="A328" s="218"/>
      <c r="B328" s="239"/>
      <c r="C328" s="318" t="s">
        <v>16</v>
      </c>
      <c r="D328" s="36">
        <f t="shared" si="54"/>
        <v>0</v>
      </c>
      <c r="E328" s="37">
        <f t="shared" si="54"/>
        <v>0</v>
      </c>
      <c r="F328" s="37">
        <f t="shared" si="54"/>
        <v>0</v>
      </c>
      <c r="G328" s="39"/>
      <c r="H328" s="39">
        <f t="shared" si="55"/>
        <v>0</v>
      </c>
      <c r="K328" s="41"/>
    </row>
    <row r="329" spans="1:11" s="287" customFormat="1" ht="15">
      <c r="A329" s="218"/>
      <c r="B329" s="239" t="s">
        <v>473</v>
      </c>
      <c r="C329" s="318" t="s">
        <v>16</v>
      </c>
      <c r="D329" s="36">
        <f>D318</f>
        <v>-1</v>
      </c>
      <c r="E329" s="37">
        <f>E318</f>
        <v>2</v>
      </c>
      <c r="F329" s="37">
        <f>F318</f>
        <v>2.5</v>
      </c>
      <c r="G329" s="39"/>
      <c r="H329" s="39">
        <f t="shared" ref="H329" si="56">D329*E329*F329</f>
        <v>-5</v>
      </c>
      <c r="K329" s="41"/>
    </row>
    <row r="330" spans="1:11" ht="15">
      <c r="A330" s="218"/>
      <c r="B330" s="256"/>
      <c r="C330" s="34"/>
      <c r="D330" s="36"/>
      <c r="E330" s="37"/>
      <c r="F330" s="616" t="s">
        <v>65</v>
      </c>
      <c r="G330" s="616"/>
      <c r="H330" s="40">
        <f>ROUND(SUM(H321:H329),0)</f>
        <v>3933</v>
      </c>
      <c r="K330" s="41"/>
    </row>
    <row r="331" spans="1:11" ht="15">
      <c r="A331" s="218"/>
      <c r="B331" s="35"/>
      <c r="C331" s="34"/>
      <c r="D331" s="36"/>
      <c r="E331" s="37"/>
      <c r="F331" s="38"/>
      <c r="G331" s="39"/>
      <c r="H331" s="39"/>
      <c r="K331" s="41"/>
    </row>
    <row r="332" spans="1:11" ht="15">
      <c r="A332" s="218"/>
      <c r="B332" s="239"/>
      <c r="C332" s="34"/>
      <c r="D332" s="36"/>
      <c r="E332" s="37"/>
      <c r="F332" s="38"/>
      <c r="G332" s="39"/>
      <c r="H332" s="39"/>
      <c r="K332" s="41"/>
    </row>
    <row r="333" spans="1:11" ht="15">
      <c r="A333" s="218">
        <v>19.600000000000001</v>
      </c>
      <c r="B333" s="239" t="s">
        <v>376</v>
      </c>
      <c r="C333" s="34"/>
      <c r="D333" s="36"/>
      <c r="E333" s="37"/>
      <c r="F333" s="38"/>
      <c r="G333" s="39"/>
      <c r="H333" s="39"/>
      <c r="K333" s="41"/>
    </row>
    <row r="334" spans="1:11" ht="15">
      <c r="A334" s="218"/>
      <c r="B334" s="120" t="s">
        <v>123</v>
      </c>
      <c r="C334" s="34" t="s">
        <v>16</v>
      </c>
      <c r="D334" s="36">
        <v>1</v>
      </c>
      <c r="E334" s="37">
        <f t="shared" ref="E334:F340" si="57">E278</f>
        <v>83</v>
      </c>
      <c r="F334" s="37">
        <f t="shared" si="57"/>
        <v>47.8</v>
      </c>
      <c r="G334" s="39"/>
      <c r="H334" s="39">
        <f>D334*E334*F334</f>
        <v>3967.3999999999996</v>
      </c>
      <c r="K334" s="41"/>
    </row>
    <row r="335" spans="1:11" s="241" customFormat="1" ht="15">
      <c r="A335" s="218"/>
      <c r="B335" s="106" t="s">
        <v>423</v>
      </c>
      <c r="C335" s="34" t="s">
        <v>16</v>
      </c>
      <c r="D335" s="36">
        <f t="shared" ref="D335:D340" si="58">D279</f>
        <v>-4</v>
      </c>
      <c r="E335" s="37">
        <f t="shared" si="57"/>
        <v>1.2</v>
      </c>
      <c r="F335" s="37">
        <f t="shared" si="57"/>
        <v>0.9</v>
      </c>
      <c r="G335" s="39"/>
      <c r="H335" s="39">
        <f t="shared" ref="H335:H341" si="59">D335*E335*F335</f>
        <v>-4.32</v>
      </c>
      <c r="K335" s="41"/>
    </row>
    <row r="336" spans="1:11" s="290" customFormat="1" ht="15">
      <c r="A336" s="218"/>
      <c r="B336" s="106"/>
      <c r="C336" s="34" t="s">
        <v>16</v>
      </c>
      <c r="D336" s="36">
        <f t="shared" si="58"/>
        <v>-22</v>
      </c>
      <c r="E336" s="37">
        <f t="shared" si="57"/>
        <v>1.2</v>
      </c>
      <c r="F336" s="37">
        <f t="shared" si="57"/>
        <v>0.7</v>
      </c>
      <c r="G336" s="39"/>
      <c r="H336" s="39">
        <f t="shared" si="59"/>
        <v>-18.479999999999997</v>
      </c>
      <c r="K336" s="41"/>
    </row>
    <row r="337" spans="1:11" s="241" customFormat="1" ht="15">
      <c r="A337" s="218"/>
      <c r="B337" s="239"/>
      <c r="C337" s="34" t="s">
        <v>16</v>
      </c>
      <c r="D337" s="36">
        <f t="shared" si="58"/>
        <v>-10</v>
      </c>
      <c r="E337" s="37">
        <f t="shared" si="57"/>
        <v>1.2</v>
      </c>
      <c r="F337" s="37">
        <f t="shared" si="57"/>
        <v>0.4</v>
      </c>
      <c r="G337" s="39"/>
      <c r="H337" s="39">
        <f t="shared" si="59"/>
        <v>-4.8000000000000007</v>
      </c>
      <c r="K337" s="41"/>
    </row>
    <row r="338" spans="1:11" s="241" customFormat="1" ht="15">
      <c r="A338" s="218"/>
      <c r="B338" s="239"/>
      <c r="C338" s="34" t="s">
        <v>16</v>
      </c>
      <c r="D338" s="36">
        <f t="shared" si="58"/>
        <v>-6</v>
      </c>
      <c r="E338" s="37">
        <f t="shared" si="57"/>
        <v>0.75</v>
      </c>
      <c r="F338" s="37">
        <f t="shared" si="57"/>
        <v>0.4</v>
      </c>
      <c r="G338" s="39"/>
      <c r="H338" s="39">
        <f t="shared" si="59"/>
        <v>-1.8</v>
      </c>
      <c r="K338" s="41"/>
    </row>
    <row r="339" spans="1:11" s="241" customFormat="1" ht="15">
      <c r="A339" s="218"/>
      <c r="B339" s="239"/>
      <c r="C339" s="34" t="s">
        <v>16</v>
      </c>
      <c r="D339" s="36">
        <f t="shared" si="58"/>
        <v>0</v>
      </c>
      <c r="E339" s="37">
        <f t="shared" si="57"/>
        <v>0</v>
      </c>
      <c r="F339" s="37">
        <f t="shared" si="57"/>
        <v>0</v>
      </c>
      <c r="G339" s="39"/>
      <c r="H339" s="39">
        <f t="shared" si="59"/>
        <v>0</v>
      </c>
      <c r="K339" s="41"/>
    </row>
    <row r="340" spans="1:11" s="241" customFormat="1" ht="15">
      <c r="A340" s="218"/>
      <c r="B340" s="239"/>
      <c r="C340" s="34" t="s">
        <v>16</v>
      </c>
      <c r="D340" s="36">
        <f t="shared" si="58"/>
        <v>0</v>
      </c>
      <c r="E340" s="37">
        <f t="shared" si="57"/>
        <v>0</v>
      </c>
      <c r="F340" s="37">
        <f t="shared" si="57"/>
        <v>0</v>
      </c>
      <c r="G340" s="39"/>
      <c r="H340" s="39">
        <f t="shared" si="59"/>
        <v>0</v>
      </c>
      <c r="K340" s="41"/>
    </row>
    <row r="341" spans="1:11" s="287" customFormat="1" ht="15">
      <c r="A341" s="218"/>
      <c r="B341" s="239" t="s">
        <v>473</v>
      </c>
      <c r="C341" s="34" t="s">
        <v>16</v>
      </c>
      <c r="D341" s="36">
        <f>D329</f>
        <v>-1</v>
      </c>
      <c r="E341" s="37">
        <f>E329</f>
        <v>2</v>
      </c>
      <c r="F341" s="37">
        <f>F329</f>
        <v>2.5</v>
      </c>
      <c r="G341" s="39"/>
      <c r="H341" s="39">
        <f t="shared" si="59"/>
        <v>-5</v>
      </c>
      <c r="K341" s="41"/>
    </row>
    <row r="342" spans="1:11" s="241" customFormat="1" ht="15">
      <c r="A342" s="218"/>
      <c r="B342" s="120"/>
      <c r="C342" s="34"/>
      <c r="D342" s="36"/>
      <c r="E342" s="333"/>
      <c r="F342" s="350"/>
      <c r="G342" s="39"/>
      <c r="H342" s="39"/>
      <c r="K342" s="41"/>
    </row>
    <row r="343" spans="1:11" s="233" customFormat="1" ht="30">
      <c r="A343" s="218"/>
      <c r="B343" s="120" t="s">
        <v>517</v>
      </c>
      <c r="C343" s="34"/>
      <c r="D343" s="36"/>
      <c r="E343" s="333"/>
      <c r="F343" s="350"/>
      <c r="G343" s="39"/>
      <c r="H343" s="39"/>
      <c r="K343" s="41"/>
    </row>
    <row r="344" spans="1:11" s="233" customFormat="1" ht="15">
      <c r="A344" s="218"/>
      <c r="B344" s="120" t="s">
        <v>518</v>
      </c>
      <c r="C344" s="34" t="s">
        <v>16</v>
      </c>
      <c r="D344" s="36">
        <v>0</v>
      </c>
      <c r="E344" s="37">
        <v>15.4</v>
      </c>
      <c r="F344" s="37">
        <v>15.4</v>
      </c>
      <c r="G344" s="39"/>
      <c r="H344" s="39">
        <f t="shared" ref="H344:H346" si="60">D344*E344*F344</f>
        <v>0</v>
      </c>
      <c r="K344" s="41"/>
    </row>
    <row r="345" spans="1:11" s="325" customFormat="1" ht="15">
      <c r="A345" s="218"/>
      <c r="B345" s="120" t="s">
        <v>519</v>
      </c>
      <c r="C345" s="34" t="s">
        <v>16</v>
      </c>
      <c r="D345" s="36">
        <v>-1</v>
      </c>
      <c r="E345" s="37">
        <f>E158</f>
        <v>4.5</v>
      </c>
      <c r="F345" s="37">
        <f>F158</f>
        <v>4.17</v>
      </c>
      <c r="G345" s="39"/>
      <c r="H345" s="39">
        <f t="shared" si="60"/>
        <v>-18.765000000000001</v>
      </c>
      <c r="K345" s="41"/>
    </row>
    <row r="346" spans="1:11" s="233" customFormat="1" ht="15">
      <c r="A346" s="218"/>
      <c r="B346" s="120" t="s">
        <v>520</v>
      </c>
      <c r="C346" s="34" t="s">
        <v>16</v>
      </c>
      <c r="D346" s="36">
        <f t="shared" ref="D346:F347" si="61">D344</f>
        <v>0</v>
      </c>
      <c r="E346" s="37">
        <f t="shared" si="61"/>
        <v>15.4</v>
      </c>
      <c r="F346" s="37">
        <f t="shared" si="61"/>
        <v>15.4</v>
      </c>
      <c r="G346" s="39"/>
      <c r="H346" s="39">
        <f t="shared" si="60"/>
        <v>0</v>
      </c>
      <c r="K346" s="41"/>
    </row>
    <row r="347" spans="1:11" s="325" customFormat="1" ht="15">
      <c r="A347" s="218"/>
      <c r="B347" s="120" t="s">
        <v>521</v>
      </c>
      <c r="C347" s="34" t="s">
        <v>16</v>
      </c>
      <c r="D347" s="36">
        <v>0</v>
      </c>
      <c r="E347" s="37">
        <f t="shared" si="61"/>
        <v>4.5</v>
      </c>
      <c r="F347" s="37">
        <f t="shared" si="61"/>
        <v>4.17</v>
      </c>
      <c r="G347" s="39"/>
      <c r="H347" s="39">
        <f t="shared" ref="H347" si="62">D347*E347*F347</f>
        <v>0</v>
      </c>
      <c r="K347" s="41"/>
    </row>
    <row r="348" spans="1:11" ht="15">
      <c r="A348" s="218"/>
      <c r="B348" s="239"/>
      <c r="C348" s="34"/>
      <c r="D348" s="36"/>
      <c r="E348" s="37"/>
      <c r="F348" s="616" t="s">
        <v>65</v>
      </c>
      <c r="G348" s="616"/>
      <c r="H348" s="40">
        <f>ROUND(SUM(H333:H347),0)</f>
        <v>3914</v>
      </c>
      <c r="K348" s="41"/>
    </row>
    <row r="349" spans="1:11" s="233" customFormat="1" ht="15">
      <c r="A349" s="218"/>
      <c r="B349" s="35"/>
      <c r="C349" s="34"/>
      <c r="D349" s="36"/>
      <c r="E349" s="37"/>
      <c r="F349" s="38"/>
      <c r="G349" s="39"/>
      <c r="H349" s="39"/>
      <c r="K349" s="41"/>
    </row>
    <row r="350" spans="1:11" ht="15">
      <c r="A350" s="218">
        <v>19.7</v>
      </c>
      <c r="B350" s="256" t="s">
        <v>157</v>
      </c>
      <c r="C350" s="34"/>
      <c r="D350" s="36"/>
      <c r="E350" s="37"/>
      <c r="F350" s="38"/>
      <c r="G350" s="39"/>
      <c r="H350" s="39"/>
      <c r="K350" s="41"/>
    </row>
    <row r="351" spans="1:11" ht="15">
      <c r="A351" s="218"/>
      <c r="B351" s="35" t="s">
        <v>128</v>
      </c>
      <c r="C351" s="34" t="s">
        <v>27</v>
      </c>
      <c r="D351" s="36">
        <f t="shared" ref="D351:D356" si="63">D89</f>
        <v>4</v>
      </c>
      <c r="E351" s="37">
        <f t="shared" ref="E351:E356" si="64">E141</f>
        <v>4.2</v>
      </c>
      <c r="F351" s="38"/>
      <c r="G351" s="39"/>
      <c r="H351" s="39">
        <f>D351*E351</f>
        <v>16.8</v>
      </c>
      <c r="K351" s="41"/>
    </row>
    <row r="352" spans="1:11" s="290" customFormat="1" ht="15">
      <c r="A352" s="218"/>
      <c r="B352" s="35" t="s">
        <v>129</v>
      </c>
      <c r="C352" s="34" t="s">
        <v>27</v>
      </c>
      <c r="D352" s="36">
        <f t="shared" si="63"/>
        <v>22</v>
      </c>
      <c r="E352" s="37">
        <f t="shared" si="64"/>
        <v>3.8</v>
      </c>
      <c r="F352" s="38"/>
      <c r="G352" s="39"/>
      <c r="H352" s="39">
        <f t="shared" ref="H352:H356" si="65">D352*E352</f>
        <v>83.6</v>
      </c>
      <c r="K352" s="41"/>
    </row>
    <row r="353" spans="1:11" ht="15">
      <c r="A353" s="218"/>
      <c r="B353" s="35" t="s">
        <v>130</v>
      </c>
      <c r="C353" s="34" t="s">
        <v>27</v>
      </c>
      <c r="D353" s="36">
        <f t="shared" si="63"/>
        <v>10</v>
      </c>
      <c r="E353" s="37">
        <f t="shared" si="64"/>
        <v>3.2</v>
      </c>
      <c r="F353" s="38"/>
      <c r="G353" s="39"/>
      <c r="H353" s="39">
        <f t="shared" si="65"/>
        <v>32</v>
      </c>
      <c r="K353" s="41"/>
    </row>
    <row r="354" spans="1:11" ht="15">
      <c r="A354" s="218"/>
      <c r="B354" s="35" t="s">
        <v>131</v>
      </c>
      <c r="C354" s="34" t="s">
        <v>27</v>
      </c>
      <c r="D354" s="36">
        <f t="shared" si="63"/>
        <v>6</v>
      </c>
      <c r="E354" s="37">
        <f t="shared" si="64"/>
        <v>2.2999999999999998</v>
      </c>
      <c r="F354" s="38"/>
      <c r="G354" s="39"/>
      <c r="H354" s="39">
        <f t="shared" si="65"/>
        <v>13.799999999999999</v>
      </c>
      <c r="K354" s="41"/>
    </row>
    <row r="355" spans="1:11" ht="15">
      <c r="A355" s="218"/>
      <c r="B355" s="35" t="s">
        <v>132</v>
      </c>
      <c r="C355" s="34" t="s">
        <v>27</v>
      </c>
      <c r="D355" s="36">
        <f t="shared" si="63"/>
        <v>0</v>
      </c>
      <c r="E355" s="37">
        <f t="shared" si="64"/>
        <v>0</v>
      </c>
      <c r="F355" s="38"/>
      <c r="G355" s="39"/>
      <c r="H355" s="39">
        <f t="shared" si="65"/>
        <v>0</v>
      </c>
      <c r="K355" s="41"/>
    </row>
    <row r="356" spans="1:11" s="204" customFormat="1" ht="15">
      <c r="A356" s="218"/>
      <c r="B356" s="35" t="s">
        <v>348</v>
      </c>
      <c r="C356" s="34" t="s">
        <v>27</v>
      </c>
      <c r="D356" s="36">
        <f t="shared" si="63"/>
        <v>0</v>
      </c>
      <c r="E356" s="37">
        <f t="shared" si="64"/>
        <v>0</v>
      </c>
      <c r="F356" s="38"/>
      <c r="G356" s="39"/>
      <c r="H356" s="39">
        <f t="shared" si="65"/>
        <v>0</v>
      </c>
      <c r="K356" s="41"/>
    </row>
    <row r="357" spans="1:11" s="384" customFormat="1" ht="15">
      <c r="A357" s="218"/>
      <c r="B357" s="35" t="s">
        <v>594</v>
      </c>
      <c r="C357" s="34" t="s">
        <v>27</v>
      </c>
      <c r="D357" s="36">
        <v>1</v>
      </c>
      <c r="E357" s="37">
        <f>E150</f>
        <v>180.1</v>
      </c>
      <c r="F357" s="38"/>
      <c r="G357" s="39"/>
      <c r="H357" s="39">
        <f>D357*E357</f>
        <v>180.1</v>
      </c>
      <c r="K357" s="41"/>
    </row>
    <row r="358" spans="1:11" ht="15">
      <c r="A358" s="218"/>
      <c r="B358" s="35"/>
      <c r="C358" s="34"/>
      <c r="D358" s="36"/>
      <c r="E358" s="37"/>
      <c r="F358" s="616" t="s">
        <v>65</v>
      </c>
      <c r="G358" s="616"/>
      <c r="H358" s="40">
        <f>ROUND(SUM(H350:H357),0)</f>
        <v>326</v>
      </c>
      <c r="K358" s="41"/>
    </row>
    <row r="359" spans="1:11" s="290" customFormat="1" ht="15">
      <c r="A359" s="218">
        <v>19.8</v>
      </c>
      <c r="B359" s="256" t="s">
        <v>496</v>
      </c>
      <c r="C359" s="34"/>
      <c r="D359" s="36"/>
      <c r="E359" s="37"/>
      <c r="F359" s="38"/>
      <c r="G359" s="39"/>
      <c r="H359" s="39"/>
      <c r="K359" s="41"/>
    </row>
    <row r="360" spans="1:11" s="290" customFormat="1" ht="15">
      <c r="A360" s="218"/>
      <c r="B360" s="35" t="s">
        <v>128</v>
      </c>
      <c r="C360" s="34" t="s">
        <v>16</v>
      </c>
      <c r="D360" s="36">
        <f t="shared" ref="D360:E365" si="66">D351</f>
        <v>4</v>
      </c>
      <c r="E360" s="37">
        <f t="shared" si="66"/>
        <v>4.2</v>
      </c>
      <c r="F360" s="38"/>
      <c r="G360" s="39">
        <v>0.17</v>
      </c>
      <c r="H360" s="39">
        <f>D360*E360*G360</f>
        <v>2.8560000000000003</v>
      </c>
      <c r="K360" s="41"/>
    </row>
    <row r="361" spans="1:11" s="290" customFormat="1" ht="15">
      <c r="A361" s="218"/>
      <c r="B361" s="35" t="s">
        <v>482</v>
      </c>
      <c r="C361" s="34" t="s">
        <v>16</v>
      </c>
      <c r="D361" s="36">
        <f t="shared" si="66"/>
        <v>22</v>
      </c>
      <c r="E361" s="37">
        <f t="shared" si="66"/>
        <v>3.8</v>
      </c>
      <c r="F361" s="38"/>
      <c r="G361" s="39">
        <v>0.17</v>
      </c>
      <c r="H361" s="39">
        <f t="shared" ref="H361:H365" si="67">D361*E361*G361</f>
        <v>14.212</v>
      </c>
      <c r="K361" s="41"/>
    </row>
    <row r="362" spans="1:11" s="290" customFormat="1" ht="15">
      <c r="A362" s="218"/>
      <c r="B362" s="35" t="s">
        <v>129</v>
      </c>
      <c r="C362" s="34" t="s">
        <v>16</v>
      </c>
      <c r="D362" s="36">
        <f t="shared" si="66"/>
        <v>10</v>
      </c>
      <c r="E362" s="37">
        <f t="shared" si="66"/>
        <v>3.2</v>
      </c>
      <c r="F362" s="38"/>
      <c r="G362" s="39">
        <f t="shared" ref="G362:G365" si="68">G361</f>
        <v>0.17</v>
      </c>
      <c r="H362" s="39">
        <f t="shared" si="67"/>
        <v>5.44</v>
      </c>
      <c r="K362" s="41"/>
    </row>
    <row r="363" spans="1:11" s="290" customFormat="1" ht="15">
      <c r="A363" s="218"/>
      <c r="B363" s="35" t="s">
        <v>130</v>
      </c>
      <c r="C363" s="34" t="s">
        <v>16</v>
      </c>
      <c r="D363" s="36">
        <f t="shared" si="66"/>
        <v>6</v>
      </c>
      <c r="E363" s="37">
        <f t="shared" si="66"/>
        <v>2.2999999999999998</v>
      </c>
      <c r="F363" s="38"/>
      <c r="G363" s="39">
        <f t="shared" si="68"/>
        <v>0.17</v>
      </c>
      <c r="H363" s="39">
        <f t="shared" si="67"/>
        <v>2.3460000000000001</v>
      </c>
      <c r="K363" s="41"/>
    </row>
    <row r="364" spans="1:11" s="290" customFormat="1" ht="15">
      <c r="A364" s="218"/>
      <c r="B364" s="35" t="s">
        <v>131</v>
      </c>
      <c r="C364" s="34" t="s">
        <v>16</v>
      </c>
      <c r="D364" s="36">
        <f t="shared" si="66"/>
        <v>0</v>
      </c>
      <c r="E364" s="37">
        <f t="shared" si="66"/>
        <v>0</v>
      </c>
      <c r="F364" s="38"/>
      <c r="G364" s="39">
        <f t="shared" si="68"/>
        <v>0.17</v>
      </c>
      <c r="H364" s="39">
        <f t="shared" si="67"/>
        <v>0</v>
      </c>
      <c r="K364" s="41"/>
    </row>
    <row r="365" spans="1:11" s="290" customFormat="1" ht="15">
      <c r="A365" s="218"/>
      <c r="B365" s="35" t="s">
        <v>132</v>
      </c>
      <c r="C365" s="34" t="s">
        <v>16</v>
      </c>
      <c r="D365" s="36">
        <f t="shared" si="66"/>
        <v>0</v>
      </c>
      <c r="E365" s="37">
        <f t="shared" si="66"/>
        <v>0</v>
      </c>
      <c r="F365" s="38"/>
      <c r="G365" s="39">
        <f t="shared" si="68"/>
        <v>0.17</v>
      </c>
      <c r="H365" s="39">
        <f t="shared" si="67"/>
        <v>0</v>
      </c>
      <c r="K365" s="41"/>
    </row>
    <row r="366" spans="1:11" s="290" customFormat="1" ht="15">
      <c r="A366" s="218"/>
      <c r="B366" s="35"/>
      <c r="C366" s="34"/>
      <c r="D366" s="36"/>
      <c r="E366" s="37"/>
      <c r="F366" s="616" t="s">
        <v>65</v>
      </c>
      <c r="G366" s="616"/>
      <c r="H366" s="40">
        <f>ROUND(SUM(H359:H365),0)</f>
        <v>25</v>
      </c>
      <c r="K366" s="41"/>
    </row>
    <row r="367" spans="1:11" s="290" customFormat="1" ht="15">
      <c r="A367" s="218"/>
      <c r="B367" s="35"/>
      <c r="C367" s="34"/>
      <c r="D367" s="36"/>
      <c r="E367" s="37"/>
      <c r="F367" s="359"/>
      <c r="G367" s="359"/>
      <c r="H367" s="40"/>
      <c r="K367" s="41"/>
    </row>
    <row r="368" spans="1:11" s="204" customFormat="1" ht="15">
      <c r="A368" s="218">
        <v>20</v>
      </c>
      <c r="B368" s="256" t="s">
        <v>678</v>
      </c>
      <c r="C368" s="34"/>
      <c r="D368" s="36"/>
      <c r="E368" s="37"/>
      <c r="F368" s="359"/>
      <c r="G368" s="359"/>
      <c r="H368" s="40"/>
      <c r="K368" s="41"/>
    </row>
    <row r="369" spans="1:11" s="204" customFormat="1" ht="15">
      <c r="A369" s="218" t="s">
        <v>10</v>
      </c>
      <c r="B369" s="160" t="s">
        <v>202</v>
      </c>
      <c r="C369" s="34"/>
      <c r="D369" s="377"/>
      <c r="E369" s="37"/>
      <c r="F369" s="37"/>
      <c r="G369" s="37"/>
      <c r="H369" s="40"/>
      <c r="K369" s="41"/>
    </row>
    <row r="370" spans="1:11" s="204" customFormat="1" ht="15">
      <c r="A370" s="218"/>
      <c r="B370" s="189" t="s">
        <v>679</v>
      </c>
      <c r="C370" s="34" t="s">
        <v>11</v>
      </c>
      <c r="D370" s="377">
        <v>1</v>
      </c>
      <c r="E370" s="37">
        <f>E99</f>
        <v>180.1</v>
      </c>
      <c r="F370" s="37">
        <v>0.23</v>
      </c>
      <c r="G370" s="37">
        <v>3.3</v>
      </c>
      <c r="H370" s="254">
        <f t="shared" ref="H370:H372" si="69">D370*E370*F370*G370</f>
        <v>136.69589999999999</v>
      </c>
      <c r="K370" s="41"/>
    </row>
    <row r="371" spans="1:11" s="222" customFormat="1" ht="15">
      <c r="A371" s="218"/>
      <c r="B371" s="189" t="s">
        <v>680</v>
      </c>
      <c r="C371" s="34"/>
      <c r="D371" s="377"/>
      <c r="E371" s="37"/>
      <c r="F371" s="37"/>
      <c r="G371" s="37"/>
      <c r="H371" s="40"/>
      <c r="K371" s="41"/>
    </row>
    <row r="372" spans="1:11" s="222" customFormat="1" ht="15">
      <c r="A372" s="218"/>
      <c r="B372" s="189" t="s">
        <v>681</v>
      </c>
      <c r="C372" s="34" t="s">
        <v>11</v>
      </c>
      <c r="D372" s="36">
        <v>1</v>
      </c>
      <c r="E372" s="37">
        <f>4.775+4.775+4.5+4.5</f>
        <v>18.55</v>
      </c>
      <c r="F372" s="39">
        <v>0.23</v>
      </c>
      <c r="G372" s="39">
        <f>3.675+0.35-0.3</f>
        <v>3.7249999999999996</v>
      </c>
      <c r="H372" s="254">
        <f t="shared" si="69"/>
        <v>15.8927125</v>
      </c>
      <c r="K372" s="41"/>
    </row>
    <row r="373" spans="1:11" s="204" customFormat="1" ht="15">
      <c r="A373" s="218"/>
      <c r="B373" s="257" t="s">
        <v>418</v>
      </c>
      <c r="C373" s="34"/>
      <c r="D373" s="36"/>
      <c r="E373" s="37"/>
      <c r="F373" s="359"/>
      <c r="G373" s="359"/>
      <c r="H373" s="40"/>
      <c r="K373" s="41"/>
    </row>
    <row r="374" spans="1:11" s="204" customFormat="1" ht="15">
      <c r="A374" s="218"/>
      <c r="B374" s="257" t="s">
        <v>682</v>
      </c>
      <c r="C374" s="34" t="s">
        <v>11</v>
      </c>
      <c r="D374" s="36">
        <v>-1</v>
      </c>
      <c r="E374" s="37">
        <v>1.65</v>
      </c>
      <c r="F374" s="39">
        <v>0.23</v>
      </c>
      <c r="G374" s="254">
        <v>2.4</v>
      </c>
      <c r="H374" s="254">
        <f t="shared" ref="H374:H375" si="70">D374*E374*F374*G374</f>
        <v>-0.91079999999999994</v>
      </c>
      <c r="K374" s="41"/>
    </row>
    <row r="375" spans="1:11" s="204" customFormat="1" ht="15">
      <c r="A375" s="218"/>
      <c r="B375" s="257" t="s">
        <v>404</v>
      </c>
      <c r="C375" s="34" t="s">
        <v>11</v>
      </c>
      <c r="D375" s="36">
        <v>-4</v>
      </c>
      <c r="E375" s="37">
        <v>0.6</v>
      </c>
      <c r="F375" s="39">
        <v>0.23</v>
      </c>
      <c r="G375" s="254">
        <v>0.9</v>
      </c>
      <c r="H375" s="254">
        <f t="shared" si="70"/>
        <v>-0.49680000000000007</v>
      </c>
      <c r="K375" s="41"/>
    </row>
    <row r="376" spans="1:11" s="204" customFormat="1" ht="15">
      <c r="A376" s="218"/>
      <c r="B376" s="189" t="s">
        <v>569</v>
      </c>
      <c r="C376" s="34"/>
      <c r="D376" s="36"/>
      <c r="E376" s="37"/>
      <c r="F376" s="359"/>
      <c r="G376" s="359"/>
      <c r="H376" s="40"/>
      <c r="K376" s="41"/>
    </row>
    <row r="377" spans="1:11" s="222" customFormat="1" ht="15">
      <c r="A377" s="218"/>
      <c r="B377" s="189" t="s">
        <v>563</v>
      </c>
      <c r="C377" s="34" t="s">
        <v>11</v>
      </c>
      <c r="D377" s="36">
        <v>0</v>
      </c>
      <c r="E377" s="37">
        <f>1.5*2+3.5</f>
        <v>6.5</v>
      </c>
      <c r="F377" s="39">
        <v>0.2</v>
      </c>
      <c r="G377" s="39">
        <v>3</v>
      </c>
      <c r="H377" s="254">
        <f t="shared" ref="H377" si="71">D377*E377*F377*G377</f>
        <v>0</v>
      </c>
      <c r="K377" s="41"/>
    </row>
    <row r="378" spans="1:11" s="222" customFormat="1" ht="15">
      <c r="A378" s="218"/>
      <c r="B378" s="257" t="s">
        <v>417</v>
      </c>
      <c r="C378" s="34"/>
      <c r="D378" s="36"/>
      <c r="E378" s="37"/>
      <c r="F378" s="359"/>
      <c r="G378" s="359"/>
      <c r="H378" s="40"/>
      <c r="K378" s="41"/>
    </row>
    <row r="379" spans="1:11" s="222" customFormat="1" ht="15">
      <c r="A379" s="218"/>
      <c r="B379" s="257" t="s">
        <v>403</v>
      </c>
      <c r="C379" s="34" t="s">
        <v>11</v>
      </c>
      <c r="D379" s="36">
        <v>0</v>
      </c>
      <c r="E379" s="37">
        <v>0.75</v>
      </c>
      <c r="F379" s="39">
        <v>0.2</v>
      </c>
      <c r="G379" s="254">
        <v>2.2000000000000002</v>
      </c>
      <c r="H379" s="254">
        <f t="shared" ref="H379:H380" si="72">D379*E379*F379*G379</f>
        <v>0</v>
      </c>
      <c r="K379" s="41"/>
    </row>
    <row r="380" spans="1:11" s="222" customFormat="1" ht="15">
      <c r="A380" s="218"/>
      <c r="B380" s="257" t="s">
        <v>404</v>
      </c>
      <c r="C380" s="34" t="s">
        <v>11</v>
      </c>
      <c r="D380" s="36">
        <v>0</v>
      </c>
      <c r="E380" s="37">
        <v>0.6</v>
      </c>
      <c r="F380" s="39">
        <v>0.2</v>
      </c>
      <c r="G380" s="254">
        <v>0.9</v>
      </c>
      <c r="H380" s="254">
        <f t="shared" si="72"/>
        <v>0</v>
      </c>
      <c r="K380" s="41"/>
    </row>
    <row r="381" spans="1:11" s="290" customFormat="1" ht="15">
      <c r="A381" s="218"/>
      <c r="B381" s="189" t="s">
        <v>498</v>
      </c>
      <c r="C381" s="34"/>
      <c r="D381" s="36"/>
      <c r="E381" s="37"/>
      <c r="F381" s="39"/>
      <c r="G381" s="254"/>
      <c r="H381" s="254"/>
      <c r="K381" s="41"/>
    </row>
    <row r="382" spans="1:11" s="290" customFormat="1" ht="15">
      <c r="A382" s="218"/>
      <c r="B382" s="257" t="s">
        <v>564</v>
      </c>
      <c r="C382" s="34" t="s">
        <v>11</v>
      </c>
      <c r="D382" s="36">
        <v>0</v>
      </c>
      <c r="E382" s="37">
        <f>3.5+5.3+15.4</f>
        <v>24.200000000000003</v>
      </c>
      <c r="F382" s="39">
        <v>0.2</v>
      </c>
      <c r="G382" s="39">
        <v>1</v>
      </c>
      <c r="H382" s="254">
        <f t="shared" ref="H382" si="73">D382*E382*F382*G382</f>
        <v>0</v>
      </c>
      <c r="K382" s="41"/>
    </row>
    <row r="383" spans="1:11" s="204" customFormat="1" ht="15">
      <c r="A383" s="218"/>
      <c r="B383" s="257"/>
      <c r="C383" s="34"/>
      <c r="D383" s="36"/>
      <c r="E383" s="37"/>
      <c r="F383" s="616" t="s">
        <v>65</v>
      </c>
      <c r="G383" s="616"/>
      <c r="H383" s="190">
        <f>ROUND(SUM(H370:H382),0)</f>
        <v>151</v>
      </c>
      <c r="K383" s="41"/>
    </row>
    <row r="384" spans="1:11" s="290" customFormat="1" ht="15">
      <c r="A384" s="218"/>
      <c r="B384" s="257"/>
      <c r="C384" s="34"/>
      <c r="D384" s="36"/>
      <c r="E384" s="37"/>
      <c r="F384" s="620"/>
      <c r="G384" s="621"/>
      <c r="H384" s="190"/>
      <c r="K384" s="41"/>
    </row>
    <row r="385" spans="1:11" s="384" customFormat="1" ht="15">
      <c r="A385" s="218" t="s">
        <v>10</v>
      </c>
      <c r="B385" s="160" t="s">
        <v>207</v>
      </c>
      <c r="C385" s="34"/>
      <c r="D385" s="36"/>
      <c r="E385" s="37"/>
      <c r="F385" s="382"/>
      <c r="G385" s="383"/>
      <c r="H385" s="190"/>
      <c r="K385" s="41"/>
    </row>
    <row r="386" spans="1:11" s="384" customFormat="1" ht="15">
      <c r="A386" s="218"/>
      <c r="B386" s="189" t="s">
        <v>680</v>
      </c>
      <c r="C386" s="34"/>
      <c r="D386" s="36"/>
      <c r="E386" s="37"/>
      <c r="F386" s="382"/>
      <c r="G386" s="383"/>
      <c r="H386" s="190"/>
      <c r="K386" s="41"/>
    </row>
    <row r="387" spans="1:11" s="384" customFormat="1" ht="15">
      <c r="A387" s="218"/>
      <c r="B387" s="257" t="s">
        <v>683</v>
      </c>
      <c r="C387" s="34" t="s">
        <v>16</v>
      </c>
      <c r="D387" s="36">
        <v>1</v>
      </c>
      <c r="E387" s="37">
        <f>1.4+1.2+1.2+3.715+1.615</f>
        <v>9.129999999999999</v>
      </c>
      <c r="F387" s="382"/>
      <c r="G387" s="39">
        <v>2.7</v>
      </c>
      <c r="H387" s="190">
        <f>D387*E387*G387</f>
        <v>24.651</v>
      </c>
      <c r="K387" s="41"/>
    </row>
    <row r="388" spans="1:11" s="384" customFormat="1" ht="15">
      <c r="A388" s="218"/>
      <c r="B388" s="257" t="s">
        <v>736</v>
      </c>
      <c r="C388" s="34" t="s">
        <v>11</v>
      </c>
      <c r="D388" s="36">
        <v>1</v>
      </c>
      <c r="E388" s="37">
        <v>4</v>
      </c>
      <c r="F388" s="498">
        <v>3.72</v>
      </c>
      <c r="G388" s="499">
        <v>0.3</v>
      </c>
      <c r="H388" s="190">
        <f>D388*E388*G388*F388</f>
        <v>4.4640000000000004</v>
      </c>
      <c r="K388" s="41"/>
    </row>
    <row r="389" spans="1:11" s="500" customFormat="1" ht="15">
      <c r="A389" s="218"/>
      <c r="B389" s="257" t="s">
        <v>737</v>
      </c>
      <c r="C389" s="34" t="s">
        <v>16</v>
      </c>
      <c r="D389" s="36">
        <v>1</v>
      </c>
      <c r="E389" s="37">
        <v>4</v>
      </c>
      <c r="F389" s="498">
        <v>3.72</v>
      </c>
      <c r="G389" s="499"/>
      <c r="H389" s="190">
        <f>D389*E389*F389</f>
        <v>14.88</v>
      </c>
      <c r="K389" s="41"/>
    </row>
    <row r="390" spans="1:11" s="204" customFormat="1" ht="15">
      <c r="A390" s="218"/>
      <c r="B390" s="257" t="s">
        <v>705</v>
      </c>
      <c r="C390" s="200" t="s">
        <v>11</v>
      </c>
      <c r="D390" s="493">
        <v>1</v>
      </c>
      <c r="E390" s="200">
        <f>0.6*10</f>
        <v>6</v>
      </c>
      <c r="F390" s="200">
        <v>0.23</v>
      </c>
      <c r="G390" s="200">
        <v>2.15</v>
      </c>
      <c r="H390" s="38">
        <f>ROUND(D390*E390*F390*G390,0)</f>
        <v>3</v>
      </c>
      <c r="K390" s="41"/>
    </row>
    <row r="391" spans="1:11" ht="15">
      <c r="A391" s="159">
        <v>21</v>
      </c>
      <c r="B391" s="189" t="s">
        <v>218</v>
      </c>
      <c r="C391" s="34"/>
      <c r="D391" s="36"/>
      <c r="E391" s="37"/>
      <c r="F391" s="359"/>
      <c r="G391" s="359"/>
      <c r="H391" s="40"/>
    </row>
    <row r="392" spans="1:11" s="204" customFormat="1" ht="15">
      <c r="A392" s="218"/>
      <c r="B392" s="160"/>
      <c r="C392" s="318"/>
      <c r="D392" s="377"/>
      <c r="E392" s="37"/>
      <c r="F392" s="37"/>
      <c r="G392" s="37"/>
      <c r="H392" s="39"/>
    </row>
    <row r="393" spans="1:11" s="204" customFormat="1" ht="15">
      <c r="A393" s="218"/>
      <c r="B393" s="189" t="s">
        <v>679</v>
      </c>
      <c r="C393" s="34" t="s">
        <v>16</v>
      </c>
      <c r="D393" s="377">
        <f>D370</f>
        <v>1</v>
      </c>
      <c r="E393" s="37">
        <f>E370</f>
        <v>180.1</v>
      </c>
      <c r="F393" s="39"/>
      <c r="G393" s="39">
        <v>3.3</v>
      </c>
      <c r="H393" s="39">
        <f t="shared" ref="H393" si="74">D393*E393*G393</f>
        <v>594.32999999999993</v>
      </c>
    </row>
    <row r="394" spans="1:11" s="204" customFormat="1" ht="15">
      <c r="A394" s="218"/>
      <c r="B394" s="189" t="s">
        <v>375</v>
      </c>
      <c r="C394" s="34"/>
      <c r="D394" s="377"/>
      <c r="E394" s="37"/>
      <c r="F394" s="37"/>
      <c r="G394" s="37"/>
      <c r="H394" s="39"/>
    </row>
    <row r="395" spans="1:11" s="204" customFormat="1" ht="15">
      <c r="A395" s="218"/>
      <c r="B395" s="189" t="s">
        <v>684</v>
      </c>
      <c r="C395" s="34"/>
      <c r="D395" s="377"/>
      <c r="E395" s="37"/>
      <c r="F395" s="37"/>
      <c r="G395" s="37"/>
      <c r="H395" s="39"/>
    </row>
    <row r="396" spans="1:11" s="204" customFormat="1" ht="15">
      <c r="A396" s="218"/>
      <c r="B396" s="189" t="s">
        <v>685</v>
      </c>
      <c r="C396" s="34" t="s">
        <v>16</v>
      </c>
      <c r="D396" s="36">
        <f>D372*1</f>
        <v>1</v>
      </c>
      <c r="E396" s="37">
        <f>E372</f>
        <v>18.55</v>
      </c>
      <c r="F396" s="39"/>
      <c r="G396" s="39">
        <f>G372+0.5</f>
        <v>4.2249999999999996</v>
      </c>
      <c r="H396" s="39">
        <f t="shared" ref="H396:H407" si="75">D396*E396*G396</f>
        <v>78.373750000000001</v>
      </c>
    </row>
    <row r="397" spans="1:11" s="384" customFormat="1" ht="15">
      <c r="A397" s="218"/>
      <c r="B397" s="257" t="s">
        <v>691</v>
      </c>
      <c r="C397" s="34" t="s">
        <v>16</v>
      </c>
      <c r="D397" s="36">
        <v>1</v>
      </c>
      <c r="E397" s="37">
        <f>2*4.25+0.6*2</f>
        <v>9.6999999999999993</v>
      </c>
      <c r="F397" s="39"/>
      <c r="G397" s="254">
        <v>4.2300000000000004</v>
      </c>
      <c r="H397" s="39">
        <f t="shared" ref="H397" si="76">D397*E397*G397</f>
        <v>41.030999999999999</v>
      </c>
    </row>
    <row r="398" spans="1:11" s="222" customFormat="1" ht="15">
      <c r="A398" s="218"/>
      <c r="B398" s="257" t="s">
        <v>418</v>
      </c>
      <c r="C398" s="34"/>
      <c r="D398" s="36"/>
      <c r="E398" s="37"/>
      <c r="F398" s="359"/>
      <c r="G398" s="359"/>
      <c r="H398" s="39"/>
    </row>
    <row r="399" spans="1:11" s="222" customFormat="1" ht="15">
      <c r="A399" s="218"/>
      <c r="B399" s="257" t="s">
        <v>682</v>
      </c>
      <c r="C399" s="34" t="s">
        <v>16</v>
      </c>
      <c r="D399" s="36">
        <f>D374*2</f>
        <v>-2</v>
      </c>
      <c r="E399" s="37">
        <f>E374</f>
        <v>1.65</v>
      </c>
      <c r="F399" s="39"/>
      <c r="G399" s="254">
        <f>G374</f>
        <v>2.4</v>
      </c>
      <c r="H399" s="39">
        <f t="shared" si="75"/>
        <v>-7.919999999999999</v>
      </c>
    </row>
    <row r="400" spans="1:11" s="222" customFormat="1" ht="15">
      <c r="A400" s="218"/>
      <c r="B400" s="257" t="s">
        <v>404</v>
      </c>
      <c r="C400" s="34" t="s">
        <v>16</v>
      </c>
      <c r="D400" s="36">
        <f>D375*2</f>
        <v>-8</v>
      </c>
      <c r="E400" s="37">
        <f>E375</f>
        <v>0.6</v>
      </c>
      <c r="F400" s="39"/>
      <c r="G400" s="254">
        <f>G375</f>
        <v>0.9</v>
      </c>
      <c r="H400" s="39">
        <f t="shared" si="75"/>
        <v>-4.32</v>
      </c>
    </row>
    <row r="401" spans="1:8" s="222" customFormat="1" ht="15">
      <c r="A401" s="218"/>
      <c r="B401" s="189" t="s">
        <v>570</v>
      </c>
      <c r="C401" s="34"/>
      <c r="D401" s="36"/>
      <c r="E401" s="37"/>
      <c r="F401" s="359"/>
      <c r="G401" s="359"/>
      <c r="H401" s="39">
        <f t="shared" si="75"/>
        <v>0</v>
      </c>
    </row>
    <row r="402" spans="1:8" s="241" customFormat="1" ht="15">
      <c r="A402" s="218"/>
      <c r="B402" s="189" t="s">
        <v>410</v>
      </c>
      <c r="C402" s="34" t="s">
        <v>16</v>
      </c>
      <c r="D402" s="36">
        <f>D377*2</f>
        <v>0</v>
      </c>
      <c r="E402" s="37">
        <f>E377</f>
        <v>6.5</v>
      </c>
      <c r="F402" s="39"/>
      <c r="G402" s="39">
        <f>G377+0.5</f>
        <v>3.5</v>
      </c>
      <c r="H402" s="39">
        <f t="shared" si="75"/>
        <v>0</v>
      </c>
    </row>
    <row r="403" spans="1:8" s="222" customFormat="1" ht="15">
      <c r="A403" s="218"/>
      <c r="B403" s="257" t="s">
        <v>417</v>
      </c>
      <c r="C403" s="34"/>
      <c r="D403" s="36"/>
      <c r="E403" s="37"/>
      <c r="F403" s="359"/>
      <c r="G403" s="359"/>
      <c r="H403" s="39">
        <f t="shared" si="75"/>
        <v>0</v>
      </c>
    </row>
    <row r="404" spans="1:8" s="222" customFormat="1" ht="15">
      <c r="A404" s="218"/>
      <c r="B404" s="257" t="s">
        <v>403</v>
      </c>
      <c r="C404" s="34" t="s">
        <v>16</v>
      </c>
      <c r="D404" s="36">
        <f>D379*2</f>
        <v>0</v>
      </c>
      <c r="E404" s="37">
        <f>E379</f>
        <v>0.75</v>
      </c>
      <c r="F404" s="39"/>
      <c r="G404" s="254">
        <v>2.2000000000000002</v>
      </c>
      <c r="H404" s="39">
        <f t="shared" si="75"/>
        <v>0</v>
      </c>
    </row>
    <row r="405" spans="1:8" s="222" customFormat="1" ht="15">
      <c r="A405" s="218"/>
      <c r="B405" s="257" t="s">
        <v>404</v>
      </c>
      <c r="C405" s="34" t="s">
        <v>16</v>
      </c>
      <c r="D405" s="36">
        <f>D380*2</f>
        <v>0</v>
      </c>
      <c r="E405" s="37">
        <f>E380</f>
        <v>0.6</v>
      </c>
      <c r="F405" s="39"/>
      <c r="G405" s="254">
        <v>0.9</v>
      </c>
      <c r="H405" s="39">
        <f t="shared" si="75"/>
        <v>0</v>
      </c>
    </row>
    <row r="406" spans="1:8" s="222" customFormat="1" ht="15">
      <c r="A406" s="218"/>
      <c r="B406" s="189" t="s">
        <v>498</v>
      </c>
      <c r="C406" s="34"/>
      <c r="D406" s="36"/>
      <c r="E406" s="37"/>
      <c r="F406" s="39"/>
      <c r="G406" s="254"/>
      <c r="H406" s="39"/>
    </row>
    <row r="407" spans="1:8" s="222" customFormat="1" ht="15">
      <c r="A407" s="218"/>
      <c r="B407" s="257" t="s">
        <v>564</v>
      </c>
      <c r="C407" s="34" t="s">
        <v>16</v>
      </c>
      <c r="D407" s="36">
        <f>D382*2</f>
        <v>0</v>
      </c>
      <c r="E407" s="37">
        <f>E382</f>
        <v>24.200000000000003</v>
      </c>
      <c r="F407" s="39"/>
      <c r="G407" s="37">
        <f>G382+0.1</f>
        <v>1.1000000000000001</v>
      </c>
      <c r="H407" s="39">
        <f t="shared" si="75"/>
        <v>0</v>
      </c>
    </row>
    <row r="408" spans="1:8" s="204" customFormat="1" ht="15">
      <c r="A408" s="43"/>
      <c r="B408" s="73"/>
      <c r="C408" s="107"/>
      <c r="D408" s="377"/>
      <c r="E408" s="37"/>
      <c r="F408" s="616" t="s">
        <v>65</v>
      </c>
      <c r="G408" s="616"/>
      <c r="H408" s="40">
        <f>ROUND(SUM(H393:H407),0)</f>
        <v>701</v>
      </c>
    </row>
    <row r="409" spans="1:8" s="204" customFormat="1" ht="15">
      <c r="A409" s="218" t="s">
        <v>692</v>
      </c>
      <c r="B409" s="160" t="s">
        <v>624</v>
      </c>
      <c r="C409" s="34" t="s">
        <v>16</v>
      </c>
      <c r="D409" s="377">
        <v>1</v>
      </c>
      <c r="E409" s="37">
        <f>E393</f>
        <v>180.1</v>
      </c>
      <c r="F409" s="39"/>
      <c r="G409" s="254">
        <f>G393</f>
        <v>3.3</v>
      </c>
      <c r="H409" s="39">
        <f>D409*E409*G409</f>
        <v>594.32999999999993</v>
      </c>
    </row>
    <row r="410" spans="1:8" s="384" customFormat="1" ht="15">
      <c r="A410" s="218" t="s">
        <v>700</v>
      </c>
      <c r="B410" s="495" t="s">
        <v>229</v>
      </c>
      <c r="C410" s="129" t="s">
        <v>16</v>
      </c>
      <c r="D410" s="377">
        <v>1</v>
      </c>
      <c r="E410" s="37">
        <f>E430</f>
        <v>4</v>
      </c>
      <c r="F410" s="39">
        <f>F430</f>
        <v>3.72</v>
      </c>
      <c r="G410" s="254"/>
      <c r="H410" s="39">
        <f>H430</f>
        <v>14.88</v>
      </c>
    </row>
    <row r="411" spans="1:8" s="204" customFormat="1" ht="15">
      <c r="A411" s="43"/>
      <c r="B411" s="73"/>
      <c r="C411" s="107"/>
      <c r="D411" s="365"/>
      <c r="E411" s="75"/>
      <c r="F411" s="143"/>
      <c r="G411" s="143"/>
      <c r="H411" s="78"/>
    </row>
    <row r="412" spans="1:8" ht="15">
      <c r="A412" s="159">
        <v>22</v>
      </c>
      <c r="B412" s="189" t="s">
        <v>220</v>
      </c>
      <c r="C412" s="119"/>
      <c r="D412" s="228"/>
      <c r="E412" s="98"/>
      <c r="F412" s="98"/>
      <c r="G412" s="39"/>
      <c r="H412" s="254"/>
    </row>
    <row r="413" spans="1:8" ht="15">
      <c r="A413" s="159" t="s">
        <v>10</v>
      </c>
      <c r="B413" s="160" t="s">
        <v>223</v>
      </c>
      <c r="C413" s="34"/>
      <c r="D413" s="36"/>
      <c r="E413" s="37"/>
      <c r="F413" s="359"/>
      <c r="G413" s="359"/>
      <c r="H413" s="40"/>
    </row>
    <row r="414" spans="1:8" ht="15">
      <c r="A414" s="159"/>
      <c r="B414" s="118" t="s">
        <v>626</v>
      </c>
      <c r="C414" s="34" t="s">
        <v>16</v>
      </c>
      <c r="D414" s="36">
        <v>1</v>
      </c>
      <c r="E414" s="37">
        <f>E393</f>
        <v>180.1</v>
      </c>
      <c r="F414" s="359"/>
      <c r="G414" s="359">
        <v>3.3</v>
      </c>
      <c r="H414" s="39">
        <f>G414*D414*E414</f>
        <v>594.32999999999993</v>
      </c>
    </row>
    <row r="415" spans="1:8" ht="15">
      <c r="A415" s="34"/>
      <c r="B415" s="35"/>
      <c r="C415" s="34"/>
      <c r="D415" s="36"/>
      <c r="E415" s="37"/>
      <c r="F415" s="616" t="s">
        <v>65</v>
      </c>
      <c r="G415" s="616"/>
      <c r="H415" s="40">
        <f>ROUND(SUM(H413:H414),0)</f>
        <v>594</v>
      </c>
    </row>
    <row r="416" spans="1:8" ht="15">
      <c r="A416" s="34"/>
      <c r="B416" s="35"/>
      <c r="C416" s="34"/>
      <c r="D416" s="36"/>
      <c r="E416" s="37"/>
      <c r="F416" s="359"/>
      <c r="G416" s="359"/>
      <c r="H416" s="40"/>
    </row>
    <row r="417" spans="1:11" ht="15">
      <c r="A417" s="159">
        <v>23</v>
      </c>
      <c r="B417" s="189" t="s">
        <v>61</v>
      </c>
      <c r="C417" s="119"/>
      <c r="D417" s="228"/>
      <c r="E417" s="98"/>
      <c r="F417" s="98"/>
      <c r="G417" s="229"/>
      <c r="H417" s="190"/>
    </row>
    <row r="418" spans="1:11" s="222" customFormat="1" ht="15">
      <c r="A418" s="219" t="s">
        <v>10</v>
      </c>
      <c r="B418" s="320" t="s">
        <v>414</v>
      </c>
      <c r="C418" s="119"/>
      <c r="D418" s="36"/>
      <c r="E418" s="37"/>
      <c r="F418" s="359"/>
      <c r="G418" s="359"/>
      <c r="H418" s="40"/>
    </row>
    <row r="419" spans="1:11" s="222" customFormat="1" ht="15">
      <c r="A419" s="219"/>
      <c r="B419" s="191" t="s">
        <v>415</v>
      </c>
      <c r="C419" s="119" t="s">
        <v>405</v>
      </c>
      <c r="D419" s="36">
        <v>0</v>
      </c>
      <c r="E419" s="37">
        <v>2</v>
      </c>
      <c r="F419" s="362">
        <v>0.3</v>
      </c>
      <c r="G419" s="359"/>
      <c r="H419" s="39">
        <f>D419*E419*F419</f>
        <v>0</v>
      </c>
    </row>
    <row r="420" spans="1:11" s="222" customFormat="1" ht="15">
      <c r="A420" s="219"/>
      <c r="B420" s="191" t="s">
        <v>412</v>
      </c>
      <c r="C420" s="119" t="s">
        <v>405</v>
      </c>
      <c r="D420" s="36">
        <v>0</v>
      </c>
      <c r="E420" s="37">
        <v>2</v>
      </c>
      <c r="F420" s="362">
        <v>0.15</v>
      </c>
      <c r="G420" s="359"/>
      <c r="H420" s="39">
        <f>D420*E420*F420</f>
        <v>0</v>
      </c>
    </row>
    <row r="421" spans="1:11" s="222" customFormat="1" ht="15">
      <c r="A421" s="219"/>
      <c r="B421" s="191" t="s">
        <v>413</v>
      </c>
      <c r="C421" s="119" t="s">
        <v>405</v>
      </c>
      <c r="D421" s="36">
        <v>0</v>
      </c>
      <c r="E421" s="37">
        <v>2.835</v>
      </c>
      <c r="F421" s="362">
        <v>2.1</v>
      </c>
      <c r="G421" s="359"/>
      <c r="H421" s="39">
        <f>D421*E421*F421</f>
        <v>0</v>
      </c>
    </row>
    <row r="422" spans="1:11" s="290" customFormat="1" ht="15">
      <c r="A422" s="219"/>
      <c r="B422" s="191"/>
      <c r="C422" s="119"/>
      <c r="D422" s="36"/>
      <c r="E422" s="37"/>
      <c r="F422" s="364"/>
      <c r="G422" s="361"/>
      <c r="H422" s="39"/>
    </row>
    <row r="423" spans="1:11" s="290" customFormat="1" ht="15">
      <c r="A423" s="219"/>
      <c r="B423" s="252" t="s">
        <v>416</v>
      </c>
      <c r="C423" s="119" t="s">
        <v>405</v>
      </c>
      <c r="D423" s="36">
        <v>0</v>
      </c>
      <c r="E423" s="255">
        <v>1.5</v>
      </c>
      <c r="F423" s="259">
        <v>0.3</v>
      </c>
      <c r="G423" s="359"/>
      <c r="H423" s="39">
        <f>D423*E423*F423</f>
        <v>0</v>
      </c>
    </row>
    <row r="424" spans="1:11" s="290" customFormat="1" ht="15">
      <c r="A424" s="219"/>
      <c r="B424" s="252" t="s">
        <v>412</v>
      </c>
      <c r="C424" s="119" t="s">
        <v>405</v>
      </c>
      <c r="D424" s="36">
        <v>0</v>
      </c>
      <c r="E424" s="255">
        <v>1.5</v>
      </c>
      <c r="F424" s="259">
        <v>0.15</v>
      </c>
      <c r="G424" s="359"/>
      <c r="H424" s="39">
        <f>D424*E424*F424</f>
        <v>0</v>
      </c>
    </row>
    <row r="425" spans="1:11" s="290" customFormat="1" ht="15">
      <c r="A425" s="219"/>
      <c r="B425" s="252" t="s">
        <v>413</v>
      </c>
      <c r="C425" s="119" t="s">
        <v>405</v>
      </c>
      <c r="D425" s="36">
        <v>0</v>
      </c>
      <c r="E425" s="255">
        <v>1.5</v>
      </c>
      <c r="F425" s="259">
        <v>1.5</v>
      </c>
      <c r="G425" s="359"/>
      <c r="H425" s="39">
        <f>D425*E425*F425</f>
        <v>0</v>
      </c>
    </row>
    <row r="426" spans="1:11" s="290" customFormat="1" ht="15">
      <c r="A426" s="219"/>
      <c r="B426" s="252"/>
      <c r="C426" s="119" t="s">
        <v>405</v>
      </c>
      <c r="D426" s="36">
        <v>0</v>
      </c>
      <c r="E426" s="255">
        <v>1.53</v>
      </c>
      <c r="F426" s="259">
        <v>1.5</v>
      </c>
      <c r="G426" s="359"/>
      <c r="H426" s="39">
        <f>D426*E426*F426</f>
        <v>0</v>
      </c>
    </row>
    <row r="427" spans="1:11" s="222" customFormat="1" ht="15">
      <c r="A427" s="219"/>
      <c r="B427" s="191"/>
      <c r="C427" s="119"/>
      <c r="D427" s="36"/>
      <c r="E427" s="37"/>
      <c r="F427" s="628" t="s">
        <v>65</v>
      </c>
      <c r="G427" s="629"/>
      <c r="H427" s="40">
        <f>ROUND(SUM(H418:H426),0)</f>
        <v>0</v>
      </c>
    </row>
    <row r="428" spans="1:11" s="220" customFormat="1" ht="15">
      <c r="A428" s="219"/>
      <c r="B428" s="191"/>
      <c r="C428" s="119"/>
      <c r="D428" s="36"/>
      <c r="E428" s="37"/>
      <c r="F428" s="620" t="s">
        <v>527</v>
      </c>
      <c r="G428" s="621"/>
      <c r="H428" s="190">
        <f>ROUND(H427*2,0)</f>
        <v>0</v>
      </c>
    </row>
    <row r="429" spans="1:11" s="233" customFormat="1" ht="15">
      <c r="A429" s="218" t="s">
        <v>12</v>
      </c>
      <c r="B429" s="160" t="s">
        <v>231</v>
      </c>
      <c r="C429" s="119"/>
      <c r="D429" s="228"/>
      <c r="E429" s="98"/>
      <c r="F429" s="98"/>
      <c r="G429" s="229"/>
      <c r="H429" s="190"/>
    </row>
    <row r="430" spans="1:11" ht="15">
      <c r="A430" s="42"/>
      <c r="B430" s="351" t="s">
        <v>686</v>
      </c>
      <c r="C430" s="119" t="s">
        <v>405</v>
      </c>
      <c r="D430" s="255">
        <v>1</v>
      </c>
      <c r="E430" s="255">
        <v>4</v>
      </c>
      <c r="F430" s="255">
        <v>3.72</v>
      </c>
      <c r="G430" s="47"/>
      <c r="H430" s="39">
        <f>D430*E430*F430</f>
        <v>14.88</v>
      </c>
      <c r="K430" s="41"/>
    </row>
    <row r="431" spans="1:11" s="494" customFormat="1" ht="15">
      <c r="A431" s="42"/>
      <c r="B431" s="496" t="s">
        <v>235</v>
      </c>
      <c r="C431" s="119" t="s">
        <v>405</v>
      </c>
      <c r="D431" s="255">
        <v>1</v>
      </c>
      <c r="E431" s="255">
        <f>2*1.4+2*1.95+2*1.2+2*1.5+2*1.2+2*1.5+2*2.515+2*2.1+2*1.63+2*1.65</f>
        <v>33.29</v>
      </c>
      <c r="F431" s="255">
        <v>1.65</v>
      </c>
      <c r="G431" s="47"/>
      <c r="H431" s="39">
        <f>D431*E431*F431</f>
        <v>54.928499999999993</v>
      </c>
      <c r="K431" s="41"/>
    </row>
    <row r="432" spans="1:11" s="494" customFormat="1" ht="15">
      <c r="A432" s="42"/>
      <c r="B432" s="496" t="s">
        <v>703</v>
      </c>
      <c r="C432" s="119" t="s">
        <v>405</v>
      </c>
      <c r="D432" s="255">
        <v>-4</v>
      </c>
      <c r="E432" s="255">
        <v>0.75</v>
      </c>
      <c r="F432" s="255">
        <v>2.1</v>
      </c>
      <c r="G432" s="47"/>
      <c r="H432" s="39">
        <f>D432*E432*F432</f>
        <v>-6.3000000000000007</v>
      </c>
      <c r="K432" s="41"/>
    </row>
    <row r="433" spans="1:11" s="494" customFormat="1" ht="15">
      <c r="A433" s="42"/>
      <c r="B433" s="496"/>
      <c r="C433" s="119"/>
      <c r="D433" s="255"/>
      <c r="E433" s="255"/>
      <c r="F433" s="628" t="s">
        <v>65</v>
      </c>
      <c r="G433" s="629"/>
      <c r="H433" s="40">
        <f>ROUND(SUM(H431:H432),0)</f>
        <v>49</v>
      </c>
      <c r="K433" s="41"/>
    </row>
    <row r="434" spans="1:11" ht="15">
      <c r="A434" s="159">
        <v>24</v>
      </c>
      <c r="B434" s="189" t="s">
        <v>245</v>
      </c>
      <c r="C434" s="119"/>
      <c r="D434" s="36"/>
      <c r="E434" s="37"/>
      <c r="F434" s="359"/>
      <c r="G434" s="359"/>
      <c r="H434" s="39"/>
    </row>
    <row r="435" spans="1:11" ht="15">
      <c r="A435" s="219"/>
      <c r="B435" s="335" t="s">
        <v>409</v>
      </c>
      <c r="C435" s="119"/>
      <c r="D435" s="36"/>
      <c r="E435" s="37"/>
      <c r="F435" s="359"/>
      <c r="G435" s="359"/>
      <c r="H435" s="39"/>
      <c r="I435" s="1" t="s">
        <v>428</v>
      </c>
    </row>
    <row r="436" spans="1:11" ht="15">
      <c r="A436" s="219"/>
      <c r="B436" s="120" t="s">
        <v>523</v>
      </c>
      <c r="C436" s="119" t="s">
        <v>27</v>
      </c>
      <c r="D436" s="36">
        <v>0</v>
      </c>
      <c r="E436" s="37">
        <f>3.5+1.2+2</f>
        <v>6.7</v>
      </c>
      <c r="F436" s="359"/>
      <c r="G436" s="359"/>
      <c r="H436" s="39">
        <f>D436*E436</f>
        <v>0</v>
      </c>
    </row>
    <row r="437" spans="1:11" s="291" customFormat="1" ht="15">
      <c r="A437" s="219"/>
      <c r="B437" s="120" t="s">
        <v>524</v>
      </c>
      <c r="C437" s="119" t="s">
        <v>27</v>
      </c>
      <c r="D437" s="36">
        <v>0</v>
      </c>
      <c r="E437" s="37">
        <f>3.5+1.2+2</f>
        <v>6.7</v>
      </c>
      <c r="F437" s="359"/>
      <c r="G437" s="359"/>
      <c r="H437" s="39">
        <f>D437*E437</f>
        <v>0</v>
      </c>
    </row>
    <row r="438" spans="1:11" ht="15">
      <c r="A438" s="219"/>
      <c r="B438" s="191"/>
      <c r="C438" s="119"/>
      <c r="D438" s="36"/>
      <c r="E438" s="37"/>
      <c r="F438" s="616" t="s">
        <v>65</v>
      </c>
      <c r="G438" s="616"/>
      <c r="H438" s="40">
        <f>ROUND(SUM(H435:H437),0)</f>
        <v>0</v>
      </c>
    </row>
    <row r="439" spans="1:11" ht="15">
      <c r="A439" s="159">
        <v>25</v>
      </c>
      <c r="B439" s="256" t="s">
        <v>211</v>
      </c>
      <c r="C439" s="219"/>
      <c r="D439" s="36"/>
      <c r="E439" s="37"/>
      <c r="F439" s="187"/>
      <c r="G439" s="229"/>
      <c r="H439" s="39"/>
      <c r="K439" s="41"/>
    </row>
    <row r="440" spans="1:11" s="222" customFormat="1" ht="15">
      <c r="A440" s="159"/>
      <c r="B440" s="351" t="s">
        <v>525</v>
      </c>
      <c r="C440" s="219" t="s">
        <v>16</v>
      </c>
      <c r="D440" s="36">
        <v>0</v>
      </c>
      <c r="E440" s="254">
        <f>15.6+15.9</f>
        <v>31.5</v>
      </c>
      <c r="F440" s="187"/>
      <c r="G440" s="229">
        <f>1.5+1.5</f>
        <v>3</v>
      </c>
      <c r="H440" s="39">
        <f>D440*E440*G440</f>
        <v>0</v>
      </c>
      <c r="J440" s="193"/>
      <c r="K440" s="41"/>
    </row>
    <row r="441" spans="1:11" s="291" customFormat="1" ht="15">
      <c r="A441" s="159"/>
      <c r="B441" s="351" t="s">
        <v>526</v>
      </c>
      <c r="C441" s="219" t="s">
        <v>16</v>
      </c>
      <c r="D441" s="36">
        <v>0</v>
      </c>
      <c r="E441" s="254">
        <f>E440</f>
        <v>31.5</v>
      </c>
      <c r="F441" s="187"/>
      <c r="G441" s="229">
        <f>1.5+1.5</f>
        <v>3</v>
      </c>
      <c r="H441" s="39">
        <f>D441*E441*G441</f>
        <v>0</v>
      </c>
      <c r="J441" s="193"/>
      <c r="K441" s="41"/>
    </row>
    <row r="442" spans="1:11" s="241" customFormat="1" ht="15">
      <c r="A442" s="159"/>
      <c r="B442" s="351" t="s">
        <v>766</v>
      </c>
      <c r="C442" s="219" t="s">
        <v>16</v>
      </c>
      <c r="D442" s="36">
        <v>0</v>
      </c>
      <c r="E442" s="254">
        <v>1.49</v>
      </c>
      <c r="F442" s="187"/>
      <c r="G442" s="229">
        <v>1.5</v>
      </c>
      <c r="H442" s="39">
        <f>D442*E442*G442</f>
        <v>0</v>
      </c>
      <c r="J442" s="193"/>
      <c r="K442" s="41"/>
    </row>
    <row r="443" spans="1:11" ht="15">
      <c r="A443" s="218"/>
      <c r="B443" s="35"/>
      <c r="C443" s="219"/>
      <c r="D443" s="36"/>
      <c r="E443" s="37"/>
      <c r="F443" s="617" t="s">
        <v>65</v>
      </c>
      <c r="G443" s="617"/>
      <c r="H443" s="39">
        <f>ROUND(SUM(H439:H442),0)</f>
        <v>0</v>
      </c>
      <c r="K443" s="41"/>
    </row>
    <row r="444" spans="1:11" ht="15">
      <c r="A444" s="218"/>
      <c r="B444" s="35"/>
      <c r="C444" s="219"/>
      <c r="D444" s="36"/>
      <c r="E444" s="37"/>
      <c r="F444" s="616" t="s">
        <v>401</v>
      </c>
      <c r="G444" s="616"/>
      <c r="H444" s="40">
        <f>ROUND(H443+H443*5%,0)</f>
        <v>0</v>
      </c>
      <c r="K444" s="41"/>
    </row>
    <row r="445" spans="1:11" s="220" customFormat="1" ht="15">
      <c r="A445" s="218"/>
      <c r="B445" s="35"/>
      <c r="C445" s="219"/>
      <c r="D445" s="36"/>
      <c r="E445" s="37"/>
      <c r="F445" s="359"/>
      <c r="G445" s="359"/>
      <c r="H445" s="40"/>
      <c r="K445" s="41"/>
    </row>
    <row r="446" spans="1:11" s="220" customFormat="1" ht="15">
      <c r="A446" s="159">
        <v>26</v>
      </c>
      <c r="B446" s="256" t="s">
        <v>406</v>
      </c>
      <c r="C446" s="219"/>
      <c r="D446" s="36"/>
      <c r="E446" s="37"/>
      <c r="F446" s="187"/>
      <c r="G446" s="229"/>
      <c r="H446" s="39"/>
      <c r="K446" s="41"/>
    </row>
    <row r="447" spans="1:11" s="222" customFormat="1" ht="15">
      <c r="A447" s="159"/>
      <c r="B447" s="351" t="s">
        <v>525</v>
      </c>
      <c r="C447" s="219" t="s">
        <v>16</v>
      </c>
      <c r="D447" s="36">
        <v>0</v>
      </c>
      <c r="E447" s="254">
        <f>E440</f>
        <v>31.5</v>
      </c>
      <c r="F447" s="187"/>
      <c r="G447" s="229">
        <f>(3.4-1.5)+(3.755-1.5)</f>
        <v>4.1549999999999994</v>
      </c>
      <c r="H447" s="39">
        <f>D447*E447*G447</f>
        <v>0</v>
      </c>
      <c r="K447" s="41"/>
    </row>
    <row r="448" spans="1:11" s="291" customFormat="1" ht="15">
      <c r="A448" s="159"/>
      <c r="B448" s="351" t="s">
        <v>526</v>
      </c>
      <c r="C448" s="219" t="s">
        <v>16</v>
      </c>
      <c r="D448" s="36">
        <v>0</v>
      </c>
      <c r="E448" s="254">
        <f>E447</f>
        <v>31.5</v>
      </c>
      <c r="F448" s="187"/>
      <c r="G448" s="229">
        <f>(3.4-1.5)+(3.755-1.5)</f>
        <v>4.1549999999999994</v>
      </c>
      <c r="H448" s="39">
        <f>D448*E448*G448</f>
        <v>0</v>
      </c>
      <c r="K448" s="41"/>
    </row>
    <row r="449" spans="1:11" s="241" customFormat="1" ht="15">
      <c r="A449" s="159"/>
      <c r="B449" s="351" t="s">
        <v>766</v>
      </c>
      <c r="C449" s="219" t="s">
        <v>16</v>
      </c>
      <c r="D449" s="36">
        <v>0</v>
      </c>
      <c r="E449" s="254">
        <v>1.49</v>
      </c>
      <c r="F449" s="187"/>
      <c r="G449" s="229">
        <v>1.1539999999999999</v>
      </c>
      <c r="H449" s="39">
        <f>D449*E449*G449</f>
        <v>0</v>
      </c>
      <c r="K449" s="41"/>
    </row>
    <row r="450" spans="1:11" s="220" customFormat="1" ht="15">
      <c r="A450" s="218"/>
      <c r="B450" s="35"/>
      <c r="C450" s="219"/>
      <c r="D450" s="36"/>
      <c r="E450" s="37"/>
      <c r="F450" s="617" t="s">
        <v>65</v>
      </c>
      <c r="G450" s="617"/>
      <c r="H450" s="39">
        <f>ROUND(SUM(H446:H449),0)</f>
        <v>0</v>
      </c>
      <c r="K450" s="41"/>
    </row>
    <row r="451" spans="1:11" s="220" customFormat="1" ht="15">
      <c r="A451" s="218"/>
      <c r="B451" s="35"/>
      <c r="C451" s="219"/>
      <c r="D451" s="36"/>
      <c r="E451" s="37"/>
      <c r="F451" s="616" t="s">
        <v>401</v>
      </c>
      <c r="G451" s="616"/>
      <c r="H451" s="40">
        <f>ROUND(H450+H450*5%,0)</f>
        <v>0</v>
      </c>
      <c r="K451" s="41"/>
    </row>
    <row r="452" spans="1:11" s="220" customFormat="1" ht="15">
      <c r="A452" s="218"/>
      <c r="B452" s="35"/>
      <c r="C452" s="219"/>
      <c r="D452" s="36"/>
      <c r="E452" s="37"/>
      <c r="F452" s="359"/>
      <c r="G452" s="359"/>
      <c r="H452" s="40"/>
      <c r="K452" s="41"/>
    </row>
    <row r="453" spans="1:11" ht="15">
      <c r="A453" s="159">
        <v>27</v>
      </c>
      <c r="B453" s="256" t="s">
        <v>215</v>
      </c>
      <c r="C453" s="219"/>
      <c r="D453" s="36"/>
      <c r="E453" s="37"/>
      <c r="F453" s="187"/>
      <c r="G453" s="229"/>
      <c r="H453" s="39"/>
      <c r="K453" s="41"/>
    </row>
    <row r="454" spans="1:11" s="222" customFormat="1" ht="15">
      <c r="A454" s="218"/>
      <c r="B454" s="351" t="s">
        <v>525</v>
      </c>
      <c r="C454" s="219" t="s">
        <v>16</v>
      </c>
      <c r="D454" s="36">
        <v>0</v>
      </c>
      <c r="E454" s="37">
        <f>E440</f>
        <v>31.5</v>
      </c>
      <c r="F454" s="38"/>
      <c r="G454" s="39">
        <f>(0.55+1+0.45)+(0.35*2+0.5)</f>
        <v>3.2</v>
      </c>
      <c r="H454" s="39">
        <f t="shared" ref="H454" si="77">D454*E454*G454</f>
        <v>0</v>
      </c>
      <c r="K454" s="41"/>
    </row>
    <row r="455" spans="1:11" s="291" customFormat="1" ht="15">
      <c r="A455" s="218"/>
      <c r="B455" s="351" t="s">
        <v>526</v>
      </c>
      <c r="C455" s="219" t="s">
        <v>16</v>
      </c>
      <c r="D455" s="36">
        <v>0</v>
      </c>
      <c r="E455" s="37">
        <f>E454</f>
        <v>31.5</v>
      </c>
      <c r="F455" s="38"/>
      <c r="G455" s="39">
        <f>(0.55+1+0.45)+(0.35*2+0.5)</f>
        <v>3.2</v>
      </c>
      <c r="H455" s="39">
        <f t="shared" ref="H455" si="78">D455*E455*G455</f>
        <v>0</v>
      </c>
      <c r="K455" s="41"/>
    </row>
    <row r="456" spans="1:11" ht="15">
      <c r="A456" s="219"/>
      <c r="B456" s="35"/>
      <c r="C456" s="219"/>
      <c r="D456" s="36"/>
      <c r="E456" s="37"/>
      <c r="F456" s="617" t="s">
        <v>65</v>
      </c>
      <c r="G456" s="617"/>
      <c r="H456" s="39">
        <f>ROUND(SUM(H453:H455),0)</f>
        <v>0</v>
      </c>
      <c r="K456" s="41"/>
    </row>
    <row r="457" spans="1:11" ht="15">
      <c r="A457" s="219"/>
      <c r="B457" s="35"/>
      <c r="C457" s="219"/>
      <c r="D457" s="36"/>
      <c r="E457" s="37"/>
      <c r="F457" s="616" t="s">
        <v>401</v>
      </c>
      <c r="G457" s="616"/>
      <c r="H457" s="40">
        <f>ROUND(H456+H456*5%,0)</f>
        <v>0</v>
      </c>
    </row>
    <row r="458" spans="1:11" s="358" customFormat="1" ht="15">
      <c r="A458" s="159">
        <v>28</v>
      </c>
      <c r="B458" s="256" t="s">
        <v>548</v>
      </c>
      <c r="C458" s="219"/>
      <c r="D458" s="36"/>
      <c r="E458" s="37"/>
      <c r="F458" s="359"/>
      <c r="G458" s="359"/>
      <c r="H458" s="40"/>
    </row>
    <row r="459" spans="1:11" s="358" customFormat="1" ht="15">
      <c r="A459" s="219"/>
      <c r="B459" s="35" t="s">
        <v>549</v>
      </c>
      <c r="C459" s="219"/>
      <c r="D459" s="36"/>
      <c r="E459" s="37"/>
      <c r="F459" s="359"/>
      <c r="G459" s="359"/>
      <c r="H459" s="40"/>
    </row>
    <row r="460" spans="1:11" s="358" customFormat="1" ht="25.5">
      <c r="A460" s="219"/>
      <c r="B460" s="35" t="s">
        <v>550</v>
      </c>
      <c r="C460" s="219" t="s">
        <v>23</v>
      </c>
      <c r="D460" s="341">
        <v>0</v>
      </c>
      <c r="E460" s="349">
        <f>(ROUND(E440/4,0)+1)*7+(ROUND(7/2,0)+1)*E440</f>
        <v>220.5</v>
      </c>
      <c r="F460" s="349">
        <f>D460*E460</f>
        <v>0</v>
      </c>
      <c r="G460" s="39">
        <v>7.11</v>
      </c>
      <c r="H460" s="39">
        <f>F460*G460</f>
        <v>0</v>
      </c>
    </row>
    <row r="461" spans="1:11" s="358" customFormat="1" ht="15">
      <c r="A461" s="219"/>
      <c r="B461" s="35"/>
      <c r="C461" s="219"/>
      <c r="D461" s="36"/>
      <c r="E461" s="37"/>
      <c r="F461" s="620" t="s">
        <v>551</v>
      </c>
      <c r="G461" s="621"/>
      <c r="H461" s="40">
        <f>H460/1000</f>
        <v>0</v>
      </c>
    </row>
    <row r="462" spans="1:11" s="358" customFormat="1" ht="15">
      <c r="A462" s="219"/>
      <c r="B462" s="35"/>
      <c r="C462" s="219"/>
      <c r="D462" s="36"/>
      <c r="E462" s="37"/>
      <c r="F462" s="620" t="s">
        <v>552</v>
      </c>
      <c r="G462" s="621"/>
      <c r="H462" s="190">
        <f>ROUND(H461*2,2)</f>
        <v>0</v>
      </c>
    </row>
    <row r="463" spans="1:11" s="236" customFormat="1" ht="20.100000000000001" customHeight="1">
      <c r="A463" s="245">
        <v>2</v>
      </c>
      <c r="B463" s="246" t="s">
        <v>421</v>
      </c>
      <c r="C463" s="247"/>
      <c r="D463" s="247"/>
      <c r="E463" s="247"/>
      <c r="F463" s="247"/>
      <c r="G463" s="247"/>
      <c r="H463" s="247"/>
    </row>
    <row r="464" spans="1:11" ht="18" customHeight="1">
      <c r="A464" s="543" t="s">
        <v>7</v>
      </c>
      <c r="B464" s="544" t="s">
        <v>301</v>
      </c>
      <c r="C464" s="182"/>
      <c r="D464" s="182"/>
      <c r="E464" s="182"/>
      <c r="F464" s="182"/>
      <c r="G464" s="182"/>
      <c r="H464" s="182"/>
    </row>
    <row r="465" spans="1:13">
      <c r="A465" s="218">
        <v>1</v>
      </c>
      <c r="B465" s="54" t="s">
        <v>302</v>
      </c>
      <c r="C465" s="54"/>
      <c r="D465" s="54"/>
      <c r="E465" s="54"/>
      <c r="F465" s="54"/>
      <c r="G465" s="54"/>
      <c r="H465" s="54"/>
    </row>
    <row r="466" spans="1:13" s="204" customFormat="1" ht="15">
      <c r="A466" s="218"/>
      <c r="B466" s="183"/>
      <c r="C466" s="184" t="s">
        <v>11</v>
      </c>
      <c r="D466" s="219">
        <v>1</v>
      </c>
      <c r="E466" s="54">
        <f>50.245</f>
        <v>50.244999999999997</v>
      </c>
      <c r="F466" s="54">
        <v>20.024999999999999</v>
      </c>
      <c r="G466" s="187">
        <v>0.5</v>
      </c>
      <c r="H466" s="187">
        <f>D466*E466*F466*G466</f>
        <v>503.07806249999993</v>
      </c>
    </row>
    <row r="467" spans="1:13" s="529" customFormat="1" ht="15">
      <c r="A467" s="218"/>
      <c r="B467" s="550" t="s">
        <v>774</v>
      </c>
      <c r="C467" s="184" t="s">
        <v>11</v>
      </c>
      <c r="D467" s="219">
        <v>-1</v>
      </c>
      <c r="E467" s="54">
        <v>6.25</v>
      </c>
      <c r="F467" s="54">
        <v>3</v>
      </c>
      <c r="G467" s="187">
        <v>0.5</v>
      </c>
      <c r="H467" s="187">
        <f>D467*E467*F467*G467</f>
        <v>-9.375</v>
      </c>
    </row>
    <row r="468" spans="1:13" ht="15">
      <c r="A468" s="218"/>
      <c r="B468" s="183"/>
      <c r="C468" s="184"/>
      <c r="D468" s="184"/>
      <c r="E468" s="230"/>
      <c r="F468" s="618" t="s">
        <v>65</v>
      </c>
      <c r="G468" s="618"/>
      <c r="H468" s="231">
        <f>ROUND(SUM(H466:H467),0)</f>
        <v>494</v>
      </c>
    </row>
    <row r="469" spans="1:13">
      <c r="A469" s="54"/>
      <c r="B469" s="54"/>
      <c r="C469" s="54"/>
      <c r="D469" s="54"/>
      <c r="E469" s="54"/>
      <c r="F469" s="54"/>
      <c r="G469" s="54"/>
      <c r="H469" s="54"/>
    </row>
    <row r="470" spans="1:13">
      <c r="A470" s="218">
        <v>2</v>
      </c>
      <c r="B470" s="54" t="s">
        <v>306</v>
      </c>
      <c r="C470" s="54"/>
      <c r="D470" s="54"/>
      <c r="E470" s="54"/>
      <c r="F470" s="54"/>
      <c r="G470" s="54"/>
      <c r="H470" s="54"/>
    </row>
    <row r="471" spans="1:13" s="204" customFormat="1" ht="15">
      <c r="A471" s="218"/>
      <c r="B471" s="183"/>
      <c r="C471" s="184" t="s">
        <v>11</v>
      </c>
      <c r="D471" s="219">
        <v>1</v>
      </c>
      <c r="E471" s="54">
        <v>50.244999999999997</v>
      </c>
      <c r="F471" s="54">
        <v>20.024999999999999</v>
      </c>
      <c r="G471" s="54">
        <v>0.5</v>
      </c>
      <c r="H471" s="187">
        <f>D471*E471*F471*G471</f>
        <v>503.07806249999993</v>
      </c>
      <c r="K471" s="49"/>
      <c r="M471" s="49"/>
    </row>
    <row r="472" spans="1:13" s="529" customFormat="1" ht="15">
      <c r="A472" s="218"/>
      <c r="B472" s="550" t="s">
        <v>774</v>
      </c>
      <c r="C472" s="184" t="s">
        <v>11</v>
      </c>
      <c r="D472" s="219">
        <v>-1</v>
      </c>
      <c r="E472" s="54">
        <v>6.25</v>
      </c>
      <c r="F472" s="54">
        <v>3</v>
      </c>
      <c r="G472" s="187">
        <v>0.5</v>
      </c>
      <c r="H472" s="187">
        <f>D472*E472*F472*G472</f>
        <v>-9.375</v>
      </c>
      <c r="K472" s="49"/>
      <c r="M472" s="49"/>
    </row>
    <row r="473" spans="1:13" ht="15">
      <c r="A473" s="54"/>
      <c r="B473" s="183"/>
      <c r="C473" s="184"/>
      <c r="D473" s="184"/>
      <c r="E473" s="230"/>
      <c r="F473" s="618" t="s">
        <v>65</v>
      </c>
      <c r="G473" s="618"/>
      <c r="H473" s="231">
        <f>ROUND(SUM(H471:H472),0)</f>
        <v>494</v>
      </c>
    </row>
    <row r="474" spans="1:13">
      <c r="A474" s="54"/>
      <c r="B474" s="54"/>
      <c r="C474" s="54"/>
      <c r="D474" s="54"/>
      <c r="E474" s="54"/>
      <c r="F474" s="54"/>
      <c r="G474" s="54"/>
      <c r="H474" s="54"/>
    </row>
    <row r="475" spans="1:13">
      <c r="A475" s="218">
        <v>3</v>
      </c>
      <c r="B475" s="188" t="s">
        <v>307</v>
      </c>
      <c r="C475" s="54"/>
      <c r="D475" s="54"/>
      <c r="E475" s="54"/>
      <c r="F475" s="54"/>
      <c r="G475" s="54"/>
      <c r="H475" s="54"/>
    </row>
    <row r="476" spans="1:13" s="204" customFormat="1" ht="15">
      <c r="A476" s="218"/>
      <c r="B476" s="183"/>
      <c r="C476" s="184" t="s">
        <v>11</v>
      </c>
      <c r="D476" s="219">
        <f>D471</f>
        <v>1</v>
      </c>
      <c r="E476" s="54">
        <f>E471</f>
        <v>50.244999999999997</v>
      </c>
      <c r="F476" s="54">
        <f>F471</f>
        <v>20.024999999999999</v>
      </c>
      <c r="G476" s="185">
        <v>0.15</v>
      </c>
      <c r="H476" s="54">
        <f>D476*E476*F476*G476</f>
        <v>150.92341874999997</v>
      </c>
    </row>
    <row r="477" spans="1:13" s="529" customFormat="1" ht="15">
      <c r="A477" s="218"/>
      <c r="B477" s="550" t="s">
        <v>774</v>
      </c>
      <c r="C477" s="184" t="s">
        <v>11</v>
      </c>
      <c r="D477" s="219">
        <v>-1</v>
      </c>
      <c r="E477" s="54">
        <v>6.25</v>
      </c>
      <c r="F477" s="54">
        <v>3</v>
      </c>
      <c r="G477" s="187">
        <v>0.15</v>
      </c>
      <c r="H477" s="187">
        <f>D477*E477*F477*G477</f>
        <v>-2.8125</v>
      </c>
    </row>
    <row r="478" spans="1:13" ht="15">
      <c r="A478" s="54"/>
      <c r="B478" s="183"/>
      <c r="C478" s="184"/>
      <c r="D478" s="184"/>
      <c r="E478" s="230"/>
      <c r="F478" s="618" t="s">
        <v>65</v>
      </c>
      <c r="G478" s="618"/>
      <c r="H478" s="231">
        <f>ROUND(SUM(H476:H477),0)</f>
        <v>148</v>
      </c>
    </row>
    <row r="479" spans="1:13">
      <c r="A479" s="54"/>
      <c r="B479" s="54"/>
      <c r="C479" s="54"/>
      <c r="D479" s="54"/>
      <c r="E479" s="54"/>
      <c r="F479" s="54"/>
      <c r="G479" s="54"/>
      <c r="H479" s="54"/>
    </row>
    <row r="480" spans="1:13" s="330" customFormat="1">
      <c r="A480" s="218">
        <v>4</v>
      </c>
      <c r="B480" s="188" t="s">
        <v>537</v>
      </c>
      <c r="C480" s="54"/>
      <c r="D480" s="54"/>
      <c r="E480" s="54"/>
      <c r="F480" s="54"/>
      <c r="G480" s="54"/>
      <c r="H480" s="54"/>
    </row>
    <row r="481" spans="1:11" s="330" customFormat="1" ht="15">
      <c r="A481" s="218"/>
      <c r="B481" s="183"/>
      <c r="C481" s="184" t="s">
        <v>11</v>
      </c>
      <c r="D481" s="219">
        <f>D476</f>
        <v>1</v>
      </c>
      <c r="E481" s="54">
        <f>E476</f>
        <v>50.244999999999997</v>
      </c>
      <c r="F481" s="54">
        <f>F476</f>
        <v>20.024999999999999</v>
      </c>
      <c r="G481" s="352">
        <v>7.4999999999999997E-2</v>
      </c>
      <c r="H481" s="54">
        <f>D481*E481*F481*G481</f>
        <v>75.461709374999984</v>
      </c>
    </row>
    <row r="482" spans="1:11" s="529" customFormat="1" ht="15">
      <c r="A482" s="218"/>
      <c r="B482" s="550" t="s">
        <v>774</v>
      </c>
      <c r="C482" s="184" t="s">
        <v>11</v>
      </c>
      <c r="D482" s="219">
        <v>-1</v>
      </c>
      <c r="E482" s="54">
        <v>6.25</v>
      </c>
      <c r="F482" s="54">
        <v>3</v>
      </c>
      <c r="G482" s="352">
        <v>7.4999999999999997E-2</v>
      </c>
      <c r="H482" s="187">
        <f>D482*E482*F482*G482</f>
        <v>-1.40625</v>
      </c>
      <c r="I482" s="576"/>
      <c r="J482" s="583" t="s">
        <v>777</v>
      </c>
      <c r="K482" s="577"/>
    </row>
    <row r="483" spans="1:11" s="330" customFormat="1" ht="15">
      <c r="A483" s="54"/>
      <c r="B483" s="183"/>
      <c r="C483" s="184"/>
      <c r="D483" s="184"/>
      <c r="E483" s="230"/>
      <c r="F483" s="618" t="s">
        <v>65</v>
      </c>
      <c r="G483" s="618"/>
      <c r="H483" s="231">
        <f>ROUND(SUM(H481:H482),0)</f>
        <v>74</v>
      </c>
      <c r="I483" s="576"/>
      <c r="J483" s="576" t="s">
        <v>94</v>
      </c>
      <c r="K483" s="577" t="s">
        <v>95</v>
      </c>
    </row>
    <row r="484" spans="1:11" s="330" customFormat="1">
      <c r="A484" s="54"/>
      <c r="B484" s="54"/>
      <c r="C484" s="54"/>
      <c r="D484" s="54"/>
      <c r="E484" s="54"/>
      <c r="F484" s="54"/>
      <c r="G484" s="54"/>
      <c r="H484" s="54"/>
      <c r="I484" s="576"/>
      <c r="J484" s="588">
        <v>50.207000000000001</v>
      </c>
      <c r="K484" s="588">
        <v>20.016999999999999</v>
      </c>
    </row>
    <row r="485" spans="1:11" s="204" customFormat="1">
      <c r="A485" s="218">
        <v>5</v>
      </c>
      <c r="B485" s="188" t="s">
        <v>402</v>
      </c>
      <c r="C485" s="54"/>
      <c r="D485" s="54"/>
      <c r="E485" s="54"/>
      <c r="F485" s="54"/>
      <c r="G485" s="54"/>
      <c r="H485" s="54"/>
      <c r="I485" s="576"/>
      <c r="J485" s="576"/>
      <c r="K485" s="577"/>
    </row>
    <row r="486" spans="1:11" s="204" customFormat="1" ht="15">
      <c r="A486" s="218"/>
      <c r="B486" s="183"/>
      <c r="C486" s="184" t="s">
        <v>11</v>
      </c>
      <c r="D486" s="219">
        <f>D476</f>
        <v>1</v>
      </c>
      <c r="E486" s="54">
        <f>E476</f>
        <v>50.244999999999997</v>
      </c>
      <c r="F486" s="54">
        <f>F476</f>
        <v>20.024999999999999</v>
      </c>
      <c r="G486" s="352"/>
      <c r="H486" s="54">
        <f>D486*E486*F486</f>
        <v>1006.1561249999999</v>
      </c>
    </row>
    <row r="487" spans="1:11" s="529" customFormat="1" ht="15">
      <c r="A487" s="218"/>
      <c r="B487" s="550" t="s">
        <v>774</v>
      </c>
      <c r="C487" s="184" t="s">
        <v>11</v>
      </c>
      <c r="D487" s="219">
        <v>-1</v>
      </c>
      <c r="E487" s="54">
        <v>6.25</v>
      </c>
      <c r="F487" s="54">
        <v>3</v>
      </c>
      <c r="G487" s="187">
        <v>0.5</v>
      </c>
      <c r="H487" s="187">
        <f>D487*E487*F487*G487</f>
        <v>-9.375</v>
      </c>
    </row>
    <row r="488" spans="1:11" s="204" customFormat="1" ht="15">
      <c r="A488" s="54"/>
      <c r="B488" s="183"/>
      <c r="C488" s="184"/>
      <c r="D488" s="184"/>
      <c r="E488" s="230"/>
      <c r="F488" s="618" t="s">
        <v>65</v>
      </c>
      <c r="G488" s="618"/>
      <c r="H488" s="231">
        <f>ROUND(SUM(H486:H487),0)</f>
        <v>997</v>
      </c>
    </row>
    <row r="489" spans="1:11" s="204" customFormat="1" ht="15">
      <c r="A489" s="54"/>
      <c r="B489" s="183"/>
      <c r="C489" s="184"/>
      <c r="D489" s="184"/>
      <c r="E489" s="230"/>
      <c r="F489" s="332"/>
      <c r="G489" s="332"/>
      <c r="H489" s="231"/>
    </row>
    <row r="490" spans="1:11">
      <c r="A490" s="218">
        <v>6</v>
      </c>
      <c r="B490" s="188" t="s">
        <v>309</v>
      </c>
      <c r="C490" s="54"/>
      <c r="D490" s="54"/>
      <c r="E490" s="54"/>
      <c r="F490" s="54"/>
      <c r="G490" s="54"/>
      <c r="H490" s="54"/>
    </row>
    <row r="491" spans="1:11" ht="15">
      <c r="A491" s="54"/>
      <c r="B491" s="183"/>
      <c r="C491" s="184" t="s">
        <v>11</v>
      </c>
      <c r="D491" s="219">
        <f>D486</f>
        <v>1</v>
      </c>
      <c r="E491" s="54">
        <f>E486</f>
        <v>50.244999999999997</v>
      </c>
      <c r="F491" s="54">
        <f>F486</f>
        <v>20.024999999999999</v>
      </c>
      <c r="G491" s="352">
        <v>0.2</v>
      </c>
      <c r="H491" s="54">
        <f>D491*E491*F491*G491</f>
        <v>201.23122499999999</v>
      </c>
    </row>
    <row r="492" spans="1:11" s="529" customFormat="1" ht="15">
      <c r="A492" s="54"/>
      <c r="B492" s="550" t="s">
        <v>774</v>
      </c>
      <c r="C492" s="184" t="s">
        <v>11</v>
      </c>
      <c r="D492" s="219">
        <v>-1</v>
      </c>
      <c r="E492" s="54">
        <v>6.25</v>
      </c>
      <c r="F492" s="54">
        <v>3</v>
      </c>
      <c r="G492" s="187">
        <v>0.2</v>
      </c>
      <c r="H492" s="187">
        <f>D492*E492*F492*G492</f>
        <v>-3.75</v>
      </c>
    </row>
    <row r="493" spans="1:11" ht="15">
      <c r="A493" s="54"/>
      <c r="B493" s="183"/>
      <c r="C493" s="184"/>
      <c r="D493" s="184"/>
      <c r="E493" s="230"/>
      <c r="F493" s="618" t="s">
        <v>65</v>
      </c>
      <c r="G493" s="618"/>
      <c r="H493" s="231">
        <f>ROUND(SUM(H491:H492),0)</f>
        <v>197</v>
      </c>
      <c r="J493" s="204"/>
    </row>
    <row r="494" spans="1:11" s="233" customFormat="1" ht="15">
      <c r="A494" s="54"/>
      <c r="B494" s="183"/>
      <c r="C494" s="184"/>
      <c r="D494" s="184"/>
      <c r="E494" s="230"/>
      <c r="F494" s="331"/>
      <c r="G494" s="331"/>
      <c r="H494" s="231"/>
    </row>
    <row r="495" spans="1:11" s="567" customFormat="1" ht="15">
      <c r="A495" s="218"/>
      <c r="B495" s="239"/>
      <c r="C495" s="34"/>
      <c r="D495" s="36"/>
      <c r="E495" s="37"/>
      <c r="F495" s="566"/>
      <c r="G495" s="566"/>
      <c r="H495" s="40"/>
      <c r="K495" s="41"/>
    </row>
    <row r="496" spans="1:11" s="236" customFormat="1" ht="15">
      <c r="A496" s="159" t="s">
        <v>32</v>
      </c>
      <c r="B496" s="181" t="s">
        <v>430</v>
      </c>
      <c r="C496" s="184"/>
      <c r="D496" s="184"/>
      <c r="E496" s="230"/>
      <c r="F496" s="331"/>
      <c r="G496" s="331"/>
      <c r="H496" s="231"/>
    </row>
    <row r="497" spans="1:9" s="236" customFormat="1" ht="15">
      <c r="A497" s="159"/>
      <c r="B497" s="319" t="s">
        <v>432</v>
      </c>
      <c r="C497" s="184"/>
      <c r="D497" s="184"/>
      <c r="E497" s="230"/>
      <c r="F497" s="331"/>
      <c r="G497" s="331"/>
      <c r="H497" s="231"/>
    </row>
    <row r="498" spans="1:9" s="236" customFormat="1" ht="15">
      <c r="A498" s="218">
        <v>1</v>
      </c>
      <c r="B498" s="183" t="s">
        <v>431</v>
      </c>
      <c r="C498" s="184" t="s">
        <v>11</v>
      </c>
      <c r="D498" s="184">
        <v>1</v>
      </c>
      <c r="E498" s="230">
        <v>15.6</v>
      </c>
      <c r="F498" s="238">
        <f>1.2+0.3*2</f>
        <v>1.7999999999999998</v>
      </c>
      <c r="G498" s="238">
        <f>(1.2+0.075+0.2)-0.35</f>
        <v>1.125</v>
      </c>
      <c r="H498" s="187">
        <f>D498*E498*F498*G498</f>
        <v>31.589999999999996</v>
      </c>
      <c r="I498" s="236" t="s">
        <v>433</v>
      </c>
    </row>
    <row r="499" spans="1:9" s="236" customFormat="1" ht="15">
      <c r="A499" s="54"/>
      <c r="B499" s="183"/>
      <c r="C499" s="184"/>
      <c r="D499" s="184"/>
      <c r="E499" s="230"/>
      <c r="F499" s="618" t="s">
        <v>65</v>
      </c>
      <c r="G499" s="618"/>
      <c r="H499" s="231">
        <f>ROUND(SUM(H498:H498),0)</f>
        <v>32</v>
      </c>
    </row>
    <row r="500" spans="1:9" s="237" customFormat="1" ht="15">
      <c r="A500" s="54"/>
      <c r="B500" s="183"/>
      <c r="C500" s="184"/>
      <c r="D500" s="184"/>
      <c r="E500" s="230"/>
      <c r="F500" s="331"/>
      <c r="G500" s="331"/>
      <c r="H500" s="231"/>
    </row>
    <row r="501" spans="1:9" s="237" customFormat="1" ht="26.25">
      <c r="A501" s="219">
        <v>2</v>
      </c>
      <c r="B501" s="188" t="s">
        <v>471</v>
      </c>
      <c r="C501" s="184"/>
      <c r="D501" s="184"/>
      <c r="E501" s="230"/>
      <c r="F501" s="331"/>
      <c r="G501" s="331"/>
      <c r="H501" s="186">
        <f>H499</f>
        <v>32</v>
      </c>
    </row>
    <row r="502" spans="1:9" s="237" customFormat="1" ht="15">
      <c r="A502" s="54"/>
      <c r="B502" s="183" t="s">
        <v>764</v>
      </c>
      <c r="C502" s="184" t="s">
        <v>11</v>
      </c>
      <c r="D502" s="184">
        <v>-1</v>
      </c>
      <c r="E502" s="230">
        <f>E523</f>
        <v>15.6</v>
      </c>
      <c r="F502" s="230">
        <f>F523</f>
        <v>0.3</v>
      </c>
      <c r="G502" s="238">
        <f>1.2-0.3</f>
        <v>0.89999999999999991</v>
      </c>
      <c r="H502" s="187">
        <f>D502*E502*F502*G502</f>
        <v>-4.2119999999999997</v>
      </c>
    </row>
    <row r="503" spans="1:9" s="237" customFormat="1" ht="15">
      <c r="A503" s="54"/>
      <c r="B503" s="183" t="s">
        <v>767</v>
      </c>
      <c r="C503" s="184" t="s">
        <v>11</v>
      </c>
      <c r="D503" s="184">
        <v>-1</v>
      </c>
      <c r="E503" s="230"/>
      <c r="F503" s="230"/>
      <c r="G503" s="238"/>
      <c r="H503" s="187">
        <f>-H522</f>
        <v>-11.23</v>
      </c>
    </row>
    <row r="504" spans="1:9" s="237" customFormat="1" ht="15">
      <c r="A504" s="54"/>
      <c r="B504" s="183" t="s">
        <v>768</v>
      </c>
      <c r="C504" s="184" t="s">
        <v>11</v>
      </c>
      <c r="D504" s="184">
        <v>-1</v>
      </c>
      <c r="E504" s="230"/>
      <c r="F504" s="331"/>
      <c r="G504" s="331"/>
      <c r="H504" s="186">
        <f>-H514</f>
        <v>-4.68</v>
      </c>
    </row>
    <row r="505" spans="1:9" s="237" customFormat="1" ht="15">
      <c r="A505" s="54"/>
      <c r="B505" s="183" t="s">
        <v>769</v>
      </c>
      <c r="C505" s="184" t="s">
        <v>11</v>
      </c>
      <c r="D505" s="184">
        <v>-1</v>
      </c>
      <c r="E505" s="230"/>
      <c r="F505" s="331"/>
      <c r="G505" s="331"/>
      <c r="H505" s="186">
        <f>-H518</f>
        <v>-1.5794999999999999</v>
      </c>
    </row>
    <row r="506" spans="1:9" s="237" customFormat="1" ht="15">
      <c r="A506" s="54"/>
      <c r="B506" s="183"/>
      <c r="C506" s="184"/>
      <c r="D506" s="184"/>
      <c r="E506" s="230"/>
      <c r="F506" s="618" t="s">
        <v>65</v>
      </c>
      <c r="G506" s="618"/>
      <c r="H506" s="231">
        <f>ROUND(SUM(H501:H505),0)</f>
        <v>10</v>
      </c>
    </row>
    <row r="507" spans="1:9" s="237" customFormat="1" ht="30">
      <c r="A507" s="54"/>
      <c r="B507" s="378" t="s">
        <v>573</v>
      </c>
      <c r="C507" s="184"/>
      <c r="D507" s="184"/>
      <c r="E507" s="230"/>
      <c r="F507" s="374"/>
      <c r="G507" s="374"/>
      <c r="H507" s="231">
        <f>H499-H506</f>
        <v>22</v>
      </c>
    </row>
    <row r="508" spans="1:9" s="375" customFormat="1" ht="15">
      <c r="C508" s="184"/>
      <c r="D508" s="184"/>
      <c r="E508" s="230"/>
      <c r="F508" s="374"/>
      <c r="G508" s="374"/>
      <c r="H508" s="231"/>
    </row>
    <row r="509" spans="1:9" s="375" customFormat="1" ht="26.25">
      <c r="A509" s="218"/>
      <c r="B509" s="379" t="s">
        <v>472</v>
      </c>
      <c r="C509" s="184" t="s">
        <v>11</v>
      </c>
      <c r="D509" s="184">
        <v>1</v>
      </c>
      <c r="E509" s="230">
        <f>E515</f>
        <v>15.6</v>
      </c>
      <c r="F509" s="238">
        <f>F515</f>
        <v>4.5</v>
      </c>
      <c r="G509" s="238">
        <f>(0.55+1.7)/2</f>
        <v>1.125</v>
      </c>
      <c r="H509" s="187">
        <f>D509*E509*F509*G509</f>
        <v>78.975000000000009</v>
      </c>
    </row>
    <row r="510" spans="1:9" s="375" customFormat="1" ht="15">
      <c r="A510" s="54"/>
      <c r="B510" s="183"/>
      <c r="C510" s="184"/>
      <c r="D510" s="184"/>
      <c r="E510" s="230"/>
      <c r="F510" s="619" t="s">
        <v>575</v>
      </c>
      <c r="G510" s="619"/>
      <c r="H510" s="186">
        <f>ROUND(SUM(H509:H509),0)</f>
        <v>79</v>
      </c>
    </row>
    <row r="511" spans="1:9" s="375" customFormat="1" ht="30">
      <c r="A511" s="218">
        <v>3</v>
      </c>
      <c r="B511" s="378" t="s">
        <v>574</v>
      </c>
      <c r="C511" s="184" t="s">
        <v>11</v>
      </c>
      <c r="D511" s="184"/>
      <c r="E511" s="230"/>
      <c r="F511" s="374"/>
      <c r="G511" s="374"/>
      <c r="H511" s="231">
        <f>H510-H507</f>
        <v>57</v>
      </c>
    </row>
    <row r="512" spans="1:9" s="375" customFormat="1" ht="15">
      <c r="A512" s="54"/>
      <c r="B512" s="183"/>
      <c r="C512" s="184"/>
      <c r="D512" s="184"/>
      <c r="E512" s="230"/>
      <c r="F512" s="374"/>
      <c r="G512" s="374"/>
      <c r="H512" s="231"/>
    </row>
    <row r="513" spans="1:10" s="236" customFormat="1" ht="15">
      <c r="A513" s="218">
        <v>4</v>
      </c>
      <c r="B513" s="188" t="s">
        <v>307</v>
      </c>
      <c r="C513" s="184"/>
      <c r="D513" s="184"/>
      <c r="E513" s="230"/>
      <c r="F513" s="331"/>
      <c r="G513" s="331"/>
      <c r="H513" s="231"/>
    </row>
    <row r="514" spans="1:10" s="236" customFormat="1" ht="15">
      <c r="A514" s="54"/>
      <c r="B514" s="183" t="s">
        <v>434</v>
      </c>
      <c r="C514" s="184" t="s">
        <v>11</v>
      </c>
      <c r="D514" s="184">
        <v>1</v>
      </c>
      <c r="E514" s="230">
        <f>E498</f>
        <v>15.6</v>
      </c>
      <c r="F514" s="238">
        <f>1.2+0.15*2</f>
        <v>1.5</v>
      </c>
      <c r="G514" s="238">
        <v>0.2</v>
      </c>
      <c r="H514" s="187">
        <f t="shared" ref="H514:H515" si="79">D514*E514*F514*G514</f>
        <v>4.68</v>
      </c>
    </row>
    <row r="515" spans="1:10" s="236" customFormat="1" ht="15">
      <c r="A515" s="54"/>
      <c r="B515" s="183" t="s">
        <v>435</v>
      </c>
      <c r="C515" s="184" t="s">
        <v>11</v>
      </c>
      <c r="D515" s="184">
        <v>1</v>
      </c>
      <c r="E515" s="230">
        <f>E514</f>
        <v>15.6</v>
      </c>
      <c r="F515" s="238">
        <v>4.5</v>
      </c>
      <c r="G515" s="238">
        <v>0.2</v>
      </c>
      <c r="H515" s="187">
        <f t="shared" si="79"/>
        <v>14.040000000000001</v>
      </c>
    </row>
    <row r="516" spans="1:10" s="236" customFormat="1" ht="15">
      <c r="A516" s="54"/>
      <c r="B516" s="183"/>
      <c r="C516" s="184"/>
      <c r="D516" s="184"/>
      <c r="E516" s="230"/>
      <c r="F516" s="618" t="s">
        <v>65</v>
      </c>
      <c r="G516" s="618"/>
      <c r="H516" s="231">
        <f>ROUND(SUM(H514:H515),0)</f>
        <v>19</v>
      </c>
    </row>
    <row r="517" spans="1:10" s="236" customFormat="1" ht="15">
      <c r="A517" s="218">
        <v>5</v>
      </c>
      <c r="B517" s="188" t="s">
        <v>436</v>
      </c>
      <c r="C517" s="184"/>
      <c r="D517" s="184"/>
      <c r="E517" s="230"/>
      <c r="F517" s="331"/>
      <c r="G517" s="331"/>
      <c r="H517" s="231"/>
    </row>
    <row r="518" spans="1:10" s="236" customFormat="1" ht="15">
      <c r="A518" s="54"/>
      <c r="B518" s="183" t="s">
        <v>434</v>
      </c>
      <c r="C518" s="184" t="s">
        <v>11</v>
      </c>
      <c r="D518" s="184">
        <v>1</v>
      </c>
      <c r="E518" s="230">
        <f>E515</f>
        <v>15.6</v>
      </c>
      <c r="F518" s="238">
        <f>1.2+0.075*2</f>
        <v>1.3499999999999999</v>
      </c>
      <c r="G518" s="321">
        <v>7.4999999999999997E-2</v>
      </c>
      <c r="H518" s="187">
        <f t="shared" ref="H518:H519" si="80">D518*E518*F518*G518</f>
        <v>1.5794999999999999</v>
      </c>
    </row>
    <row r="519" spans="1:10" s="236" customFormat="1" ht="15">
      <c r="A519" s="54"/>
      <c r="B519" s="183" t="s">
        <v>435</v>
      </c>
      <c r="C519" s="184" t="s">
        <v>11</v>
      </c>
      <c r="D519" s="184">
        <v>1</v>
      </c>
      <c r="E519" s="230">
        <f>E518</f>
        <v>15.6</v>
      </c>
      <c r="F519" s="238">
        <v>4.5</v>
      </c>
      <c r="G519" s="321">
        <v>7.4999999999999997E-2</v>
      </c>
      <c r="H519" s="187">
        <f t="shared" si="80"/>
        <v>5.2649999999999997</v>
      </c>
    </row>
    <row r="520" spans="1:10" s="236" customFormat="1" ht="15">
      <c r="A520" s="54"/>
      <c r="B520" s="183"/>
      <c r="C520" s="184"/>
      <c r="D520" s="184"/>
      <c r="E520" s="230"/>
      <c r="F520" s="618" t="s">
        <v>65</v>
      </c>
      <c r="G520" s="618"/>
      <c r="H520" s="231">
        <f>ROUND(SUM(H518:H519),0)</f>
        <v>7</v>
      </c>
    </row>
    <row r="521" spans="1:10" s="236" customFormat="1" ht="15">
      <c r="A521" s="218">
        <v>6</v>
      </c>
      <c r="B521" s="188" t="s">
        <v>437</v>
      </c>
      <c r="C521" s="184"/>
      <c r="D521" s="184"/>
      <c r="E521" s="230"/>
      <c r="F521" s="331"/>
      <c r="G521" s="331"/>
      <c r="H521" s="231"/>
    </row>
    <row r="522" spans="1:10" s="236" customFormat="1" ht="15">
      <c r="A522" s="54"/>
      <c r="B522" s="183" t="s">
        <v>438</v>
      </c>
      <c r="C522" s="184" t="s">
        <v>11</v>
      </c>
      <c r="D522" s="184">
        <v>2</v>
      </c>
      <c r="E522" s="230">
        <f>E518</f>
        <v>15.6</v>
      </c>
      <c r="F522" s="238">
        <v>1.2</v>
      </c>
      <c r="G522" s="238">
        <v>0.3</v>
      </c>
      <c r="H522" s="187">
        <f>ROUND(D522*E522*F522*G522,2)</f>
        <v>11.23</v>
      </c>
    </row>
    <row r="523" spans="1:10" s="236" customFormat="1" ht="15">
      <c r="A523" s="54"/>
      <c r="B523" s="183" t="s">
        <v>439</v>
      </c>
      <c r="C523" s="184" t="s">
        <v>11</v>
      </c>
      <c r="D523" s="184">
        <v>2</v>
      </c>
      <c r="E523" s="230">
        <f>E522</f>
        <v>15.6</v>
      </c>
      <c r="F523" s="238">
        <v>0.3</v>
      </c>
      <c r="G523" s="238">
        <f>((1.2-0.475)+(1.3+1.2-0.475))/2</f>
        <v>1.375</v>
      </c>
      <c r="H523" s="187">
        <f>ROUND(D523*E523*F523*G523,0)</f>
        <v>13</v>
      </c>
      <c r="J523" s="236">
        <f>0.2+0.075+0.2</f>
        <v>0.47500000000000003</v>
      </c>
    </row>
    <row r="524" spans="1:10" s="236" customFormat="1" ht="15">
      <c r="A524" s="54"/>
      <c r="B524" s="183" t="s">
        <v>426</v>
      </c>
      <c r="C524" s="184" t="s">
        <v>11</v>
      </c>
      <c r="D524" s="184">
        <f>D519</f>
        <v>1</v>
      </c>
      <c r="E524" s="230">
        <f>E519</f>
        <v>15.6</v>
      </c>
      <c r="F524" s="238">
        <f>F519</f>
        <v>4.5</v>
      </c>
      <c r="G524" s="238">
        <v>0.2</v>
      </c>
      <c r="H524" s="187">
        <f>ROUND(D524*E524*F524*G524,0)</f>
        <v>14</v>
      </c>
    </row>
    <row r="525" spans="1:10" s="236" customFormat="1" ht="15">
      <c r="A525" s="54"/>
      <c r="B525" s="183"/>
      <c r="C525" s="184"/>
      <c r="D525" s="184"/>
      <c r="E525" s="230"/>
      <c r="F525" s="238"/>
      <c r="G525" s="238"/>
      <c r="H525" s="231"/>
    </row>
    <row r="526" spans="1:10" s="236" customFormat="1" ht="15">
      <c r="A526" s="218">
        <v>7</v>
      </c>
      <c r="B526" s="188" t="s">
        <v>440</v>
      </c>
      <c r="C526" s="184"/>
      <c r="D526" s="184"/>
      <c r="E526" s="230"/>
      <c r="F526" s="238"/>
      <c r="G526" s="238"/>
      <c r="H526" s="231"/>
    </row>
    <row r="527" spans="1:10" s="236" customFormat="1" ht="15">
      <c r="A527" s="54"/>
      <c r="B527" s="183" t="s">
        <v>438</v>
      </c>
      <c r="C527" s="184" t="s">
        <v>16</v>
      </c>
      <c r="D527" s="184">
        <f>D522*2</f>
        <v>4</v>
      </c>
      <c r="E527" s="230">
        <f>E522</f>
        <v>15.6</v>
      </c>
      <c r="F527" s="238"/>
      <c r="G527" s="238">
        <f>G522</f>
        <v>0.3</v>
      </c>
      <c r="H527" s="187">
        <f>ROUND(D527*E527*G527,0)</f>
        <v>19</v>
      </c>
    </row>
    <row r="528" spans="1:10" s="236" customFormat="1" ht="15">
      <c r="A528" s="54"/>
      <c r="B528" s="183" t="s">
        <v>439</v>
      </c>
      <c r="C528" s="184" t="s">
        <v>16</v>
      </c>
      <c r="D528" s="184">
        <f>D523*2</f>
        <v>4</v>
      </c>
      <c r="E528" s="230">
        <f>E523</f>
        <v>15.6</v>
      </c>
      <c r="F528" s="238"/>
      <c r="G528" s="238">
        <f>G523</f>
        <v>1.375</v>
      </c>
      <c r="H528" s="187">
        <f>ROUND(D528*E528*G528,0)</f>
        <v>86</v>
      </c>
    </row>
    <row r="529" spans="1:8" s="236" customFormat="1" ht="15">
      <c r="A529" s="54"/>
      <c r="B529" s="183" t="s">
        <v>426</v>
      </c>
      <c r="C529" s="184" t="s">
        <v>16</v>
      </c>
      <c r="D529" s="184">
        <f>D524</f>
        <v>1</v>
      </c>
      <c r="E529" s="230">
        <f>E524</f>
        <v>15.6</v>
      </c>
      <c r="F529" s="238"/>
      <c r="G529" s="238">
        <f>G524</f>
        <v>0.2</v>
      </c>
      <c r="H529" s="187">
        <f>ROUND(D529*E529*G529,0)</f>
        <v>3</v>
      </c>
    </row>
    <row r="530" spans="1:8" s="236" customFormat="1" ht="15">
      <c r="A530" s="54"/>
      <c r="B530" s="183"/>
      <c r="C530" s="184"/>
      <c r="D530" s="184"/>
      <c r="E530" s="230"/>
      <c r="F530" s="238"/>
      <c r="G530" s="238"/>
      <c r="H530" s="187"/>
    </row>
    <row r="531" spans="1:8" s="236" customFormat="1" ht="15">
      <c r="A531" s="218">
        <v>8</v>
      </c>
      <c r="B531" s="188" t="s">
        <v>441</v>
      </c>
      <c r="C531" s="184"/>
      <c r="D531" s="184"/>
      <c r="E531" s="230"/>
      <c r="F531" s="238"/>
      <c r="G531" s="238"/>
      <c r="H531" s="231"/>
    </row>
    <row r="532" spans="1:8" s="236" customFormat="1" ht="15">
      <c r="A532" s="54"/>
      <c r="B532" s="183" t="s">
        <v>438</v>
      </c>
      <c r="C532" s="119" t="s">
        <v>23</v>
      </c>
      <c r="D532" s="36">
        <v>80</v>
      </c>
      <c r="E532" s="120" t="s">
        <v>150</v>
      </c>
      <c r="F532" s="38"/>
      <c r="G532" s="39"/>
      <c r="H532" s="39">
        <f>(D532*H522)/1000</f>
        <v>0.89840000000000009</v>
      </c>
    </row>
    <row r="533" spans="1:8" s="236" customFormat="1" ht="15">
      <c r="A533" s="54"/>
      <c r="B533" s="183" t="s">
        <v>439</v>
      </c>
      <c r="C533" s="119" t="s">
        <v>23</v>
      </c>
      <c r="D533" s="36">
        <v>100</v>
      </c>
      <c r="E533" s="120" t="s">
        <v>150</v>
      </c>
      <c r="F533" s="38"/>
      <c r="G533" s="39"/>
      <c r="H533" s="39">
        <f t="shared" ref="H533" si="81">(D533*H523)/1000</f>
        <v>1.3</v>
      </c>
    </row>
    <row r="534" spans="1:8" s="236" customFormat="1" ht="15">
      <c r="A534" s="54"/>
      <c r="B534" s="183" t="s">
        <v>426</v>
      </c>
      <c r="C534" s="184" t="s">
        <v>23</v>
      </c>
      <c r="D534" s="36">
        <v>80</v>
      </c>
      <c r="E534" s="120" t="s">
        <v>150</v>
      </c>
      <c r="F534" s="38"/>
      <c r="G534" s="39"/>
      <c r="H534" s="39">
        <f>(D534*H524)/1000</f>
        <v>1.1200000000000001</v>
      </c>
    </row>
    <row r="535" spans="1:8" s="236" customFormat="1" ht="15">
      <c r="A535" s="54"/>
      <c r="B535" s="183"/>
      <c r="C535" s="184"/>
      <c r="D535" s="184"/>
      <c r="E535" s="230"/>
      <c r="F535" s="238"/>
      <c r="G535" s="238"/>
      <c r="H535" s="231"/>
    </row>
    <row r="536" spans="1:8" s="236" customFormat="1" ht="15">
      <c r="A536" s="218">
        <v>9</v>
      </c>
      <c r="B536" s="188" t="s">
        <v>443</v>
      </c>
      <c r="C536" s="184"/>
      <c r="D536" s="184"/>
      <c r="E536" s="230"/>
      <c r="F536" s="238"/>
      <c r="G536" s="238"/>
      <c r="H536" s="231"/>
    </row>
    <row r="537" spans="1:8" s="236" customFormat="1" ht="15">
      <c r="A537" s="54"/>
      <c r="B537" s="183" t="s">
        <v>442</v>
      </c>
      <c r="C537" s="184" t="s">
        <v>16</v>
      </c>
      <c r="D537" s="184">
        <v>0</v>
      </c>
      <c r="E537" s="322">
        <f>E523</f>
        <v>15.6</v>
      </c>
      <c r="F537" s="238"/>
      <c r="G537" s="238">
        <v>0.75</v>
      </c>
      <c r="H537" s="187">
        <f>ROUND(D537*E537*G537,2)</f>
        <v>0</v>
      </c>
    </row>
    <row r="538" spans="1:8" s="236" customFormat="1" ht="15">
      <c r="A538" s="54"/>
      <c r="B538" s="183"/>
      <c r="C538" s="184"/>
      <c r="D538" s="184"/>
      <c r="E538" s="230"/>
      <c r="F538" s="618" t="s">
        <v>65</v>
      </c>
      <c r="G538" s="618"/>
      <c r="H538" s="231">
        <f>ROUND(SUM(H537:H537),0)</f>
        <v>0</v>
      </c>
    </row>
    <row r="539" spans="1:8" s="236" customFormat="1" ht="15">
      <c r="A539" s="54"/>
      <c r="B539" s="183"/>
      <c r="C539" s="184"/>
      <c r="D539" s="184"/>
      <c r="E539" s="230"/>
      <c r="F539" s="238"/>
      <c r="G539" s="238"/>
      <c r="H539" s="231"/>
    </row>
    <row r="540" spans="1:8" s="236" customFormat="1" ht="15">
      <c r="A540" s="218">
        <v>10</v>
      </c>
      <c r="B540" s="188" t="s">
        <v>444</v>
      </c>
      <c r="C540" s="184"/>
      <c r="D540" s="184"/>
      <c r="E540" s="230"/>
      <c r="F540" s="238"/>
      <c r="G540" s="238"/>
      <c r="H540" s="231"/>
    </row>
    <row r="541" spans="1:8" s="236" customFormat="1" ht="15">
      <c r="A541" s="54"/>
      <c r="B541" s="183" t="s">
        <v>442</v>
      </c>
      <c r="C541" s="184" t="s">
        <v>16</v>
      </c>
      <c r="D541" s="184">
        <f>D537</f>
        <v>0</v>
      </c>
      <c r="E541" s="230">
        <f>E537</f>
        <v>15.6</v>
      </c>
      <c r="F541" s="238"/>
      <c r="G541" s="238">
        <f>G537*2+G529+0.2</f>
        <v>1.9</v>
      </c>
      <c r="H541" s="187">
        <f>ROUND(D541*E541*G541,0)</f>
        <v>0</v>
      </c>
    </row>
    <row r="542" spans="1:8" s="241" customFormat="1" ht="15">
      <c r="A542" s="54"/>
      <c r="B542" s="183"/>
      <c r="C542" s="184" t="s">
        <v>16</v>
      </c>
      <c r="D542" s="184">
        <v>0</v>
      </c>
      <c r="E542" s="230">
        <f>E541</f>
        <v>15.6</v>
      </c>
      <c r="F542" s="238"/>
      <c r="G542" s="238">
        <f>(0+1.3)/2</f>
        <v>0.65</v>
      </c>
      <c r="H542" s="187">
        <f>ROUND(D542*E542*G542,0)</f>
        <v>0</v>
      </c>
    </row>
    <row r="543" spans="1:8" s="236" customFormat="1" ht="15">
      <c r="A543" s="54"/>
      <c r="B543" s="183"/>
      <c r="C543" s="184"/>
      <c r="D543" s="184"/>
      <c r="E543" s="230"/>
      <c r="F543" s="618" t="s">
        <v>65</v>
      </c>
      <c r="G543" s="618"/>
      <c r="H543" s="231">
        <f>ROUND(SUM(H541:H542),0)</f>
        <v>0</v>
      </c>
    </row>
    <row r="544" spans="1:8" s="236" customFormat="1" ht="15">
      <c r="A544" s="54"/>
      <c r="B544" s="183"/>
      <c r="C544" s="184"/>
      <c r="D544" s="184"/>
      <c r="E544" s="230"/>
      <c r="F544" s="258"/>
      <c r="G544" s="238"/>
      <c r="H544" s="231"/>
    </row>
    <row r="545" spans="1:8" s="586" customFormat="1" ht="20.100000000000001" customHeight="1">
      <c r="A545" s="245" t="s">
        <v>407</v>
      </c>
      <c r="B545" s="246" t="s">
        <v>779</v>
      </c>
      <c r="C545" s="248"/>
      <c r="D545" s="248"/>
      <c r="E545" s="249"/>
      <c r="F545" s="250"/>
      <c r="G545" s="250"/>
      <c r="H545" s="251"/>
    </row>
    <row r="546" spans="1:8" s="576" customFormat="1" ht="15">
      <c r="A546" s="600">
        <v>1</v>
      </c>
      <c r="B546" s="601" t="s">
        <v>780</v>
      </c>
      <c r="C546" s="602" t="s">
        <v>11</v>
      </c>
      <c r="D546" s="602">
        <v>1</v>
      </c>
      <c r="E546" s="603">
        <f>28.1+12.1+82.25+36.1+20.1</f>
        <v>178.65</v>
      </c>
      <c r="F546" s="604">
        <v>0.6</v>
      </c>
      <c r="G546" s="604">
        <v>0.6</v>
      </c>
      <c r="H546" s="605">
        <f>ROUND(D546*E546*F546*G546,0)</f>
        <v>64</v>
      </c>
    </row>
    <row r="547" spans="1:8" s="576" customFormat="1" ht="15">
      <c r="A547" s="600"/>
      <c r="B547" s="601" t="s">
        <v>781</v>
      </c>
      <c r="C547" s="602" t="s">
        <v>11</v>
      </c>
      <c r="D547" s="602">
        <v>-1</v>
      </c>
      <c r="E547" s="603">
        <f>28.1+12.1+82.25+36.1+20.1</f>
        <v>178.65</v>
      </c>
      <c r="F547" s="604">
        <f>3.14*0.075^2</f>
        <v>1.7662500000000001E-2</v>
      </c>
      <c r="G547" s="604"/>
      <c r="H547" s="605">
        <f>ROUND(D547*E547*F547,0)</f>
        <v>-3</v>
      </c>
    </row>
    <row r="548" spans="1:8" s="576" customFormat="1" ht="15">
      <c r="A548" s="600"/>
      <c r="B548" s="601" t="s">
        <v>793</v>
      </c>
      <c r="C548" s="602" t="s">
        <v>11</v>
      </c>
      <c r="D548" s="602">
        <v>1</v>
      </c>
      <c r="E548" s="603">
        <f>E547</f>
        <v>178.65</v>
      </c>
      <c r="F548" s="610">
        <v>0.6</v>
      </c>
      <c r="G548" s="604">
        <v>0.65</v>
      </c>
      <c r="H548" s="605">
        <f>ROUND(D548*E548*F548*G548,0)</f>
        <v>70</v>
      </c>
    </row>
    <row r="549" spans="1:8" s="576" customFormat="1" ht="15">
      <c r="A549" s="600">
        <v>2</v>
      </c>
      <c r="B549" s="601" t="s">
        <v>782</v>
      </c>
      <c r="C549" s="602"/>
      <c r="D549" s="602"/>
      <c r="E549" s="603"/>
      <c r="F549" s="610"/>
      <c r="G549" s="604"/>
      <c r="H549" s="607"/>
    </row>
    <row r="550" spans="1:8" s="576" customFormat="1" ht="15">
      <c r="A550" s="600"/>
      <c r="B550" s="601" t="s">
        <v>783</v>
      </c>
      <c r="C550" s="602" t="s">
        <v>16</v>
      </c>
      <c r="D550" s="602">
        <v>2</v>
      </c>
      <c r="E550" s="603">
        <f>E546</f>
        <v>178.65</v>
      </c>
      <c r="F550" s="610"/>
      <c r="G550" s="604">
        <v>0.6</v>
      </c>
      <c r="H550" s="608">
        <f>PRODUCT(D550:G550)</f>
        <v>214.38</v>
      </c>
    </row>
    <row r="551" spans="1:8" s="576" customFormat="1" ht="15">
      <c r="A551" s="600"/>
      <c r="B551" s="601"/>
      <c r="C551" s="602"/>
      <c r="D551" s="602"/>
      <c r="E551" s="603"/>
      <c r="F551" s="610"/>
      <c r="G551" s="604"/>
      <c r="H551" s="607"/>
    </row>
    <row r="552" spans="1:8" s="576" customFormat="1" ht="15">
      <c r="A552" s="600">
        <v>3</v>
      </c>
      <c r="B552" s="601" t="s">
        <v>784</v>
      </c>
      <c r="C552" s="602" t="s">
        <v>11</v>
      </c>
      <c r="D552" s="602">
        <v>1</v>
      </c>
      <c r="E552" s="603">
        <f>E550</f>
        <v>178.65</v>
      </c>
      <c r="F552" s="604">
        <f>0.23*2+0.6</f>
        <v>1.06</v>
      </c>
      <c r="G552" s="604">
        <v>0.15</v>
      </c>
      <c r="H552" s="608">
        <f>PRODUCT(D552:G552)</f>
        <v>28.405350000000002</v>
      </c>
    </row>
    <row r="553" spans="1:8" s="576" customFormat="1" ht="15">
      <c r="A553" s="600"/>
      <c r="B553" s="601"/>
      <c r="C553" s="602"/>
      <c r="D553" s="602"/>
      <c r="E553" s="603"/>
      <c r="F553" s="606"/>
      <c r="G553" s="604"/>
      <c r="H553" s="607"/>
    </row>
    <row r="554" spans="1:8" s="576" customFormat="1" ht="15">
      <c r="A554" s="609"/>
      <c r="B554" s="601"/>
      <c r="C554" s="602"/>
      <c r="D554" s="602"/>
      <c r="E554" s="603"/>
      <c r="F554" s="606"/>
      <c r="G554" s="604"/>
      <c r="H554" s="607"/>
    </row>
    <row r="555" spans="1:8" s="586" customFormat="1" ht="15">
      <c r="A555" s="54"/>
      <c r="B555" s="183"/>
      <c r="C555" s="184"/>
      <c r="D555" s="184"/>
      <c r="E555" s="230"/>
      <c r="F555" s="585"/>
      <c r="G555" s="238"/>
      <c r="H555" s="231"/>
    </row>
    <row r="556" spans="1:8" s="233" customFormat="1" ht="20.100000000000001" customHeight="1">
      <c r="A556" s="245">
        <v>3</v>
      </c>
      <c r="B556" s="246" t="s">
        <v>387</v>
      </c>
      <c r="C556" s="248"/>
      <c r="D556" s="248"/>
      <c r="E556" s="249"/>
      <c r="F556" s="250"/>
      <c r="G556" s="250"/>
      <c r="H556" s="251"/>
    </row>
    <row r="557" spans="1:8">
      <c r="A557" s="54"/>
      <c r="B557" s="54"/>
      <c r="C557" s="54"/>
      <c r="D557" s="54"/>
      <c r="E557" s="54"/>
      <c r="F557" s="54"/>
      <c r="G557" s="54"/>
      <c r="H557" s="54"/>
    </row>
    <row r="558" spans="1:8" ht="15">
      <c r="A558" s="159">
        <v>3.1</v>
      </c>
      <c r="B558" s="189" t="s">
        <v>400</v>
      </c>
      <c r="C558" s="119"/>
      <c r="D558" s="36"/>
      <c r="E558" s="37"/>
      <c r="F558" s="329"/>
      <c r="G558" s="329"/>
      <c r="H558" s="40"/>
    </row>
    <row r="559" spans="1:8" ht="15">
      <c r="A559" s="218" t="s">
        <v>10</v>
      </c>
      <c r="B559" s="334" t="s">
        <v>240</v>
      </c>
      <c r="C559" s="119"/>
      <c r="D559" s="36"/>
      <c r="E559" s="37"/>
      <c r="F559" s="329"/>
      <c r="G559" s="329"/>
      <c r="H559" s="40"/>
    </row>
    <row r="560" spans="1:8" ht="15">
      <c r="A560" s="219"/>
      <c r="B560" s="219" t="s">
        <v>475</v>
      </c>
      <c r="C560" s="119" t="s">
        <v>30</v>
      </c>
      <c r="D560" s="36">
        <v>0</v>
      </c>
      <c r="E560" s="37"/>
      <c r="F560" s="329"/>
      <c r="G560" s="329"/>
      <c r="H560" s="39">
        <f>D560</f>
        <v>0</v>
      </c>
    </row>
    <row r="561" spans="1:8" ht="15">
      <c r="A561" s="34"/>
      <c r="B561" s="252"/>
      <c r="C561" s="119"/>
      <c r="D561" s="36"/>
      <c r="E561" s="37"/>
      <c r="F561" s="329"/>
      <c r="G561" s="329"/>
      <c r="H561" s="40"/>
    </row>
    <row r="562" spans="1:8" s="204" customFormat="1" ht="15">
      <c r="A562" s="218" t="s">
        <v>12</v>
      </c>
      <c r="B562" s="334" t="s">
        <v>562</v>
      </c>
      <c r="C562" s="119"/>
      <c r="D562" s="36"/>
      <c r="E562" s="37"/>
      <c r="F562" s="329"/>
      <c r="G562" s="329"/>
      <c r="H562" s="40"/>
    </row>
    <row r="563" spans="1:8" s="204" customFormat="1" ht="15">
      <c r="A563" s="34"/>
      <c r="B563" s="335" t="s">
        <v>646</v>
      </c>
      <c r="C563" s="119" t="s">
        <v>30</v>
      </c>
      <c r="D563" s="36">
        <v>0</v>
      </c>
      <c r="E563" s="37"/>
      <c r="F563" s="329"/>
      <c r="G563" s="329"/>
      <c r="H563" s="39">
        <f>D563</f>
        <v>0</v>
      </c>
    </row>
    <row r="564" spans="1:8" s="204" customFormat="1" ht="15">
      <c r="A564" s="34"/>
      <c r="B564" s="34" t="s">
        <v>522</v>
      </c>
      <c r="C564" s="119" t="s">
        <v>30</v>
      </c>
      <c r="D564" s="36">
        <v>0</v>
      </c>
      <c r="E564" s="37"/>
      <c r="F564" s="329"/>
      <c r="G564" s="329"/>
      <c r="H564" s="39">
        <f>D564</f>
        <v>0</v>
      </c>
    </row>
    <row r="565" spans="1:8" s="204" customFormat="1" ht="15">
      <c r="A565" s="34"/>
      <c r="B565" s="252"/>
      <c r="C565" s="119"/>
      <c r="D565" s="36"/>
      <c r="E565" s="37"/>
      <c r="F565" s="329"/>
      <c r="G565" s="329"/>
      <c r="H565" s="40"/>
    </row>
    <row r="566" spans="1:8" s="233" customFormat="1" ht="15">
      <c r="A566" s="218" t="s">
        <v>13</v>
      </c>
      <c r="B566" s="334" t="s">
        <v>422</v>
      </c>
      <c r="C566" s="119" t="s">
        <v>30</v>
      </c>
      <c r="D566" s="36">
        <f>D563*2</f>
        <v>0</v>
      </c>
      <c r="E566" s="37"/>
      <c r="F566" s="329"/>
      <c r="G566" s="329"/>
      <c r="H566" s="39">
        <f>D566</f>
        <v>0</v>
      </c>
    </row>
    <row r="567" spans="1:8" s="233" customFormat="1" ht="15">
      <c r="A567" s="51"/>
      <c r="B567" s="353"/>
      <c r="C567" s="354"/>
      <c r="D567" s="354"/>
      <c r="E567" s="355"/>
      <c r="F567" s="356"/>
      <c r="G567" s="356"/>
      <c r="H567" s="357"/>
    </row>
  </sheetData>
  <mergeCells count="94">
    <mergeCell ref="F147:G147"/>
    <mergeCell ref="F269:G269"/>
    <mergeCell ref="F274:G274"/>
    <mergeCell ref="F223:G223"/>
    <mergeCell ref="F319:G319"/>
    <mergeCell ref="F483:G483"/>
    <mergeCell ref="F427:G427"/>
    <mergeCell ref="F428:G428"/>
    <mergeCell ref="F88:G88"/>
    <mergeCell ref="F95:G95"/>
    <mergeCell ref="F172:G172"/>
    <mergeCell ref="F181:G181"/>
    <mergeCell ref="F148:G148"/>
    <mergeCell ref="F330:G330"/>
    <mergeCell ref="F358:G358"/>
    <mergeCell ref="F197:G197"/>
    <mergeCell ref="F111:G111"/>
    <mergeCell ref="F96:G96"/>
    <mergeCell ref="E185:F185"/>
    <mergeCell ref="F162:G162"/>
    <mergeCell ref="B14:H14"/>
    <mergeCell ref="B15:H15"/>
    <mergeCell ref="F18:F19"/>
    <mergeCell ref="G18:G19"/>
    <mergeCell ref="H18:H19"/>
    <mergeCell ref="B18:B19"/>
    <mergeCell ref="C18:C19"/>
    <mergeCell ref="D18:D19"/>
    <mergeCell ref="A17:H17"/>
    <mergeCell ref="A18:A19"/>
    <mergeCell ref="E18:E19"/>
    <mergeCell ref="F31:G31"/>
    <mergeCell ref="F39:G39"/>
    <mergeCell ref="F61:G61"/>
    <mergeCell ref="F64:G64"/>
    <mergeCell ref="F138:G138"/>
    <mergeCell ref="F77:G77"/>
    <mergeCell ref="F86:G86"/>
    <mergeCell ref="F115:G115"/>
    <mergeCell ref="F48:G48"/>
    <mergeCell ref="F87:G87"/>
    <mergeCell ref="F433:G433"/>
    <mergeCell ref="F129:G129"/>
    <mergeCell ref="F101:G101"/>
    <mergeCell ref="F100:G100"/>
    <mergeCell ref="A2:A4"/>
    <mergeCell ref="B2:E4"/>
    <mergeCell ref="F2:H5"/>
    <mergeCell ref="A5:E5"/>
    <mergeCell ref="A6:B6"/>
    <mergeCell ref="G6:H6"/>
    <mergeCell ref="A7:E8"/>
    <mergeCell ref="A9:B9"/>
    <mergeCell ref="B11:H11"/>
    <mergeCell ref="B10:H10"/>
    <mergeCell ref="B12:H12"/>
    <mergeCell ref="B13:H13"/>
    <mergeCell ref="B16:H16"/>
    <mergeCell ref="E47:F47"/>
    <mergeCell ref="F415:G415"/>
    <mergeCell ref="F188:G188"/>
    <mergeCell ref="F366:G366"/>
    <mergeCell ref="F384:G384"/>
    <mergeCell ref="F198:G198"/>
    <mergeCell ref="F348:G348"/>
    <mergeCell ref="F297:G297"/>
    <mergeCell ref="F308:G308"/>
    <mergeCell ref="F383:G383"/>
    <mergeCell ref="F408:G408"/>
    <mergeCell ref="F233:G233"/>
    <mergeCell ref="F286:G286"/>
    <mergeCell ref="F224:G224"/>
    <mergeCell ref="F151:G151"/>
    <mergeCell ref="F457:G457"/>
    <mergeCell ref="F538:G538"/>
    <mergeCell ref="F543:G543"/>
    <mergeCell ref="F499:G499"/>
    <mergeCell ref="F468:G468"/>
    <mergeCell ref="F473:G473"/>
    <mergeCell ref="F493:G493"/>
    <mergeCell ref="F478:G478"/>
    <mergeCell ref="F488:G488"/>
    <mergeCell ref="F516:G516"/>
    <mergeCell ref="F520:G520"/>
    <mergeCell ref="F510:G510"/>
    <mergeCell ref="F506:G506"/>
    <mergeCell ref="F461:G461"/>
    <mergeCell ref="F462:G462"/>
    <mergeCell ref="F438:G438"/>
    <mergeCell ref="F456:G456"/>
    <mergeCell ref="F443:G443"/>
    <mergeCell ref="F450:G450"/>
    <mergeCell ref="F451:G451"/>
    <mergeCell ref="F444:G444"/>
  </mergeCells>
  <pageMargins left="0.74803149606299202" right="0.74803149606299202" top="0.98425196850393704" bottom="0.98425196850393704" header="0.511811023622047" footer="0.511811023622047"/>
  <pageSetup paperSize="9" scale="85" orientation="portrait" r:id="rId1"/>
  <headerFooter alignWithMargins="0"/>
  <rowBreaks count="1" manualBreakCount="1">
    <brk id="225" max="7"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658"/>
  <sheetViews>
    <sheetView view="pageBreakPreview" topLeftCell="A430" zoomScaleNormal="100" zoomScaleSheetLayoutView="100" workbookViewId="0">
      <selection activeCell="C439" sqref="C439:H439"/>
    </sheetView>
  </sheetViews>
  <sheetFormatPr defaultRowHeight="12.75"/>
  <cols>
    <col min="1" max="1" width="8.85546875" style="384" customWidth="1"/>
    <col min="2" max="2" width="30.42578125" style="384" customWidth="1"/>
    <col min="3" max="4" width="7.5703125" style="384" customWidth="1"/>
    <col min="5" max="5" width="9.140625" style="384"/>
    <col min="6" max="6" width="10.28515625" style="384" customWidth="1"/>
    <col min="7" max="7" width="11.140625" style="384" customWidth="1"/>
    <col min="8" max="8" width="11.5703125" style="384" customWidth="1"/>
    <col min="9" max="9" width="9.140625" style="384"/>
    <col min="10" max="10" width="11.28515625" style="384" bestFit="1" customWidth="1"/>
    <col min="11" max="256" width="9.140625" style="384"/>
    <col min="257" max="257" width="8.85546875" style="384" customWidth="1"/>
    <col min="258" max="258" width="30.42578125" style="384" customWidth="1"/>
    <col min="259" max="260" width="7.5703125" style="384" customWidth="1"/>
    <col min="261" max="261" width="9.140625" style="384"/>
    <col min="262" max="262" width="10.28515625" style="384" customWidth="1"/>
    <col min="263" max="263" width="11.140625" style="384" customWidth="1"/>
    <col min="264" max="264" width="11.5703125" style="384" customWidth="1"/>
    <col min="265" max="265" width="9.140625" style="384"/>
    <col min="266" max="266" width="11.28515625" style="384" bestFit="1" customWidth="1"/>
    <col min="267" max="512" width="9.140625" style="384"/>
    <col min="513" max="513" width="8.85546875" style="384" customWidth="1"/>
    <col min="514" max="514" width="30.42578125" style="384" customWidth="1"/>
    <col min="515" max="516" width="7.5703125" style="384" customWidth="1"/>
    <col min="517" max="517" width="9.140625" style="384"/>
    <col min="518" max="518" width="10.28515625" style="384" customWidth="1"/>
    <col min="519" max="519" width="11.140625" style="384" customWidth="1"/>
    <col min="520" max="520" width="11.5703125" style="384" customWidth="1"/>
    <col min="521" max="521" width="9.140625" style="384"/>
    <col min="522" max="522" width="11.28515625" style="384" bestFit="1" customWidth="1"/>
    <col min="523" max="768" width="9.140625" style="384"/>
    <col min="769" max="769" width="8.85546875" style="384" customWidth="1"/>
    <col min="770" max="770" width="30.42578125" style="384" customWidth="1"/>
    <col min="771" max="772" width="7.5703125" style="384" customWidth="1"/>
    <col min="773" max="773" width="9.140625" style="384"/>
    <col min="774" max="774" width="10.28515625" style="384" customWidth="1"/>
    <col min="775" max="775" width="11.140625" style="384" customWidth="1"/>
    <col min="776" max="776" width="11.5703125" style="384" customWidth="1"/>
    <col min="777" max="777" width="9.140625" style="384"/>
    <col min="778" max="778" width="11.28515625" style="384" bestFit="1" customWidth="1"/>
    <col min="779" max="1024" width="9.140625" style="384"/>
    <col min="1025" max="1025" width="8.85546875" style="384" customWidth="1"/>
    <col min="1026" max="1026" width="30.42578125" style="384" customWidth="1"/>
    <col min="1027" max="1028" width="7.5703125" style="384" customWidth="1"/>
    <col min="1029" max="1029" width="9.140625" style="384"/>
    <col min="1030" max="1030" width="10.28515625" style="384" customWidth="1"/>
    <col min="1031" max="1031" width="11.140625" style="384" customWidth="1"/>
    <col min="1032" max="1032" width="11.5703125" style="384" customWidth="1"/>
    <col min="1033" max="1033" width="9.140625" style="384"/>
    <col min="1034" max="1034" width="11.28515625" style="384" bestFit="1" customWidth="1"/>
    <col min="1035" max="1280" width="9.140625" style="384"/>
    <col min="1281" max="1281" width="8.85546875" style="384" customWidth="1"/>
    <col min="1282" max="1282" width="30.42578125" style="384" customWidth="1"/>
    <col min="1283" max="1284" width="7.5703125" style="384" customWidth="1"/>
    <col min="1285" max="1285" width="9.140625" style="384"/>
    <col min="1286" max="1286" width="10.28515625" style="384" customWidth="1"/>
    <col min="1287" max="1287" width="11.140625" style="384" customWidth="1"/>
    <col min="1288" max="1288" width="11.5703125" style="384" customWidth="1"/>
    <col min="1289" max="1289" width="9.140625" style="384"/>
    <col min="1290" max="1290" width="11.28515625" style="384" bestFit="1" customWidth="1"/>
    <col min="1291" max="1536" width="9.140625" style="384"/>
    <col min="1537" max="1537" width="8.85546875" style="384" customWidth="1"/>
    <col min="1538" max="1538" width="30.42578125" style="384" customWidth="1"/>
    <col min="1539" max="1540" width="7.5703125" style="384" customWidth="1"/>
    <col min="1541" max="1541" width="9.140625" style="384"/>
    <col min="1542" max="1542" width="10.28515625" style="384" customWidth="1"/>
    <col min="1543" max="1543" width="11.140625" style="384" customWidth="1"/>
    <col min="1544" max="1544" width="11.5703125" style="384" customWidth="1"/>
    <col min="1545" max="1545" width="9.140625" style="384"/>
    <col min="1546" max="1546" width="11.28515625" style="384" bestFit="1" customWidth="1"/>
    <col min="1547" max="1792" width="9.140625" style="384"/>
    <col min="1793" max="1793" width="8.85546875" style="384" customWidth="1"/>
    <col min="1794" max="1794" width="30.42578125" style="384" customWidth="1"/>
    <col min="1795" max="1796" width="7.5703125" style="384" customWidth="1"/>
    <col min="1797" max="1797" width="9.140625" style="384"/>
    <col min="1798" max="1798" width="10.28515625" style="384" customWidth="1"/>
    <col min="1799" max="1799" width="11.140625" style="384" customWidth="1"/>
    <col min="1800" max="1800" width="11.5703125" style="384" customWidth="1"/>
    <col min="1801" max="1801" width="9.140625" style="384"/>
    <col min="1802" max="1802" width="11.28515625" style="384" bestFit="1" customWidth="1"/>
    <col min="1803" max="2048" width="9.140625" style="384"/>
    <col min="2049" max="2049" width="8.85546875" style="384" customWidth="1"/>
    <col min="2050" max="2050" width="30.42578125" style="384" customWidth="1"/>
    <col min="2051" max="2052" width="7.5703125" style="384" customWidth="1"/>
    <col min="2053" max="2053" width="9.140625" style="384"/>
    <col min="2054" max="2054" width="10.28515625" style="384" customWidth="1"/>
    <col min="2055" max="2055" width="11.140625" style="384" customWidth="1"/>
    <col min="2056" max="2056" width="11.5703125" style="384" customWidth="1"/>
    <col min="2057" max="2057" width="9.140625" style="384"/>
    <col min="2058" max="2058" width="11.28515625" style="384" bestFit="1" customWidth="1"/>
    <col min="2059" max="2304" width="9.140625" style="384"/>
    <col min="2305" max="2305" width="8.85546875" style="384" customWidth="1"/>
    <col min="2306" max="2306" width="30.42578125" style="384" customWidth="1"/>
    <col min="2307" max="2308" width="7.5703125" style="384" customWidth="1"/>
    <col min="2309" max="2309" width="9.140625" style="384"/>
    <col min="2310" max="2310" width="10.28515625" style="384" customWidth="1"/>
    <col min="2311" max="2311" width="11.140625" style="384" customWidth="1"/>
    <col min="2312" max="2312" width="11.5703125" style="384" customWidth="1"/>
    <col min="2313" max="2313" width="9.140625" style="384"/>
    <col min="2314" max="2314" width="11.28515625" style="384" bestFit="1" customWidth="1"/>
    <col min="2315" max="2560" width="9.140625" style="384"/>
    <col min="2561" max="2561" width="8.85546875" style="384" customWidth="1"/>
    <col min="2562" max="2562" width="30.42578125" style="384" customWidth="1"/>
    <col min="2563" max="2564" width="7.5703125" style="384" customWidth="1"/>
    <col min="2565" max="2565" width="9.140625" style="384"/>
    <col min="2566" max="2566" width="10.28515625" style="384" customWidth="1"/>
    <col min="2567" max="2567" width="11.140625" style="384" customWidth="1"/>
    <col min="2568" max="2568" width="11.5703125" style="384" customWidth="1"/>
    <col min="2569" max="2569" width="9.140625" style="384"/>
    <col min="2570" max="2570" width="11.28515625" style="384" bestFit="1" customWidth="1"/>
    <col min="2571" max="2816" width="9.140625" style="384"/>
    <col min="2817" max="2817" width="8.85546875" style="384" customWidth="1"/>
    <col min="2818" max="2818" width="30.42578125" style="384" customWidth="1"/>
    <col min="2819" max="2820" width="7.5703125" style="384" customWidth="1"/>
    <col min="2821" max="2821" width="9.140625" style="384"/>
    <col min="2822" max="2822" width="10.28515625" style="384" customWidth="1"/>
    <col min="2823" max="2823" width="11.140625" style="384" customWidth="1"/>
    <col min="2824" max="2824" width="11.5703125" style="384" customWidth="1"/>
    <col min="2825" max="2825" width="9.140625" style="384"/>
    <col min="2826" max="2826" width="11.28515625" style="384" bestFit="1" customWidth="1"/>
    <col min="2827" max="3072" width="9.140625" style="384"/>
    <col min="3073" max="3073" width="8.85546875" style="384" customWidth="1"/>
    <col min="3074" max="3074" width="30.42578125" style="384" customWidth="1"/>
    <col min="3075" max="3076" width="7.5703125" style="384" customWidth="1"/>
    <col min="3077" max="3077" width="9.140625" style="384"/>
    <col min="3078" max="3078" width="10.28515625" style="384" customWidth="1"/>
    <col min="3079" max="3079" width="11.140625" style="384" customWidth="1"/>
    <col min="3080" max="3080" width="11.5703125" style="384" customWidth="1"/>
    <col min="3081" max="3081" width="9.140625" style="384"/>
    <col min="3082" max="3082" width="11.28515625" style="384" bestFit="1" customWidth="1"/>
    <col min="3083" max="3328" width="9.140625" style="384"/>
    <col min="3329" max="3329" width="8.85546875" style="384" customWidth="1"/>
    <col min="3330" max="3330" width="30.42578125" style="384" customWidth="1"/>
    <col min="3331" max="3332" width="7.5703125" style="384" customWidth="1"/>
    <col min="3333" max="3333" width="9.140625" style="384"/>
    <col min="3334" max="3334" width="10.28515625" style="384" customWidth="1"/>
    <col min="3335" max="3335" width="11.140625" style="384" customWidth="1"/>
    <col min="3336" max="3336" width="11.5703125" style="384" customWidth="1"/>
    <col min="3337" max="3337" width="9.140625" style="384"/>
    <col min="3338" max="3338" width="11.28515625" style="384" bestFit="1" customWidth="1"/>
    <col min="3339" max="3584" width="9.140625" style="384"/>
    <col min="3585" max="3585" width="8.85546875" style="384" customWidth="1"/>
    <col min="3586" max="3586" width="30.42578125" style="384" customWidth="1"/>
    <col min="3587" max="3588" width="7.5703125" style="384" customWidth="1"/>
    <col min="3589" max="3589" width="9.140625" style="384"/>
    <col min="3590" max="3590" width="10.28515625" style="384" customWidth="1"/>
    <col min="3591" max="3591" width="11.140625" style="384" customWidth="1"/>
    <col min="3592" max="3592" width="11.5703125" style="384" customWidth="1"/>
    <col min="3593" max="3593" width="9.140625" style="384"/>
    <col min="3594" max="3594" width="11.28515625" style="384" bestFit="1" customWidth="1"/>
    <col min="3595" max="3840" width="9.140625" style="384"/>
    <col min="3841" max="3841" width="8.85546875" style="384" customWidth="1"/>
    <col min="3842" max="3842" width="30.42578125" style="384" customWidth="1"/>
    <col min="3843" max="3844" width="7.5703125" style="384" customWidth="1"/>
    <col min="3845" max="3845" width="9.140625" style="384"/>
    <col min="3846" max="3846" width="10.28515625" style="384" customWidth="1"/>
    <col min="3847" max="3847" width="11.140625" style="384" customWidth="1"/>
    <col min="3848" max="3848" width="11.5703125" style="384" customWidth="1"/>
    <col min="3849" max="3849" width="9.140625" style="384"/>
    <col min="3850" max="3850" width="11.28515625" style="384" bestFit="1" customWidth="1"/>
    <col min="3851" max="4096" width="9.140625" style="384"/>
    <col min="4097" max="4097" width="8.85546875" style="384" customWidth="1"/>
    <col min="4098" max="4098" width="30.42578125" style="384" customWidth="1"/>
    <col min="4099" max="4100" width="7.5703125" style="384" customWidth="1"/>
    <col min="4101" max="4101" width="9.140625" style="384"/>
    <col min="4102" max="4102" width="10.28515625" style="384" customWidth="1"/>
    <col min="4103" max="4103" width="11.140625" style="384" customWidth="1"/>
    <col min="4104" max="4104" width="11.5703125" style="384" customWidth="1"/>
    <col min="4105" max="4105" width="9.140625" style="384"/>
    <col min="4106" max="4106" width="11.28515625" style="384" bestFit="1" customWidth="1"/>
    <col min="4107" max="4352" width="9.140625" style="384"/>
    <col min="4353" max="4353" width="8.85546875" style="384" customWidth="1"/>
    <col min="4354" max="4354" width="30.42578125" style="384" customWidth="1"/>
    <col min="4355" max="4356" width="7.5703125" style="384" customWidth="1"/>
    <col min="4357" max="4357" width="9.140625" style="384"/>
    <col min="4358" max="4358" width="10.28515625" style="384" customWidth="1"/>
    <col min="4359" max="4359" width="11.140625" style="384" customWidth="1"/>
    <col min="4360" max="4360" width="11.5703125" style="384" customWidth="1"/>
    <col min="4361" max="4361" width="9.140625" style="384"/>
    <col min="4362" max="4362" width="11.28515625" style="384" bestFit="1" customWidth="1"/>
    <col min="4363" max="4608" width="9.140625" style="384"/>
    <col min="4609" max="4609" width="8.85546875" style="384" customWidth="1"/>
    <col min="4610" max="4610" width="30.42578125" style="384" customWidth="1"/>
    <col min="4611" max="4612" width="7.5703125" style="384" customWidth="1"/>
    <col min="4613" max="4613" width="9.140625" style="384"/>
    <col min="4614" max="4614" width="10.28515625" style="384" customWidth="1"/>
    <col min="4615" max="4615" width="11.140625" style="384" customWidth="1"/>
    <col min="4616" max="4616" width="11.5703125" style="384" customWidth="1"/>
    <col min="4617" max="4617" width="9.140625" style="384"/>
    <col min="4618" max="4618" width="11.28515625" style="384" bestFit="1" customWidth="1"/>
    <col min="4619" max="4864" width="9.140625" style="384"/>
    <col min="4865" max="4865" width="8.85546875" style="384" customWidth="1"/>
    <col min="4866" max="4866" width="30.42578125" style="384" customWidth="1"/>
    <col min="4867" max="4868" width="7.5703125" style="384" customWidth="1"/>
    <col min="4869" max="4869" width="9.140625" style="384"/>
    <col min="4870" max="4870" width="10.28515625" style="384" customWidth="1"/>
    <col min="4871" max="4871" width="11.140625" style="384" customWidth="1"/>
    <col min="4872" max="4872" width="11.5703125" style="384" customWidth="1"/>
    <col min="4873" max="4873" width="9.140625" style="384"/>
    <col min="4874" max="4874" width="11.28515625" style="384" bestFit="1" customWidth="1"/>
    <col min="4875" max="5120" width="9.140625" style="384"/>
    <col min="5121" max="5121" width="8.85546875" style="384" customWidth="1"/>
    <col min="5122" max="5122" width="30.42578125" style="384" customWidth="1"/>
    <col min="5123" max="5124" width="7.5703125" style="384" customWidth="1"/>
    <col min="5125" max="5125" width="9.140625" style="384"/>
    <col min="5126" max="5126" width="10.28515625" style="384" customWidth="1"/>
    <col min="5127" max="5127" width="11.140625" style="384" customWidth="1"/>
    <col min="5128" max="5128" width="11.5703125" style="384" customWidth="1"/>
    <col min="5129" max="5129" width="9.140625" style="384"/>
    <col min="5130" max="5130" width="11.28515625" style="384" bestFit="1" customWidth="1"/>
    <col min="5131" max="5376" width="9.140625" style="384"/>
    <col min="5377" max="5377" width="8.85546875" style="384" customWidth="1"/>
    <col min="5378" max="5378" width="30.42578125" style="384" customWidth="1"/>
    <col min="5379" max="5380" width="7.5703125" style="384" customWidth="1"/>
    <col min="5381" max="5381" width="9.140625" style="384"/>
    <col min="5382" max="5382" width="10.28515625" style="384" customWidth="1"/>
    <col min="5383" max="5383" width="11.140625" style="384" customWidth="1"/>
    <col min="5384" max="5384" width="11.5703125" style="384" customWidth="1"/>
    <col min="5385" max="5385" width="9.140625" style="384"/>
    <col min="5386" max="5386" width="11.28515625" style="384" bestFit="1" customWidth="1"/>
    <col min="5387" max="5632" width="9.140625" style="384"/>
    <col min="5633" max="5633" width="8.85546875" style="384" customWidth="1"/>
    <col min="5634" max="5634" width="30.42578125" style="384" customWidth="1"/>
    <col min="5635" max="5636" width="7.5703125" style="384" customWidth="1"/>
    <col min="5637" max="5637" width="9.140625" style="384"/>
    <col min="5638" max="5638" width="10.28515625" style="384" customWidth="1"/>
    <col min="5639" max="5639" width="11.140625" style="384" customWidth="1"/>
    <col min="5640" max="5640" width="11.5703125" style="384" customWidth="1"/>
    <col min="5641" max="5641" width="9.140625" style="384"/>
    <col min="5642" max="5642" width="11.28515625" style="384" bestFit="1" customWidth="1"/>
    <col min="5643" max="5888" width="9.140625" style="384"/>
    <col min="5889" max="5889" width="8.85546875" style="384" customWidth="1"/>
    <col min="5890" max="5890" width="30.42578125" style="384" customWidth="1"/>
    <col min="5891" max="5892" width="7.5703125" style="384" customWidth="1"/>
    <col min="5893" max="5893" width="9.140625" style="384"/>
    <col min="5894" max="5894" width="10.28515625" style="384" customWidth="1"/>
    <col min="5895" max="5895" width="11.140625" style="384" customWidth="1"/>
    <col min="5896" max="5896" width="11.5703125" style="384" customWidth="1"/>
    <col min="5897" max="5897" width="9.140625" style="384"/>
    <col min="5898" max="5898" width="11.28515625" style="384" bestFit="1" customWidth="1"/>
    <col min="5899" max="6144" width="9.140625" style="384"/>
    <col min="6145" max="6145" width="8.85546875" style="384" customWidth="1"/>
    <col min="6146" max="6146" width="30.42578125" style="384" customWidth="1"/>
    <col min="6147" max="6148" width="7.5703125" style="384" customWidth="1"/>
    <col min="6149" max="6149" width="9.140625" style="384"/>
    <col min="6150" max="6150" width="10.28515625" style="384" customWidth="1"/>
    <col min="6151" max="6151" width="11.140625" style="384" customWidth="1"/>
    <col min="6152" max="6152" width="11.5703125" style="384" customWidth="1"/>
    <col min="6153" max="6153" width="9.140625" style="384"/>
    <col min="6154" max="6154" width="11.28515625" style="384" bestFit="1" customWidth="1"/>
    <col min="6155" max="6400" width="9.140625" style="384"/>
    <col min="6401" max="6401" width="8.85546875" style="384" customWidth="1"/>
    <col min="6402" max="6402" width="30.42578125" style="384" customWidth="1"/>
    <col min="6403" max="6404" width="7.5703125" style="384" customWidth="1"/>
    <col min="6405" max="6405" width="9.140625" style="384"/>
    <col min="6406" max="6406" width="10.28515625" style="384" customWidth="1"/>
    <col min="6407" max="6407" width="11.140625" style="384" customWidth="1"/>
    <col min="6408" max="6408" width="11.5703125" style="384" customWidth="1"/>
    <col min="6409" max="6409" width="9.140625" style="384"/>
    <col min="6410" max="6410" width="11.28515625" style="384" bestFit="1" customWidth="1"/>
    <col min="6411" max="6656" width="9.140625" style="384"/>
    <col min="6657" max="6657" width="8.85546875" style="384" customWidth="1"/>
    <col min="6658" max="6658" width="30.42578125" style="384" customWidth="1"/>
    <col min="6659" max="6660" width="7.5703125" style="384" customWidth="1"/>
    <col min="6661" max="6661" width="9.140625" style="384"/>
    <col min="6662" max="6662" width="10.28515625" style="384" customWidth="1"/>
    <col min="6663" max="6663" width="11.140625" style="384" customWidth="1"/>
    <col min="6664" max="6664" width="11.5703125" style="384" customWidth="1"/>
    <col min="6665" max="6665" width="9.140625" style="384"/>
    <col min="6666" max="6666" width="11.28515625" style="384" bestFit="1" customWidth="1"/>
    <col min="6667" max="6912" width="9.140625" style="384"/>
    <col min="6913" max="6913" width="8.85546875" style="384" customWidth="1"/>
    <col min="6914" max="6914" width="30.42578125" style="384" customWidth="1"/>
    <col min="6915" max="6916" width="7.5703125" style="384" customWidth="1"/>
    <col min="6917" max="6917" width="9.140625" style="384"/>
    <col min="6918" max="6918" width="10.28515625" style="384" customWidth="1"/>
    <col min="6919" max="6919" width="11.140625" style="384" customWidth="1"/>
    <col min="6920" max="6920" width="11.5703125" style="384" customWidth="1"/>
    <col min="6921" max="6921" width="9.140625" style="384"/>
    <col min="6922" max="6922" width="11.28515625" style="384" bestFit="1" customWidth="1"/>
    <col min="6923" max="7168" width="9.140625" style="384"/>
    <col min="7169" max="7169" width="8.85546875" style="384" customWidth="1"/>
    <col min="7170" max="7170" width="30.42578125" style="384" customWidth="1"/>
    <col min="7171" max="7172" width="7.5703125" style="384" customWidth="1"/>
    <col min="7173" max="7173" width="9.140625" style="384"/>
    <col min="7174" max="7174" width="10.28515625" style="384" customWidth="1"/>
    <col min="7175" max="7175" width="11.140625" style="384" customWidth="1"/>
    <col min="7176" max="7176" width="11.5703125" style="384" customWidth="1"/>
    <col min="7177" max="7177" width="9.140625" style="384"/>
    <col min="7178" max="7178" width="11.28515625" style="384" bestFit="1" customWidth="1"/>
    <col min="7179" max="7424" width="9.140625" style="384"/>
    <col min="7425" max="7425" width="8.85546875" style="384" customWidth="1"/>
    <col min="7426" max="7426" width="30.42578125" style="384" customWidth="1"/>
    <col min="7427" max="7428" width="7.5703125" style="384" customWidth="1"/>
    <col min="7429" max="7429" width="9.140625" style="384"/>
    <col min="7430" max="7430" width="10.28515625" style="384" customWidth="1"/>
    <col min="7431" max="7431" width="11.140625" style="384" customWidth="1"/>
    <col min="7432" max="7432" width="11.5703125" style="384" customWidth="1"/>
    <col min="7433" max="7433" width="9.140625" style="384"/>
    <col min="7434" max="7434" width="11.28515625" style="384" bestFit="1" customWidth="1"/>
    <col min="7435" max="7680" width="9.140625" style="384"/>
    <col min="7681" max="7681" width="8.85546875" style="384" customWidth="1"/>
    <col min="7682" max="7682" width="30.42578125" style="384" customWidth="1"/>
    <col min="7683" max="7684" width="7.5703125" style="384" customWidth="1"/>
    <col min="7685" max="7685" width="9.140625" style="384"/>
    <col min="7686" max="7686" width="10.28515625" style="384" customWidth="1"/>
    <col min="7687" max="7687" width="11.140625" style="384" customWidth="1"/>
    <col min="7688" max="7688" width="11.5703125" style="384" customWidth="1"/>
    <col min="7689" max="7689" width="9.140625" style="384"/>
    <col min="7690" max="7690" width="11.28515625" style="384" bestFit="1" customWidth="1"/>
    <col min="7691" max="7936" width="9.140625" style="384"/>
    <col min="7937" max="7937" width="8.85546875" style="384" customWidth="1"/>
    <col min="7938" max="7938" width="30.42578125" style="384" customWidth="1"/>
    <col min="7939" max="7940" width="7.5703125" style="384" customWidth="1"/>
    <col min="7941" max="7941" width="9.140625" style="384"/>
    <col min="7942" max="7942" width="10.28515625" style="384" customWidth="1"/>
    <col min="7943" max="7943" width="11.140625" style="384" customWidth="1"/>
    <col min="7944" max="7944" width="11.5703125" style="384" customWidth="1"/>
    <col min="7945" max="7945" width="9.140625" style="384"/>
    <col min="7946" max="7946" width="11.28515625" style="384" bestFit="1" customWidth="1"/>
    <col min="7947" max="8192" width="9.140625" style="384"/>
    <col min="8193" max="8193" width="8.85546875" style="384" customWidth="1"/>
    <col min="8194" max="8194" width="30.42578125" style="384" customWidth="1"/>
    <col min="8195" max="8196" width="7.5703125" style="384" customWidth="1"/>
    <col min="8197" max="8197" width="9.140625" style="384"/>
    <col min="8198" max="8198" width="10.28515625" style="384" customWidth="1"/>
    <col min="8199" max="8199" width="11.140625" style="384" customWidth="1"/>
    <col min="8200" max="8200" width="11.5703125" style="384" customWidth="1"/>
    <col min="8201" max="8201" width="9.140625" style="384"/>
    <col min="8202" max="8202" width="11.28515625" style="384" bestFit="1" customWidth="1"/>
    <col min="8203" max="8448" width="9.140625" style="384"/>
    <col min="8449" max="8449" width="8.85546875" style="384" customWidth="1"/>
    <col min="8450" max="8450" width="30.42578125" style="384" customWidth="1"/>
    <col min="8451" max="8452" width="7.5703125" style="384" customWidth="1"/>
    <col min="8453" max="8453" width="9.140625" style="384"/>
    <col min="8454" max="8454" width="10.28515625" style="384" customWidth="1"/>
    <col min="8455" max="8455" width="11.140625" style="384" customWidth="1"/>
    <col min="8456" max="8456" width="11.5703125" style="384" customWidth="1"/>
    <col min="8457" max="8457" width="9.140625" style="384"/>
    <col min="8458" max="8458" width="11.28515625" style="384" bestFit="1" customWidth="1"/>
    <col min="8459" max="8704" width="9.140625" style="384"/>
    <col min="8705" max="8705" width="8.85546875" style="384" customWidth="1"/>
    <col min="8706" max="8706" width="30.42578125" style="384" customWidth="1"/>
    <col min="8707" max="8708" width="7.5703125" style="384" customWidth="1"/>
    <col min="8709" max="8709" width="9.140625" style="384"/>
    <col min="8710" max="8710" width="10.28515625" style="384" customWidth="1"/>
    <col min="8711" max="8711" width="11.140625" style="384" customWidth="1"/>
    <col min="8712" max="8712" width="11.5703125" style="384" customWidth="1"/>
    <col min="8713" max="8713" width="9.140625" style="384"/>
    <col min="8714" max="8714" width="11.28515625" style="384" bestFit="1" customWidth="1"/>
    <col min="8715" max="8960" width="9.140625" style="384"/>
    <col min="8961" max="8961" width="8.85546875" style="384" customWidth="1"/>
    <col min="8962" max="8962" width="30.42578125" style="384" customWidth="1"/>
    <col min="8963" max="8964" width="7.5703125" style="384" customWidth="1"/>
    <col min="8965" max="8965" width="9.140625" style="384"/>
    <col min="8966" max="8966" width="10.28515625" style="384" customWidth="1"/>
    <col min="8967" max="8967" width="11.140625" style="384" customWidth="1"/>
    <col min="8968" max="8968" width="11.5703125" style="384" customWidth="1"/>
    <col min="8969" max="8969" width="9.140625" style="384"/>
    <col min="8970" max="8970" width="11.28515625" style="384" bestFit="1" customWidth="1"/>
    <col min="8971" max="9216" width="9.140625" style="384"/>
    <col min="9217" max="9217" width="8.85546875" style="384" customWidth="1"/>
    <col min="9218" max="9218" width="30.42578125" style="384" customWidth="1"/>
    <col min="9219" max="9220" width="7.5703125" style="384" customWidth="1"/>
    <col min="9221" max="9221" width="9.140625" style="384"/>
    <col min="9222" max="9222" width="10.28515625" style="384" customWidth="1"/>
    <col min="9223" max="9223" width="11.140625" style="384" customWidth="1"/>
    <col min="9224" max="9224" width="11.5703125" style="384" customWidth="1"/>
    <col min="9225" max="9225" width="9.140625" style="384"/>
    <col min="9226" max="9226" width="11.28515625" style="384" bestFit="1" customWidth="1"/>
    <col min="9227" max="9472" width="9.140625" style="384"/>
    <col min="9473" max="9473" width="8.85546875" style="384" customWidth="1"/>
    <col min="9474" max="9474" width="30.42578125" style="384" customWidth="1"/>
    <col min="9475" max="9476" width="7.5703125" style="384" customWidth="1"/>
    <col min="9477" max="9477" width="9.140625" style="384"/>
    <col min="9478" max="9478" width="10.28515625" style="384" customWidth="1"/>
    <col min="9479" max="9479" width="11.140625" style="384" customWidth="1"/>
    <col min="9480" max="9480" width="11.5703125" style="384" customWidth="1"/>
    <col min="9481" max="9481" width="9.140625" style="384"/>
    <col min="9482" max="9482" width="11.28515625" style="384" bestFit="1" customWidth="1"/>
    <col min="9483" max="9728" width="9.140625" style="384"/>
    <col min="9729" max="9729" width="8.85546875" style="384" customWidth="1"/>
    <col min="9730" max="9730" width="30.42578125" style="384" customWidth="1"/>
    <col min="9731" max="9732" width="7.5703125" style="384" customWidth="1"/>
    <col min="9733" max="9733" width="9.140625" style="384"/>
    <col min="9734" max="9734" width="10.28515625" style="384" customWidth="1"/>
    <col min="9735" max="9735" width="11.140625" style="384" customWidth="1"/>
    <col min="9736" max="9736" width="11.5703125" style="384" customWidth="1"/>
    <col min="9737" max="9737" width="9.140625" style="384"/>
    <col min="9738" max="9738" width="11.28515625" style="384" bestFit="1" customWidth="1"/>
    <col min="9739" max="9984" width="9.140625" style="384"/>
    <col min="9985" max="9985" width="8.85546875" style="384" customWidth="1"/>
    <col min="9986" max="9986" width="30.42578125" style="384" customWidth="1"/>
    <col min="9987" max="9988" width="7.5703125" style="384" customWidth="1"/>
    <col min="9989" max="9989" width="9.140625" style="384"/>
    <col min="9990" max="9990" width="10.28515625" style="384" customWidth="1"/>
    <col min="9991" max="9991" width="11.140625" style="384" customWidth="1"/>
    <col min="9992" max="9992" width="11.5703125" style="384" customWidth="1"/>
    <col min="9993" max="9993" width="9.140625" style="384"/>
    <col min="9994" max="9994" width="11.28515625" style="384" bestFit="1" customWidth="1"/>
    <col min="9995" max="10240" width="9.140625" style="384"/>
    <col min="10241" max="10241" width="8.85546875" style="384" customWidth="1"/>
    <col min="10242" max="10242" width="30.42578125" style="384" customWidth="1"/>
    <col min="10243" max="10244" width="7.5703125" style="384" customWidth="1"/>
    <col min="10245" max="10245" width="9.140625" style="384"/>
    <col min="10246" max="10246" width="10.28515625" style="384" customWidth="1"/>
    <col min="10247" max="10247" width="11.140625" style="384" customWidth="1"/>
    <col min="10248" max="10248" width="11.5703125" style="384" customWidth="1"/>
    <col min="10249" max="10249" width="9.140625" style="384"/>
    <col min="10250" max="10250" width="11.28515625" style="384" bestFit="1" customWidth="1"/>
    <col min="10251" max="10496" width="9.140625" style="384"/>
    <col min="10497" max="10497" width="8.85546875" style="384" customWidth="1"/>
    <col min="10498" max="10498" width="30.42578125" style="384" customWidth="1"/>
    <col min="10499" max="10500" width="7.5703125" style="384" customWidth="1"/>
    <col min="10501" max="10501" width="9.140625" style="384"/>
    <col min="10502" max="10502" width="10.28515625" style="384" customWidth="1"/>
    <col min="10503" max="10503" width="11.140625" style="384" customWidth="1"/>
    <col min="10504" max="10504" width="11.5703125" style="384" customWidth="1"/>
    <col min="10505" max="10505" width="9.140625" style="384"/>
    <col min="10506" max="10506" width="11.28515625" style="384" bestFit="1" customWidth="1"/>
    <col min="10507" max="10752" width="9.140625" style="384"/>
    <col min="10753" max="10753" width="8.85546875" style="384" customWidth="1"/>
    <col min="10754" max="10754" width="30.42578125" style="384" customWidth="1"/>
    <col min="10755" max="10756" width="7.5703125" style="384" customWidth="1"/>
    <col min="10757" max="10757" width="9.140625" style="384"/>
    <col min="10758" max="10758" width="10.28515625" style="384" customWidth="1"/>
    <col min="10759" max="10759" width="11.140625" style="384" customWidth="1"/>
    <col min="10760" max="10760" width="11.5703125" style="384" customWidth="1"/>
    <col min="10761" max="10761" width="9.140625" style="384"/>
    <col min="10762" max="10762" width="11.28515625" style="384" bestFit="1" customWidth="1"/>
    <col min="10763" max="11008" width="9.140625" style="384"/>
    <col min="11009" max="11009" width="8.85546875" style="384" customWidth="1"/>
    <col min="11010" max="11010" width="30.42578125" style="384" customWidth="1"/>
    <col min="11011" max="11012" width="7.5703125" style="384" customWidth="1"/>
    <col min="11013" max="11013" width="9.140625" style="384"/>
    <col min="11014" max="11014" width="10.28515625" style="384" customWidth="1"/>
    <col min="11015" max="11015" width="11.140625" style="384" customWidth="1"/>
    <col min="11016" max="11016" width="11.5703125" style="384" customWidth="1"/>
    <col min="11017" max="11017" width="9.140625" style="384"/>
    <col min="11018" max="11018" width="11.28515625" style="384" bestFit="1" customWidth="1"/>
    <col min="11019" max="11264" width="9.140625" style="384"/>
    <col min="11265" max="11265" width="8.85546875" style="384" customWidth="1"/>
    <col min="11266" max="11266" width="30.42578125" style="384" customWidth="1"/>
    <col min="11267" max="11268" width="7.5703125" style="384" customWidth="1"/>
    <col min="11269" max="11269" width="9.140625" style="384"/>
    <col min="11270" max="11270" width="10.28515625" style="384" customWidth="1"/>
    <col min="11271" max="11271" width="11.140625" style="384" customWidth="1"/>
    <col min="11272" max="11272" width="11.5703125" style="384" customWidth="1"/>
    <col min="11273" max="11273" width="9.140625" style="384"/>
    <col min="11274" max="11274" width="11.28515625" style="384" bestFit="1" customWidth="1"/>
    <col min="11275" max="11520" width="9.140625" style="384"/>
    <col min="11521" max="11521" width="8.85546875" style="384" customWidth="1"/>
    <col min="11522" max="11522" width="30.42578125" style="384" customWidth="1"/>
    <col min="11523" max="11524" width="7.5703125" style="384" customWidth="1"/>
    <col min="11525" max="11525" width="9.140625" style="384"/>
    <col min="11526" max="11526" width="10.28515625" style="384" customWidth="1"/>
    <col min="11527" max="11527" width="11.140625" style="384" customWidth="1"/>
    <col min="11528" max="11528" width="11.5703125" style="384" customWidth="1"/>
    <col min="11529" max="11529" width="9.140625" style="384"/>
    <col min="11530" max="11530" width="11.28515625" style="384" bestFit="1" customWidth="1"/>
    <col min="11531" max="11776" width="9.140625" style="384"/>
    <col min="11777" max="11777" width="8.85546875" style="384" customWidth="1"/>
    <col min="11778" max="11778" width="30.42578125" style="384" customWidth="1"/>
    <col min="11779" max="11780" width="7.5703125" style="384" customWidth="1"/>
    <col min="11781" max="11781" width="9.140625" style="384"/>
    <col min="11782" max="11782" width="10.28515625" style="384" customWidth="1"/>
    <col min="11783" max="11783" width="11.140625" style="384" customWidth="1"/>
    <col min="11784" max="11784" width="11.5703125" style="384" customWidth="1"/>
    <col min="11785" max="11785" width="9.140625" style="384"/>
    <col min="11786" max="11786" width="11.28515625" style="384" bestFit="1" customWidth="1"/>
    <col min="11787" max="12032" width="9.140625" style="384"/>
    <col min="12033" max="12033" width="8.85546875" style="384" customWidth="1"/>
    <col min="12034" max="12034" width="30.42578125" style="384" customWidth="1"/>
    <col min="12035" max="12036" width="7.5703125" style="384" customWidth="1"/>
    <col min="12037" max="12037" width="9.140625" style="384"/>
    <col min="12038" max="12038" width="10.28515625" style="384" customWidth="1"/>
    <col min="12039" max="12039" width="11.140625" style="384" customWidth="1"/>
    <col min="12040" max="12040" width="11.5703125" style="384" customWidth="1"/>
    <col min="12041" max="12041" width="9.140625" style="384"/>
    <col min="12042" max="12042" width="11.28515625" style="384" bestFit="1" customWidth="1"/>
    <col min="12043" max="12288" width="9.140625" style="384"/>
    <col min="12289" max="12289" width="8.85546875" style="384" customWidth="1"/>
    <col min="12290" max="12290" width="30.42578125" style="384" customWidth="1"/>
    <col min="12291" max="12292" width="7.5703125" style="384" customWidth="1"/>
    <col min="12293" max="12293" width="9.140625" style="384"/>
    <col min="12294" max="12294" width="10.28515625" style="384" customWidth="1"/>
    <col min="12295" max="12295" width="11.140625" style="384" customWidth="1"/>
    <col min="12296" max="12296" width="11.5703125" style="384" customWidth="1"/>
    <col min="12297" max="12297" width="9.140625" style="384"/>
    <col min="12298" max="12298" width="11.28515625" style="384" bestFit="1" customWidth="1"/>
    <col min="12299" max="12544" width="9.140625" style="384"/>
    <col min="12545" max="12545" width="8.85546875" style="384" customWidth="1"/>
    <col min="12546" max="12546" width="30.42578125" style="384" customWidth="1"/>
    <col min="12547" max="12548" width="7.5703125" style="384" customWidth="1"/>
    <col min="12549" max="12549" width="9.140625" style="384"/>
    <col min="12550" max="12550" width="10.28515625" style="384" customWidth="1"/>
    <col min="12551" max="12551" width="11.140625" style="384" customWidth="1"/>
    <col min="12552" max="12552" width="11.5703125" style="384" customWidth="1"/>
    <col min="12553" max="12553" width="9.140625" style="384"/>
    <col min="12554" max="12554" width="11.28515625" style="384" bestFit="1" customWidth="1"/>
    <col min="12555" max="12800" width="9.140625" style="384"/>
    <col min="12801" max="12801" width="8.85546875" style="384" customWidth="1"/>
    <col min="12802" max="12802" width="30.42578125" style="384" customWidth="1"/>
    <col min="12803" max="12804" width="7.5703125" style="384" customWidth="1"/>
    <col min="12805" max="12805" width="9.140625" style="384"/>
    <col min="12806" max="12806" width="10.28515625" style="384" customWidth="1"/>
    <col min="12807" max="12807" width="11.140625" style="384" customWidth="1"/>
    <col min="12808" max="12808" width="11.5703125" style="384" customWidth="1"/>
    <col min="12809" max="12809" width="9.140625" style="384"/>
    <col min="12810" max="12810" width="11.28515625" style="384" bestFit="1" customWidth="1"/>
    <col min="12811" max="13056" width="9.140625" style="384"/>
    <col min="13057" max="13057" width="8.85546875" style="384" customWidth="1"/>
    <col min="13058" max="13058" width="30.42578125" style="384" customWidth="1"/>
    <col min="13059" max="13060" width="7.5703125" style="384" customWidth="1"/>
    <col min="13061" max="13061" width="9.140625" style="384"/>
    <col min="13062" max="13062" width="10.28515625" style="384" customWidth="1"/>
    <col min="13063" max="13063" width="11.140625" style="384" customWidth="1"/>
    <col min="13064" max="13064" width="11.5703125" style="384" customWidth="1"/>
    <col min="13065" max="13065" width="9.140625" style="384"/>
    <col min="13066" max="13066" width="11.28515625" style="384" bestFit="1" customWidth="1"/>
    <col min="13067" max="13312" width="9.140625" style="384"/>
    <col min="13313" max="13313" width="8.85546875" style="384" customWidth="1"/>
    <col min="13314" max="13314" width="30.42578125" style="384" customWidth="1"/>
    <col min="13315" max="13316" width="7.5703125" style="384" customWidth="1"/>
    <col min="13317" max="13317" width="9.140625" style="384"/>
    <col min="13318" max="13318" width="10.28515625" style="384" customWidth="1"/>
    <col min="13319" max="13319" width="11.140625" style="384" customWidth="1"/>
    <col min="13320" max="13320" width="11.5703125" style="384" customWidth="1"/>
    <col min="13321" max="13321" width="9.140625" style="384"/>
    <col min="13322" max="13322" width="11.28515625" style="384" bestFit="1" customWidth="1"/>
    <col min="13323" max="13568" width="9.140625" style="384"/>
    <col min="13569" max="13569" width="8.85546875" style="384" customWidth="1"/>
    <col min="13570" max="13570" width="30.42578125" style="384" customWidth="1"/>
    <col min="13571" max="13572" width="7.5703125" style="384" customWidth="1"/>
    <col min="13573" max="13573" width="9.140625" style="384"/>
    <col min="13574" max="13574" width="10.28515625" style="384" customWidth="1"/>
    <col min="13575" max="13575" width="11.140625" style="384" customWidth="1"/>
    <col min="13576" max="13576" width="11.5703125" style="384" customWidth="1"/>
    <col min="13577" max="13577" width="9.140625" style="384"/>
    <col min="13578" max="13578" width="11.28515625" style="384" bestFit="1" customWidth="1"/>
    <col min="13579" max="13824" width="9.140625" style="384"/>
    <col min="13825" max="13825" width="8.85546875" style="384" customWidth="1"/>
    <col min="13826" max="13826" width="30.42578125" style="384" customWidth="1"/>
    <col min="13827" max="13828" width="7.5703125" style="384" customWidth="1"/>
    <col min="13829" max="13829" width="9.140625" style="384"/>
    <col min="13830" max="13830" width="10.28515625" style="384" customWidth="1"/>
    <col min="13831" max="13831" width="11.140625" style="384" customWidth="1"/>
    <col min="13832" max="13832" width="11.5703125" style="384" customWidth="1"/>
    <col min="13833" max="13833" width="9.140625" style="384"/>
    <col min="13834" max="13834" width="11.28515625" style="384" bestFit="1" customWidth="1"/>
    <col min="13835" max="14080" width="9.140625" style="384"/>
    <col min="14081" max="14081" width="8.85546875" style="384" customWidth="1"/>
    <col min="14082" max="14082" width="30.42578125" style="384" customWidth="1"/>
    <col min="14083" max="14084" width="7.5703125" style="384" customWidth="1"/>
    <col min="14085" max="14085" width="9.140625" style="384"/>
    <col min="14086" max="14086" width="10.28515625" style="384" customWidth="1"/>
    <col min="14087" max="14087" width="11.140625" style="384" customWidth="1"/>
    <col min="14088" max="14088" width="11.5703125" style="384" customWidth="1"/>
    <col min="14089" max="14089" width="9.140625" style="384"/>
    <col min="14090" max="14090" width="11.28515625" style="384" bestFit="1" customWidth="1"/>
    <col min="14091" max="14336" width="9.140625" style="384"/>
    <col min="14337" max="14337" width="8.85546875" style="384" customWidth="1"/>
    <col min="14338" max="14338" width="30.42578125" style="384" customWidth="1"/>
    <col min="14339" max="14340" width="7.5703125" style="384" customWidth="1"/>
    <col min="14341" max="14341" width="9.140625" style="384"/>
    <col min="14342" max="14342" width="10.28515625" style="384" customWidth="1"/>
    <col min="14343" max="14343" width="11.140625" style="384" customWidth="1"/>
    <col min="14344" max="14344" width="11.5703125" style="384" customWidth="1"/>
    <col min="14345" max="14345" width="9.140625" style="384"/>
    <col min="14346" max="14346" width="11.28515625" style="384" bestFit="1" customWidth="1"/>
    <col min="14347" max="14592" width="9.140625" style="384"/>
    <col min="14593" max="14593" width="8.85546875" style="384" customWidth="1"/>
    <col min="14594" max="14594" width="30.42578125" style="384" customWidth="1"/>
    <col min="14595" max="14596" width="7.5703125" style="384" customWidth="1"/>
    <col min="14597" max="14597" width="9.140625" style="384"/>
    <col min="14598" max="14598" width="10.28515625" style="384" customWidth="1"/>
    <col min="14599" max="14599" width="11.140625" style="384" customWidth="1"/>
    <col min="14600" max="14600" width="11.5703125" style="384" customWidth="1"/>
    <col min="14601" max="14601" width="9.140625" style="384"/>
    <col min="14602" max="14602" width="11.28515625" style="384" bestFit="1" customWidth="1"/>
    <col min="14603" max="14848" width="9.140625" style="384"/>
    <col min="14849" max="14849" width="8.85546875" style="384" customWidth="1"/>
    <col min="14850" max="14850" width="30.42578125" style="384" customWidth="1"/>
    <col min="14851" max="14852" width="7.5703125" style="384" customWidth="1"/>
    <col min="14853" max="14853" width="9.140625" style="384"/>
    <col min="14854" max="14854" width="10.28515625" style="384" customWidth="1"/>
    <col min="14855" max="14855" width="11.140625" style="384" customWidth="1"/>
    <col min="14856" max="14856" width="11.5703125" style="384" customWidth="1"/>
    <col min="14857" max="14857" width="9.140625" style="384"/>
    <col min="14858" max="14858" width="11.28515625" style="384" bestFit="1" customWidth="1"/>
    <col min="14859" max="15104" width="9.140625" style="384"/>
    <col min="15105" max="15105" width="8.85546875" style="384" customWidth="1"/>
    <col min="15106" max="15106" width="30.42578125" style="384" customWidth="1"/>
    <col min="15107" max="15108" width="7.5703125" style="384" customWidth="1"/>
    <col min="15109" max="15109" width="9.140625" style="384"/>
    <col min="15110" max="15110" width="10.28515625" style="384" customWidth="1"/>
    <col min="15111" max="15111" width="11.140625" style="384" customWidth="1"/>
    <col min="15112" max="15112" width="11.5703125" style="384" customWidth="1"/>
    <col min="15113" max="15113" width="9.140625" style="384"/>
    <col min="15114" max="15114" width="11.28515625" style="384" bestFit="1" customWidth="1"/>
    <col min="15115" max="15360" width="9.140625" style="384"/>
    <col min="15361" max="15361" width="8.85546875" style="384" customWidth="1"/>
    <col min="15362" max="15362" width="30.42578125" style="384" customWidth="1"/>
    <col min="15363" max="15364" width="7.5703125" style="384" customWidth="1"/>
    <col min="15365" max="15365" width="9.140625" style="384"/>
    <col min="15366" max="15366" width="10.28515625" style="384" customWidth="1"/>
    <col min="15367" max="15367" width="11.140625" style="384" customWidth="1"/>
    <col min="15368" max="15368" width="11.5703125" style="384" customWidth="1"/>
    <col min="15369" max="15369" width="9.140625" style="384"/>
    <col min="15370" max="15370" width="11.28515625" style="384" bestFit="1" customWidth="1"/>
    <col min="15371" max="15616" width="9.140625" style="384"/>
    <col min="15617" max="15617" width="8.85546875" style="384" customWidth="1"/>
    <col min="15618" max="15618" width="30.42578125" style="384" customWidth="1"/>
    <col min="15619" max="15620" width="7.5703125" style="384" customWidth="1"/>
    <col min="15621" max="15621" width="9.140625" style="384"/>
    <col min="15622" max="15622" width="10.28515625" style="384" customWidth="1"/>
    <col min="15623" max="15623" width="11.140625" style="384" customWidth="1"/>
    <col min="15624" max="15624" width="11.5703125" style="384" customWidth="1"/>
    <col min="15625" max="15625" width="9.140625" style="384"/>
    <col min="15626" max="15626" width="11.28515625" style="384" bestFit="1" customWidth="1"/>
    <col min="15627" max="15872" width="9.140625" style="384"/>
    <col min="15873" max="15873" width="8.85546875" style="384" customWidth="1"/>
    <col min="15874" max="15874" width="30.42578125" style="384" customWidth="1"/>
    <col min="15875" max="15876" width="7.5703125" style="384" customWidth="1"/>
    <col min="15877" max="15877" width="9.140625" style="384"/>
    <col min="15878" max="15878" width="10.28515625" style="384" customWidth="1"/>
    <col min="15879" max="15879" width="11.140625" style="384" customWidth="1"/>
    <col min="15880" max="15880" width="11.5703125" style="384" customWidth="1"/>
    <col min="15881" max="15881" width="9.140625" style="384"/>
    <col min="15882" max="15882" width="11.28515625" style="384" bestFit="1" customWidth="1"/>
    <col min="15883" max="16128" width="9.140625" style="384"/>
    <col min="16129" max="16129" width="8.85546875" style="384" customWidth="1"/>
    <col min="16130" max="16130" width="30.42578125" style="384" customWidth="1"/>
    <col min="16131" max="16132" width="7.5703125" style="384" customWidth="1"/>
    <col min="16133" max="16133" width="9.140625" style="384"/>
    <col min="16134" max="16134" width="10.28515625" style="384" customWidth="1"/>
    <col min="16135" max="16135" width="11.140625" style="384" customWidth="1"/>
    <col min="16136" max="16136" width="11.5703125" style="384" customWidth="1"/>
    <col min="16137" max="16137" width="9.140625" style="384"/>
    <col min="16138" max="16138" width="11.28515625" style="384" bestFit="1" customWidth="1"/>
    <col min="16139" max="16384" width="9.140625" style="384"/>
  </cols>
  <sheetData>
    <row r="1" spans="1:8" ht="13.5" thickBot="1"/>
    <row r="2" spans="1:8" ht="12.75" customHeight="1">
      <c r="A2" s="630" t="s">
        <v>85</v>
      </c>
      <c r="B2" s="632" t="s">
        <v>576</v>
      </c>
      <c r="C2" s="632"/>
      <c r="D2" s="632"/>
      <c r="E2" s="633"/>
      <c r="F2" s="636"/>
      <c r="G2" s="637"/>
      <c r="H2" s="638"/>
    </row>
    <row r="3" spans="1:8" ht="12.75" customHeight="1">
      <c r="A3" s="631"/>
      <c r="B3" s="634"/>
      <c r="C3" s="634"/>
      <c r="D3" s="634"/>
      <c r="E3" s="635"/>
      <c r="F3" s="639"/>
      <c r="G3" s="640"/>
      <c r="H3" s="641"/>
    </row>
    <row r="4" spans="1:8" ht="30.75" customHeight="1">
      <c r="A4" s="631"/>
      <c r="B4" s="634"/>
      <c r="C4" s="634"/>
      <c r="D4" s="634"/>
      <c r="E4" s="635"/>
      <c r="F4" s="639"/>
      <c r="G4" s="640"/>
      <c r="H4" s="641"/>
    </row>
    <row r="5" spans="1:8" ht="13.5" thickBot="1">
      <c r="A5" s="645" t="s">
        <v>87</v>
      </c>
      <c r="B5" s="646"/>
      <c r="C5" s="646"/>
      <c r="D5" s="646"/>
      <c r="E5" s="647"/>
      <c r="F5" s="642"/>
      <c r="G5" s="643"/>
      <c r="H5" s="644"/>
    </row>
    <row r="6" spans="1:8" ht="27" thickBot="1">
      <c r="A6" s="648" t="s">
        <v>88</v>
      </c>
      <c r="B6" s="649"/>
      <c r="C6" s="385"/>
      <c r="D6" s="385"/>
      <c r="E6" s="208"/>
      <c r="F6" s="209" t="s">
        <v>89</v>
      </c>
      <c r="G6" s="650" t="s">
        <v>577</v>
      </c>
      <c r="H6" s="651"/>
    </row>
    <row r="7" spans="1:8" ht="33" customHeight="1" thickBot="1">
      <c r="A7" s="652" t="s">
        <v>578</v>
      </c>
      <c r="B7" s="653"/>
      <c r="C7" s="653"/>
      <c r="D7" s="653"/>
      <c r="E7" s="654"/>
      <c r="F7" s="210" t="s">
        <v>579</v>
      </c>
      <c r="G7" s="211" t="s">
        <v>580</v>
      </c>
      <c r="H7" s="212" t="s">
        <v>92</v>
      </c>
    </row>
    <row r="8" spans="1:8" ht="29.25" customHeight="1" thickBot="1">
      <c r="A8" s="655"/>
      <c r="B8" s="656"/>
      <c r="C8" s="656"/>
      <c r="D8" s="656"/>
      <c r="E8" s="657"/>
      <c r="F8" s="211" t="s">
        <v>581</v>
      </c>
      <c r="G8" s="210" t="s">
        <v>582</v>
      </c>
      <c r="H8" s="213"/>
    </row>
    <row r="9" spans="1:8" ht="12" customHeight="1">
      <c r="A9" s="658" t="s">
        <v>385</v>
      </c>
      <c r="B9" s="658"/>
      <c r="C9" s="214"/>
      <c r="D9" s="214"/>
      <c r="E9" s="214"/>
      <c r="F9" s="215"/>
      <c r="G9" s="216"/>
      <c r="H9" s="217"/>
    </row>
    <row r="10" spans="1:8" ht="12" customHeight="1">
      <c r="A10" s="323"/>
      <c r="B10" s="660" t="s">
        <v>386</v>
      </c>
      <c r="C10" s="661"/>
      <c r="D10" s="661"/>
      <c r="E10" s="661"/>
      <c r="F10" s="661"/>
      <c r="G10" s="661"/>
      <c r="H10" s="662"/>
    </row>
    <row r="11" spans="1:8" ht="12" customHeight="1">
      <c r="A11" s="388">
        <v>1</v>
      </c>
      <c r="B11" s="676" t="s">
        <v>583</v>
      </c>
      <c r="C11" s="676"/>
      <c r="D11" s="676"/>
      <c r="E11" s="676"/>
      <c r="F11" s="676"/>
      <c r="G11" s="676"/>
      <c r="H11" s="676"/>
    </row>
    <row r="12" spans="1:8" ht="12" customHeight="1">
      <c r="A12" s="388">
        <v>2</v>
      </c>
      <c r="B12" s="676" t="s">
        <v>584</v>
      </c>
      <c r="C12" s="676"/>
      <c r="D12" s="676"/>
      <c r="E12" s="676"/>
      <c r="F12" s="676"/>
      <c r="G12" s="676"/>
      <c r="H12" s="676"/>
    </row>
    <row r="13" spans="1:8" ht="12" customHeight="1">
      <c r="A13" s="388">
        <v>3</v>
      </c>
      <c r="B13" s="676" t="s">
        <v>585</v>
      </c>
      <c r="C13" s="676"/>
      <c r="D13" s="676"/>
      <c r="E13" s="676"/>
      <c r="F13" s="676"/>
      <c r="G13" s="676"/>
      <c r="H13" s="676"/>
    </row>
    <row r="14" spans="1:8">
      <c r="A14" s="665"/>
      <c r="B14" s="665"/>
      <c r="C14" s="665"/>
      <c r="D14" s="665"/>
      <c r="E14" s="665"/>
      <c r="F14" s="665"/>
      <c r="G14" s="665"/>
      <c r="H14" s="665"/>
    </row>
    <row r="15" spans="1:8" ht="12.75" customHeight="1">
      <c r="A15" s="664" t="s">
        <v>1</v>
      </c>
      <c r="B15" s="664" t="s">
        <v>2</v>
      </c>
      <c r="C15" s="664" t="s">
        <v>3</v>
      </c>
      <c r="D15" s="664" t="s">
        <v>69</v>
      </c>
      <c r="E15" s="664" t="s">
        <v>94</v>
      </c>
      <c r="F15" s="664" t="s">
        <v>95</v>
      </c>
      <c r="G15" s="664" t="s">
        <v>82</v>
      </c>
      <c r="H15" s="664" t="s">
        <v>4</v>
      </c>
    </row>
    <row r="16" spans="1:8" ht="18" customHeight="1">
      <c r="A16" s="664"/>
      <c r="B16" s="664"/>
      <c r="C16" s="664"/>
      <c r="D16" s="664"/>
      <c r="E16" s="664"/>
      <c r="F16" s="664"/>
      <c r="G16" s="664"/>
      <c r="H16" s="664"/>
    </row>
    <row r="17" spans="1:12" ht="26.25" customHeight="1">
      <c r="A17" s="386"/>
      <c r="B17" s="386"/>
      <c r="C17" s="386"/>
      <c r="D17" s="386"/>
      <c r="E17" s="386"/>
      <c r="F17" s="386"/>
      <c r="G17" s="386"/>
      <c r="H17" s="338"/>
      <c r="J17" s="389" t="s">
        <v>94</v>
      </c>
      <c r="K17" s="389" t="s">
        <v>95</v>
      </c>
    </row>
    <row r="18" spans="1:12" ht="12.75" customHeight="1">
      <c r="A18" s="218">
        <v>1</v>
      </c>
      <c r="B18" s="337" t="s">
        <v>96</v>
      </c>
      <c r="C18" s="34"/>
      <c r="D18" s="200"/>
      <c r="E18" s="200"/>
      <c r="F18" s="200"/>
      <c r="G18" s="200"/>
      <c r="H18" s="380"/>
      <c r="J18" s="389"/>
      <c r="K18" s="389"/>
    </row>
    <row r="19" spans="1:12" ht="12.75" customHeight="1">
      <c r="A19" s="386" t="s">
        <v>10</v>
      </c>
      <c r="B19" s="239" t="s">
        <v>97</v>
      </c>
      <c r="C19" s="386"/>
      <c r="D19" s="386"/>
      <c r="E19" s="386"/>
      <c r="F19" s="386"/>
      <c r="G19" s="386"/>
      <c r="H19" s="338"/>
      <c r="J19" s="389">
        <v>83.5</v>
      </c>
      <c r="K19" s="389">
        <v>48</v>
      </c>
      <c r="L19" s="389">
        <f>J19*K19</f>
        <v>4008</v>
      </c>
    </row>
    <row r="20" spans="1:12" ht="12.75" customHeight="1">
      <c r="A20" s="218"/>
      <c r="B20" s="35" t="s">
        <v>98</v>
      </c>
      <c r="C20" s="34" t="s">
        <v>11</v>
      </c>
      <c r="D20" s="36">
        <f>D96</f>
        <v>4</v>
      </c>
      <c r="E20" s="37">
        <f>E96+0.3*2</f>
        <v>3.6</v>
      </c>
      <c r="F20" s="38">
        <f t="shared" ref="E20:F24" si="0">F96+0.3*2</f>
        <v>4.0999999999999996</v>
      </c>
      <c r="G20" s="39">
        <v>1.5</v>
      </c>
      <c r="H20" s="39">
        <f>D20*E20*F20*G20</f>
        <v>88.56</v>
      </c>
      <c r="J20" s="384">
        <f>J19*3.28</f>
        <v>273.88</v>
      </c>
    </row>
    <row r="21" spans="1:12" ht="12.75" customHeight="1">
      <c r="A21" s="218"/>
      <c r="B21" s="35" t="s">
        <v>99</v>
      </c>
      <c r="C21" s="34" t="s">
        <v>11</v>
      </c>
      <c r="D21" s="36">
        <f>D97</f>
        <v>22</v>
      </c>
      <c r="E21" s="37">
        <f t="shared" si="0"/>
        <v>3.1</v>
      </c>
      <c r="F21" s="38">
        <f t="shared" si="0"/>
        <v>3.6</v>
      </c>
      <c r="G21" s="39">
        <v>1.5</v>
      </c>
      <c r="H21" s="39">
        <f>D21*E21*F21*G21</f>
        <v>368.28000000000003</v>
      </c>
    </row>
    <row r="22" spans="1:12" ht="15">
      <c r="A22" s="218"/>
      <c r="B22" s="35" t="s">
        <v>100</v>
      </c>
      <c r="C22" s="34" t="s">
        <v>11</v>
      </c>
      <c r="D22" s="36">
        <f>D98</f>
        <v>10</v>
      </c>
      <c r="E22" s="37">
        <f t="shared" si="0"/>
        <v>3.8000000000000003</v>
      </c>
      <c r="F22" s="38">
        <f t="shared" si="0"/>
        <v>4.0999999999999996</v>
      </c>
      <c r="G22" s="39">
        <v>1.5</v>
      </c>
      <c r="H22" s="39">
        <f>D22*E22*F22*G22</f>
        <v>233.7</v>
      </c>
    </row>
    <row r="23" spans="1:12" ht="15">
      <c r="A23" s="218"/>
      <c r="B23" s="35" t="s">
        <v>101</v>
      </c>
      <c r="C23" s="34" t="s">
        <v>11</v>
      </c>
      <c r="D23" s="36">
        <f t="shared" ref="D23:D24" si="1">D99</f>
        <v>6</v>
      </c>
      <c r="E23" s="37">
        <f t="shared" si="0"/>
        <v>3.1</v>
      </c>
      <c r="F23" s="38">
        <f t="shared" si="0"/>
        <v>3.4</v>
      </c>
      <c r="G23" s="39">
        <v>1.5</v>
      </c>
      <c r="H23" s="39">
        <f t="shared" ref="H23:H24" si="2">D23*E23*F23*G23</f>
        <v>94.86</v>
      </c>
    </row>
    <row r="24" spans="1:12" ht="15">
      <c r="A24" s="218"/>
      <c r="B24" s="35" t="s">
        <v>102</v>
      </c>
      <c r="C24" s="34" t="s">
        <v>11</v>
      </c>
      <c r="D24" s="36">
        <f t="shared" si="1"/>
        <v>0</v>
      </c>
      <c r="E24" s="37">
        <f t="shared" si="0"/>
        <v>0.6</v>
      </c>
      <c r="F24" s="38">
        <f t="shared" si="0"/>
        <v>0.6</v>
      </c>
      <c r="G24" s="39">
        <v>1.5</v>
      </c>
      <c r="H24" s="39">
        <f t="shared" si="2"/>
        <v>0</v>
      </c>
    </row>
    <row r="25" spans="1:12" ht="15">
      <c r="A25" s="218"/>
      <c r="B25" s="35"/>
      <c r="C25" s="34"/>
      <c r="D25" s="36"/>
      <c r="E25" s="37"/>
      <c r="F25" s="616" t="s">
        <v>65</v>
      </c>
      <c r="G25" s="616"/>
      <c r="H25" s="40">
        <f>ROUND(SUM(H20:H24),0)</f>
        <v>785</v>
      </c>
      <c r="K25" s="41"/>
    </row>
    <row r="26" spans="1:12" ht="15">
      <c r="A26" s="42"/>
      <c r="B26" s="390"/>
      <c r="C26" s="43"/>
      <c r="D26" s="44"/>
      <c r="E26" s="45"/>
      <c r="F26" s="46"/>
      <c r="G26" s="47"/>
      <c r="H26" s="47"/>
      <c r="K26" s="41"/>
    </row>
    <row r="27" spans="1:12" ht="15.75">
      <c r="A27" s="386" t="s">
        <v>12</v>
      </c>
      <c r="B27" s="239" t="s">
        <v>103</v>
      </c>
      <c r="C27" s="386"/>
      <c r="D27" s="386"/>
      <c r="E27" s="386"/>
      <c r="F27" s="386"/>
      <c r="G27" s="386"/>
      <c r="H27" s="338"/>
      <c r="K27" s="41"/>
    </row>
    <row r="28" spans="1:12" ht="15">
      <c r="A28" s="218"/>
      <c r="B28" s="35" t="s">
        <v>98</v>
      </c>
      <c r="C28" s="34" t="s">
        <v>11</v>
      </c>
      <c r="D28" s="36">
        <f t="shared" ref="D28:F32" si="3">D20</f>
        <v>4</v>
      </c>
      <c r="E28" s="37">
        <f t="shared" si="3"/>
        <v>3.6</v>
      </c>
      <c r="F28" s="37">
        <f t="shared" si="3"/>
        <v>4.0999999999999996</v>
      </c>
      <c r="G28" s="39">
        <f>0.075+0.23+0.5</f>
        <v>0.80499999999999994</v>
      </c>
      <c r="H28" s="39">
        <f>D28*E28*F28*G28</f>
        <v>47.527199999999993</v>
      </c>
      <c r="K28" s="41"/>
    </row>
    <row r="29" spans="1:12" ht="15">
      <c r="A29" s="218"/>
      <c r="B29" s="35" t="s">
        <v>99</v>
      </c>
      <c r="C29" s="34" t="s">
        <v>11</v>
      </c>
      <c r="D29" s="36">
        <f t="shared" si="3"/>
        <v>22</v>
      </c>
      <c r="E29" s="37">
        <f t="shared" si="3"/>
        <v>3.1</v>
      </c>
      <c r="F29" s="37">
        <f t="shared" si="3"/>
        <v>3.6</v>
      </c>
      <c r="G29" s="39">
        <f t="shared" ref="G29:G32" si="4">0.075+0.23+0.5</f>
        <v>0.80499999999999994</v>
      </c>
      <c r="H29" s="39">
        <f>D29*E29*F29*G29</f>
        <v>197.64359999999999</v>
      </c>
      <c r="K29" s="41"/>
    </row>
    <row r="30" spans="1:12" ht="15">
      <c r="A30" s="218"/>
      <c r="B30" s="35" t="s">
        <v>100</v>
      </c>
      <c r="C30" s="34" t="s">
        <v>11</v>
      </c>
      <c r="D30" s="36">
        <f t="shared" si="3"/>
        <v>10</v>
      </c>
      <c r="E30" s="37">
        <f t="shared" si="3"/>
        <v>3.8000000000000003</v>
      </c>
      <c r="F30" s="37">
        <f t="shared" si="3"/>
        <v>4.0999999999999996</v>
      </c>
      <c r="G30" s="39">
        <f t="shared" si="4"/>
        <v>0.80499999999999994</v>
      </c>
      <c r="H30" s="39">
        <f>D30*E30*F30*G30</f>
        <v>125.41899999999998</v>
      </c>
      <c r="K30" s="41"/>
    </row>
    <row r="31" spans="1:12" ht="15">
      <c r="A31" s="218"/>
      <c r="B31" s="35" t="s">
        <v>101</v>
      </c>
      <c r="C31" s="34" t="s">
        <v>11</v>
      </c>
      <c r="D31" s="36">
        <f t="shared" si="3"/>
        <v>6</v>
      </c>
      <c r="E31" s="37">
        <f t="shared" si="3"/>
        <v>3.1</v>
      </c>
      <c r="F31" s="37">
        <f t="shared" si="3"/>
        <v>3.4</v>
      </c>
      <c r="G31" s="39">
        <f t="shared" si="4"/>
        <v>0.80499999999999994</v>
      </c>
      <c r="H31" s="39">
        <f t="shared" ref="H31:H32" si="5">D31*E31*F31*G31</f>
        <v>50.908200000000001</v>
      </c>
      <c r="K31" s="41"/>
    </row>
    <row r="32" spans="1:12" ht="15">
      <c r="A32" s="218"/>
      <c r="B32" s="35" t="s">
        <v>102</v>
      </c>
      <c r="C32" s="34" t="s">
        <v>11</v>
      </c>
      <c r="D32" s="36">
        <f t="shared" si="3"/>
        <v>0</v>
      </c>
      <c r="E32" s="37">
        <f t="shared" si="3"/>
        <v>0.6</v>
      </c>
      <c r="F32" s="37">
        <f t="shared" si="3"/>
        <v>0.6</v>
      </c>
      <c r="G32" s="39">
        <f t="shared" si="4"/>
        <v>0.80499999999999994</v>
      </c>
      <c r="H32" s="39">
        <f t="shared" si="5"/>
        <v>0</v>
      </c>
      <c r="K32" s="41"/>
    </row>
    <row r="33" spans="1:11" ht="15">
      <c r="A33" s="218"/>
      <c r="B33" s="35"/>
      <c r="C33" s="34"/>
      <c r="D33" s="36"/>
      <c r="E33" s="37"/>
      <c r="F33" s="616" t="s">
        <v>65</v>
      </c>
      <c r="G33" s="616"/>
      <c r="H33" s="40">
        <f>ROUND(SUM(H28:H32),0)</f>
        <v>421</v>
      </c>
      <c r="K33" s="41"/>
    </row>
    <row r="34" spans="1:11" ht="15">
      <c r="A34" s="42"/>
      <c r="B34" s="390"/>
      <c r="C34" s="43"/>
      <c r="D34" s="44"/>
      <c r="E34" s="45"/>
      <c r="F34" s="46"/>
      <c r="G34" s="47"/>
      <c r="H34" s="47"/>
      <c r="K34" s="41"/>
    </row>
    <row r="35" spans="1:11" ht="15">
      <c r="A35" s="218">
        <v>2</v>
      </c>
      <c r="B35" s="239" t="s">
        <v>105</v>
      </c>
      <c r="C35" s="34" t="s">
        <v>11</v>
      </c>
      <c r="D35" s="200"/>
      <c r="E35" s="37"/>
      <c r="F35" s="38"/>
      <c r="G35" s="39"/>
      <c r="H35" s="39">
        <f>(H25+H33)-SUM(H44:H48)-H69-H101</f>
        <v>922</v>
      </c>
      <c r="K35" s="41"/>
    </row>
    <row r="36" spans="1:11" ht="15">
      <c r="B36" s="239" t="s">
        <v>107</v>
      </c>
      <c r="C36" s="34"/>
      <c r="D36" s="200"/>
      <c r="E36" s="37"/>
      <c r="F36" s="38"/>
      <c r="G36" s="39"/>
      <c r="H36" s="39"/>
      <c r="K36" s="41"/>
    </row>
    <row r="37" spans="1:11" ht="15">
      <c r="B37" s="35" t="s">
        <v>586</v>
      </c>
      <c r="C37" s="34" t="s">
        <v>11</v>
      </c>
      <c r="D37" s="36">
        <v>1</v>
      </c>
      <c r="E37" s="37">
        <v>4.5</v>
      </c>
      <c r="F37" s="38">
        <v>4.25</v>
      </c>
      <c r="G37" s="39">
        <v>0.3</v>
      </c>
      <c r="H37" s="39">
        <f>D37*E37*F37*G37</f>
        <v>5.7374999999999998</v>
      </c>
      <c r="K37" s="41"/>
    </row>
    <row r="38" spans="1:11" ht="15">
      <c r="A38" s="218"/>
      <c r="B38" s="35" t="s">
        <v>108</v>
      </c>
      <c r="C38" s="34" t="s">
        <v>11</v>
      </c>
      <c r="D38" s="36">
        <v>1</v>
      </c>
      <c r="E38" s="37">
        <f>J19-0.25</f>
        <v>83.25</v>
      </c>
      <c r="F38" s="38">
        <f>K19-0.25</f>
        <v>47.75</v>
      </c>
      <c r="G38" s="39">
        <f>(1.3)-(0.23+0.2)</f>
        <v>0.87</v>
      </c>
      <c r="H38" s="39">
        <f>ROUND(D38*E38*F38*G38,0)+H37</f>
        <v>3463.7375000000002</v>
      </c>
      <c r="K38" s="41"/>
    </row>
    <row r="39" spans="1:11" ht="15">
      <c r="A39" s="218">
        <v>2.0099999999999998</v>
      </c>
      <c r="B39" s="35" t="s">
        <v>109</v>
      </c>
      <c r="C39" s="34" t="s">
        <v>11</v>
      </c>
      <c r="D39" s="36">
        <v>1</v>
      </c>
      <c r="E39" s="37"/>
      <c r="F39" s="38"/>
      <c r="G39" s="39"/>
      <c r="H39" s="40">
        <f>ROUND(H25+H33-H35,0)</f>
        <v>284</v>
      </c>
      <c r="K39" s="41"/>
    </row>
    <row r="40" spans="1:11" ht="15">
      <c r="A40" s="218">
        <v>2.02</v>
      </c>
      <c r="B40" s="35" t="s">
        <v>110</v>
      </c>
      <c r="C40" s="34" t="s">
        <v>11</v>
      </c>
      <c r="D40" s="36">
        <v>1</v>
      </c>
      <c r="E40" s="37"/>
      <c r="F40" s="38"/>
      <c r="G40" s="39"/>
      <c r="H40" s="40">
        <f>ROUND(H38-H39,0)</f>
        <v>3180</v>
      </c>
      <c r="K40" s="41"/>
    </row>
    <row r="41" spans="1:11" ht="15">
      <c r="A41" s="218">
        <v>2.0299999999999998</v>
      </c>
      <c r="B41" s="118" t="s">
        <v>587</v>
      </c>
      <c r="C41" s="34"/>
      <c r="D41" s="36"/>
      <c r="E41" s="37"/>
      <c r="F41" s="38"/>
      <c r="G41" s="39"/>
      <c r="H41" s="40"/>
      <c r="K41" s="41"/>
    </row>
    <row r="42" spans="1:11" ht="15">
      <c r="A42" s="218">
        <v>2.04</v>
      </c>
      <c r="B42" s="239" t="s">
        <v>588</v>
      </c>
      <c r="C42" s="34"/>
      <c r="D42" s="36"/>
      <c r="E42" s="37"/>
      <c r="F42" s="38"/>
      <c r="G42" s="39"/>
      <c r="H42" s="39"/>
      <c r="K42" s="41"/>
    </row>
    <row r="43" spans="1:11" ht="15">
      <c r="A43" s="218"/>
      <c r="B43" s="239" t="s">
        <v>112</v>
      </c>
      <c r="C43" s="34"/>
      <c r="D43" s="36"/>
      <c r="E43" s="37"/>
      <c r="F43" s="38"/>
      <c r="G43" s="39"/>
      <c r="H43" s="39"/>
      <c r="K43" s="41"/>
    </row>
    <row r="44" spans="1:11" ht="15">
      <c r="A44" s="218"/>
      <c r="B44" s="35" t="s">
        <v>98</v>
      </c>
      <c r="C44" s="34" t="s">
        <v>11</v>
      </c>
      <c r="D44" s="36">
        <f>D96</f>
        <v>4</v>
      </c>
      <c r="E44" s="37">
        <f t="shared" ref="E44:F48" si="6">E96+0.15*2</f>
        <v>3.3</v>
      </c>
      <c r="F44" s="37">
        <f t="shared" si="6"/>
        <v>3.8</v>
      </c>
      <c r="G44" s="39">
        <v>0</v>
      </c>
      <c r="H44" s="39">
        <f>D44*E44*F44*G44</f>
        <v>0</v>
      </c>
      <c r="K44" s="41"/>
    </row>
    <row r="45" spans="1:11" ht="15">
      <c r="A45" s="218"/>
      <c r="B45" s="35" t="s">
        <v>99</v>
      </c>
      <c r="C45" s="34" t="s">
        <v>11</v>
      </c>
      <c r="D45" s="36">
        <f>D97</f>
        <v>22</v>
      </c>
      <c r="E45" s="37">
        <f t="shared" si="6"/>
        <v>2.8</v>
      </c>
      <c r="F45" s="37">
        <f t="shared" si="6"/>
        <v>3.3</v>
      </c>
      <c r="G45" s="39">
        <v>0</v>
      </c>
      <c r="H45" s="39">
        <f>D45*E45*F45*G45</f>
        <v>0</v>
      </c>
      <c r="K45" s="41"/>
    </row>
    <row r="46" spans="1:11" ht="15">
      <c r="A46" s="218"/>
      <c r="B46" s="35" t="s">
        <v>100</v>
      </c>
      <c r="C46" s="34" t="s">
        <v>11</v>
      </c>
      <c r="D46" s="36">
        <f>D98</f>
        <v>10</v>
      </c>
      <c r="E46" s="37">
        <f t="shared" si="6"/>
        <v>3.5</v>
      </c>
      <c r="F46" s="37">
        <f t="shared" si="6"/>
        <v>3.8</v>
      </c>
      <c r="G46" s="39">
        <v>0</v>
      </c>
      <c r="H46" s="39">
        <f>D46*E46*F46*G46</f>
        <v>0</v>
      </c>
      <c r="K46" s="41"/>
    </row>
    <row r="47" spans="1:11" ht="15">
      <c r="A47" s="218"/>
      <c r="B47" s="35" t="s">
        <v>101</v>
      </c>
      <c r="C47" s="34" t="s">
        <v>11</v>
      </c>
      <c r="D47" s="36">
        <f t="shared" ref="D47:D48" si="7">D99</f>
        <v>6</v>
      </c>
      <c r="E47" s="37">
        <f t="shared" si="6"/>
        <v>2.8</v>
      </c>
      <c r="F47" s="37">
        <f t="shared" si="6"/>
        <v>3.0999999999999996</v>
      </c>
      <c r="G47" s="39">
        <v>0</v>
      </c>
      <c r="H47" s="39">
        <f t="shared" ref="H47:H48" si="8">D47*E47*F47*G47</f>
        <v>0</v>
      </c>
      <c r="K47" s="41"/>
    </row>
    <row r="48" spans="1:11" ht="15">
      <c r="A48" s="218"/>
      <c r="B48" s="35" t="s">
        <v>102</v>
      </c>
      <c r="C48" s="34" t="s">
        <v>11</v>
      </c>
      <c r="D48" s="36">
        <f t="shared" si="7"/>
        <v>0</v>
      </c>
      <c r="E48" s="37">
        <f t="shared" si="6"/>
        <v>0.3</v>
      </c>
      <c r="F48" s="37">
        <f t="shared" si="6"/>
        <v>0.3</v>
      </c>
      <c r="G48" s="39">
        <v>0</v>
      </c>
      <c r="H48" s="39">
        <f t="shared" si="8"/>
        <v>0</v>
      </c>
      <c r="K48" s="41"/>
    </row>
    <row r="49" spans="1:11" ht="15">
      <c r="A49" s="218"/>
      <c r="B49" s="239" t="s">
        <v>113</v>
      </c>
      <c r="C49" s="34"/>
      <c r="D49" s="36"/>
      <c r="E49" s="37"/>
      <c r="F49" s="38"/>
      <c r="G49" s="39"/>
      <c r="H49" s="39"/>
      <c r="K49" s="41"/>
    </row>
    <row r="50" spans="1:11" ht="15">
      <c r="A50" s="218"/>
      <c r="B50" s="239"/>
      <c r="C50" s="34" t="s">
        <v>11</v>
      </c>
      <c r="D50" s="36">
        <f>D38</f>
        <v>1</v>
      </c>
      <c r="E50" s="37">
        <f>E38</f>
        <v>83.25</v>
      </c>
      <c r="F50" s="37">
        <f>F38</f>
        <v>47.75</v>
      </c>
      <c r="G50" s="39">
        <v>0.25</v>
      </c>
      <c r="H50" s="39">
        <f>D50*E50*F50*G50</f>
        <v>993.796875</v>
      </c>
      <c r="K50" s="41"/>
    </row>
    <row r="51" spans="1:11" ht="15">
      <c r="A51" s="218"/>
      <c r="B51" s="239" t="s">
        <v>114</v>
      </c>
      <c r="C51" s="34"/>
      <c r="D51" s="36"/>
      <c r="E51" s="37"/>
      <c r="F51" s="37"/>
      <c r="G51" s="39"/>
      <c r="H51" s="39"/>
      <c r="K51" s="41"/>
    </row>
    <row r="52" spans="1:11" ht="15">
      <c r="A52" s="218"/>
      <c r="B52" s="239"/>
      <c r="C52" s="34" t="s">
        <v>11</v>
      </c>
      <c r="D52" s="36">
        <v>1</v>
      </c>
      <c r="E52" s="36">
        <f>E81</f>
        <v>15.6</v>
      </c>
      <c r="F52" s="36">
        <f>F81</f>
        <v>4.8</v>
      </c>
      <c r="G52" s="39">
        <v>0.2</v>
      </c>
      <c r="H52" s="39">
        <f>D52*E52*F52*G52</f>
        <v>14.975999999999999</v>
      </c>
      <c r="K52" s="41"/>
    </row>
    <row r="53" spans="1:11" ht="15">
      <c r="A53" s="218"/>
      <c r="B53" s="35"/>
      <c r="C53" s="34"/>
      <c r="D53" s="36"/>
      <c r="E53" s="37"/>
      <c r="F53" s="616" t="s">
        <v>65</v>
      </c>
      <c r="G53" s="616"/>
      <c r="H53" s="40">
        <f>ROUND(SUM(H43:H52),0)</f>
        <v>1009</v>
      </c>
      <c r="K53" s="41"/>
    </row>
    <row r="54" spans="1:11" ht="15">
      <c r="A54" s="218">
        <v>2.0499999999999998</v>
      </c>
      <c r="B54" s="118" t="s">
        <v>589</v>
      </c>
      <c r="C54" s="43"/>
      <c r="D54" s="44"/>
      <c r="E54" s="45"/>
      <c r="F54" s="46"/>
      <c r="G54" s="47"/>
      <c r="H54" s="47"/>
      <c r="K54" s="41"/>
    </row>
    <row r="55" spans="1:11" ht="15">
      <c r="A55" s="391">
        <v>3</v>
      </c>
      <c r="B55" s="239" t="s">
        <v>115</v>
      </c>
      <c r="C55" s="34" t="s">
        <v>16</v>
      </c>
      <c r="D55" s="36">
        <v>1</v>
      </c>
      <c r="E55" s="37">
        <f>J19</f>
        <v>83.5</v>
      </c>
      <c r="F55" s="38">
        <f>K19</f>
        <v>48</v>
      </c>
      <c r="G55" s="39"/>
      <c r="H55" s="39">
        <f>D55*E55*F55</f>
        <v>4008</v>
      </c>
      <c r="K55" s="41"/>
    </row>
    <row r="56" spans="1:11" ht="15">
      <c r="A56" s="218"/>
      <c r="B56" s="35"/>
      <c r="C56" s="34"/>
      <c r="D56" s="36"/>
      <c r="E56" s="37"/>
      <c r="F56" s="616" t="s">
        <v>65</v>
      </c>
      <c r="G56" s="616"/>
      <c r="H56" s="40">
        <f>ROUND(SUM(H55:H55),0)</f>
        <v>4008</v>
      </c>
      <c r="K56" s="41"/>
    </row>
    <row r="57" spans="1:11" ht="15">
      <c r="A57" s="391">
        <v>4</v>
      </c>
      <c r="B57" s="239" t="s">
        <v>17</v>
      </c>
      <c r="C57" s="43"/>
      <c r="D57" s="44"/>
      <c r="E57" s="45"/>
      <c r="F57" s="46"/>
      <c r="G57" s="47"/>
      <c r="H57" s="47"/>
      <c r="K57" s="41"/>
    </row>
    <row r="58" spans="1:11" ht="15">
      <c r="A58" s="218">
        <v>4.01</v>
      </c>
      <c r="B58" s="239" t="s">
        <v>117</v>
      </c>
      <c r="C58" s="34"/>
      <c r="D58" s="36"/>
      <c r="E58" s="37"/>
      <c r="F58" s="38"/>
      <c r="G58" s="39"/>
      <c r="H58" s="39"/>
      <c r="K58" s="41"/>
    </row>
    <row r="59" spans="1:11" ht="15">
      <c r="A59" s="218"/>
      <c r="B59" s="239" t="s">
        <v>112</v>
      </c>
      <c r="C59" s="34"/>
      <c r="D59" s="36"/>
      <c r="E59" s="37"/>
      <c r="F59" s="38"/>
      <c r="G59" s="39"/>
      <c r="H59" s="39"/>
      <c r="K59" s="41"/>
    </row>
    <row r="60" spans="1:11" ht="15">
      <c r="A60" s="218"/>
      <c r="B60" s="35" t="s">
        <v>98</v>
      </c>
      <c r="C60" s="34" t="s">
        <v>11</v>
      </c>
      <c r="D60" s="36">
        <f>D44</f>
        <v>4</v>
      </c>
      <c r="E60" s="37">
        <f t="shared" ref="E60:F63" si="9">E96+0.15*2</f>
        <v>3.3</v>
      </c>
      <c r="F60" s="37">
        <f t="shared" si="9"/>
        <v>3.8</v>
      </c>
      <c r="G60" s="339">
        <v>7.4999999999999997E-2</v>
      </c>
      <c r="H60" s="39">
        <f>D60*E60*F60*G60</f>
        <v>3.7619999999999996</v>
      </c>
      <c r="K60" s="41"/>
    </row>
    <row r="61" spans="1:11" ht="15">
      <c r="A61" s="218"/>
      <c r="B61" s="35" t="s">
        <v>99</v>
      </c>
      <c r="C61" s="34" t="s">
        <v>11</v>
      </c>
      <c r="D61" s="36">
        <f>D45</f>
        <v>22</v>
      </c>
      <c r="E61" s="37">
        <f t="shared" si="9"/>
        <v>2.8</v>
      </c>
      <c r="F61" s="37">
        <f t="shared" si="9"/>
        <v>3.3</v>
      </c>
      <c r="G61" s="339">
        <v>7.4999999999999997E-2</v>
      </c>
      <c r="H61" s="39">
        <f>D61*E61*F61*G61</f>
        <v>15.245999999999997</v>
      </c>
      <c r="K61" s="41"/>
    </row>
    <row r="62" spans="1:11" ht="15">
      <c r="A62" s="218"/>
      <c r="B62" s="35" t="s">
        <v>100</v>
      </c>
      <c r="C62" s="34" t="s">
        <v>11</v>
      </c>
      <c r="D62" s="36">
        <f>D46</f>
        <v>10</v>
      </c>
      <c r="E62" s="37">
        <f t="shared" si="9"/>
        <v>3.5</v>
      </c>
      <c r="F62" s="37">
        <f t="shared" si="9"/>
        <v>3.8</v>
      </c>
      <c r="G62" s="339">
        <v>7.4999999999999997E-2</v>
      </c>
      <c r="H62" s="39">
        <f>D62*E62*F62*G62</f>
        <v>9.9749999999999996</v>
      </c>
      <c r="K62" s="41"/>
    </row>
    <row r="63" spans="1:11" ht="15">
      <c r="A63" s="218"/>
      <c r="B63" s="35" t="s">
        <v>101</v>
      </c>
      <c r="C63" s="34" t="s">
        <v>11</v>
      </c>
      <c r="D63" s="36">
        <f>D47</f>
        <v>6</v>
      </c>
      <c r="E63" s="37">
        <f t="shared" si="9"/>
        <v>2.8</v>
      </c>
      <c r="F63" s="37">
        <f t="shared" si="9"/>
        <v>3.0999999999999996</v>
      </c>
      <c r="G63" s="339">
        <v>7.4999999999999997E-2</v>
      </c>
      <c r="H63" s="39">
        <f>D63*E63*F63*G63</f>
        <v>3.9059999999999988</v>
      </c>
      <c r="K63" s="41"/>
    </row>
    <row r="64" spans="1:11" ht="15">
      <c r="A64" s="218"/>
      <c r="B64" s="35" t="s">
        <v>102</v>
      </c>
      <c r="C64" s="34" t="s">
        <v>11</v>
      </c>
      <c r="D64" s="36">
        <f>D48</f>
        <v>0</v>
      </c>
      <c r="E64" s="37">
        <f>E100+0.15*2</f>
        <v>0.3</v>
      </c>
      <c r="F64" s="37">
        <f>F100+0.15*2</f>
        <v>0.3</v>
      </c>
      <c r="G64" s="339">
        <v>7.4999999999999997E-2</v>
      </c>
      <c r="H64" s="39">
        <f>D64*E64*F64*G64</f>
        <v>0</v>
      </c>
      <c r="K64" s="41"/>
    </row>
    <row r="65" spans="1:11" ht="15">
      <c r="A65" s="218"/>
      <c r="B65" s="106" t="s">
        <v>118</v>
      </c>
      <c r="C65" s="34"/>
      <c r="D65" s="36"/>
      <c r="E65" s="37"/>
      <c r="F65" s="38"/>
      <c r="G65" s="339"/>
      <c r="H65" s="39"/>
      <c r="K65" s="41"/>
    </row>
    <row r="66" spans="1:11" ht="15">
      <c r="A66" s="218"/>
      <c r="B66" s="106" t="s">
        <v>119</v>
      </c>
      <c r="C66" s="34" t="s">
        <v>11</v>
      </c>
      <c r="D66" s="36">
        <f>D116</f>
        <v>1</v>
      </c>
      <c r="E66" s="37">
        <f>E116</f>
        <v>179.5</v>
      </c>
      <c r="F66" s="38">
        <f>F116+0.05*2</f>
        <v>0.35</v>
      </c>
      <c r="G66" s="339">
        <v>7.4999999999999997E-2</v>
      </c>
      <c r="H66" s="39">
        <f>D66*E66*F66*G66</f>
        <v>4.7118749999999991</v>
      </c>
      <c r="K66" s="41"/>
    </row>
    <row r="67" spans="1:11" ht="15">
      <c r="A67" s="218"/>
      <c r="B67" s="106"/>
      <c r="C67" s="34"/>
      <c r="D67" s="36"/>
      <c r="E67" s="37"/>
      <c r="F67" s="38"/>
      <c r="G67" s="339"/>
      <c r="H67" s="39"/>
      <c r="K67" s="41"/>
    </row>
    <row r="68" spans="1:11" ht="15">
      <c r="A68" s="218"/>
      <c r="B68" s="106" t="s">
        <v>120</v>
      </c>
      <c r="C68" s="34" t="s">
        <v>11</v>
      </c>
      <c r="D68" s="36">
        <f>D81</f>
        <v>1</v>
      </c>
      <c r="E68" s="37">
        <f>E81</f>
        <v>15.6</v>
      </c>
      <c r="F68" s="38">
        <f>F81</f>
        <v>4.8</v>
      </c>
      <c r="G68" s="339">
        <v>7.4999999999999997E-2</v>
      </c>
      <c r="H68" s="39">
        <f>D68*E68*F68*G68</f>
        <v>5.6159999999999997</v>
      </c>
      <c r="K68" s="41"/>
    </row>
    <row r="69" spans="1:11" ht="15">
      <c r="A69" s="218"/>
      <c r="B69" s="239"/>
      <c r="C69" s="34"/>
      <c r="D69" s="36"/>
      <c r="E69" s="37"/>
      <c r="F69" s="663" t="s">
        <v>65</v>
      </c>
      <c r="G69" s="663"/>
      <c r="H69" s="40">
        <f>ROUND(SUM(H59:H68),0)</f>
        <v>43</v>
      </c>
      <c r="K69" s="41"/>
    </row>
    <row r="70" spans="1:11" ht="15">
      <c r="A70" s="42"/>
      <c r="B70" s="392"/>
      <c r="C70" s="43"/>
      <c r="D70" s="44"/>
      <c r="E70" s="45"/>
      <c r="F70" s="46"/>
      <c r="G70" s="47"/>
      <c r="H70" s="47"/>
      <c r="K70" s="41"/>
    </row>
    <row r="71" spans="1:11" ht="15">
      <c r="A71" s="218"/>
      <c r="B71" s="393" t="s">
        <v>320</v>
      </c>
      <c r="C71" s="34" t="s">
        <v>11</v>
      </c>
      <c r="D71" s="394">
        <v>0</v>
      </c>
      <c r="E71" s="98">
        <v>2.2000000000000002</v>
      </c>
      <c r="F71" s="98">
        <v>3</v>
      </c>
      <c r="G71" s="99">
        <v>0.4</v>
      </c>
      <c r="H71" s="395">
        <f>ROUND(D71*E71*F71*G71,0)</f>
        <v>0</v>
      </c>
      <c r="K71" s="41"/>
    </row>
    <row r="72" spans="1:11" ht="15">
      <c r="A72" s="42"/>
      <c r="B72" s="392"/>
      <c r="C72" s="43"/>
      <c r="D72" s="44"/>
      <c r="E72" s="45"/>
      <c r="F72" s="46"/>
      <c r="G72" s="47"/>
      <c r="H72" s="47"/>
      <c r="K72" s="41"/>
    </row>
    <row r="73" spans="1:11" ht="15">
      <c r="A73" s="218"/>
      <c r="B73" s="393" t="s">
        <v>590</v>
      </c>
      <c r="C73" s="34"/>
      <c r="D73" s="36"/>
      <c r="E73" s="37"/>
      <c r="F73" s="38"/>
      <c r="G73" s="39"/>
      <c r="H73" s="39"/>
      <c r="K73" s="41"/>
    </row>
    <row r="74" spans="1:11" ht="15">
      <c r="A74" s="218"/>
      <c r="B74" s="393" t="s">
        <v>123</v>
      </c>
      <c r="C74" s="34" t="s">
        <v>11</v>
      </c>
      <c r="D74" s="36">
        <v>1</v>
      </c>
      <c r="E74" s="37">
        <f>E50</f>
        <v>83.25</v>
      </c>
      <c r="F74" s="38">
        <f>F50</f>
        <v>47.75</v>
      </c>
      <c r="G74" s="39">
        <v>0.17</v>
      </c>
      <c r="H74" s="39">
        <f>D74*E74*F74*G74</f>
        <v>675.78187500000001</v>
      </c>
      <c r="K74" s="41"/>
    </row>
    <row r="75" spans="1:11" ht="15">
      <c r="A75" s="218"/>
      <c r="B75" s="120" t="s">
        <v>591</v>
      </c>
      <c r="C75" s="34"/>
      <c r="D75" s="36"/>
      <c r="E75" s="37"/>
      <c r="F75" s="38"/>
      <c r="G75" s="39"/>
      <c r="H75" s="39"/>
      <c r="K75" s="41"/>
    </row>
    <row r="76" spans="1:11" ht="15">
      <c r="A76" s="218"/>
      <c r="B76" s="35" t="s">
        <v>98</v>
      </c>
      <c r="C76" s="34" t="s">
        <v>11</v>
      </c>
      <c r="D76" s="36">
        <f>-D104</f>
        <v>-4</v>
      </c>
      <c r="E76" s="37">
        <f t="shared" ref="E76:F79" si="10">E104</f>
        <v>1.2</v>
      </c>
      <c r="F76" s="37">
        <f t="shared" si="10"/>
        <v>0.9</v>
      </c>
      <c r="G76" s="39">
        <v>0.2</v>
      </c>
      <c r="H76" s="39">
        <f t="shared" ref="H76:H81" si="11">D76*E76*F76*G76</f>
        <v>-0.8640000000000001</v>
      </c>
      <c r="K76" s="41"/>
    </row>
    <row r="77" spans="1:11" ht="15">
      <c r="A77" s="218"/>
      <c r="B77" s="35" t="s">
        <v>99</v>
      </c>
      <c r="C77" s="34" t="s">
        <v>11</v>
      </c>
      <c r="D77" s="36">
        <f>-D105</f>
        <v>-22</v>
      </c>
      <c r="E77" s="37">
        <f t="shared" si="10"/>
        <v>1.2</v>
      </c>
      <c r="F77" s="37">
        <f t="shared" si="10"/>
        <v>0.7</v>
      </c>
      <c r="G77" s="39">
        <v>0.2</v>
      </c>
      <c r="H77" s="39">
        <f t="shared" si="11"/>
        <v>-3.6959999999999997</v>
      </c>
      <c r="K77" s="41"/>
    </row>
    <row r="78" spans="1:11" ht="15">
      <c r="A78" s="218"/>
      <c r="B78" s="35" t="s">
        <v>100</v>
      </c>
      <c r="C78" s="34" t="s">
        <v>11</v>
      </c>
      <c r="D78" s="36">
        <f>-D106</f>
        <v>-10</v>
      </c>
      <c r="E78" s="37">
        <f t="shared" si="10"/>
        <v>1.2</v>
      </c>
      <c r="F78" s="37">
        <f t="shared" si="10"/>
        <v>0.4</v>
      </c>
      <c r="G78" s="39">
        <v>0.2</v>
      </c>
      <c r="H78" s="39">
        <f t="shared" si="11"/>
        <v>-0.96000000000000019</v>
      </c>
      <c r="K78" s="41"/>
    </row>
    <row r="79" spans="1:11" ht="15">
      <c r="A79" s="218"/>
      <c r="B79" s="35" t="s">
        <v>101</v>
      </c>
      <c r="C79" s="34" t="s">
        <v>11</v>
      </c>
      <c r="D79" s="36">
        <f>-D107</f>
        <v>-6</v>
      </c>
      <c r="E79" s="37">
        <f t="shared" si="10"/>
        <v>0.75</v>
      </c>
      <c r="F79" s="37">
        <f t="shared" si="10"/>
        <v>0.4</v>
      </c>
      <c r="G79" s="39">
        <v>1.2</v>
      </c>
      <c r="H79" s="39">
        <f t="shared" si="11"/>
        <v>-2.16</v>
      </c>
      <c r="K79" s="41"/>
    </row>
    <row r="80" spans="1:11" ht="15">
      <c r="A80" s="218"/>
      <c r="B80" s="35" t="s">
        <v>102</v>
      </c>
      <c r="C80" s="34" t="s">
        <v>11</v>
      </c>
      <c r="D80" s="36">
        <f>-D108</f>
        <v>0</v>
      </c>
      <c r="E80" s="37">
        <f>E108</f>
        <v>0.5</v>
      </c>
      <c r="F80" s="37">
        <f>F108</f>
        <v>0.5</v>
      </c>
      <c r="G80" s="39">
        <v>0.2</v>
      </c>
      <c r="H80" s="39">
        <f t="shared" si="11"/>
        <v>0</v>
      </c>
      <c r="K80" s="41"/>
    </row>
    <row r="81" spans="1:11" ht="15">
      <c r="A81" s="218"/>
      <c r="B81" s="118" t="s">
        <v>125</v>
      </c>
      <c r="C81" s="34" t="s">
        <v>11</v>
      </c>
      <c r="D81" s="36">
        <v>1</v>
      </c>
      <c r="E81" s="37">
        <v>15.6</v>
      </c>
      <c r="F81" s="37">
        <v>4.8</v>
      </c>
      <c r="G81" s="39">
        <v>0.15</v>
      </c>
      <c r="H81" s="39">
        <f t="shared" si="11"/>
        <v>11.231999999999999</v>
      </c>
      <c r="K81" s="41"/>
    </row>
    <row r="82" spans="1:11" ht="15">
      <c r="A82" s="218"/>
      <c r="B82" s="239"/>
      <c r="C82" s="34"/>
      <c r="D82" s="36"/>
      <c r="E82" s="37"/>
      <c r="F82" s="616" t="s">
        <v>65</v>
      </c>
      <c r="G82" s="616"/>
      <c r="H82" s="40">
        <f>ROUND(SUM(H74:H81),0)</f>
        <v>679</v>
      </c>
      <c r="K82" s="41"/>
    </row>
    <row r="83" spans="1:11" ht="15">
      <c r="A83" s="218"/>
      <c r="B83" s="239" t="s">
        <v>376</v>
      </c>
      <c r="C83" s="34"/>
      <c r="D83" s="36"/>
      <c r="E83" s="37"/>
      <c r="F83" s="38"/>
      <c r="G83" s="39"/>
      <c r="H83" s="39"/>
      <c r="K83" s="41"/>
    </row>
    <row r="84" spans="1:11" ht="15">
      <c r="A84" s="218"/>
      <c r="B84" s="120" t="s">
        <v>123</v>
      </c>
      <c r="C84" s="34" t="s">
        <v>16</v>
      </c>
      <c r="D84" s="36">
        <v>1</v>
      </c>
      <c r="E84" s="37">
        <f>E74</f>
        <v>83.25</v>
      </c>
      <c r="F84" s="37">
        <f>F74</f>
        <v>47.75</v>
      </c>
      <c r="G84" s="39"/>
      <c r="H84" s="39">
        <f>D84*E84*F84</f>
        <v>3975.1875</v>
      </c>
      <c r="K84" s="41"/>
    </row>
    <row r="85" spans="1:11" ht="15">
      <c r="A85" s="218"/>
      <c r="B85" s="120" t="s">
        <v>591</v>
      </c>
      <c r="C85" s="34"/>
      <c r="D85" s="36"/>
      <c r="E85" s="37"/>
      <c r="F85" s="38"/>
      <c r="G85" s="39"/>
      <c r="H85" s="39"/>
      <c r="K85" s="41"/>
    </row>
    <row r="86" spans="1:11" ht="15">
      <c r="A86" s="218"/>
      <c r="B86" s="35" t="s">
        <v>98</v>
      </c>
      <c r="C86" s="34" t="s">
        <v>16</v>
      </c>
      <c r="D86" s="36">
        <f>D76</f>
        <v>-4</v>
      </c>
      <c r="E86" s="37">
        <f t="shared" ref="D86:F91" si="12">E76</f>
        <v>1.2</v>
      </c>
      <c r="F86" s="37">
        <f t="shared" si="12"/>
        <v>0.9</v>
      </c>
      <c r="G86" s="39"/>
      <c r="H86" s="39">
        <f>D86*E86*F86</f>
        <v>-4.32</v>
      </c>
      <c r="K86" s="41"/>
    </row>
    <row r="87" spans="1:11" ht="15">
      <c r="A87" s="218"/>
      <c r="B87" s="35" t="s">
        <v>99</v>
      </c>
      <c r="C87" s="34" t="s">
        <v>16</v>
      </c>
      <c r="D87" s="36">
        <f t="shared" si="12"/>
        <v>-22</v>
      </c>
      <c r="E87" s="37">
        <f t="shared" si="12"/>
        <v>1.2</v>
      </c>
      <c r="F87" s="37">
        <f t="shared" si="12"/>
        <v>0.7</v>
      </c>
      <c r="G87" s="39"/>
      <c r="H87" s="39">
        <f t="shared" ref="H87:H91" si="13">D87*E87*F87</f>
        <v>-18.479999999999997</v>
      </c>
      <c r="K87" s="41"/>
    </row>
    <row r="88" spans="1:11" ht="15">
      <c r="A88" s="218"/>
      <c r="B88" s="35" t="s">
        <v>100</v>
      </c>
      <c r="C88" s="34" t="s">
        <v>16</v>
      </c>
      <c r="D88" s="36">
        <f t="shared" si="12"/>
        <v>-10</v>
      </c>
      <c r="E88" s="37">
        <f t="shared" si="12"/>
        <v>1.2</v>
      </c>
      <c r="F88" s="37">
        <f t="shared" si="12"/>
        <v>0.4</v>
      </c>
      <c r="G88" s="39"/>
      <c r="H88" s="39">
        <f t="shared" si="13"/>
        <v>-4.8000000000000007</v>
      </c>
      <c r="K88" s="41"/>
    </row>
    <row r="89" spans="1:11" ht="15">
      <c r="A89" s="218"/>
      <c r="B89" s="35" t="s">
        <v>101</v>
      </c>
      <c r="C89" s="34" t="s">
        <v>16</v>
      </c>
      <c r="D89" s="36">
        <f t="shared" si="12"/>
        <v>-6</v>
      </c>
      <c r="E89" s="37">
        <f t="shared" si="12"/>
        <v>0.75</v>
      </c>
      <c r="F89" s="37">
        <f t="shared" si="12"/>
        <v>0.4</v>
      </c>
      <c r="G89" s="39"/>
      <c r="H89" s="39">
        <f t="shared" si="13"/>
        <v>-1.8</v>
      </c>
      <c r="K89" s="41"/>
    </row>
    <row r="90" spans="1:11" ht="15">
      <c r="A90" s="218"/>
      <c r="B90" s="35" t="s">
        <v>102</v>
      </c>
      <c r="C90" s="34" t="s">
        <v>16</v>
      </c>
      <c r="D90" s="36">
        <f t="shared" si="12"/>
        <v>0</v>
      </c>
      <c r="E90" s="37">
        <f t="shared" si="12"/>
        <v>0.5</v>
      </c>
      <c r="F90" s="37">
        <f t="shared" si="12"/>
        <v>0.5</v>
      </c>
      <c r="G90" s="39"/>
      <c r="H90" s="39">
        <f t="shared" si="13"/>
        <v>0</v>
      </c>
      <c r="K90" s="41"/>
    </row>
    <row r="91" spans="1:11" ht="15">
      <c r="A91" s="218"/>
      <c r="B91" s="118" t="s">
        <v>125</v>
      </c>
      <c r="C91" s="34" t="s">
        <v>16</v>
      </c>
      <c r="D91" s="36">
        <f t="shared" si="12"/>
        <v>1</v>
      </c>
      <c r="E91" s="37">
        <f t="shared" si="12"/>
        <v>15.6</v>
      </c>
      <c r="F91" s="37">
        <f t="shared" si="12"/>
        <v>4.8</v>
      </c>
      <c r="G91" s="47"/>
      <c r="H91" s="39">
        <f t="shared" si="13"/>
        <v>74.88</v>
      </c>
      <c r="K91" s="41"/>
    </row>
    <row r="92" spans="1:11" ht="15">
      <c r="A92" s="218"/>
      <c r="B92" s="239"/>
      <c r="C92" s="34"/>
      <c r="D92" s="36"/>
      <c r="E92" s="37"/>
      <c r="F92" s="616" t="s">
        <v>65</v>
      </c>
      <c r="G92" s="616"/>
      <c r="H92" s="40">
        <f>ROUND(SUM(H83:H91),0)</f>
        <v>4021</v>
      </c>
      <c r="K92" s="41"/>
    </row>
    <row r="93" spans="1:11" ht="15">
      <c r="A93" s="42"/>
      <c r="B93" s="392"/>
      <c r="C93" s="43"/>
      <c r="D93" s="44"/>
      <c r="E93" s="45"/>
      <c r="F93" s="46"/>
      <c r="G93" s="47"/>
      <c r="H93" s="47"/>
      <c r="K93" s="41"/>
    </row>
    <row r="94" spans="1:11" ht="15">
      <c r="A94" s="218">
        <v>4.0199999999999996</v>
      </c>
      <c r="B94" s="239" t="s">
        <v>126</v>
      </c>
      <c r="C94" s="34"/>
      <c r="D94" s="36"/>
      <c r="E94" s="37"/>
      <c r="F94" s="38"/>
      <c r="G94" s="39"/>
      <c r="H94" s="39"/>
      <c r="K94" s="41"/>
    </row>
    <row r="95" spans="1:11" ht="15">
      <c r="A95" s="218"/>
      <c r="B95" s="239" t="s">
        <v>112</v>
      </c>
      <c r="C95" s="34"/>
      <c r="D95" s="36"/>
      <c r="E95" s="37"/>
      <c r="F95" s="38"/>
      <c r="G95" s="39"/>
      <c r="H95" s="39"/>
      <c r="K95" s="41"/>
    </row>
    <row r="96" spans="1:11" ht="15">
      <c r="A96" s="218"/>
      <c r="B96" s="35" t="s">
        <v>98</v>
      </c>
      <c r="C96" s="34" t="s">
        <v>11</v>
      </c>
      <c r="D96" s="36">
        <v>4</v>
      </c>
      <c r="E96" s="37">
        <v>3</v>
      </c>
      <c r="F96" s="38">
        <v>3.5</v>
      </c>
      <c r="G96" s="39">
        <v>0.8</v>
      </c>
      <c r="H96" s="39">
        <f t="shared" ref="H96:H100" si="14">D96*E96*F96*G96</f>
        <v>33.6</v>
      </c>
      <c r="K96" s="41"/>
    </row>
    <row r="97" spans="1:13" ht="15">
      <c r="A97" s="218"/>
      <c r="B97" s="35" t="s">
        <v>99</v>
      </c>
      <c r="C97" s="34" t="s">
        <v>11</v>
      </c>
      <c r="D97" s="36">
        <f>11*2</f>
        <v>22</v>
      </c>
      <c r="E97" s="37">
        <v>2.5</v>
      </c>
      <c r="F97" s="38">
        <v>3</v>
      </c>
      <c r="G97" s="39">
        <v>0.65</v>
      </c>
      <c r="H97" s="39">
        <f t="shared" si="14"/>
        <v>107.25</v>
      </c>
      <c r="K97" s="41"/>
    </row>
    <row r="98" spans="1:13" ht="15">
      <c r="A98" s="218"/>
      <c r="B98" s="35" t="s">
        <v>100</v>
      </c>
      <c r="C98" s="34" t="s">
        <v>11</v>
      </c>
      <c r="D98" s="36">
        <f>5*2</f>
        <v>10</v>
      </c>
      <c r="E98" s="37">
        <v>3.2</v>
      </c>
      <c r="F98" s="38">
        <v>3.5</v>
      </c>
      <c r="G98" s="39">
        <v>0.65</v>
      </c>
      <c r="H98" s="39">
        <f t="shared" si="14"/>
        <v>72.8</v>
      </c>
      <c r="K98" s="41"/>
    </row>
    <row r="99" spans="1:13" ht="15">
      <c r="A99" s="218"/>
      <c r="B99" s="35" t="s">
        <v>101</v>
      </c>
      <c r="C99" s="34" t="s">
        <v>11</v>
      </c>
      <c r="D99" s="36">
        <v>6</v>
      </c>
      <c r="E99" s="37">
        <v>2.5</v>
      </c>
      <c r="F99" s="38">
        <v>2.8</v>
      </c>
      <c r="G99" s="39">
        <v>0.65</v>
      </c>
      <c r="H99" s="39">
        <f t="shared" si="14"/>
        <v>27.3</v>
      </c>
      <c r="K99" s="41"/>
    </row>
    <row r="100" spans="1:13" ht="15">
      <c r="A100" s="218"/>
      <c r="B100" s="35" t="s">
        <v>102</v>
      </c>
      <c r="C100" s="34" t="s">
        <v>11</v>
      </c>
      <c r="D100" s="36">
        <v>0</v>
      </c>
      <c r="E100" s="37">
        <v>0</v>
      </c>
      <c r="F100" s="38">
        <v>0</v>
      </c>
      <c r="G100" s="39">
        <v>0</v>
      </c>
      <c r="H100" s="39">
        <f t="shared" si="14"/>
        <v>0</v>
      </c>
      <c r="K100" s="41"/>
    </row>
    <row r="101" spans="1:13" ht="15">
      <c r="A101" s="218"/>
      <c r="B101" s="239"/>
      <c r="C101" s="34"/>
      <c r="D101" s="36"/>
      <c r="E101" s="253"/>
      <c r="F101" s="616" t="s">
        <v>65</v>
      </c>
      <c r="G101" s="616"/>
      <c r="H101" s="40">
        <f>ROUND(SUM(H96:H100),0)</f>
        <v>241</v>
      </c>
      <c r="K101" s="48"/>
      <c r="L101" s="49"/>
      <c r="M101" s="49"/>
    </row>
    <row r="102" spans="1:13" ht="15">
      <c r="A102" s="218"/>
      <c r="B102" s="239"/>
      <c r="C102" s="34"/>
      <c r="D102" s="36"/>
      <c r="E102" s="253"/>
      <c r="F102" s="380"/>
      <c r="G102" s="380"/>
      <c r="H102" s="40"/>
      <c r="K102" s="48"/>
      <c r="L102" s="49"/>
      <c r="M102" s="49"/>
    </row>
    <row r="103" spans="1:13" ht="15">
      <c r="A103" s="218"/>
      <c r="B103" s="239" t="s">
        <v>127</v>
      </c>
      <c r="C103" s="34"/>
      <c r="D103" s="36"/>
      <c r="E103" s="37"/>
      <c r="F103" s="616"/>
      <c r="G103" s="616"/>
      <c r="H103" s="40"/>
      <c r="K103" s="41"/>
    </row>
    <row r="104" spans="1:13" ht="15">
      <c r="A104" s="218"/>
      <c r="B104" s="35" t="s">
        <v>128</v>
      </c>
      <c r="C104" s="34" t="s">
        <v>11</v>
      </c>
      <c r="D104" s="36">
        <f>D96</f>
        <v>4</v>
      </c>
      <c r="E104" s="37">
        <v>1.2</v>
      </c>
      <c r="F104" s="38">
        <v>0.9</v>
      </c>
      <c r="G104" s="39">
        <f>(1.5+0.6+1.3)-(0.075+G96)</f>
        <v>2.5250000000000004</v>
      </c>
      <c r="H104" s="39">
        <f>D104*E104*F104*G104</f>
        <v>10.908000000000003</v>
      </c>
      <c r="K104" s="50"/>
    </row>
    <row r="105" spans="1:13" ht="15">
      <c r="A105" s="218"/>
      <c r="B105" s="35" t="s">
        <v>129</v>
      </c>
      <c r="C105" s="34" t="s">
        <v>11</v>
      </c>
      <c r="D105" s="36">
        <f>D97</f>
        <v>22</v>
      </c>
      <c r="E105" s="37">
        <v>1.2</v>
      </c>
      <c r="F105" s="38">
        <v>0.7</v>
      </c>
      <c r="G105" s="39">
        <f>(1.5+0.6+1.3)-(0.075+G97)</f>
        <v>2.6750000000000003</v>
      </c>
      <c r="H105" s="39">
        <f>D105*E105*F105*G105</f>
        <v>49.433999999999997</v>
      </c>
      <c r="K105" s="50"/>
    </row>
    <row r="106" spans="1:13" ht="15">
      <c r="A106" s="218"/>
      <c r="B106" s="35" t="s">
        <v>130</v>
      </c>
      <c r="C106" s="34" t="s">
        <v>11</v>
      </c>
      <c r="D106" s="36">
        <f>D98</f>
        <v>10</v>
      </c>
      <c r="E106" s="37">
        <v>1.2</v>
      </c>
      <c r="F106" s="38">
        <v>0.4</v>
      </c>
      <c r="G106" s="39">
        <f>(1.5+0.6+1.3)-(0.075+G98)</f>
        <v>2.6750000000000003</v>
      </c>
      <c r="H106" s="39">
        <f>D106*E106*F106*G106</f>
        <v>12.840000000000003</v>
      </c>
      <c r="K106" s="41"/>
    </row>
    <row r="107" spans="1:13" ht="15">
      <c r="A107" s="218"/>
      <c r="B107" s="35" t="s">
        <v>131</v>
      </c>
      <c r="C107" s="34" t="s">
        <v>11</v>
      </c>
      <c r="D107" s="36">
        <f>D99</f>
        <v>6</v>
      </c>
      <c r="E107" s="37">
        <v>0.75</v>
      </c>
      <c r="F107" s="38">
        <v>0.4</v>
      </c>
      <c r="G107" s="39">
        <f>(1.5+0.6+1.3)-(0.075+G99)</f>
        <v>2.6750000000000003</v>
      </c>
      <c r="H107" s="39">
        <f>D107*E107*F107*G107</f>
        <v>4.8150000000000004</v>
      </c>
      <c r="K107" s="41"/>
    </row>
    <row r="108" spans="1:13" ht="15">
      <c r="A108" s="218"/>
      <c r="B108" s="35" t="s">
        <v>132</v>
      </c>
      <c r="C108" s="34" t="s">
        <v>11</v>
      </c>
      <c r="D108" s="36">
        <f>D100</f>
        <v>0</v>
      </c>
      <c r="E108" s="37">
        <v>0.5</v>
      </c>
      <c r="F108" s="38">
        <v>0.5</v>
      </c>
      <c r="G108" s="39">
        <f>(1.5+0.6+1.3)-(0.075+G100)</f>
        <v>3.3250000000000002</v>
      </c>
      <c r="H108" s="39">
        <f>D108*E108*F108*G108</f>
        <v>0</v>
      </c>
      <c r="K108" s="41"/>
    </row>
    <row r="109" spans="1:13" ht="15">
      <c r="A109" s="218"/>
      <c r="B109" s="35"/>
      <c r="C109" s="34"/>
      <c r="D109" s="36"/>
      <c r="E109" s="37"/>
      <c r="F109" s="616" t="s">
        <v>65</v>
      </c>
      <c r="G109" s="616"/>
      <c r="H109" s="40">
        <f>ROUND(SUM(H104:H108),0)</f>
        <v>78</v>
      </c>
      <c r="K109" s="41"/>
    </row>
    <row r="110" spans="1:13" ht="15">
      <c r="A110" s="218"/>
      <c r="B110" s="239" t="s">
        <v>133</v>
      </c>
      <c r="C110" s="34"/>
      <c r="D110" s="36"/>
      <c r="E110" s="37"/>
      <c r="F110" s="380"/>
      <c r="G110" s="380"/>
      <c r="H110" s="40"/>
      <c r="K110" s="41"/>
    </row>
    <row r="111" spans="1:13" ht="15">
      <c r="A111" s="218"/>
      <c r="B111" s="35" t="s">
        <v>592</v>
      </c>
      <c r="C111" s="34" t="s">
        <v>11</v>
      </c>
      <c r="D111" s="36">
        <v>46</v>
      </c>
      <c r="E111" s="37">
        <v>0.3</v>
      </c>
      <c r="F111" s="38">
        <v>0.3</v>
      </c>
      <c r="G111" s="39">
        <f>3+0.3</f>
        <v>3.3</v>
      </c>
      <c r="H111" s="39">
        <f>D111*E111*F111*G111</f>
        <v>13.661999999999999</v>
      </c>
      <c r="K111" s="41"/>
    </row>
    <row r="112" spans="1:13" ht="15">
      <c r="A112" s="218"/>
      <c r="B112" s="35"/>
      <c r="C112" s="34" t="s">
        <v>11</v>
      </c>
      <c r="D112" s="36"/>
      <c r="E112" s="37"/>
      <c r="F112" s="38"/>
      <c r="G112" s="39"/>
      <c r="H112" s="39"/>
      <c r="K112" s="41"/>
    </row>
    <row r="113" spans="1:11" ht="15">
      <c r="A113" s="218"/>
      <c r="B113" s="239"/>
      <c r="C113" s="34"/>
      <c r="D113" s="36"/>
      <c r="E113" s="37"/>
      <c r="F113" s="616" t="s">
        <v>65</v>
      </c>
      <c r="G113" s="616"/>
      <c r="H113" s="40">
        <f>ROUND(SUM(H111:H112),0)</f>
        <v>14</v>
      </c>
      <c r="K113" s="41"/>
    </row>
    <row r="114" spans="1:11" ht="15">
      <c r="A114" s="218"/>
      <c r="B114" s="239" t="s">
        <v>135</v>
      </c>
      <c r="C114" s="34"/>
      <c r="D114" s="36"/>
      <c r="E114" s="37"/>
      <c r="F114" s="38"/>
      <c r="G114" s="39"/>
      <c r="H114" s="39"/>
      <c r="K114" s="41"/>
    </row>
    <row r="115" spans="1:11" ht="15">
      <c r="A115" s="218" t="s">
        <v>10</v>
      </c>
      <c r="B115" s="106" t="s">
        <v>136</v>
      </c>
      <c r="C115" s="34"/>
      <c r="D115" s="36"/>
      <c r="E115" s="37"/>
      <c r="F115" s="38"/>
      <c r="G115" s="39"/>
      <c r="H115" s="39"/>
      <c r="K115" s="41"/>
    </row>
    <row r="116" spans="1:11" ht="15">
      <c r="A116" s="218"/>
      <c r="B116" s="106" t="s">
        <v>119</v>
      </c>
      <c r="C116" s="34" t="s">
        <v>11</v>
      </c>
      <c r="D116" s="36">
        <v>1</v>
      </c>
      <c r="E116" s="37">
        <f>1*J19+2*K19</f>
        <v>179.5</v>
      </c>
      <c r="F116" s="38">
        <v>0.25</v>
      </c>
      <c r="G116" s="39">
        <v>1.5</v>
      </c>
      <c r="H116" s="39">
        <f>D116*E116*F116*G116</f>
        <v>67.3125</v>
      </c>
      <c r="K116" s="41"/>
    </row>
    <row r="117" spans="1:11" ht="15">
      <c r="A117" s="218"/>
      <c r="B117" s="106"/>
      <c r="C117" s="34"/>
      <c r="D117" s="36"/>
      <c r="E117" s="37"/>
      <c r="F117" s="616" t="s">
        <v>65</v>
      </c>
      <c r="G117" s="616"/>
      <c r="H117" s="40">
        <f>ROUND(SUM(H115:H116),0)</f>
        <v>67</v>
      </c>
      <c r="K117" s="41"/>
    </row>
    <row r="118" spans="1:11" ht="15">
      <c r="A118" s="218"/>
      <c r="B118" s="106"/>
      <c r="C118" s="34"/>
      <c r="D118" s="36"/>
      <c r="E118" s="37"/>
      <c r="F118" s="380"/>
      <c r="G118" s="380"/>
      <c r="H118" s="40"/>
      <c r="K118" s="41"/>
    </row>
    <row r="119" spans="1:11" ht="15">
      <c r="A119" s="218" t="s">
        <v>12</v>
      </c>
      <c r="B119" s="106" t="s">
        <v>137</v>
      </c>
      <c r="C119" s="34"/>
      <c r="D119" s="36"/>
      <c r="E119" s="37"/>
      <c r="F119" s="38"/>
      <c r="G119" s="39"/>
      <c r="H119" s="39"/>
      <c r="K119" s="41"/>
    </row>
    <row r="120" spans="1:11" ht="15">
      <c r="A120" s="218"/>
      <c r="B120" s="106" t="s">
        <v>138</v>
      </c>
      <c r="C120" s="34" t="s">
        <v>11</v>
      </c>
      <c r="D120" s="36">
        <v>1</v>
      </c>
      <c r="E120" s="37">
        <f>E116</f>
        <v>179.5</v>
      </c>
      <c r="F120" s="38">
        <v>0.23</v>
      </c>
      <c r="G120" s="39">
        <v>0.45</v>
      </c>
      <c r="H120" s="39">
        <f>D120*E120*F120*G120</f>
        <v>18.578250000000001</v>
      </c>
      <c r="K120" s="41"/>
    </row>
    <row r="121" spans="1:11" ht="15">
      <c r="A121" s="218"/>
      <c r="B121" s="106" t="s">
        <v>139</v>
      </c>
      <c r="C121" s="34" t="s">
        <v>11</v>
      </c>
      <c r="D121" s="36"/>
      <c r="E121" s="37"/>
      <c r="F121" s="38"/>
      <c r="G121" s="39"/>
      <c r="H121" s="39"/>
      <c r="K121" s="41"/>
    </row>
    <row r="122" spans="1:11" ht="15">
      <c r="A122" s="218"/>
      <c r="B122" s="106" t="s">
        <v>140</v>
      </c>
      <c r="C122" s="34" t="s">
        <v>11</v>
      </c>
      <c r="D122" s="36"/>
      <c r="E122" s="37"/>
      <c r="F122" s="38"/>
      <c r="G122" s="39"/>
      <c r="H122" s="39"/>
      <c r="K122" s="41"/>
    </row>
    <row r="123" spans="1:11" ht="15">
      <c r="A123" s="218"/>
      <c r="B123" s="106" t="s">
        <v>141</v>
      </c>
      <c r="C123" s="34" t="s">
        <v>11</v>
      </c>
      <c r="D123" s="36"/>
      <c r="E123" s="37"/>
      <c r="F123" s="38"/>
      <c r="G123" s="39"/>
      <c r="H123" s="39"/>
      <c r="K123" s="41"/>
    </row>
    <row r="124" spans="1:11" ht="15">
      <c r="A124" s="218"/>
      <c r="B124" s="106" t="s">
        <v>142</v>
      </c>
      <c r="C124" s="34" t="s">
        <v>11</v>
      </c>
      <c r="D124" s="36"/>
      <c r="E124" s="37"/>
      <c r="F124" s="38"/>
      <c r="G124" s="39"/>
      <c r="H124" s="39"/>
      <c r="K124" s="41"/>
    </row>
    <row r="125" spans="1:11" ht="15">
      <c r="A125" s="218"/>
      <c r="B125" s="106"/>
      <c r="C125" s="34"/>
      <c r="D125" s="36"/>
      <c r="E125" s="37"/>
      <c r="F125" s="616" t="s">
        <v>65</v>
      </c>
      <c r="G125" s="616"/>
      <c r="H125" s="40">
        <f>ROUND(SUM(H119:H124),0)</f>
        <v>19</v>
      </c>
      <c r="K125" s="41"/>
    </row>
    <row r="126" spans="1:11" ht="15">
      <c r="A126" s="218"/>
      <c r="B126" s="239" t="s">
        <v>143</v>
      </c>
      <c r="C126" s="34"/>
      <c r="D126" s="36"/>
      <c r="E126" s="37"/>
      <c r="F126" s="38"/>
      <c r="G126" s="39"/>
      <c r="H126" s="39"/>
      <c r="K126" s="41"/>
    </row>
    <row r="127" spans="1:11" ht="15">
      <c r="A127" s="218"/>
      <c r="B127" s="35" t="s">
        <v>144</v>
      </c>
      <c r="C127" s="34" t="s">
        <v>11</v>
      </c>
      <c r="D127" s="36">
        <v>1</v>
      </c>
      <c r="E127" s="336">
        <v>4.5</v>
      </c>
      <c r="F127" s="38">
        <v>4.2</v>
      </c>
      <c r="G127" s="39">
        <v>0.15</v>
      </c>
      <c r="H127" s="39">
        <f>D127*E127*F127*G127</f>
        <v>2.8350000000000004</v>
      </c>
      <c r="K127" s="41"/>
    </row>
    <row r="128" spans="1:11" ht="15">
      <c r="A128" s="218"/>
      <c r="B128" s="35" t="s">
        <v>145</v>
      </c>
      <c r="C128" s="34" t="s">
        <v>11</v>
      </c>
      <c r="D128" s="36"/>
      <c r="E128" s="106"/>
      <c r="F128" s="106"/>
      <c r="G128" s="39"/>
      <c r="H128" s="39"/>
      <c r="K128" s="41"/>
    </row>
    <row r="129" spans="1:11" ht="15">
      <c r="A129" s="218"/>
      <c r="B129" s="35" t="s">
        <v>146</v>
      </c>
      <c r="C129" s="34" t="s">
        <v>11</v>
      </c>
      <c r="D129" s="36"/>
      <c r="E129" s="106"/>
      <c r="F129" s="106"/>
      <c r="G129" s="39"/>
      <c r="H129" s="39"/>
      <c r="K129" s="41"/>
    </row>
    <row r="130" spans="1:11" ht="15">
      <c r="A130" s="218"/>
      <c r="B130" s="35" t="s">
        <v>147</v>
      </c>
      <c r="C130" s="34" t="s">
        <v>11</v>
      </c>
      <c r="D130" s="36"/>
      <c r="E130" s="106"/>
      <c r="F130" s="106"/>
      <c r="G130" s="39"/>
      <c r="H130" s="39"/>
      <c r="K130" s="41"/>
    </row>
    <row r="131" spans="1:11" ht="15">
      <c r="A131" s="218"/>
      <c r="B131" s="35"/>
      <c r="C131" s="34"/>
      <c r="D131" s="36"/>
      <c r="E131" s="37"/>
      <c r="F131" s="616" t="s">
        <v>65</v>
      </c>
      <c r="G131" s="616"/>
      <c r="H131" s="40">
        <f>ROUND(SUM(H127:H130),0)</f>
        <v>3</v>
      </c>
      <c r="K131" s="41"/>
    </row>
    <row r="132" spans="1:11" ht="15">
      <c r="A132" s="42"/>
      <c r="B132" s="390"/>
      <c r="C132" s="43"/>
      <c r="D132" s="44"/>
      <c r="E132" s="45"/>
      <c r="F132" s="46"/>
      <c r="G132" s="47"/>
      <c r="H132" s="47"/>
      <c r="K132" s="41"/>
    </row>
    <row r="133" spans="1:11" ht="15">
      <c r="A133" s="380">
        <v>5</v>
      </c>
      <c r="B133" s="239" t="s">
        <v>148</v>
      </c>
      <c r="C133" s="34"/>
      <c r="D133" s="36"/>
      <c r="E133" s="37"/>
      <c r="F133" s="38"/>
      <c r="G133" s="39"/>
      <c r="H133" s="39"/>
      <c r="K133" s="41"/>
    </row>
    <row r="134" spans="1:11" ht="15">
      <c r="A134" s="218"/>
      <c r="B134" s="239" t="s">
        <v>112</v>
      </c>
      <c r="C134" s="34"/>
      <c r="D134" s="36"/>
      <c r="E134" s="37"/>
      <c r="F134" s="38"/>
      <c r="G134" s="39"/>
      <c r="H134" s="39"/>
      <c r="K134" s="41"/>
    </row>
    <row r="135" spans="1:11" ht="15">
      <c r="A135" s="218"/>
      <c r="B135" s="35" t="s">
        <v>98</v>
      </c>
      <c r="C135" s="34" t="s">
        <v>16</v>
      </c>
      <c r="D135" s="36">
        <f>D96</f>
        <v>4</v>
      </c>
      <c r="E135" s="37">
        <f>2*(E96+F96)</f>
        <v>13</v>
      </c>
      <c r="F135" s="38"/>
      <c r="G135" s="39">
        <f>G96</f>
        <v>0.8</v>
      </c>
      <c r="H135" s="39">
        <f>D135*E135*G135</f>
        <v>41.6</v>
      </c>
      <c r="K135" s="41"/>
    </row>
    <row r="136" spans="1:11" ht="15">
      <c r="A136" s="218"/>
      <c r="B136" s="35" t="s">
        <v>99</v>
      </c>
      <c r="C136" s="34" t="s">
        <v>16</v>
      </c>
      <c r="D136" s="36">
        <f>D97</f>
        <v>22</v>
      </c>
      <c r="E136" s="37">
        <f>2*(E97+F97)</f>
        <v>11</v>
      </c>
      <c r="F136" s="38"/>
      <c r="G136" s="39">
        <f>G97</f>
        <v>0.65</v>
      </c>
      <c r="H136" s="39">
        <f>D136*E136*G136</f>
        <v>157.30000000000001</v>
      </c>
      <c r="K136" s="41"/>
    </row>
    <row r="137" spans="1:11" ht="15">
      <c r="A137" s="218"/>
      <c r="B137" s="35" t="s">
        <v>100</v>
      </c>
      <c r="C137" s="34" t="s">
        <v>16</v>
      </c>
      <c r="D137" s="36">
        <f>D98</f>
        <v>10</v>
      </c>
      <c r="E137" s="37">
        <f>2*(E98+F98)</f>
        <v>13.4</v>
      </c>
      <c r="F137" s="38"/>
      <c r="G137" s="39">
        <f>G98</f>
        <v>0.65</v>
      </c>
      <c r="H137" s="39">
        <f>D137*E137*G137</f>
        <v>87.100000000000009</v>
      </c>
      <c r="K137" s="41"/>
    </row>
    <row r="138" spans="1:11" ht="15">
      <c r="A138" s="218"/>
      <c r="B138" s="35" t="s">
        <v>101</v>
      </c>
      <c r="C138" s="34" t="s">
        <v>16</v>
      </c>
      <c r="D138" s="36">
        <f>D99</f>
        <v>6</v>
      </c>
      <c r="E138" s="37">
        <f>2*(E99+F99)</f>
        <v>10.6</v>
      </c>
      <c r="F138" s="38"/>
      <c r="G138" s="39">
        <f>G99</f>
        <v>0.65</v>
      </c>
      <c r="H138" s="39">
        <f>D138*E138*G138</f>
        <v>41.339999999999996</v>
      </c>
      <c r="K138" s="41"/>
    </row>
    <row r="139" spans="1:11" ht="15">
      <c r="A139" s="218"/>
      <c r="B139" s="35" t="s">
        <v>102</v>
      </c>
      <c r="C139" s="34" t="s">
        <v>16</v>
      </c>
      <c r="D139" s="36">
        <f>D100</f>
        <v>0</v>
      </c>
      <c r="E139" s="37">
        <f>2*(E100+F100)</f>
        <v>0</v>
      </c>
      <c r="F139" s="38"/>
      <c r="G139" s="39">
        <f>G100</f>
        <v>0</v>
      </c>
      <c r="H139" s="39">
        <f>D139*E139*G139</f>
        <v>0</v>
      </c>
      <c r="K139" s="41"/>
    </row>
    <row r="140" spans="1:11" ht="15">
      <c r="A140" s="218"/>
      <c r="B140" s="35"/>
      <c r="C140" s="34"/>
      <c r="D140" s="36"/>
      <c r="E140" s="37"/>
      <c r="F140" s="616" t="s">
        <v>65</v>
      </c>
      <c r="G140" s="616"/>
      <c r="H140" s="40">
        <f>ROUND(SUM(H134:H139),0)</f>
        <v>327</v>
      </c>
      <c r="K140" s="41"/>
    </row>
    <row r="141" spans="1:11" ht="15">
      <c r="A141" s="42"/>
      <c r="B141" s="390"/>
      <c r="C141" s="43"/>
      <c r="D141" s="44"/>
      <c r="E141" s="45"/>
      <c r="F141" s="46"/>
      <c r="G141" s="47"/>
      <c r="H141" s="47"/>
      <c r="K141" s="41"/>
    </row>
    <row r="142" spans="1:11" ht="15">
      <c r="A142" s="218"/>
      <c r="B142" s="239" t="s">
        <v>127</v>
      </c>
      <c r="C142" s="34"/>
      <c r="D142" s="36"/>
      <c r="E142" s="37"/>
      <c r="F142" s="38"/>
      <c r="G142" s="39"/>
      <c r="H142" s="39"/>
      <c r="K142" s="41"/>
    </row>
    <row r="143" spans="1:11" ht="15">
      <c r="A143" s="218"/>
      <c r="B143" s="35" t="s">
        <v>98</v>
      </c>
      <c r="C143" s="34" t="s">
        <v>16</v>
      </c>
      <c r="D143" s="36">
        <f>D104</f>
        <v>4</v>
      </c>
      <c r="E143" s="37">
        <f>2*(E104+F104)</f>
        <v>4.2</v>
      </c>
      <c r="F143" s="38"/>
      <c r="G143" s="39">
        <f>G104</f>
        <v>2.5250000000000004</v>
      </c>
      <c r="H143" s="39">
        <f>D143*E143*G143</f>
        <v>42.420000000000009</v>
      </c>
      <c r="K143" s="41"/>
    </row>
    <row r="144" spans="1:11" ht="15">
      <c r="A144" s="218"/>
      <c r="B144" s="35" t="s">
        <v>99</v>
      </c>
      <c r="C144" s="34" t="s">
        <v>16</v>
      </c>
      <c r="D144" s="36">
        <f>D105</f>
        <v>22</v>
      </c>
      <c r="E144" s="37">
        <f>2*(E105+F105)</f>
        <v>3.8</v>
      </c>
      <c r="F144" s="38"/>
      <c r="G144" s="39">
        <f>G105</f>
        <v>2.6750000000000003</v>
      </c>
      <c r="H144" s="39">
        <f>D144*E144*G144</f>
        <v>223.63</v>
      </c>
      <c r="K144" s="41"/>
    </row>
    <row r="145" spans="1:11" ht="15">
      <c r="A145" s="218"/>
      <c r="B145" s="35" t="s">
        <v>100</v>
      </c>
      <c r="C145" s="34" t="s">
        <v>16</v>
      </c>
      <c r="D145" s="36">
        <f>D106</f>
        <v>10</v>
      </c>
      <c r="E145" s="37">
        <f>2*(E106+F106)</f>
        <v>3.2</v>
      </c>
      <c r="F145" s="38"/>
      <c r="G145" s="39">
        <f>G106</f>
        <v>2.6750000000000003</v>
      </c>
      <c r="H145" s="39">
        <f>D145*E145*G145</f>
        <v>85.600000000000009</v>
      </c>
      <c r="K145" s="41"/>
    </row>
    <row r="146" spans="1:11" ht="15">
      <c r="A146" s="218"/>
      <c r="B146" s="35" t="s">
        <v>101</v>
      </c>
      <c r="C146" s="34" t="s">
        <v>16</v>
      </c>
      <c r="D146" s="36">
        <f>D107</f>
        <v>6</v>
      </c>
      <c r="E146" s="37">
        <f>2*(E107+F107)</f>
        <v>2.2999999999999998</v>
      </c>
      <c r="F146" s="38"/>
      <c r="G146" s="39">
        <f>G107</f>
        <v>2.6750000000000003</v>
      </c>
      <c r="H146" s="39">
        <f>D146*E146*G146</f>
        <v>36.914999999999999</v>
      </c>
      <c r="I146" s="384">
        <f>D143+D144+D145+D146</f>
        <v>42</v>
      </c>
      <c r="K146" s="41"/>
    </row>
    <row r="147" spans="1:11" ht="15">
      <c r="A147" s="218"/>
      <c r="B147" s="35" t="s">
        <v>102</v>
      </c>
      <c r="C147" s="34" t="s">
        <v>16</v>
      </c>
      <c r="D147" s="36">
        <f>D108</f>
        <v>0</v>
      </c>
      <c r="E147" s="37">
        <f>2*(E108+F108)</f>
        <v>2</v>
      </c>
      <c r="F147" s="38"/>
      <c r="G147" s="39">
        <f>G108</f>
        <v>3.3250000000000002</v>
      </c>
      <c r="H147" s="39">
        <f>D147*E147*G147</f>
        <v>0</v>
      </c>
      <c r="K147" s="41"/>
    </row>
    <row r="148" spans="1:11" ht="15">
      <c r="A148" s="218"/>
      <c r="B148" s="35"/>
      <c r="C148" s="34"/>
      <c r="D148" s="36"/>
      <c r="E148" s="37"/>
      <c r="F148" s="616" t="s">
        <v>65</v>
      </c>
      <c r="G148" s="616"/>
      <c r="H148" s="40">
        <f>ROUND(SUM(H143:H147),0)</f>
        <v>389</v>
      </c>
      <c r="K148" s="41"/>
    </row>
    <row r="149" spans="1:11" ht="15">
      <c r="A149" s="218"/>
      <c r="B149" s="239" t="s">
        <v>133</v>
      </c>
      <c r="C149" s="34"/>
      <c r="D149" s="36"/>
      <c r="E149" s="37"/>
      <c r="F149" s="38"/>
      <c r="G149" s="39"/>
      <c r="H149" s="39"/>
      <c r="K149" s="41"/>
    </row>
    <row r="150" spans="1:11" ht="15">
      <c r="A150" s="218"/>
      <c r="B150" s="35" t="s">
        <v>593</v>
      </c>
      <c r="C150" s="34" t="s">
        <v>16</v>
      </c>
      <c r="D150" s="36">
        <f>D111</f>
        <v>46</v>
      </c>
      <c r="E150" s="37">
        <f>2*(E111+F111)</f>
        <v>1.2</v>
      </c>
      <c r="F150" s="38"/>
      <c r="G150" s="39">
        <f>G111</f>
        <v>3.3</v>
      </c>
      <c r="H150" s="39">
        <f>D150*E150*G150</f>
        <v>182.15999999999997</v>
      </c>
      <c r="K150" s="41"/>
    </row>
    <row r="151" spans="1:11" ht="15">
      <c r="A151" s="42"/>
      <c r="B151" s="35"/>
      <c r="C151" s="34" t="s">
        <v>16</v>
      </c>
      <c r="D151" s="36">
        <f>D112</f>
        <v>0</v>
      </c>
      <c r="E151" s="37">
        <f>2*(E112+F112)</f>
        <v>0</v>
      </c>
      <c r="F151" s="46"/>
      <c r="G151" s="39">
        <f>G112</f>
        <v>0</v>
      </c>
      <c r="H151" s="39">
        <f>D151*E151*G151</f>
        <v>0</v>
      </c>
      <c r="K151" s="41"/>
    </row>
    <row r="152" spans="1:11" ht="15">
      <c r="A152" s="42"/>
      <c r="B152" s="35"/>
      <c r="C152" s="34"/>
      <c r="D152" s="36"/>
      <c r="E152" s="37"/>
      <c r="F152" s="616" t="s">
        <v>65</v>
      </c>
      <c r="G152" s="616"/>
      <c r="H152" s="40">
        <f>ROUND(SUM(H149:H151),0)</f>
        <v>182</v>
      </c>
      <c r="K152" s="41"/>
    </row>
    <row r="153" spans="1:11" ht="15">
      <c r="A153" s="218"/>
      <c r="B153" s="239" t="s">
        <v>135</v>
      </c>
      <c r="C153" s="34"/>
      <c r="D153" s="36"/>
      <c r="E153" s="37"/>
      <c r="F153" s="616"/>
      <c r="G153" s="616"/>
      <c r="H153" s="40"/>
      <c r="K153" s="41"/>
    </row>
    <row r="154" spans="1:11" ht="15">
      <c r="A154" s="218"/>
      <c r="B154" s="106" t="s">
        <v>136</v>
      </c>
      <c r="C154" s="34"/>
      <c r="D154" s="36"/>
      <c r="E154" s="37"/>
      <c r="F154" s="38"/>
      <c r="G154" s="39"/>
      <c r="H154" s="39"/>
      <c r="K154" s="41"/>
    </row>
    <row r="155" spans="1:11" ht="15">
      <c r="A155" s="218"/>
      <c r="B155" s="106" t="s">
        <v>119</v>
      </c>
      <c r="C155" s="34" t="s">
        <v>16</v>
      </c>
      <c r="D155" s="36">
        <v>1</v>
      </c>
      <c r="E155" s="37">
        <f>E116*2</f>
        <v>359</v>
      </c>
      <c r="F155" s="38"/>
      <c r="G155" s="39">
        <f>G116</f>
        <v>1.5</v>
      </c>
      <c r="H155" s="39">
        <f>D155*E155*G155</f>
        <v>538.5</v>
      </c>
      <c r="K155" s="41"/>
    </row>
    <row r="156" spans="1:11" ht="15">
      <c r="A156" s="218"/>
      <c r="B156" s="106"/>
      <c r="C156" s="34"/>
      <c r="D156" s="36"/>
      <c r="E156" s="37"/>
      <c r="F156" s="616" t="s">
        <v>65</v>
      </c>
      <c r="G156" s="616"/>
      <c r="H156" s="40">
        <f>ROUND(SUM(H154:H155),0)</f>
        <v>539</v>
      </c>
      <c r="K156" s="41"/>
    </row>
    <row r="157" spans="1:11" ht="15">
      <c r="A157" s="218"/>
      <c r="B157" s="106"/>
      <c r="C157" s="34"/>
      <c r="D157" s="36"/>
      <c r="E157" s="37"/>
      <c r="F157" s="380"/>
      <c r="G157" s="380"/>
      <c r="H157" s="40"/>
      <c r="K157" s="41"/>
    </row>
    <row r="158" spans="1:11" ht="15">
      <c r="A158" s="218"/>
      <c r="B158" s="106" t="s">
        <v>137</v>
      </c>
      <c r="C158" s="34"/>
      <c r="D158" s="36"/>
      <c r="E158" s="37"/>
      <c r="F158" s="38"/>
      <c r="G158" s="39"/>
      <c r="H158" s="39"/>
      <c r="K158" s="41"/>
    </row>
    <row r="159" spans="1:11" ht="15">
      <c r="A159" s="218"/>
      <c r="B159" s="106" t="s">
        <v>138</v>
      </c>
      <c r="C159" s="34" t="s">
        <v>16</v>
      </c>
      <c r="D159" s="36">
        <f t="shared" ref="D159:E163" si="15">D120</f>
        <v>1</v>
      </c>
      <c r="E159" s="37">
        <f t="shared" si="15"/>
        <v>179.5</v>
      </c>
      <c r="F159" s="38"/>
      <c r="G159" s="39">
        <f>F120+2*G120</f>
        <v>1.1300000000000001</v>
      </c>
      <c r="H159" s="39">
        <f>D159*E159*G159</f>
        <v>202.83500000000001</v>
      </c>
      <c r="K159" s="41"/>
    </row>
    <row r="160" spans="1:11" ht="15">
      <c r="A160" s="218"/>
      <c r="B160" s="106" t="s">
        <v>139</v>
      </c>
      <c r="C160" s="34" t="s">
        <v>16</v>
      </c>
      <c r="D160" s="36">
        <f t="shared" si="15"/>
        <v>0</v>
      </c>
      <c r="E160" s="37">
        <f t="shared" si="15"/>
        <v>0</v>
      </c>
      <c r="F160" s="38"/>
      <c r="G160" s="39">
        <f>F121+2*G121</f>
        <v>0</v>
      </c>
      <c r="H160" s="39">
        <f>D160*E160*G160</f>
        <v>0</v>
      </c>
      <c r="K160" s="41"/>
    </row>
    <row r="161" spans="1:11" ht="15">
      <c r="A161" s="218"/>
      <c r="B161" s="106" t="s">
        <v>140</v>
      </c>
      <c r="C161" s="34" t="s">
        <v>16</v>
      </c>
      <c r="D161" s="36">
        <f t="shared" si="15"/>
        <v>0</v>
      </c>
      <c r="E161" s="37">
        <f t="shared" si="15"/>
        <v>0</v>
      </c>
      <c r="F161" s="38"/>
      <c r="G161" s="39">
        <f>F122+2*G122</f>
        <v>0</v>
      </c>
      <c r="H161" s="39">
        <f>D161*E161*G161</f>
        <v>0</v>
      </c>
      <c r="K161" s="41"/>
    </row>
    <row r="162" spans="1:11" ht="15">
      <c r="A162" s="218"/>
      <c r="B162" s="106" t="s">
        <v>141</v>
      </c>
      <c r="C162" s="34" t="s">
        <v>16</v>
      </c>
      <c r="D162" s="36">
        <f t="shared" si="15"/>
        <v>0</v>
      </c>
      <c r="E162" s="37">
        <f t="shared" si="15"/>
        <v>0</v>
      </c>
      <c r="F162" s="38"/>
      <c r="G162" s="39">
        <f>F123+2*G123</f>
        <v>0</v>
      </c>
      <c r="H162" s="39">
        <f>D162*E162*G162</f>
        <v>0</v>
      </c>
      <c r="K162" s="41"/>
    </row>
    <row r="163" spans="1:11" ht="15">
      <c r="A163" s="218"/>
      <c r="B163" s="106" t="s">
        <v>142</v>
      </c>
      <c r="C163" s="34" t="s">
        <v>16</v>
      </c>
      <c r="D163" s="36">
        <f t="shared" si="15"/>
        <v>0</v>
      </c>
      <c r="E163" s="37">
        <f t="shared" si="15"/>
        <v>0</v>
      </c>
      <c r="F163" s="38"/>
      <c r="G163" s="39">
        <f>F124+2*G124</f>
        <v>0</v>
      </c>
      <c r="H163" s="39">
        <f>D163*E163*G163</f>
        <v>0</v>
      </c>
      <c r="K163" s="41"/>
    </row>
    <row r="164" spans="1:11" ht="15">
      <c r="A164" s="218"/>
      <c r="B164" s="35"/>
      <c r="C164" s="34"/>
      <c r="D164" s="36"/>
      <c r="E164" s="37"/>
      <c r="F164" s="616" t="s">
        <v>65</v>
      </c>
      <c r="G164" s="616"/>
      <c r="H164" s="40">
        <f>ROUND(SUM(H158:H163),0)</f>
        <v>203</v>
      </c>
      <c r="K164" s="41"/>
    </row>
    <row r="165" spans="1:11" ht="15">
      <c r="A165" s="218"/>
      <c r="B165" s="239" t="s">
        <v>143</v>
      </c>
      <c r="C165" s="34"/>
      <c r="D165" s="36"/>
      <c r="E165" s="37"/>
      <c r="F165" s="38"/>
      <c r="G165" s="39"/>
      <c r="H165" s="39"/>
      <c r="K165" s="41"/>
    </row>
    <row r="166" spans="1:11" ht="15">
      <c r="A166" s="218"/>
      <c r="B166" s="35" t="s">
        <v>144</v>
      </c>
      <c r="C166" s="34" t="s">
        <v>16</v>
      </c>
      <c r="D166" s="36">
        <f t="shared" ref="D166:F169" si="16">D127</f>
        <v>1</v>
      </c>
      <c r="E166" s="340">
        <f t="shared" si="16"/>
        <v>4.5</v>
      </c>
      <c r="F166" s="255">
        <f t="shared" si="16"/>
        <v>4.2</v>
      </c>
      <c r="G166" s="39"/>
      <c r="H166" s="39">
        <f>D166*E166*F166</f>
        <v>18.900000000000002</v>
      </c>
      <c r="K166" s="41"/>
    </row>
    <row r="167" spans="1:11" ht="15">
      <c r="A167" s="218"/>
      <c r="B167" s="35" t="s">
        <v>145</v>
      </c>
      <c r="C167" s="34" t="s">
        <v>16</v>
      </c>
      <c r="D167" s="36">
        <f t="shared" si="16"/>
        <v>0</v>
      </c>
      <c r="E167" s="340">
        <f t="shared" si="16"/>
        <v>0</v>
      </c>
      <c r="F167" s="255">
        <f t="shared" si="16"/>
        <v>0</v>
      </c>
      <c r="G167" s="39"/>
      <c r="H167" s="39">
        <f>D167*E167*F167</f>
        <v>0</v>
      </c>
      <c r="K167" s="41"/>
    </row>
    <row r="168" spans="1:11" ht="15">
      <c r="A168" s="218"/>
      <c r="B168" s="35" t="s">
        <v>146</v>
      </c>
      <c r="C168" s="34" t="s">
        <v>16</v>
      </c>
      <c r="D168" s="36">
        <f t="shared" si="16"/>
        <v>0</v>
      </c>
      <c r="E168" s="340">
        <f t="shared" si="16"/>
        <v>0</v>
      </c>
      <c r="F168" s="255">
        <f t="shared" si="16"/>
        <v>0</v>
      </c>
      <c r="G168" s="39"/>
      <c r="H168" s="39">
        <f>D168*E168*F168</f>
        <v>0</v>
      </c>
      <c r="K168" s="41"/>
    </row>
    <row r="169" spans="1:11" ht="15">
      <c r="A169" s="218"/>
      <c r="B169" s="35" t="s">
        <v>147</v>
      </c>
      <c r="C169" s="34" t="s">
        <v>16</v>
      </c>
      <c r="D169" s="36">
        <f t="shared" si="16"/>
        <v>0</v>
      </c>
      <c r="E169" s="340">
        <f t="shared" si="16"/>
        <v>0</v>
      </c>
      <c r="F169" s="255">
        <f t="shared" si="16"/>
        <v>0</v>
      </c>
      <c r="G169" s="39"/>
      <c r="H169" s="39">
        <f>D169*E169*F169</f>
        <v>0</v>
      </c>
      <c r="K169" s="41"/>
    </row>
    <row r="170" spans="1:11" ht="15">
      <c r="A170" s="218"/>
      <c r="B170" s="35"/>
      <c r="C170" s="34"/>
      <c r="D170" s="36"/>
      <c r="E170" s="37"/>
      <c r="F170" s="616" t="s">
        <v>65</v>
      </c>
      <c r="G170" s="616"/>
      <c r="H170" s="40">
        <f>ROUND(SUM(H166:H169),0)</f>
        <v>19</v>
      </c>
      <c r="K170" s="41"/>
    </row>
    <row r="171" spans="1:11" ht="15">
      <c r="A171" s="42"/>
      <c r="B171" s="390"/>
      <c r="C171" s="43"/>
      <c r="D171" s="44"/>
      <c r="E171" s="45"/>
      <c r="F171" s="46"/>
      <c r="G171" s="47"/>
      <c r="H171" s="47"/>
      <c r="K171" s="41"/>
    </row>
    <row r="172" spans="1:11" ht="28.5">
      <c r="A172" s="159">
        <v>6</v>
      </c>
      <c r="B172" s="239" t="s">
        <v>149</v>
      </c>
      <c r="C172" s="34"/>
      <c r="D172" s="36"/>
      <c r="E172" s="37"/>
      <c r="F172" s="38"/>
      <c r="G172" s="39"/>
      <c r="H172" s="39"/>
      <c r="K172" s="41"/>
    </row>
    <row r="173" spans="1:11" ht="15" customHeight="1">
      <c r="A173" s="218"/>
      <c r="B173" s="240" t="s">
        <v>20</v>
      </c>
      <c r="C173" s="119" t="s">
        <v>23</v>
      </c>
      <c r="D173" s="36">
        <v>75</v>
      </c>
      <c r="E173" s="120" t="s">
        <v>150</v>
      </c>
      <c r="F173" s="38"/>
      <c r="G173" s="39"/>
      <c r="H173" s="39">
        <f>(D173*H101)/1000</f>
        <v>18.074999999999999</v>
      </c>
      <c r="K173" s="41"/>
    </row>
    <row r="174" spans="1:11" ht="15" customHeight="1">
      <c r="A174" s="218"/>
      <c r="B174" s="240" t="s">
        <v>151</v>
      </c>
      <c r="C174" s="119" t="s">
        <v>23</v>
      </c>
      <c r="D174" s="36">
        <v>120</v>
      </c>
      <c r="E174" s="120" t="s">
        <v>150</v>
      </c>
      <c r="F174" s="38"/>
      <c r="G174" s="39"/>
      <c r="H174" s="39">
        <f>(D174*H109)/1000</f>
        <v>9.36</v>
      </c>
      <c r="J174" s="384">
        <v>100</v>
      </c>
      <c r="K174" s="41"/>
    </row>
    <row r="175" spans="1:11" ht="15" customHeight="1">
      <c r="A175" s="218"/>
      <c r="B175" s="240" t="s">
        <v>34</v>
      </c>
      <c r="C175" s="119" t="s">
        <v>23</v>
      </c>
      <c r="D175" s="36">
        <v>120</v>
      </c>
      <c r="E175" s="120" t="s">
        <v>150</v>
      </c>
      <c r="F175" s="38"/>
      <c r="G175" s="39"/>
      <c r="H175" s="39">
        <f>(D175*H113)/1000</f>
        <v>1.68</v>
      </c>
      <c r="J175" s="384">
        <v>100</v>
      </c>
      <c r="K175" s="41"/>
    </row>
    <row r="176" spans="1:11" ht="15" customHeight="1">
      <c r="A176" s="218"/>
      <c r="B176" s="240" t="s">
        <v>136</v>
      </c>
      <c r="C176" s="119" t="s">
        <v>23</v>
      </c>
      <c r="D176" s="36">
        <v>125</v>
      </c>
      <c r="E176" s="120" t="s">
        <v>150</v>
      </c>
      <c r="F176" s="38"/>
      <c r="G176" s="39"/>
      <c r="H176" s="39">
        <f>(D176*H117)/1000</f>
        <v>8.375</v>
      </c>
      <c r="K176" s="41"/>
    </row>
    <row r="177" spans="1:11" ht="15" customHeight="1">
      <c r="A177" s="218"/>
      <c r="B177" s="240" t="s">
        <v>152</v>
      </c>
      <c r="C177" s="119" t="s">
        <v>23</v>
      </c>
      <c r="D177" s="36">
        <v>125</v>
      </c>
      <c r="E177" s="120" t="s">
        <v>150</v>
      </c>
      <c r="F177" s="38"/>
      <c r="G177" s="39"/>
      <c r="H177" s="39">
        <f>(D177*H125)/1000</f>
        <v>2.375</v>
      </c>
      <c r="K177" s="41"/>
    </row>
    <row r="178" spans="1:11" ht="15" customHeight="1">
      <c r="A178" s="218"/>
      <c r="B178" s="240" t="s">
        <v>35</v>
      </c>
      <c r="C178" s="119" t="s">
        <v>23</v>
      </c>
      <c r="D178" s="36">
        <v>100</v>
      </c>
      <c r="E178" s="120" t="s">
        <v>150</v>
      </c>
      <c r="F178" s="38"/>
      <c r="G178" s="39"/>
      <c r="H178" s="39">
        <f>(D178*H131)/1000</f>
        <v>0.3</v>
      </c>
      <c r="K178" s="41"/>
    </row>
    <row r="179" spans="1:11" ht="15" customHeight="1">
      <c r="A179" s="218"/>
      <c r="B179" s="240" t="s">
        <v>37</v>
      </c>
      <c r="C179" s="119" t="s">
        <v>23</v>
      </c>
      <c r="D179" s="328">
        <v>5.91</v>
      </c>
      <c r="E179" s="120" t="s">
        <v>153</v>
      </c>
      <c r="F179" s="38"/>
      <c r="G179" s="39"/>
      <c r="H179" s="39">
        <f>(D179*H293)/1000</f>
        <v>0</v>
      </c>
      <c r="K179" s="41"/>
    </row>
    <row r="180" spans="1:11" ht="15">
      <c r="A180" s="218"/>
      <c r="B180" s="35"/>
      <c r="C180" s="34"/>
      <c r="D180" s="36"/>
      <c r="E180" s="37"/>
      <c r="F180" s="616" t="s">
        <v>65</v>
      </c>
      <c r="G180" s="616"/>
      <c r="H180" s="40">
        <f>ROUND(SUM(H173:H179),0)</f>
        <v>40</v>
      </c>
      <c r="K180" s="41"/>
    </row>
    <row r="181" spans="1:11" ht="15">
      <c r="A181" s="218"/>
      <c r="B181" s="35"/>
      <c r="C181" s="34"/>
      <c r="D181" s="36"/>
      <c r="E181" s="37"/>
      <c r="F181" s="380"/>
      <c r="G181" s="380"/>
      <c r="H181" s="40"/>
      <c r="K181" s="41"/>
    </row>
    <row r="182" spans="1:11" ht="15">
      <c r="A182" s="218"/>
      <c r="B182" s="240" t="s">
        <v>154</v>
      </c>
      <c r="C182" s="119" t="s">
        <v>23</v>
      </c>
      <c r="D182" s="328">
        <v>7.85</v>
      </c>
      <c r="E182" s="120" t="s">
        <v>153</v>
      </c>
      <c r="F182" s="38"/>
      <c r="G182" s="39"/>
      <c r="H182" s="40">
        <f>(D182*H293)/1000</f>
        <v>0</v>
      </c>
      <c r="K182" s="41"/>
    </row>
    <row r="183" spans="1:11" ht="15">
      <c r="A183" s="218"/>
      <c r="B183" s="240"/>
      <c r="C183" s="119"/>
      <c r="D183" s="328"/>
      <c r="E183" s="120"/>
      <c r="F183" s="38"/>
      <c r="G183" s="39"/>
      <c r="H183" s="40"/>
      <c r="K183" s="41"/>
    </row>
    <row r="184" spans="1:11" ht="15">
      <c r="A184" s="218"/>
      <c r="B184" s="118" t="s">
        <v>19</v>
      </c>
      <c r="C184" s="119" t="s">
        <v>23</v>
      </c>
      <c r="D184" s="36">
        <v>35</v>
      </c>
      <c r="E184" s="120" t="s">
        <v>150</v>
      </c>
      <c r="F184" s="38"/>
      <c r="G184" s="39"/>
      <c r="H184" s="39">
        <f>(D184*H82)/1000</f>
        <v>23.765000000000001</v>
      </c>
      <c r="K184" s="41"/>
    </row>
    <row r="185" spans="1:11" ht="15">
      <c r="A185" s="218"/>
      <c r="B185" s="35"/>
      <c r="C185" s="34"/>
      <c r="D185" s="36"/>
      <c r="E185" s="37"/>
      <c r="F185" s="380"/>
      <c r="G185" s="380"/>
      <c r="H185" s="40"/>
      <c r="K185" s="41"/>
    </row>
    <row r="186" spans="1:11" ht="25.5">
      <c r="A186" s="159">
        <v>7</v>
      </c>
      <c r="B186" s="256" t="s">
        <v>155</v>
      </c>
      <c r="C186" s="318"/>
      <c r="D186" s="36"/>
      <c r="E186" s="37"/>
      <c r="F186" s="38"/>
      <c r="G186" s="39"/>
      <c r="H186" s="39"/>
      <c r="K186" s="41"/>
    </row>
    <row r="187" spans="1:11" ht="15">
      <c r="A187" s="218">
        <v>7.01</v>
      </c>
      <c r="B187" s="120" t="s">
        <v>123</v>
      </c>
      <c r="C187" s="318" t="s">
        <v>16</v>
      </c>
      <c r="D187" s="36">
        <f>D74</f>
        <v>1</v>
      </c>
      <c r="E187" s="36">
        <f>E74</f>
        <v>83.25</v>
      </c>
      <c r="F187" s="36">
        <f>F74</f>
        <v>47.75</v>
      </c>
      <c r="G187" s="39"/>
      <c r="H187" s="39">
        <f>D187*E187*F187</f>
        <v>3975.1875</v>
      </c>
      <c r="K187" s="41"/>
    </row>
    <row r="188" spans="1:11" ht="15">
      <c r="A188" s="218"/>
      <c r="B188" s="120" t="s">
        <v>591</v>
      </c>
      <c r="C188" s="318"/>
      <c r="D188" s="36"/>
      <c r="E188" s="36"/>
      <c r="F188" s="36"/>
      <c r="G188" s="39"/>
      <c r="H188" s="39"/>
      <c r="K188" s="41"/>
    </row>
    <row r="189" spans="1:11" ht="15">
      <c r="A189" s="218"/>
      <c r="B189" s="35" t="s">
        <v>98</v>
      </c>
      <c r="C189" s="318" t="s">
        <v>16</v>
      </c>
      <c r="D189" s="36">
        <f t="shared" ref="D189:F191" si="17">D76</f>
        <v>-4</v>
      </c>
      <c r="E189" s="36">
        <f t="shared" si="17"/>
        <v>1.2</v>
      </c>
      <c r="F189" s="36">
        <f t="shared" si="17"/>
        <v>0.9</v>
      </c>
      <c r="G189" s="39"/>
      <c r="H189" s="39">
        <f>D189*E189*F189</f>
        <v>-4.32</v>
      </c>
      <c r="K189" s="41"/>
    </row>
    <row r="190" spans="1:11" ht="15">
      <c r="A190" s="218"/>
      <c r="B190" s="35" t="s">
        <v>99</v>
      </c>
      <c r="C190" s="318" t="s">
        <v>16</v>
      </c>
      <c r="D190" s="36">
        <f t="shared" si="17"/>
        <v>-22</v>
      </c>
      <c r="E190" s="36">
        <f t="shared" si="17"/>
        <v>1.2</v>
      </c>
      <c r="F190" s="36">
        <f t="shared" si="17"/>
        <v>0.7</v>
      </c>
      <c r="G190" s="39"/>
      <c r="H190" s="39">
        <f>D190*E190*F190</f>
        <v>-18.479999999999997</v>
      </c>
      <c r="K190" s="41"/>
    </row>
    <row r="191" spans="1:11" ht="15">
      <c r="A191" s="218"/>
      <c r="B191" s="35" t="s">
        <v>100</v>
      </c>
      <c r="C191" s="318" t="s">
        <v>16</v>
      </c>
      <c r="D191" s="36">
        <f t="shared" si="17"/>
        <v>-10</v>
      </c>
      <c r="E191" s="36">
        <f t="shared" si="17"/>
        <v>1.2</v>
      </c>
      <c r="F191" s="36">
        <f t="shared" si="17"/>
        <v>0.4</v>
      </c>
      <c r="G191" s="39"/>
      <c r="H191" s="39">
        <f>D191*E191*F191</f>
        <v>-4.8000000000000007</v>
      </c>
      <c r="K191" s="41"/>
    </row>
    <row r="192" spans="1:11" ht="15">
      <c r="A192" s="218"/>
      <c r="B192" s="35" t="s">
        <v>101</v>
      </c>
      <c r="C192" s="318" t="s">
        <v>16</v>
      </c>
      <c r="D192" s="36">
        <f>D80</f>
        <v>0</v>
      </c>
      <c r="E192" s="36">
        <f>E80</f>
        <v>0.5</v>
      </c>
      <c r="F192" s="36">
        <f>F80</f>
        <v>0.5</v>
      </c>
      <c r="G192" s="39"/>
      <c r="H192" s="39">
        <f>D192*E192*F192</f>
        <v>0</v>
      </c>
      <c r="K192" s="41"/>
    </row>
    <row r="193" spans="1:11" ht="15">
      <c r="A193" s="218"/>
      <c r="B193" s="35" t="s">
        <v>102</v>
      </c>
      <c r="C193" s="318" t="s">
        <v>16</v>
      </c>
      <c r="D193" s="36">
        <f>D80</f>
        <v>0</v>
      </c>
      <c r="E193" s="36">
        <f>E80</f>
        <v>0.5</v>
      </c>
      <c r="F193" s="36">
        <f>F80</f>
        <v>0.5</v>
      </c>
      <c r="G193" s="39"/>
      <c r="H193" s="39">
        <f>D193*E193*F193</f>
        <v>0</v>
      </c>
      <c r="K193" s="41"/>
    </row>
    <row r="194" spans="1:11" ht="15">
      <c r="A194" s="218"/>
      <c r="B194" s="256"/>
      <c r="C194" s="34"/>
      <c r="D194" s="36"/>
      <c r="E194" s="37"/>
      <c r="F194" s="616" t="s">
        <v>65</v>
      </c>
      <c r="G194" s="616"/>
      <c r="H194" s="40">
        <f>ROUND(SUM(H187:H193),0)</f>
        <v>3948</v>
      </c>
      <c r="K194" s="41"/>
    </row>
    <row r="195" spans="1:11" ht="15">
      <c r="A195" s="42"/>
      <c r="B195" s="390"/>
      <c r="C195" s="43"/>
      <c r="D195" s="44"/>
      <c r="E195" s="45"/>
      <c r="F195" s="46"/>
      <c r="G195" s="47"/>
      <c r="H195" s="47"/>
      <c r="K195" s="41"/>
    </row>
    <row r="196" spans="1:11" ht="15">
      <c r="A196" s="218">
        <v>7.02</v>
      </c>
      <c r="B196" s="256" t="s">
        <v>157</v>
      </c>
      <c r="C196" s="34"/>
      <c r="D196" s="36"/>
      <c r="E196" s="37"/>
      <c r="F196" s="38"/>
      <c r="G196" s="39"/>
      <c r="H196" s="39"/>
      <c r="K196" s="41"/>
    </row>
    <row r="197" spans="1:11" ht="15">
      <c r="A197" s="218"/>
      <c r="B197" s="35" t="s">
        <v>128</v>
      </c>
      <c r="C197" s="34" t="s">
        <v>27</v>
      </c>
      <c r="D197" s="36">
        <f>D104</f>
        <v>4</v>
      </c>
      <c r="E197" s="37">
        <f>E143</f>
        <v>4.2</v>
      </c>
      <c r="F197" s="38"/>
      <c r="G197" s="39"/>
      <c r="H197" s="39">
        <f>D197*E197</f>
        <v>16.8</v>
      </c>
      <c r="K197" s="41"/>
    </row>
    <row r="198" spans="1:11" ht="15">
      <c r="A198" s="218"/>
      <c r="B198" s="35" t="s">
        <v>129</v>
      </c>
      <c r="C198" s="34" t="s">
        <v>27</v>
      </c>
      <c r="D198" s="36">
        <f>D105</f>
        <v>22</v>
      </c>
      <c r="E198" s="37">
        <f t="shared" ref="E198:E201" si="18">E144</f>
        <v>3.8</v>
      </c>
      <c r="F198" s="38"/>
      <c r="G198" s="39"/>
      <c r="H198" s="39">
        <f>D198*E198</f>
        <v>83.6</v>
      </c>
      <c r="K198" s="41"/>
    </row>
    <row r="199" spans="1:11" ht="15">
      <c r="A199" s="218"/>
      <c r="B199" s="35" t="s">
        <v>130</v>
      </c>
      <c r="C199" s="34" t="s">
        <v>27</v>
      </c>
      <c r="D199" s="36">
        <f>D106</f>
        <v>10</v>
      </c>
      <c r="E199" s="37">
        <f t="shared" si="18"/>
        <v>3.2</v>
      </c>
      <c r="F199" s="38"/>
      <c r="G199" s="39"/>
      <c r="H199" s="39">
        <f>D199*E199</f>
        <v>32</v>
      </c>
      <c r="K199" s="41"/>
    </row>
    <row r="200" spans="1:11" ht="15">
      <c r="A200" s="218"/>
      <c r="B200" s="35" t="s">
        <v>131</v>
      </c>
      <c r="C200" s="34" t="s">
        <v>27</v>
      </c>
      <c r="D200" s="36">
        <f>D107</f>
        <v>6</v>
      </c>
      <c r="E200" s="37">
        <f t="shared" si="18"/>
        <v>2.2999999999999998</v>
      </c>
      <c r="F200" s="38"/>
      <c r="G200" s="39"/>
      <c r="H200" s="39">
        <f>D200*E200</f>
        <v>13.799999999999999</v>
      </c>
      <c r="K200" s="41"/>
    </row>
    <row r="201" spans="1:11" ht="15">
      <c r="A201" s="218"/>
      <c r="B201" s="35" t="s">
        <v>132</v>
      </c>
      <c r="C201" s="34" t="s">
        <v>27</v>
      </c>
      <c r="D201" s="36">
        <f>D108</f>
        <v>0</v>
      </c>
      <c r="E201" s="37">
        <f t="shared" si="18"/>
        <v>2</v>
      </c>
      <c r="F201" s="38"/>
      <c r="G201" s="39"/>
      <c r="H201" s="39">
        <f>D201*E201</f>
        <v>0</v>
      </c>
      <c r="K201" s="41"/>
    </row>
    <row r="202" spans="1:11" ht="15">
      <c r="A202" s="218"/>
      <c r="B202" s="35" t="s">
        <v>594</v>
      </c>
      <c r="C202" s="34" t="s">
        <v>27</v>
      </c>
      <c r="D202" s="36">
        <v>1</v>
      </c>
      <c r="E202" s="37">
        <f>J19+2*K19</f>
        <v>179.5</v>
      </c>
      <c r="F202" s="38"/>
      <c r="G202" s="39"/>
      <c r="H202" s="39">
        <f>E202</f>
        <v>179.5</v>
      </c>
      <c r="K202" s="41"/>
    </row>
    <row r="203" spans="1:11" ht="15">
      <c r="A203" s="218"/>
      <c r="B203" s="35"/>
      <c r="C203" s="34"/>
      <c r="D203" s="36"/>
      <c r="E203" s="37"/>
      <c r="F203" s="616" t="s">
        <v>65</v>
      </c>
      <c r="G203" s="616"/>
      <c r="H203" s="40">
        <f>ROUND(SUM(H196:H202),0)</f>
        <v>326</v>
      </c>
      <c r="K203" s="41"/>
    </row>
    <row r="204" spans="1:11" ht="15">
      <c r="A204" s="42"/>
      <c r="B204" s="390"/>
      <c r="C204" s="43"/>
      <c r="D204" s="44"/>
      <c r="E204" s="45"/>
      <c r="F204" s="380"/>
      <c r="G204" s="380"/>
      <c r="H204" s="40"/>
      <c r="K204" s="41"/>
    </row>
    <row r="205" spans="1:11" ht="15">
      <c r="A205" s="218">
        <v>7.03</v>
      </c>
      <c r="B205" s="256" t="s">
        <v>595</v>
      </c>
      <c r="C205" s="34"/>
      <c r="D205" s="36"/>
      <c r="E205" s="37"/>
      <c r="F205" s="38"/>
      <c r="G205" s="39"/>
      <c r="H205" s="39"/>
      <c r="K205" s="41"/>
    </row>
    <row r="206" spans="1:11" ht="15">
      <c r="A206" s="218"/>
      <c r="B206" s="35" t="s">
        <v>128</v>
      </c>
      <c r="C206" s="318" t="s">
        <v>16</v>
      </c>
      <c r="D206" s="36">
        <f>D104</f>
        <v>4</v>
      </c>
      <c r="E206" s="37">
        <f>E197</f>
        <v>4.2</v>
      </c>
      <c r="F206" s="38"/>
      <c r="G206" s="39">
        <f>G74</f>
        <v>0.17</v>
      </c>
      <c r="H206" s="39">
        <f>D206*E206*G206</f>
        <v>2.8560000000000003</v>
      </c>
      <c r="K206" s="41"/>
    </row>
    <row r="207" spans="1:11" ht="15">
      <c r="A207" s="218"/>
      <c r="B207" s="35" t="s">
        <v>129</v>
      </c>
      <c r="C207" s="318" t="s">
        <v>16</v>
      </c>
      <c r="D207" s="36">
        <f>D105</f>
        <v>22</v>
      </c>
      <c r="E207" s="37">
        <f>E198</f>
        <v>3.8</v>
      </c>
      <c r="F207" s="38"/>
      <c r="G207" s="39">
        <f>G206</f>
        <v>0.17</v>
      </c>
      <c r="H207" s="39">
        <f>D207*E207*G207</f>
        <v>14.212</v>
      </c>
      <c r="K207" s="41"/>
    </row>
    <row r="208" spans="1:11" ht="15">
      <c r="A208" s="218"/>
      <c r="B208" s="35" t="s">
        <v>130</v>
      </c>
      <c r="C208" s="318" t="s">
        <v>16</v>
      </c>
      <c r="D208" s="36">
        <f>D106</f>
        <v>10</v>
      </c>
      <c r="E208" s="37">
        <f>E199</f>
        <v>3.2</v>
      </c>
      <c r="F208" s="38"/>
      <c r="G208" s="39">
        <f>G207</f>
        <v>0.17</v>
      </c>
      <c r="H208" s="39">
        <f>D208*E208*G208</f>
        <v>5.44</v>
      </c>
      <c r="K208" s="41"/>
    </row>
    <row r="209" spans="1:12" ht="15">
      <c r="A209" s="218"/>
      <c r="B209" s="35" t="s">
        <v>131</v>
      </c>
      <c r="C209" s="318" t="s">
        <v>16</v>
      </c>
      <c r="D209" s="36">
        <f>D107</f>
        <v>6</v>
      </c>
      <c r="E209" s="37">
        <f>E200</f>
        <v>2.2999999999999998</v>
      </c>
      <c r="F209" s="38"/>
      <c r="G209" s="39">
        <f>G208</f>
        <v>0.17</v>
      </c>
      <c r="H209" s="39">
        <f>D209*E209*G209</f>
        <v>2.3460000000000001</v>
      </c>
      <c r="K209" s="41"/>
    </row>
    <row r="210" spans="1:12" ht="15">
      <c r="A210" s="218"/>
      <c r="B210" s="35" t="s">
        <v>132</v>
      </c>
      <c r="C210" s="318" t="s">
        <v>16</v>
      </c>
      <c r="D210" s="36">
        <f>D108</f>
        <v>0</v>
      </c>
      <c r="E210" s="37">
        <f>E201</f>
        <v>2</v>
      </c>
      <c r="F210" s="38"/>
      <c r="G210" s="39">
        <f>G208</f>
        <v>0.17</v>
      </c>
      <c r="H210" s="39">
        <f>D210*E210*G210</f>
        <v>0</v>
      </c>
      <c r="K210" s="41"/>
    </row>
    <row r="211" spans="1:12" ht="15">
      <c r="A211" s="218"/>
      <c r="B211" s="35"/>
      <c r="C211" s="34"/>
      <c r="D211" s="36"/>
      <c r="E211" s="37"/>
      <c r="F211" s="616" t="s">
        <v>65</v>
      </c>
      <c r="G211" s="616"/>
      <c r="H211" s="40">
        <f>ROUND(SUM(H206:H210),0)</f>
        <v>25</v>
      </c>
      <c r="K211" s="41"/>
    </row>
    <row r="212" spans="1:12" ht="15">
      <c r="A212" s="42"/>
      <c r="B212" s="390"/>
      <c r="C212" s="43"/>
      <c r="D212" s="44"/>
      <c r="E212" s="45"/>
      <c r="F212" s="46"/>
      <c r="G212" s="47"/>
      <c r="H212" s="47"/>
      <c r="K212" s="41"/>
    </row>
    <row r="213" spans="1:12" ht="15">
      <c r="A213" s="218">
        <v>8</v>
      </c>
      <c r="B213" s="256" t="s">
        <v>159</v>
      </c>
      <c r="C213" s="34"/>
      <c r="D213" s="36"/>
      <c r="E213" s="37"/>
      <c r="F213" s="38"/>
      <c r="G213" s="39"/>
      <c r="H213" s="39"/>
      <c r="K213" s="41"/>
    </row>
    <row r="214" spans="1:12" ht="15">
      <c r="A214" s="218"/>
      <c r="B214" s="35" t="s">
        <v>128</v>
      </c>
      <c r="C214" s="34" t="s">
        <v>11</v>
      </c>
      <c r="D214" s="36">
        <f>D143</f>
        <v>4</v>
      </c>
      <c r="E214" s="37">
        <v>0.75</v>
      </c>
      <c r="F214" s="38">
        <v>0.45</v>
      </c>
      <c r="G214" s="339">
        <v>0.05</v>
      </c>
      <c r="H214" s="39">
        <f>D214*E214*F214*G214</f>
        <v>6.7500000000000004E-2</v>
      </c>
      <c r="K214" s="41"/>
    </row>
    <row r="215" spans="1:12" ht="15">
      <c r="A215" s="218"/>
      <c r="B215" s="35" t="s">
        <v>129</v>
      </c>
      <c r="C215" s="34" t="s">
        <v>11</v>
      </c>
      <c r="D215" s="36">
        <f>D144</f>
        <v>22</v>
      </c>
      <c r="E215" s="37">
        <v>0.75</v>
      </c>
      <c r="F215" s="38">
        <v>0.45</v>
      </c>
      <c r="G215" s="339">
        <v>0.05</v>
      </c>
      <c r="H215" s="39">
        <f>D215*E215*F215*G215</f>
        <v>0.37125000000000002</v>
      </c>
      <c r="K215" s="41"/>
    </row>
    <row r="216" spans="1:12" ht="15">
      <c r="A216" s="218"/>
      <c r="B216" s="35" t="s">
        <v>130</v>
      </c>
      <c r="C216" s="34" t="s">
        <v>11</v>
      </c>
      <c r="D216" s="36">
        <f>D145</f>
        <v>10</v>
      </c>
      <c r="E216" s="37">
        <v>0.9</v>
      </c>
      <c r="F216" s="38">
        <v>0.55000000000000004</v>
      </c>
      <c r="G216" s="339">
        <v>0.05</v>
      </c>
      <c r="H216" s="39">
        <f>D216*E216*F216*G216</f>
        <v>0.24750000000000003</v>
      </c>
      <c r="K216" s="41"/>
    </row>
    <row r="217" spans="1:12" ht="15">
      <c r="A217" s="218"/>
      <c r="B217" s="35" t="s">
        <v>131</v>
      </c>
      <c r="C217" s="34" t="s">
        <v>11</v>
      </c>
      <c r="D217" s="36">
        <f>D146</f>
        <v>6</v>
      </c>
      <c r="E217" s="37">
        <v>0.65</v>
      </c>
      <c r="F217" s="38">
        <v>0.3</v>
      </c>
      <c r="G217" s="339">
        <v>0.05</v>
      </c>
      <c r="H217" s="39">
        <f>D217*E217*F217*G217</f>
        <v>5.850000000000001E-2</v>
      </c>
      <c r="K217" s="41"/>
    </row>
    <row r="218" spans="1:12" ht="15">
      <c r="A218" s="218"/>
      <c r="B218" s="35" t="s">
        <v>132</v>
      </c>
      <c r="C218" s="34" t="s">
        <v>11</v>
      </c>
      <c r="D218" s="36">
        <v>0</v>
      </c>
      <c r="E218" s="37">
        <v>0</v>
      </c>
      <c r="F218" s="38">
        <v>0</v>
      </c>
      <c r="G218" s="339">
        <v>0</v>
      </c>
      <c r="H218" s="39">
        <f>D218*E218*F218*G218</f>
        <v>0</v>
      </c>
      <c r="K218" s="41"/>
    </row>
    <row r="219" spans="1:12" ht="15">
      <c r="A219" s="218"/>
      <c r="B219" s="35"/>
      <c r="C219" s="34"/>
      <c r="D219" s="36"/>
      <c r="E219" s="37"/>
      <c r="F219" s="616" t="s">
        <v>65</v>
      </c>
      <c r="G219" s="616"/>
      <c r="H219" s="40">
        <f>ROUND(SUM(H214:H218),0)</f>
        <v>1</v>
      </c>
      <c r="K219" s="41"/>
    </row>
    <row r="220" spans="1:12" ht="15">
      <c r="A220" s="218"/>
      <c r="B220" s="35"/>
      <c r="C220" s="34"/>
      <c r="D220" s="36"/>
      <c r="E220" s="37"/>
      <c r="F220" s="380"/>
      <c r="G220" s="380"/>
      <c r="H220" s="40"/>
      <c r="K220" s="41"/>
    </row>
    <row r="221" spans="1:12" ht="45">
      <c r="A221" s="159">
        <v>9</v>
      </c>
      <c r="B221" s="256" t="s">
        <v>160</v>
      </c>
      <c r="C221" s="34"/>
      <c r="D221" s="228" t="s">
        <v>161</v>
      </c>
      <c r="E221" s="98" t="s">
        <v>162</v>
      </c>
      <c r="F221" s="319" t="s">
        <v>163</v>
      </c>
      <c r="G221" s="98" t="s">
        <v>164</v>
      </c>
      <c r="H221" s="254"/>
      <c r="K221" s="51"/>
      <c r="L221" s="192"/>
    </row>
    <row r="222" spans="1:12" ht="15">
      <c r="A222" s="159"/>
      <c r="B222" s="256" t="s">
        <v>165</v>
      </c>
      <c r="C222" s="34"/>
      <c r="D222" s="228"/>
      <c r="E222" s="98"/>
      <c r="F222" s="319"/>
      <c r="G222" s="98"/>
      <c r="H222" s="254"/>
      <c r="K222" s="50">
        <f>(12^2)/162</f>
        <v>0.88888888888888884</v>
      </c>
    </row>
    <row r="223" spans="1:12" ht="15">
      <c r="A223" s="218"/>
      <c r="B223" s="35" t="s">
        <v>596</v>
      </c>
      <c r="C223" s="34" t="s">
        <v>23</v>
      </c>
      <c r="D223" s="36">
        <v>0</v>
      </c>
      <c r="E223" s="37">
        <v>18</v>
      </c>
      <c r="F223" s="38">
        <v>1</v>
      </c>
      <c r="G223" s="39">
        <v>3.86</v>
      </c>
      <c r="H223" s="339">
        <f>(D223*E223*F223*G223)/1000</f>
        <v>0</v>
      </c>
      <c r="K223" s="50">
        <f>(16^2)/162</f>
        <v>1.5802469135802468</v>
      </c>
    </row>
    <row r="224" spans="1:12" ht="15">
      <c r="A224" s="218"/>
      <c r="B224" s="35" t="s">
        <v>597</v>
      </c>
      <c r="C224" s="34" t="s">
        <v>23</v>
      </c>
      <c r="D224" s="36">
        <v>0</v>
      </c>
      <c r="E224" s="37">
        <v>16</v>
      </c>
      <c r="F224" s="38">
        <v>1</v>
      </c>
      <c r="G224" s="39">
        <v>4.84</v>
      </c>
      <c r="H224" s="39">
        <f t="shared" ref="H224:H226" si="19">(D224*E224*F224*G224)/1000</f>
        <v>0</v>
      </c>
      <c r="K224" s="41"/>
    </row>
    <row r="225" spans="1:11" ht="15">
      <c r="A225" s="218"/>
      <c r="B225" s="35" t="s">
        <v>598</v>
      </c>
      <c r="C225" s="34" t="s">
        <v>23</v>
      </c>
      <c r="D225" s="36">
        <v>0</v>
      </c>
      <c r="E225" s="37">
        <v>16</v>
      </c>
      <c r="F225" s="38">
        <v>0.8</v>
      </c>
      <c r="G225" s="39">
        <v>1.58</v>
      </c>
      <c r="H225" s="39">
        <f t="shared" si="19"/>
        <v>0</v>
      </c>
      <c r="K225" s="41"/>
    </row>
    <row r="226" spans="1:11" ht="15">
      <c r="A226" s="218"/>
      <c r="B226" s="35" t="s">
        <v>599</v>
      </c>
      <c r="C226" s="34" t="s">
        <v>23</v>
      </c>
      <c r="D226" s="36">
        <v>0</v>
      </c>
      <c r="E226" s="37">
        <v>16</v>
      </c>
      <c r="F226" s="38">
        <v>0.8</v>
      </c>
      <c r="G226" s="39">
        <v>1.58</v>
      </c>
      <c r="H226" s="39">
        <f t="shared" si="19"/>
        <v>0</v>
      </c>
      <c r="K226" s="41"/>
    </row>
    <row r="227" spans="1:11" ht="15">
      <c r="A227" s="218"/>
      <c r="B227" s="256" t="s">
        <v>169</v>
      </c>
      <c r="C227" s="34"/>
      <c r="D227" s="36"/>
      <c r="E227" s="37"/>
      <c r="F227" s="38"/>
      <c r="G227" s="39"/>
      <c r="H227" s="39"/>
      <c r="K227" s="41" t="s">
        <v>71</v>
      </c>
    </row>
    <row r="228" spans="1:11" ht="15">
      <c r="A228" s="218"/>
      <c r="B228" s="35" t="s">
        <v>596</v>
      </c>
      <c r="C228" s="34" t="s">
        <v>23</v>
      </c>
      <c r="D228" s="36">
        <f>D223</f>
        <v>0</v>
      </c>
      <c r="E228" s="37">
        <f>E223*2</f>
        <v>36</v>
      </c>
      <c r="F228" s="39"/>
      <c r="G228" s="39"/>
      <c r="H228" s="39">
        <f>D228*E228*0.136</f>
        <v>0</v>
      </c>
      <c r="K228" s="41">
        <f>0.8*20</f>
        <v>16</v>
      </c>
    </row>
    <row r="229" spans="1:11" ht="15">
      <c r="A229" s="218"/>
      <c r="B229" s="35" t="s">
        <v>597</v>
      </c>
      <c r="C229" s="34" t="s">
        <v>23</v>
      </c>
      <c r="D229" s="36">
        <f>D224</f>
        <v>0</v>
      </c>
      <c r="E229" s="37">
        <f>E224*2</f>
        <v>32</v>
      </c>
      <c r="F229" s="39"/>
      <c r="G229" s="39"/>
      <c r="H229" s="39">
        <f>D229*E229*0.1814</f>
        <v>0</v>
      </c>
      <c r="K229" s="41"/>
    </row>
    <row r="230" spans="1:11" ht="15">
      <c r="A230" s="218"/>
      <c r="B230" s="35" t="s">
        <v>598</v>
      </c>
      <c r="C230" s="34" t="s">
        <v>23</v>
      </c>
      <c r="D230" s="36">
        <f>D225</f>
        <v>0</v>
      </c>
      <c r="E230" s="37">
        <f>E225*2</f>
        <v>32</v>
      </c>
      <c r="F230" s="39"/>
      <c r="G230" s="39"/>
      <c r="H230" s="39">
        <f>D230*E230*0.04535</f>
        <v>0</v>
      </c>
      <c r="K230" s="41"/>
    </row>
    <row r="231" spans="1:11" ht="15">
      <c r="A231" s="218"/>
      <c r="B231" s="35" t="s">
        <v>599</v>
      </c>
      <c r="C231" s="34" t="s">
        <v>23</v>
      </c>
      <c r="D231" s="36">
        <f>D226</f>
        <v>0</v>
      </c>
      <c r="E231" s="37">
        <f>E226*2</f>
        <v>32</v>
      </c>
      <c r="F231" s="39"/>
      <c r="G231" s="39"/>
      <c r="H231" s="39">
        <f>D231*E231*0.04535</f>
        <v>0</v>
      </c>
      <c r="K231" s="41"/>
    </row>
    <row r="232" spans="1:11" ht="15">
      <c r="A232" s="218"/>
      <c r="B232" s="35"/>
      <c r="C232" s="34"/>
      <c r="D232" s="36"/>
      <c r="E232" s="37"/>
      <c r="F232" s="38"/>
      <c r="G232" s="39"/>
      <c r="H232" s="39"/>
      <c r="K232" s="41"/>
    </row>
    <row r="233" spans="1:11" ht="15">
      <c r="A233" s="218"/>
      <c r="B233" s="256" t="s">
        <v>170</v>
      </c>
      <c r="C233" s="34"/>
      <c r="D233" s="36"/>
      <c r="E233" s="37"/>
      <c r="F233" s="38"/>
      <c r="G233" s="39"/>
      <c r="H233" s="39"/>
      <c r="K233" s="41"/>
    </row>
    <row r="234" spans="1:11" ht="15">
      <c r="A234" s="218"/>
      <c r="B234" s="35" t="s">
        <v>171</v>
      </c>
      <c r="C234" s="34" t="s">
        <v>23</v>
      </c>
      <c r="D234" s="36">
        <f>(D228*E228)+(D229*E229)+(D230*E230)+(D231*E231)</f>
        <v>0</v>
      </c>
      <c r="E234" s="37">
        <v>0.05</v>
      </c>
      <c r="F234" s="38">
        <v>0.05</v>
      </c>
      <c r="G234" s="39">
        <v>63</v>
      </c>
      <c r="H234" s="39">
        <f>(D234*E234*F234*G234)/1000</f>
        <v>0</v>
      </c>
      <c r="K234" s="41"/>
    </row>
    <row r="235" spans="1:11" ht="15">
      <c r="A235" s="218"/>
      <c r="B235" s="35"/>
      <c r="C235" s="34"/>
      <c r="D235" s="36"/>
      <c r="E235" s="37"/>
      <c r="F235" s="616" t="s">
        <v>65</v>
      </c>
      <c r="G235" s="616"/>
      <c r="H235" s="40">
        <f>SUM(H223:H234)</f>
        <v>0</v>
      </c>
      <c r="K235" s="41"/>
    </row>
    <row r="236" spans="1:11" ht="38.25">
      <c r="A236" s="347" t="s">
        <v>10</v>
      </c>
      <c r="B236" s="345" t="s">
        <v>600</v>
      </c>
      <c r="C236" s="318" t="s">
        <v>63</v>
      </c>
      <c r="D236" s="228">
        <f>(D223*E223)</f>
        <v>0</v>
      </c>
      <c r="E236" s="98"/>
      <c r="F236" s="348"/>
      <c r="G236" s="348"/>
      <c r="H236" s="190">
        <f>D236</f>
        <v>0</v>
      </c>
      <c r="K236" s="41"/>
    </row>
    <row r="237" spans="1:11" ht="38.25">
      <c r="A237" s="347" t="s">
        <v>12</v>
      </c>
      <c r="B237" s="345" t="s">
        <v>601</v>
      </c>
      <c r="C237" s="318" t="s">
        <v>63</v>
      </c>
      <c r="D237" s="228">
        <f>(D224*E224)</f>
        <v>0</v>
      </c>
      <c r="E237" s="98"/>
      <c r="F237" s="348"/>
      <c r="G237" s="348"/>
      <c r="H237" s="190">
        <f>D237</f>
        <v>0</v>
      </c>
      <c r="K237" s="41"/>
    </row>
    <row r="238" spans="1:11" ht="25.5">
      <c r="A238" s="347" t="s">
        <v>13</v>
      </c>
      <c r="B238" s="345" t="s">
        <v>602</v>
      </c>
      <c r="C238" s="318" t="s">
        <v>63</v>
      </c>
      <c r="D238" s="228">
        <f>(D225*E225)+(D226*E226)</f>
        <v>0</v>
      </c>
      <c r="E238" s="98"/>
      <c r="F238" s="348"/>
      <c r="G238" s="348"/>
      <c r="H238" s="190">
        <f>D238</f>
        <v>0</v>
      </c>
      <c r="K238" s="41"/>
    </row>
    <row r="239" spans="1:11" ht="15">
      <c r="A239" s="42"/>
      <c r="B239" s="390"/>
      <c r="C239" s="43"/>
      <c r="D239" s="44"/>
      <c r="E239" s="45"/>
      <c r="F239" s="396"/>
      <c r="G239" s="396"/>
      <c r="H239" s="201"/>
      <c r="K239" s="41"/>
    </row>
    <row r="240" spans="1:11" ht="48">
      <c r="A240" s="159">
        <v>10</v>
      </c>
      <c r="B240" s="256" t="s">
        <v>172</v>
      </c>
      <c r="C240" s="36" t="s">
        <v>173</v>
      </c>
      <c r="D240" s="36" t="s">
        <v>174</v>
      </c>
      <c r="E240" s="328" t="s">
        <v>175</v>
      </c>
      <c r="F240" s="328" t="s">
        <v>176</v>
      </c>
      <c r="G240" s="328" t="s">
        <v>177</v>
      </c>
      <c r="H240" s="328" t="s">
        <v>178</v>
      </c>
      <c r="K240" s="41"/>
    </row>
    <row r="241" spans="1:11" ht="15">
      <c r="A241" s="159" t="s">
        <v>10</v>
      </c>
      <c r="B241" s="256" t="s">
        <v>179</v>
      </c>
      <c r="C241" s="36"/>
      <c r="D241" s="36"/>
      <c r="E241" s="328"/>
      <c r="F241" s="328"/>
      <c r="G241" s="328"/>
      <c r="H241" s="328"/>
      <c r="K241" s="41"/>
    </row>
    <row r="242" spans="1:11" ht="15">
      <c r="A242" s="218"/>
      <c r="B242" s="35" t="s">
        <v>180</v>
      </c>
      <c r="C242" s="34" t="s">
        <v>181</v>
      </c>
      <c r="D242" s="397">
        <v>0</v>
      </c>
      <c r="E242" s="398">
        <v>3.5</v>
      </c>
      <c r="F242" s="399">
        <f>D242*E242</f>
        <v>0</v>
      </c>
      <c r="G242" s="399">
        <v>16.8</v>
      </c>
      <c r="H242" s="39">
        <f>F242*G242</f>
        <v>0</v>
      </c>
      <c r="K242" s="41"/>
    </row>
    <row r="243" spans="1:11" ht="15">
      <c r="A243" s="218"/>
      <c r="B243" s="35" t="s">
        <v>182</v>
      </c>
      <c r="C243" s="34" t="s">
        <v>181</v>
      </c>
      <c r="D243" s="397">
        <v>0</v>
      </c>
      <c r="E243" s="398">
        <v>0.3</v>
      </c>
      <c r="F243" s="399">
        <f t="shared" ref="F243:F249" si="20">D243*E243</f>
        <v>0</v>
      </c>
      <c r="G243" s="399">
        <v>5.8</v>
      </c>
      <c r="H243" s="39">
        <f t="shared" ref="H243:H249" si="21">F243*G243</f>
        <v>0</v>
      </c>
      <c r="K243" s="41"/>
    </row>
    <row r="244" spans="1:11" ht="25.5">
      <c r="A244" s="218"/>
      <c r="B244" s="35" t="s">
        <v>183</v>
      </c>
      <c r="C244" s="34" t="s">
        <v>181</v>
      </c>
      <c r="D244" s="397">
        <v>0</v>
      </c>
      <c r="E244" s="398">
        <v>0.52500000000000002</v>
      </c>
      <c r="F244" s="399">
        <f t="shared" si="20"/>
        <v>0</v>
      </c>
      <c r="G244" s="399">
        <v>63</v>
      </c>
      <c r="H244" s="39">
        <f t="shared" si="21"/>
        <v>0</v>
      </c>
      <c r="K244" s="41"/>
    </row>
    <row r="245" spans="1:11" ht="25.5">
      <c r="A245" s="218"/>
      <c r="B245" s="35" t="s">
        <v>184</v>
      </c>
      <c r="C245" s="34" t="s">
        <v>181</v>
      </c>
      <c r="D245" s="397">
        <v>0</v>
      </c>
      <c r="E245" s="398">
        <v>1.98</v>
      </c>
      <c r="F245" s="399">
        <f t="shared" si="20"/>
        <v>0</v>
      </c>
      <c r="G245" s="399">
        <v>63</v>
      </c>
      <c r="H245" s="39">
        <f t="shared" si="21"/>
        <v>0</v>
      </c>
      <c r="K245" s="41"/>
    </row>
    <row r="246" spans="1:11" ht="15">
      <c r="A246" s="218"/>
      <c r="B246" s="35" t="s">
        <v>185</v>
      </c>
      <c r="C246" s="34" t="s">
        <v>181</v>
      </c>
      <c r="D246" s="397">
        <v>0</v>
      </c>
      <c r="E246" s="398">
        <v>2.5000000000000001E-2</v>
      </c>
      <c r="F246" s="399">
        <f t="shared" si="20"/>
        <v>0</v>
      </c>
      <c r="G246" s="399">
        <v>78</v>
      </c>
      <c r="H246" s="39">
        <f t="shared" si="21"/>
        <v>0</v>
      </c>
      <c r="K246" s="41"/>
    </row>
    <row r="247" spans="1:11" ht="15">
      <c r="A247" s="218"/>
      <c r="B247" s="35" t="s">
        <v>186</v>
      </c>
      <c r="C247" s="34" t="s">
        <v>181</v>
      </c>
      <c r="D247" s="397">
        <v>0</v>
      </c>
      <c r="E247" s="398">
        <v>0.2</v>
      </c>
      <c r="F247" s="399">
        <f t="shared" si="20"/>
        <v>0</v>
      </c>
      <c r="G247" s="399">
        <v>0.9</v>
      </c>
      <c r="H247" s="39">
        <f t="shared" si="21"/>
        <v>0</v>
      </c>
      <c r="K247" s="41"/>
    </row>
    <row r="248" spans="1:11" ht="15">
      <c r="A248" s="218"/>
      <c r="B248" s="35" t="s">
        <v>185</v>
      </c>
      <c r="C248" s="34" t="s">
        <v>181</v>
      </c>
      <c r="D248" s="397">
        <v>0</v>
      </c>
      <c r="E248" s="398">
        <v>2.5000000000000001E-2</v>
      </c>
      <c r="F248" s="399">
        <f t="shared" si="20"/>
        <v>0</v>
      </c>
      <c r="G248" s="399">
        <v>78</v>
      </c>
      <c r="H248" s="39">
        <f t="shared" si="21"/>
        <v>0</v>
      </c>
      <c r="K248" s="41"/>
    </row>
    <row r="249" spans="1:11" ht="15">
      <c r="A249" s="218"/>
      <c r="B249" s="35" t="s">
        <v>187</v>
      </c>
      <c r="C249" s="34" t="s">
        <v>181</v>
      </c>
      <c r="D249" s="397">
        <v>0</v>
      </c>
      <c r="E249" s="398">
        <v>0.2</v>
      </c>
      <c r="F249" s="399">
        <f t="shared" si="20"/>
        <v>0</v>
      </c>
      <c r="G249" s="399">
        <v>0.9</v>
      </c>
      <c r="H249" s="39">
        <f t="shared" si="21"/>
        <v>0</v>
      </c>
      <c r="K249" s="41"/>
    </row>
    <row r="250" spans="1:11" ht="15">
      <c r="A250" s="218"/>
      <c r="B250" s="118" t="s">
        <v>188</v>
      </c>
      <c r="C250" s="34"/>
      <c r="D250" s="400"/>
      <c r="E250" s="398"/>
      <c r="F250" s="401"/>
      <c r="G250" s="399"/>
      <c r="H250" s="39"/>
      <c r="K250" s="41"/>
    </row>
    <row r="251" spans="1:11" ht="15">
      <c r="A251" s="218"/>
      <c r="B251" s="35" t="s">
        <v>189</v>
      </c>
      <c r="C251" s="34" t="s">
        <v>181</v>
      </c>
      <c r="D251" s="397">
        <v>0</v>
      </c>
      <c r="E251" s="398">
        <v>1.4</v>
      </c>
      <c r="F251" s="399">
        <f>D251*E251</f>
        <v>0</v>
      </c>
      <c r="G251" s="399">
        <v>16.8</v>
      </c>
      <c r="H251" s="39">
        <f>F251*G251</f>
        <v>0</v>
      </c>
      <c r="K251" s="41"/>
    </row>
    <row r="252" spans="1:11" ht="15">
      <c r="A252" s="218"/>
      <c r="B252" s="35" t="s">
        <v>190</v>
      </c>
      <c r="C252" s="34" t="s">
        <v>181</v>
      </c>
      <c r="D252" s="397">
        <v>0</v>
      </c>
      <c r="E252" s="398">
        <v>1.5</v>
      </c>
      <c r="F252" s="399">
        <f>D252*E252</f>
        <v>0</v>
      </c>
      <c r="G252" s="399">
        <v>5.8</v>
      </c>
      <c r="H252" s="39">
        <f>F252*G252</f>
        <v>0</v>
      </c>
      <c r="K252" s="41"/>
    </row>
    <row r="253" spans="1:11" ht="15">
      <c r="A253" s="218"/>
      <c r="B253" s="35" t="s">
        <v>191</v>
      </c>
      <c r="C253" s="34" t="s">
        <v>181</v>
      </c>
      <c r="D253" s="397">
        <v>0</v>
      </c>
      <c r="E253" s="398">
        <v>2.5000000000000001E-2</v>
      </c>
      <c r="F253" s="399">
        <f>D253*E253</f>
        <v>0</v>
      </c>
      <c r="G253" s="399">
        <v>78</v>
      </c>
      <c r="H253" s="39">
        <f>F253*G253</f>
        <v>0</v>
      </c>
      <c r="K253" s="41"/>
    </row>
    <row r="254" spans="1:11" ht="15">
      <c r="A254" s="218"/>
      <c r="B254" s="35" t="s">
        <v>192</v>
      </c>
      <c r="C254" s="34" t="s">
        <v>181</v>
      </c>
      <c r="D254" s="397">
        <v>0</v>
      </c>
      <c r="E254" s="398">
        <v>0.2</v>
      </c>
      <c r="F254" s="399">
        <f>D254*E254</f>
        <v>0</v>
      </c>
      <c r="G254" s="399">
        <v>0.9</v>
      </c>
      <c r="H254" s="39">
        <f>F254*G254</f>
        <v>0</v>
      </c>
      <c r="K254" s="41"/>
    </row>
    <row r="255" spans="1:11" ht="15">
      <c r="A255" s="218"/>
      <c r="B255" s="35"/>
      <c r="C255" s="34"/>
      <c r="D255" s="36"/>
      <c r="E255" s="336"/>
      <c r="F255" s="666" t="s">
        <v>193</v>
      </c>
      <c r="G255" s="667"/>
      <c r="H255" s="39">
        <f>SUM(H242:H254)</f>
        <v>0</v>
      </c>
      <c r="K255" s="41"/>
    </row>
    <row r="256" spans="1:11" ht="15">
      <c r="A256" s="218"/>
      <c r="B256" s="35"/>
      <c r="C256" s="34"/>
      <c r="D256" s="36"/>
      <c r="E256" s="37"/>
      <c r="F256" s="666" t="s">
        <v>194</v>
      </c>
      <c r="G256" s="667"/>
      <c r="H256" s="39">
        <f>H255/1000</f>
        <v>0</v>
      </c>
      <c r="J256" s="49"/>
      <c r="K256" s="50"/>
    </row>
    <row r="257" spans="1:11" ht="15">
      <c r="A257" s="218"/>
      <c r="B257" s="35" t="s">
        <v>195</v>
      </c>
      <c r="C257" s="34" t="s">
        <v>23</v>
      </c>
      <c r="D257" s="36">
        <v>5</v>
      </c>
      <c r="E257" s="668">
        <f>H256+H256*10%</f>
        <v>0</v>
      </c>
      <c r="F257" s="669"/>
      <c r="G257" s="380"/>
      <c r="H257" s="40">
        <f>D257*E257</f>
        <v>0</v>
      </c>
      <c r="J257" s="53"/>
      <c r="K257" s="41"/>
    </row>
    <row r="258" spans="1:11" ht="15">
      <c r="A258" s="218"/>
      <c r="B258" s="35"/>
      <c r="C258" s="34"/>
      <c r="D258" s="36"/>
      <c r="E258" s="37"/>
      <c r="F258" s="380"/>
      <c r="G258" s="380"/>
      <c r="H258" s="40"/>
      <c r="K258" s="41"/>
    </row>
    <row r="259" spans="1:11" ht="15">
      <c r="A259" s="402" t="s">
        <v>12</v>
      </c>
      <c r="B259" s="403" t="s">
        <v>196</v>
      </c>
      <c r="C259" s="404"/>
      <c r="D259" s="405"/>
      <c r="E259" s="406"/>
      <c r="F259" s="407"/>
      <c r="G259" s="408"/>
      <c r="H259" s="408"/>
      <c r="K259" s="41"/>
    </row>
    <row r="260" spans="1:11" ht="15">
      <c r="A260" s="402"/>
      <c r="B260" s="403" t="s">
        <v>170</v>
      </c>
      <c r="C260" s="404"/>
      <c r="D260" s="405"/>
      <c r="E260" s="406"/>
      <c r="F260" s="407"/>
      <c r="G260" s="408"/>
      <c r="H260" s="408"/>
      <c r="K260" s="41"/>
    </row>
    <row r="261" spans="1:11" ht="15">
      <c r="A261" s="402"/>
      <c r="B261" s="409" t="s">
        <v>197</v>
      </c>
      <c r="C261" s="404" t="s">
        <v>23</v>
      </c>
      <c r="D261" s="410">
        <v>0</v>
      </c>
      <c r="E261" s="411">
        <v>0.2</v>
      </c>
      <c r="F261" s="412">
        <v>0.125</v>
      </c>
      <c r="G261" s="413">
        <v>78</v>
      </c>
      <c r="H261" s="408">
        <f>(D261*E261*F261*G261)/1000</f>
        <v>0</v>
      </c>
      <c r="K261" s="41"/>
    </row>
    <row r="262" spans="1:11" ht="15">
      <c r="A262" s="402"/>
      <c r="B262" s="409"/>
      <c r="C262" s="404"/>
      <c r="D262" s="410"/>
      <c r="E262" s="414"/>
      <c r="F262" s="415"/>
      <c r="G262" s="413"/>
      <c r="H262" s="408"/>
      <c r="K262" s="41"/>
    </row>
    <row r="263" spans="1:11" ht="15">
      <c r="A263" s="402"/>
      <c r="B263" s="403" t="s">
        <v>198</v>
      </c>
      <c r="C263" s="404"/>
      <c r="D263" s="410"/>
      <c r="E263" s="414"/>
      <c r="F263" s="415"/>
      <c r="G263" s="413"/>
      <c r="H263" s="408"/>
      <c r="K263" s="41"/>
    </row>
    <row r="264" spans="1:11" ht="15">
      <c r="A264" s="402"/>
      <c r="B264" s="409" t="s">
        <v>199</v>
      </c>
      <c r="C264" s="404" t="s">
        <v>23</v>
      </c>
      <c r="D264" s="410">
        <f>D261</f>
        <v>0</v>
      </c>
      <c r="E264" s="414">
        <v>4</v>
      </c>
      <c r="F264" s="416">
        <v>0.15</v>
      </c>
      <c r="G264" s="413">
        <v>0.9</v>
      </c>
      <c r="H264" s="408">
        <f>(D264*E264*F264*G264)/1000</f>
        <v>0</v>
      </c>
      <c r="K264" s="52"/>
    </row>
    <row r="265" spans="1:11" ht="15">
      <c r="A265" s="402"/>
      <c r="B265" s="409"/>
      <c r="C265" s="404"/>
      <c r="D265" s="405"/>
      <c r="E265" s="406"/>
      <c r="F265" s="673" t="s">
        <v>65</v>
      </c>
      <c r="G265" s="673"/>
      <c r="H265" s="417">
        <f>SUM(H261:H264)</f>
        <v>0</v>
      </c>
      <c r="K265" s="41"/>
    </row>
    <row r="266" spans="1:11" ht="15">
      <c r="A266" s="42"/>
      <c r="B266" s="390"/>
      <c r="C266" s="43"/>
      <c r="D266" s="44"/>
      <c r="E266" s="45"/>
      <c r="F266" s="380"/>
      <c r="G266" s="380"/>
      <c r="H266" s="40"/>
      <c r="K266" s="41"/>
    </row>
    <row r="267" spans="1:11" ht="25.5">
      <c r="A267" s="218">
        <v>11</v>
      </c>
      <c r="B267" s="256" t="s">
        <v>603</v>
      </c>
      <c r="C267" s="34"/>
      <c r="D267" s="36"/>
      <c r="E267" s="37"/>
      <c r="F267" s="38"/>
      <c r="G267" s="39"/>
      <c r="H267" s="40"/>
      <c r="K267" s="41"/>
    </row>
    <row r="268" spans="1:11" ht="15.75">
      <c r="A268" s="418"/>
      <c r="B268" s="419"/>
      <c r="C268" s="420"/>
      <c r="D268" s="421"/>
      <c r="E268" s="422"/>
      <c r="F268" s="422"/>
      <c r="G268" s="423"/>
      <c r="H268" s="424"/>
      <c r="K268" s="41"/>
    </row>
    <row r="269" spans="1:11">
      <c r="A269" s="159" t="s">
        <v>10</v>
      </c>
      <c r="B269" s="189" t="s">
        <v>375</v>
      </c>
      <c r="C269" s="119"/>
      <c r="D269" s="425"/>
      <c r="E269" s="426"/>
      <c r="F269" s="426"/>
      <c r="G269" s="254"/>
      <c r="H269" s="254"/>
      <c r="K269" s="41"/>
    </row>
    <row r="270" spans="1:11" ht="15">
      <c r="A270" s="159"/>
      <c r="B270" s="257" t="s">
        <v>604</v>
      </c>
      <c r="C270" s="36" t="s">
        <v>11</v>
      </c>
      <c r="D270" s="106">
        <v>0</v>
      </c>
      <c r="E270" s="37">
        <f>J19</f>
        <v>83.5</v>
      </c>
      <c r="F270" s="37">
        <f>K19</f>
        <v>48</v>
      </c>
      <c r="G270" s="37">
        <v>0.35</v>
      </c>
      <c r="H270" s="254">
        <f>D270*E270*F270*G270</f>
        <v>0</v>
      </c>
      <c r="K270" s="41"/>
    </row>
    <row r="271" spans="1:11" ht="15">
      <c r="A271" s="159"/>
      <c r="B271" s="257" t="s">
        <v>605</v>
      </c>
      <c r="C271" s="36" t="s">
        <v>11</v>
      </c>
      <c r="D271" s="106">
        <v>0</v>
      </c>
      <c r="E271" s="37">
        <v>8.5</v>
      </c>
      <c r="F271" s="37">
        <v>7.4</v>
      </c>
      <c r="G271" s="37">
        <v>0.35</v>
      </c>
      <c r="H271" s="254">
        <f t="shared" ref="H271" si="22">D271*E271*F271*G271</f>
        <v>0</v>
      </c>
      <c r="K271" s="41"/>
    </row>
    <row r="272" spans="1:11" ht="15">
      <c r="A272" s="159" t="s">
        <v>12</v>
      </c>
      <c r="B272" s="189" t="s">
        <v>606</v>
      </c>
      <c r="C272" s="36"/>
      <c r="D272" s="425"/>
      <c r="E272" s="426"/>
      <c r="F272" s="426"/>
      <c r="G272" s="254"/>
      <c r="H272" s="254"/>
      <c r="K272" s="41"/>
    </row>
    <row r="273" spans="1:11" ht="15">
      <c r="A273" s="159"/>
      <c r="B273" s="257" t="s">
        <v>605</v>
      </c>
      <c r="C273" s="36" t="s">
        <v>11</v>
      </c>
      <c r="D273" s="106">
        <v>0</v>
      </c>
      <c r="E273" s="37">
        <v>6.4</v>
      </c>
      <c r="F273" s="37">
        <v>3.4</v>
      </c>
      <c r="G273" s="37">
        <v>0.35</v>
      </c>
      <c r="H273" s="254">
        <f t="shared" ref="H273" si="23">D273*E273*F273*G273</f>
        <v>0</v>
      </c>
      <c r="K273" s="41"/>
    </row>
    <row r="274" spans="1:11" ht="14.25">
      <c r="A274" s="427"/>
      <c r="B274" s="393"/>
      <c r="C274" s="386"/>
      <c r="D274" s="239"/>
      <c r="E274" s="428"/>
      <c r="F274" s="428"/>
      <c r="G274" s="428" t="s">
        <v>65</v>
      </c>
      <c r="H274" s="429">
        <f>SUM(H270:H273)</f>
        <v>0</v>
      </c>
      <c r="K274" s="41"/>
    </row>
    <row r="275" spans="1:11" ht="14.25">
      <c r="A275" s="430"/>
      <c r="B275" s="393"/>
      <c r="C275" s="386"/>
      <c r="D275" s="239"/>
      <c r="E275" s="428"/>
      <c r="F275" s="428"/>
      <c r="G275" s="428" t="s">
        <v>607</v>
      </c>
      <c r="H275" s="190">
        <f>ROUND(H274*1,0)</f>
        <v>0</v>
      </c>
      <c r="K275" s="41"/>
    </row>
    <row r="276" spans="1:11" ht="15">
      <c r="A276" s="42"/>
      <c r="B276" s="202"/>
      <c r="C276" s="431"/>
      <c r="D276" s="44"/>
      <c r="E276" s="45"/>
      <c r="F276" s="46"/>
      <c r="G276" s="47"/>
      <c r="H276" s="201"/>
      <c r="K276" s="41"/>
    </row>
    <row r="277" spans="1:11" ht="15">
      <c r="A277" s="218">
        <v>12</v>
      </c>
      <c r="B277" s="256" t="s">
        <v>37</v>
      </c>
      <c r="C277" s="432"/>
      <c r="D277" s="36"/>
      <c r="E277" s="37"/>
      <c r="F277" s="38"/>
      <c r="G277" s="39"/>
      <c r="H277" s="40"/>
      <c r="K277" s="41"/>
    </row>
    <row r="278" spans="1:11" ht="18" customHeight="1">
      <c r="A278" s="318" t="s">
        <v>10</v>
      </c>
      <c r="B278" s="240" t="s">
        <v>364</v>
      </c>
      <c r="C278" s="433" t="s">
        <v>16</v>
      </c>
      <c r="D278" s="36"/>
      <c r="E278" s="336">
        <v>2.4249999999999998</v>
      </c>
      <c r="F278" s="343"/>
      <c r="G278" s="339">
        <v>3.645</v>
      </c>
      <c r="H278" s="39">
        <f>D278*E278*G278</f>
        <v>0</v>
      </c>
      <c r="K278" s="41"/>
    </row>
    <row r="279" spans="1:11" ht="18" customHeight="1">
      <c r="A279" s="318" t="s">
        <v>12</v>
      </c>
      <c r="B279" s="240" t="s">
        <v>365</v>
      </c>
      <c r="C279" s="433" t="s">
        <v>16</v>
      </c>
      <c r="D279" s="36"/>
      <c r="E279" s="336">
        <v>1.859</v>
      </c>
      <c r="F279" s="343"/>
      <c r="G279" s="339">
        <v>3.645</v>
      </c>
      <c r="H279" s="39">
        <f>D279*E279*G279</f>
        <v>0</v>
      </c>
      <c r="K279" s="41"/>
    </row>
    <row r="280" spans="1:11" ht="18" customHeight="1">
      <c r="A280" s="318" t="s">
        <v>13</v>
      </c>
      <c r="B280" s="240" t="s">
        <v>366</v>
      </c>
      <c r="C280" s="433" t="s">
        <v>16</v>
      </c>
      <c r="D280" s="36"/>
      <c r="E280" s="336">
        <v>1.2509999999999999</v>
      </c>
      <c r="F280" s="343"/>
      <c r="G280" s="339">
        <v>3.645</v>
      </c>
      <c r="H280" s="39">
        <f>D280*E280*G280</f>
        <v>0</v>
      </c>
      <c r="K280" s="41"/>
    </row>
    <row r="281" spans="1:11" ht="18" customHeight="1">
      <c r="A281" s="318" t="s">
        <v>36</v>
      </c>
      <c r="B281" s="240" t="s">
        <v>367</v>
      </c>
      <c r="C281" s="433" t="s">
        <v>16</v>
      </c>
      <c r="D281" s="36"/>
      <c r="E281" s="336">
        <v>0.64200000000000002</v>
      </c>
      <c r="F281" s="343"/>
      <c r="G281" s="339">
        <v>3.645</v>
      </c>
      <c r="H281" s="39">
        <f>D281*E281*G281</f>
        <v>0</v>
      </c>
      <c r="K281" s="41"/>
    </row>
    <row r="282" spans="1:11" ht="18" customHeight="1">
      <c r="A282" s="318"/>
      <c r="B282" s="240"/>
      <c r="C282" s="433"/>
      <c r="D282" s="44"/>
      <c r="E282" s="434"/>
      <c r="F282" s="435"/>
      <c r="G282" s="436"/>
      <c r="H282" s="201"/>
      <c r="K282" s="41"/>
    </row>
    <row r="283" spans="1:11" ht="18" customHeight="1">
      <c r="A283" s="318" t="s">
        <v>42</v>
      </c>
      <c r="B283" s="240" t="s">
        <v>368</v>
      </c>
      <c r="C283" s="433" t="s">
        <v>16</v>
      </c>
      <c r="D283" s="36"/>
      <c r="E283" s="336">
        <v>2.4249999999999998</v>
      </c>
      <c r="F283" s="343"/>
      <c r="G283" s="339">
        <v>3.645</v>
      </c>
      <c r="H283" s="39">
        <f>D283*E283*G283</f>
        <v>0</v>
      </c>
      <c r="K283" s="41"/>
    </row>
    <row r="284" spans="1:11" ht="18" customHeight="1">
      <c r="A284" s="318" t="s">
        <v>44</v>
      </c>
      <c r="B284" s="240" t="s">
        <v>369</v>
      </c>
      <c r="C284" s="433" t="s">
        <v>16</v>
      </c>
      <c r="D284" s="36"/>
      <c r="E284" s="336">
        <v>2.4249999999999998</v>
      </c>
      <c r="F284" s="343"/>
      <c r="G284" s="339">
        <v>3.645</v>
      </c>
      <c r="H284" s="39">
        <f>D284*E284*G284</f>
        <v>0</v>
      </c>
      <c r="K284" s="41"/>
    </row>
    <row r="285" spans="1:11" ht="18" customHeight="1">
      <c r="A285" s="318"/>
      <c r="B285" s="437" t="s">
        <v>608</v>
      </c>
      <c r="C285" s="433" t="s">
        <v>16</v>
      </c>
      <c r="D285" s="36"/>
      <c r="E285" s="336">
        <v>1.859</v>
      </c>
      <c r="F285" s="343"/>
      <c r="G285" s="339">
        <v>3.645</v>
      </c>
      <c r="H285" s="39">
        <f>D285*E285*G285</f>
        <v>0</v>
      </c>
      <c r="K285" s="41"/>
    </row>
    <row r="286" spans="1:11" ht="18" customHeight="1">
      <c r="A286" s="318" t="s">
        <v>46</v>
      </c>
      <c r="B286" s="240" t="s">
        <v>370</v>
      </c>
      <c r="C286" s="433" t="s">
        <v>16</v>
      </c>
      <c r="D286" s="36"/>
      <c r="E286" s="336">
        <v>0.64200000000000002</v>
      </c>
      <c r="F286" s="343"/>
      <c r="G286" s="339">
        <v>2.4449999999999998</v>
      </c>
      <c r="H286" s="39">
        <f>D286*E286*G286</f>
        <v>0</v>
      </c>
      <c r="K286" s="41"/>
    </row>
    <row r="287" spans="1:11" ht="15">
      <c r="A287" s="318" t="s">
        <v>48</v>
      </c>
      <c r="B287" s="240" t="s">
        <v>609</v>
      </c>
      <c r="C287" s="433" t="s">
        <v>16</v>
      </c>
      <c r="D287" s="36"/>
      <c r="E287" s="336">
        <v>2.4249999999999998</v>
      </c>
      <c r="F287" s="343"/>
      <c r="G287" s="339">
        <v>0.92</v>
      </c>
      <c r="H287" s="39">
        <f>D287*E287*G287</f>
        <v>0</v>
      </c>
      <c r="K287" s="41"/>
    </row>
    <row r="288" spans="1:11" ht="15">
      <c r="A288" s="318"/>
      <c r="B288" s="240"/>
      <c r="C288" s="433"/>
      <c r="D288" s="36"/>
      <c r="E288" s="336"/>
      <c r="F288" s="343"/>
      <c r="G288" s="339"/>
      <c r="H288" s="39"/>
      <c r="K288" s="41"/>
    </row>
    <row r="289" spans="1:11" ht="15">
      <c r="A289" s="318"/>
      <c r="B289" s="240" t="s">
        <v>378</v>
      </c>
      <c r="C289" s="433" t="s">
        <v>16</v>
      </c>
      <c r="D289" s="36">
        <v>0</v>
      </c>
      <c r="E289" s="336">
        <f>(J19+K19)*2</f>
        <v>263</v>
      </c>
      <c r="F289" s="343"/>
      <c r="G289" s="339">
        <v>3.645</v>
      </c>
      <c r="H289" s="39">
        <f>D289*E289*G289</f>
        <v>0</v>
      </c>
      <c r="K289" s="41"/>
    </row>
    <row r="290" spans="1:11" ht="15">
      <c r="A290" s="318"/>
      <c r="B290" s="240" t="s">
        <v>610</v>
      </c>
      <c r="C290" s="433" t="s">
        <v>16</v>
      </c>
      <c r="D290" s="36">
        <v>0</v>
      </c>
      <c r="E290" s="336">
        <f>17.5+6.2+(8.62*3+5.56)</f>
        <v>55.12</v>
      </c>
      <c r="F290" s="343"/>
      <c r="G290" s="339">
        <v>3.645</v>
      </c>
      <c r="H290" s="39">
        <f>D290*E290*G290</f>
        <v>0</v>
      </c>
      <c r="K290" s="41"/>
    </row>
    <row r="291" spans="1:11" ht="15">
      <c r="A291" s="318"/>
      <c r="B291" s="240" t="s">
        <v>611</v>
      </c>
      <c r="C291" s="433" t="s">
        <v>16</v>
      </c>
      <c r="D291" s="36">
        <v>0</v>
      </c>
      <c r="E291" s="336"/>
      <c r="F291" s="343"/>
      <c r="G291" s="339">
        <v>3.645</v>
      </c>
      <c r="H291" s="39">
        <f>D291*E291*G291</f>
        <v>0</v>
      </c>
      <c r="K291" s="41"/>
    </row>
    <row r="292" spans="1:11" ht="25.5">
      <c r="A292" s="318"/>
      <c r="B292" s="240" t="s">
        <v>612</v>
      </c>
      <c r="C292" s="433" t="s">
        <v>16</v>
      </c>
      <c r="D292" s="36">
        <v>0</v>
      </c>
      <c r="E292" s="336">
        <v>2.4510000000000001</v>
      </c>
      <c r="F292" s="343"/>
      <c r="G292" s="339">
        <v>3.645</v>
      </c>
      <c r="H292" s="39">
        <f t="shared" ref="H292" si="24">D292*E292*G292</f>
        <v>0</v>
      </c>
      <c r="K292" s="41"/>
    </row>
    <row r="293" spans="1:11" ht="15">
      <c r="A293" s="42"/>
      <c r="B293" s="390"/>
      <c r="C293" s="43"/>
      <c r="D293" s="44"/>
      <c r="E293" s="45"/>
      <c r="F293" s="616" t="s">
        <v>65</v>
      </c>
      <c r="G293" s="616"/>
      <c r="H293" s="40">
        <f>ROUND(SUM(H277:H292),0)</f>
        <v>0</v>
      </c>
      <c r="K293" s="41"/>
    </row>
    <row r="294" spans="1:11" ht="15">
      <c r="A294" s="42"/>
      <c r="B294" s="390"/>
      <c r="C294" s="43"/>
      <c r="D294" s="44"/>
      <c r="E294" s="45"/>
      <c r="F294" s="46"/>
      <c r="G294" s="47"/>
      <c r="H294" s="47"/>
      <c r="K294" s="41"/>
    </row>
    <row r="295" spans="1:11" ht="15">
      <c r="A295" s="218">
        <v>13</v>
      </c>
      <c r="B295" s="256" t="s">
        <v>201</v>
      </c>
      <c r="C295" s="219"/>
      <c r="D295" s="36"/>
      <c r="E295" s="37"/>
      <c r="F295" s="187"/>
      <c r="G295" s="229"/>
      <c r="H295" s="39"/>
      <c r="K295" s="41"/>
    </row>
    <row r="296" spans="1:11" ht="15">
      <c r="A296" s="218"/>
      <c r="B296" s="160" t="s">
        <v>202</v>
      </c>
      <c r="C296" s="219"/>
      <c r="D296" s="36"/>
      <c r="E296" s="37"/>
      <c r="F296" s="187"/>
      <c r="G296" s="229"/>
      <c r="H296" s="39"/>
      <c r="K296" s="41"/>
    </row>
    <row r="297" spans="1:11" ht="25.5">
      <c r="A297" s="159" t="s">
        <v>10</v>
      </c>
      <c r="B297" s="189" t="s">
        <v>613</v>
      </c>
      <c r="C297" s="119"/>
      <c r="D297" s="426"/>
      <c r="E297" s="426"/>
      <c r="F297" s="426"/>
      <c r="G297" s="39"/>
      <c r="H297" s="190"/>
      <c r="K297" s="41"/>
    </row>
    <row r="298" spans="1:11">
      <c r="A298" s="159"/>
      <c r="B298" s="438"/>
      <c r="C298" s="119" t="s">
        <v>11</v>
      </c>
      <c r="D298" s="425">
        <v>1</v>
      </c>
      <c r="E298" s="426">
        <f>1*J19+2*K19</f>
        <v>179.5</v>
      </c>
      <c r="F298" s="426">
        <v>0.23</v>
      </c>
      <c r="G298" s="254">
        <v>3.3</v>
      </c>
      <c r="H298" s="254">
        <f t="shared" ref="H298:H304" si="25">D298*E298*F298*G298</f>
        <v>136.2405</v>
      </c>
      <c r="K298" s="41"/>
    </row>
    <row r="299" spans="1:11">
      <c r="A299" s="159"/>
      <c r="B299" s="438"/>
      <c r="C299" s="119"/>
      <c r="D299" s="425"/>
      <c r="E299" s="426"/>
      <c r="F299" s="426"/>
      <c r="G299" s="254"/>
      <c r="H299" s="254"/>
      <c r="K299" s="41"/>
    </row>
    <row r="300" spans="1:11" ht="15">
      <c r="A300" s="159"/>
      <c r="B300" s="257" t="s">
        <v>614</v>
      </c>
      <c r="C300" s="119" t="s">
        <v>11</v>
      </c>
      <c r="D300" s="425">
        <v>-29</v>
      </c>
      <c r="E300" s="426">
        <v>2.7</v>
      </c>
      <c r="F300" s="426">
        <v>0.23</v>
      </c>
      <c r="G300" s="254">
        <v>2.15</v>
      </c>
      <c r="H300" s="254">
        <f>D300*E300*F300*G300</f>
        <v>-38.719350000000006</v>
      </c>
      <c r="K300" s="41"/>
    </row>
    <row r="301" spans="1:11" ht="15">
      <c r="A301" s="159"/>
      <c r="B301" s="257" t="s">
        <v>615</v>
      </c>
      <c r="C301" s="119" t="s">
        <v>11</v>
      </c>
      <c r="D301" s="425">
        <v>-5</v>
      </c>
      <c r="E301" s="426">
        <v>1</v>
      </c>
      <c r="F301" s="426">
        <v>0.23</v>
      </c>
      <c r="G301" s="254">
        <v>2.4</v>
      </c>
      <c r="H301" s="254">
        <f>D301*E301*F301*G301</f>
        <v>-2.7600000000000002</v>
      </c>
      <c r="K301" s="41"/>
    </row>
    <row r="302" spans="1:11">
      <c r="A302" s="159" t="s">
        <v>12</v>
      </c>
      <c r="B302" s="189" t="s">
        <v>616</v>
      </c>
      <c r="C302" s="119"/>
      <c r="D302" s="425"/>
      <c r="E302" s="426"/>
      <c r="F302" s="426"/>
      <c r="G302" s="254"/>
      <c r="H302" s="254"/>
      <c r="K302" s="41"/>
    </row>
    <row r="303" spans="1:11">
      <c r="A303" s="159"/>
      <c r="B303" s="438"/>
      <c r="C303" s="119" t="s">
        <v>11</v>
      </c>
      <c r="D303" s="425">
        <v>1</v>
      </c>
      <c r="E303" s="426">
        <f>4.775+4.775+4.5+4.5</f>
        <v>18.55</v>
      </c>
      <c r="F303" s="426">
        <v>0.23</v>
      </c>
      <c r="G303" s="254">
        <f t="shared" ref="G303" si="26">2.5+0.6+1.225-0.2</f>
        <v>4.125</v>
      </c>
      <c r="H303" s="254">
        <f t="shared" si="25"/>
        <v>17.599312500000003</v>
      </c>
      <c r="K303" s="41"/>
    </row>
    <row r="304" spans="1:11">
      <c r="A304" s="159"/>
      <c r="B304" s="438"/>
      <c r="C304" s="119" t="s">
        <v>11</v>
      </c>
      <c r="D304" s="425">
        <v>0</v>
      </c>
      <c r="E304" s="426">
        <f>E299</f>
        <v>0</v>
      </c>
      <c r="F304" s="426">
        <v>0.23</v>
      </c>
      <c r="G304" s="254">
        <v>1</v>
      </c>
      <c r="H304" s="254">
        <f t="shared" si="25"/>
        <v>0</v>
      </c>
      <c r="K304" s="41"/>
    </row>
    <row r="305" spans="1:11" ht="14.25">
      <c r="A305" s="159"/>
      <c r="B305" s="393"/>
      <c r="C305" s="386"/>
      <c r="D305" s="239"/>
      <c r="E305" s="428"/>
      <c r="F305" s="428"/>
      <c r="G305" s="428"/>
      <c r="H305" s="254">
        <f>ROUND(SUM(H298:H304),0)</f>
        <v>112</v>
      </c>
      <c r="K305" s="41"/>
    </row>
    <row r="306" spans="1:11" ht="14.25">
      <c r="A306" s="159"/>
      <c r="C306" s="386"/>
      <c r="D306" s="239"/>
      <c r="E306" s="428"/>
      <c r="F306" s="428"/>
      <c r="G306" s="428"/>
      <c r="H306" s="254"/>
      <c r="K306" s="41"/>
    </row>
    <row r="307" spans="1:11" ht="15">
      <c r="A307" s="218"/>
      <c r="B307" s="393"/>
      <c r="C307" s="219"/>
      <c r="D307" s="36"/>
      <c r="E307" s="37"/>
      <c r="F307" s="616" t="s">
        <v>65</v>
      </c>
      <c r="G307" s="616"/>
      <c r="H307" s="40">
        <f>H305*1</f>
        <v>112</v>
      </c>
      <c r="K307" s="41"/>
    </row>
    <row r="308" spans="1:11" ht="15">
      <c r="A308" s="218"/>
      <c r="B308" s="160" t="s">
        <v>207</v>
      </c>
      <c r="C308" s="219"/>
      <c r="D308" s="36"/>
      <c r="E308" s="37"/>
      <c r="F308" s="380"/>
      <c r="G308" s="380"/>
      <c r="H308" s="40"/>
      <c r="K308" s="41"/>
    </row>
    <row r="309" spans="1:11">
      <c r="A309" s="159" t="s">
        <v>10</v>
      </c>
      <c r="B309" s="189" t="s">
        <v>617</v>
      </c>
      <c r="C309" s="119"/>
      <c r="D309" s="426"/>
      <c r="E309" s="426"/>
      <c r="F309" s="426"/>
      <c r="G309" s="39"/>
      <c r="H309" s="190"/>
      <c r="K309" s="41"/>
    </row>
    <row r="310" spans="1:11">
      <c r="A310" s="159"/>
      <c r="B310" s="438" t="s">
        <v>618</v>
      </c>
      <c r="C310" s="119" t="s">
        <v>16</v>
      </c>
      <c r="D310" s="425">
        <v>1</v>
      </c>
      <c r="E310" s="426">
        <f>1.4+1.2+1.2+3.715+1.615</f>
        <v>9.129999999999999</v>
      </c>
      <c r="F310" s="426"/>
      <c r="G310" s="254">
        <v>3.2</v>
      </c>
      <c r="H310" s="254">
        <f>D310*E310*G310</f>
        <v>29.215999999999998</v>
      </c>
      <c r="K310" s="41"/>
    </row>
    <row r="311" spans="1:11">
      <c r="A311" s="159"/>
      <c r="B311" s="438"/>
      <c r="C311" s="119"/>
      <c r="D311" s="425"/>
      <c r="E311" s="426"/>
      <c r="F311" s="426"/>
      <c r="G311" s="254"/>
      <c r="H311" s="254"/>
      <c r="K311" s="41"/>
    </row>
    <row r="312" spans="1:11">
      <c r="A312" s="159" t="s">
        <v>12</v>
      </c>
      <c r="B312" s="189" t="s">
        <v>606</v>
      </c>
      <c r="C312" s="119"/>
      <c r="D312" s="425"/>
      <c r="E312" s="426"/>
      <c r="F312" s="426"/>
      <c r="G312" s="254"/>
      <c r="H312" s="254">
        <f t="shared" ref="H312:H313" si="27">D312*E312*G312</f>
        <v>0</v>
      </c>
      <c r="K312" s="41"/>
    </row>
    <row r="313" spans="1:11">
      <c r="A313" s="318"/>
      <c r="B313" s="439" t="s">
        <v>619</v>
      </c>
      <c r="C313" s="119" t="s">
        <v>16</v>
      </c>
      <c r="D313" s="425">
        <v>0</v>
      </c>
      <c r="E313" s="426">
        <f>3.4+1.55+6.05+1+0.9+1.7</f>
        <v>14.6</v>
      </c>
      <c r="F313" s="426"/>
      <c r="G313" s="254">
        <v>3.2</v>
      </c>
      <c r="H313" s="254">
        <f t="shared" si="27"/>
        <v>0</v>
      </c>
      <c r="K313" s="41"/>
    </row>
    <row r="314" spans="1:11" ht="14.25">
      <c r="A314" s="159"/>
      <c r="B314" s="393"/>
      <c r="C314" s="386"/>
      <c r="D314" s="239"/>
      <c r="E314" s="428"/>
      <c r="F314" s="428"/>
      <c r="G314" s="428" t="s">
        <v>65</v>
      </c>
      <c r="H314" s="190">
        <f>ROUND(SUM(H310:H313),0)</f>
        <v>29</v>
      </c>
      <c r="K314" s="41"/>
    </row>
    <row r="315" spans="1:11" ht="15">
      <c r="A315" s="218"/>
      <c r="C315" s="219"/>
      <c r="D315" s="36"/>
      <c r="E315" s="37"/>
      <c r="F315" s="616" t="s">
        <v>65</v>
      </c>
      <c r="G315" s="616"/>
      <c r="H315" s="40">
        <f>H314*1</f>
        <v>29</v>
      </c>
      <c r="K315" s="41"/>
    </row>
    <row r="316" spans="1:11" ht="15">
      <c r="A316" s="218"/>
      <c r="B316" s="393"/>
      <c r="C316" s="219"/>
      <c r="D316" s="36"/>
      <c r="E316" s="37"/>
      <c r="F316" s="380"/>
      <c r="G316" s="380"/>
      <c r="H316" s="40"/>
      <c r="K316" s="41"/>
    </row>
    <row r="317" spans="1:11" ht="15.75">
      <c r="A317" s="440">
        <v>14</v>
      </c>
      <c r="B317" s="441" t="s">
        <v>620</v>
      </c>
      <c r="C317" s="420"/>
      <c r="D317" s="421"/>
      <c r="E317" s="422"/>
      <c r="F317" s="422"/>
      <c r="G317" s="423"/>
      <c r="H317" s="424"/>
      <c r="K317" s="41"/>
    </row>
    <row r="318" spans="1:11">
      <c r="A318" s="159" t="s">
        <v>10</v>
      </c>
      <c r="B318" s="189" t="s">
        <v>375</v>
      </c>
      <c r="C318" s="119"/>
      <c r="D318" s="426"/>
      <c r="E318" s="426"/>
      <c r="F318" s="426"/>
      <c r="G318" s="39"/>
      <c r="H318" s="190"/>
      <c r="K318" s="41"/>
    </row>
    <row r="319" spans="1:11">
      <c r="A319" s="159"/>
      <c r="B319" s="438"/>
      <c r="C319" s="119" t="s">
        <v>16</v>
      </c>
      <c r="D319" s="425">
        <v>0</v>
      </c>
      <c r="E319" s="426">
        <v>15</v>
      </c>
      <c r="F319" s="426"/>
      <c r="G319" s="254">
        <f t="shared" ref="G319:G321" si="28">2.5+0.6+1.225-0.2</f>
        <v>4.125</v>
      </c>
      <c r="H319" s="254">
        <f t="shared" ref="H319" si="29">D319*E319*G319</f>
        <v>0</v>
      </c>
      <c r="K319" s="41"/>
    </row>
    <row r="320" spans="1:11">
      <c r="A320" s="159" t="s">
        <v>12</v>
      </c>
      <c r="B320" s="189" t="s">
        <v>606</v>
      </c>
      <c r="C320" s="119" t="s">
        <v>16</v>
      </c>
      <c r="D320" s="426"/>
      <c r="E320" s="426"/>
      <c r="F320" s="426"/>
      <c r="G320" s="254"/>
      <c r="H320" s="190"/>
      <c r="K320" s="41"/>
    </row>
    <row r="321" spans="1:11">
      <c r="A321" s="159"/>
      <c r="B321" s="438"/>
      <c r="C321" s="119" t="s">
        <v>16</v>
      </c>
      <c r="D321" s="425">
        <v>0</v>
      </c>
      <c r="E321" s="426">
        <v>15</v>
      </c>
      <c r="F321" s="426"/>
      <c r="G321" s="254">
        <f t="shared" si="28"/>
        <v>4.125</v>
      </c>
      <c r="H321" s="254">
        <f t="shared" ref="H321" si="30">D321*E321*G321</f>
        <v>0</v>
      </c>
      <c r="K321" s="41"/>
    </row>
    <row r="322" spans="1:11" ht="14.25">
      <c r="A322" s="159"/>
      <c r="B322" s="393"/>
      <c r="C322" s="386"/>
      <c r="D322" s="239"/>
      <c r="E322" s="428"/>
      <c r="F322" s="428"/>
      <c r="G322" s="428" t="s">
        <v>65</v>
      </c>
      <c r="H322" s="190">
        <f>SUM(H319:H321)</f>
        <v>0</v>
      </c>
      <c r="K322" s="41"/>
    </row>
    <row r="323" spans="1:11" ht="14.25">
      <c r="A323" s="430"/>
      <c r="B323" s="393"/>
      <c r="C323" s="386"/>
      <c r="D323" s="239"/>
      <c r="E323" s="428"/>
      <c r="F323" s="428"/>
      <c r="G323" s="428" t="s">
        <v>607</v>
      </c>
      <c r="H323" s="190">
        <f>ROUND(H322*1,0)</f>
        <v>0</v>
      </c>
      <c r="K323" s="41"/>
    </row>
    <row r="324" spans="1:11" ht="15.75">
      <c r="A324" s="418"/>
      <c r="B324" s="441" t="s">
        <v>621</v>
      </c>
      <c r="C324" s="420"/>
      <c r="D324" s="421"/>
      <c r="E324" s="422"/>
      <c r="F324" s="422"/>
      <c r="G324" s="423"/>
      <c r="H324" s="424"/>
      <c r="K324" s="41"/>
    </row>
    <row r="325" spans="1:11">
      <c r="A325" s="159" t="s">
        <v>10</v>
      </c>
      <c r="B325" s="189" t="s">
        <v>375</v>
      </c>
      <c r="C325" s="119"/>
      <c r="D325" s="425"/>
      <c r="E325" s="426"/>
      <c r="F325" s="426"/>
      <c r="G325" s="254"/>
      <c r="H325" s="254"/>
      <c r="K325" s="41"/>
    </row>
    <row r="326" spans="1:11">
      <c r="A326" s="159"/>
      <c r="B326" s="438"/>
      <c r="C326" s="119" t="s">
        <v>16</v>
      </c>
      <c r="D326" s="425">
        <v>0</v>
      </c>
      <c r="E326" s="426">
        <v>10</v>
      </c>
      <c r="F326" s="426"/>
      <c r="G326" s="254">
        <v>3.2</v>
      </c>
      <c r="H326" s="254">
        <f t="shared" ref="H326" si="31">D326*E326*G326</f>
        <v>0</v>
      </c>
      <c r="K326" s="41"/>
    </row>
    <row r="327" spans="1:11">
      <c r="A327" s="159" t="s">
        <v>12</v>
      </c>
      <c r="B327" s="189" t="s">
        <v>606</v>
      </c>
      <c r="C327" s="119"/>
      <c r="D327" s="425"/>
      <c r="E327" s="426"/>
      <c r="F327" s="426"/>
      <c r="G327" s="254"/>
      <c r="H327" s="254"/>
      <c r="K327" s="41"/>
    </row>
    <row r="328" spans="1:11" ht="14.25">
      <c r="A328" s="159"/>
      <c r="B328" s="393"/>
      <c r="C328" s="386"/>
      <c r="D328" s="239"/>
      <c r="E328" s="428"/>
      <c r="F328" s="428"/>
      <c r="G328" s="428" t="s">
        <v>65</v>
      </c>
      <c r="H328" s="190">
        <f>SUM(H326:H327)</f>
        <v>0</v>
      </c>
      <c r="K328" s="41"/>
    </row>
    <row r="329" spans="1:11" ht="14.25">
      <c r="A329" s="430"/>
      <c r="B329" s="393"/>
      <c r="C329" s="386"/>
      <c r="D329" s="239"/>
      <c r="E329" s="428"/>
      <c r="F329" s="428"/>
      <c r="G329" s="428" t="s">
        <v>607</v>
      </c>
      <c r="H329" s="190">
        <f>ROUND(H328*1,0)</f>
        <v>0</v>
      </c>
      <c r="K329" s="41"/>
    </row>
    <row r="330" spans="1:11" ht="15">
      <c r="A330" s="159">
        <v>15</v>
      </c>
      <c r="B330" s="189" t="s">
        <v>218</v>
      </c>
      <c r="C330" s="34"/>
      <c r="D330" s="36"/>
      <c r="E330" s="37"/>
      <c r="F330" s="380"/>
      <c r="G330" s="380"/>
      <c r="H330" s="40"/>
    </row>
    <row r="331" spans="1:11" ht="15">
      <c r="A331" s="218"/>
      <c r="B331" s="160" t="s">
        <v>202</v>
      </c>
      <c r="C331" s="34"/>
      <c r="D331" s="36"/>
      <c r="E331" s="37"/>
      <c r="F331" s="38"/>
      <c r="G331" s="38"/>
      <c r="H331" s="39"/>
    </row>
    <row r="332" spans="1:11" ht="15">
      <c r="A332" s="159" t="s">
        <v>10</v>
      </c>
      <c r="B332" s="189" t="s">
        <v>622</v>
      </c>
      <c r="C332" s="34"/>
      <c r="D332" s="36"/>
      <c r="E332" s="37"/>
      <c r="F332" s="38"/>
      <c r="G332" s="38"/>
      <c r="H332" s="39"/>
    </row>
    <row r="333" spans="1:11" ht="15">
      <c r="A333" s="159"/>
      <c r="B333" s="438"/>
      <c r="C333" s="318" t="s">
        <v>16</v>
      </c>
      <c r="D333" s="36">
        <f>D298*1</f>
        <v>1</v>
      </c>
      <c r="E333" s="37">
        <f>E298</f>
        <v>179.5</v>
      </c>
      <c r="F333" s="37"/>
      <c r="G333" s="37">
        <f>G298</f>
        <v>3.3</v>
      </c>
      <c r="H333" s="39">
        <f t="shared" ref="H333:H335" si="32">D333*E333*G333</f>
        <v>592.35</v>
      </c>
    </row>
    <row r="334" spans="1:11" ht="15">
      <c r="A334" s="159" t="s">
        <v>12</v>
      </c>
      <c r="B334" s="189" t="s">
        <v>623</v>
      </c>
      <c r="C334" s="318"/>
      <c r="D334" s="36"/>
      <c r="E334" s="37"/>
      <c r="F334" s="37"/>
      <c r="G334" s="37"/>
      <c r="H334" s="39"/>
    </row>
    <row r="335" spans="1:11" ht="15">
      <c r="A335" s="159"/>
      <c r="B335" s="438"/>
      <c r="C335" s="318" t="s">
        <v>16</v>
      </c>
      <c r="D335" s="36">
        <f>D303*1</f>
        <v>1</v>
      </c>
      <c r="E335" s="37">
        <f>E303</f>
        <v>18.55</v>
      </c>
      <c r="F335" s="37"/>
      <c r="G335" s="37">
        <f>G303-2.1</f>
        <v>2.0249999999999999</v>
      </c>
      <c r="H335" s="39">
        <f t="shared" si="32"/>
        <v>37.563749999999999</v>
      </c>
    </row>
    <row r="336" spans="1:11" ht="15">
      <c r="A336" s="34"/>
      <c r="B336" s="35"/>
      <c r="C336" s="34"/>
      <c r="D336" s="36"/>
      <c r="E336" s="37"/>
      <c r="F336" s="38"/>
      <c r="G336" s="38"/>
      <c r="H336" s="39"/>
    </row>
    <row r="337" spans="1:10" ht="15">
      <c r="A337" s="34"/>
      <c r="B337" s="160" t="s">
        <v>207</v>
      </c>
      <c r="C337" s="318" t="s">
        <v>16</v>
      </c>
      <c r="D337" s="36"/>
      <c r="E337" s="37"/>
      <c r="F337" s="38"/>
      <c r="G337" s="38"/>
      <c r="H337" s="39">
        <f>H315*2</f>
        <v>58</v>
      </c>
    </row>
    <row r="338" spans="1:10" ht="15">
      <c r="A338" s="34"/>
      <c r="B338" s="442" t="s">
        <v>352</v>
      </c>
      <c r="C338" s="443" t="s">
        <v>16</v>
      </c>
      <c r="D338" s="394">
        <v>1</v>
      </c>
      <c r="E338" s="444">
        <f>2*4.25+0.6*2</f>
        <v>9.6999999999999993</v>
      </c>
      <c r="F338" s="445"/>
      <c r="G338" s="445">
        <v>3.65</v>
      </c>
      <c r="H338" s="446">
        <f>ROUND(D338*E338*G338,0)</f>
        <v>35</v>
      </c>
    </row>
    <row r="339" spans="1:10" ht="15">
      <c r="A339" s="34"/>
      <c r="B339" s="160"/>
      <c r="C339" s="318"/>
      <c r="D339" s="36"/>
      <c r="E339" s="37"/>
      <c r="F339" s="38"/>
      <c r="G339" s="38"/>
      <c r="H339" s="39"/>
    </row>
    <row r="340" spans="1:10" ht="15">
      <c r="A340" s="34"/>
      <c r="B340" s="35"/>
      <c r="C340" s="34"/>
      <c r="D340" s="36"/>
      <c r="E340" s="37"/>
      <c r="F340" s="616" t="s">
        <v>65</v>
      </c>
      <c r="G340" s="616"/>
      <c r="H340" s="40">
        <f>ROUND(SUM(H333:H338),0)</f>
        <v>723</v>
      </c>
    </row>
    <row r="341" spans="1:10" ht="15">
      <c r="A341" s="43"/>
      <c r="B341" s="390"/>
      <c r="C341" s="43"/>
      <c r="D341" s="44"/>
      <c r="E341" s="45"/>
      <c r="F341" s="396"/>
      <c r="G341" s="396"/>
      <c r="H341" s="201"/>
    </row>
    <row r="342" spans="1:10" ht="15">
      <c r="A342" s="43"/>
      <c r="B342" s="390"/>
      <c r="C342" s="43"/>
      <c r="D342" s="44"/>
      <c r="E342" s="390"/>
      <c r="F342" s="43"/>
      <c r="G342" s="44"/>
      <c r="H342" s="390"/>
    </row>
    <row r="343" spans="1:10" ht="15">
      <c r="A343" s="159">
        <v>16</v>
      </c>
      <c r="B343" s="189" t="s">
        <v>624</v>
      </c>
      <c r="C343" s="318" t="s">
        <v>16</v>
      </c>
      <c r="D343" s="36">
        <v>1</v>
      </c>
      <c r="E343" s="37">
        <f>E333</f>
        <v>179.5</v>
      </c>
      <c r="F343" s="37"/>
      <c r="G343" s="37">
        <f>G333</f>
        <v>3.3</v>
      </c>
      <c r="H343" s="39">
        <f t="shared" ref="H343" si="33">D343*E343*G343</f>
        <v>592.35</v>
      </c>
    </row>
    <row r="344" spans="1:10" ht="15">
      <c r="A344" s="43"/>
      <c r="B344" s="442"/>
      <c r="C344" s="443"/>
      <c r="D344" s="394"/>
      <c r="E344" s="444"/>
      <c r="F344" s="445"/>
      <c r="G344" s="445"/>
      <c r="H344" s="446"/>
    </row>
    <row r="345" spans="1:10" ht="15">
      <c r="A345" s="219"/>
      <c r="B345" s="35"/>
      <c r="C345" s="219"/>
      <c r="D345" s="36"/>
      <c r="E345" s="37"/>
      <c r="F345" s="380"/>
      <c r="G345" s="380"/>
      <c r="H345" s="40"/>
    </row>
    <row r="346" spans="1:10" ht="15">
      <c r="A346" s="159">
        <v>17</v>
      </c>
      <c r="B346" s="189" t="s">
        <v>220</v>
      </c>
      <c r="C346" s="119"/>
      <c r="D346" s="228"/>
      <c r="E346" s="98"/>
      <c r="F346" s="98"/>
      <c r="G346" s="39"/>
      <c r="H346" s="254"/>
    </row>
    <row r="347" spans="1:10" ht="15">
      <c r="A347" s="159" t="s">
        <v>10</v>
      </c>
      <c r="B347" s="160" t="s">
        <v>221</v>
      </c>
      <c r="C347" s="119"/>
      <c r="D347" s="36"/>
      <c r="E347" s="37"/>
      <c r="F347" s="38"/>
      <c r="G347" s="39"/>
      <c r="H347" s="254"/>
    </row>
    <row r="348" spans="1:10" ht="15">
      <c r="A348" s="159"/>
      <c r="B348" s="160" t="s">
        <v>623</v>
      </c>
      <c r="C348" s="119"/>
      <c r="D348" s="36"/>
      <c r="E348" s="37"/>
      <c r="F348" s="38"/>
      <c r="G348" s="39"/>
      <c r="H348" s="254"/>
    </row>
    <row r="349" spans="1:10" ht="14.25" customHeight="1">
      <c r="A349" s="34"/>
      <c r="B349" s="439" t="s">
        <v>208</v>
      </c>
      <c r="C349" s="34" t="s">
        <v>16</v>
      </c>
      <c r="D349" s="36">
        <v>1</v>
      </c>
      <c r="E349" s="120">
        <f>2*1.4+2*1.95</f>
        <v>6.6999999999999993</v>
      </c>
      <c r="F349" s="120"/>
      <c r="G349" s="39">
        <f>4-2.1</f>
        <v>1.9</v>
      </c>
      <c r="H349" s="254">
        <f>D349*E349*G349</f>
        <v>12.729999999999999</v>
      </c>
    </row>
    <row r="350" spans="1:10" ht="14.25" customHeight="1">
      <c r="A350" s="34"/>
      <c r="B350" s="439" t="s">
        <v>219</v>
      </c>
      <c r="C350" s="34" t="s">
        <v>16</v>
      </c>
      <c r="D350" s="36">
        <v>1</v>
      </c>
      <c r="E350" s="120">
        <f>2*1.2+2*1.5+2*1.2+2*1.5+2*2.515+2*2.1+2*1.63+2*1.65</f>
        <v>26.59</v>
      </c>
      <c r="F350" s="120"/>
      <c r="G350" s="39">
        <f>4-2.1</f>
        <v>1.9</v>
      </c>
      <c r="H350" s="254">
        <f>D350*E350*G350</f>
        <v>50.521000000000001</v>
      </c>
    </row>
    <row r="351" spans="1:10" ht="14.25" customHeight="1">
      <c r="A351" s="34"/>
      <c r="B351" s="439" t="s">
        <v>625</v>
      </c>
      <c r="C351" s="34" t="s">
        <v>16</v>
      </c>
      <c r="D351" s="36">
        <v>1</v>
      </c>
      <c r="E351" s="447">
        <v>4</v>
      </c>
      <c r="F351" s="120"/>
      <c r="G351" s="39">
        <v>3.72</v>
      </c>
      <c r="H351" s="254">
        <f>D351*E351*G351</f>
        <v>14.88</v>
      </c>
    </row>
    <row r="352" spans="1:10" ht="14.25" customHeight="1">
      <c r="A352" s="34"/>
      <c r="B352" s="439" t="s">
        <v>222</v>
      </c>
      <c r="C352" s="34" t="s">
        <v>16</v>
      </c>
      <c r="D352" s="36"/>
      <c r="E352" s="36"/>
      <c r="F352" s="448"/>
      <c r="G352" s="39"/>
      <c r="H352" s="254">
        <f>D352*E352*F352</f>
        <v>0</v>
      </c>
      <c r="J352" s="449"/>
    </row>
    <row r="353" spans="1:8" ht="15">
      <c r="A353" s="34"/>
      <c r="B353" s="118" t="s">
        <v>359</v>
      </c>
      <c r="C353" s="34" t="s">
        <v>16</v>
      </c>
      <c r="D353" s="36"/>
      <c r="E353" s="37"/>
      <c r="F353" s="380"/>
      <c r="G353" s="380"/>
      <c r="H353" s="40">
        <v>0</v>
      </c>
    </row>
    <row r="354" spans="1:8" ht="15">
      <c r="A354" s="34"/>
      <c r="B354" s="35"/>
      <c r="C354" s="34"/>
      <c r="D354" s="36"/>
      <c r="E354" s="37"/>
      <c r="F354" s="380"/>
      <c r="G354" s="380"/>
      <c r="H354" s="40"/>
    </row>
    <row r="355" spans="1:8" ht="15">
      <c r="A355" s="43"/>
      <c r="B355" s="450" t="s">
        <v>352</v>
      </c>
      <c r="C355" s="443" t="s">
        <v>16</v>
      </c>
      <c r="D355" s="394">
        <v>1</v>
      </c>
      <c r="E355" s="444">
        <f>4.25*2+0.6*2</f>
        <v>9.6999999999999993</v>
      </c>
      <c r="F355" s="445"/>
      <c r="G355" s="445">
        <v>3.65</v>
      </c>
      <c r="H355" s="446">
        <f>ROUND(D355*E355*G355,0)</f>
        <v>35</v>
      </c>
    </row>
    <row r="356" spans="1:8" ht="15">
      <c r="A356" s="43"/>
      <c r="B356" s="450"/>
      <c r="C356" s="443"/>
      <c r="D356" s="394"/>
      <c r="E356" s="444"/>
      <c r="F356" s="616" t="s">
        <v>65</v>
      </c>
      <c r="G356" s="616"/>
      <c r="H356" s="40">
        <f>ROUND(SUM(H347:H355),0)</f>
        <v>113</v>
      </c>
    </row>
    <row r="357" spans="1:8" ht="15">
      <c r="A357" s="34"/>
      <c r="B357" s="35"/>
      <c r="C357" s="34"/>
      <c r="D357" s="36"/>
      <c r="E357" s="37"/>
      <c r="F357" s="380"/>
      <c r="G357" s="380"/>
      <c r="H357" s="40"/>
    </row>
    <row r="358" spans="1:8" ht="15">
      <c r="A358" s="159" t="s">
        <v>13</v>
      </c>
      <c r="B358" s="160" t="s">
        <v>223</v>
      </c>
      <c r="C358" s="34"/>
      <c r="D358" s="36"/>
      <c r="E358" s="37"/>
      <c r="F358" s="380"/>
      <c r="G358" s="380"/>
      <c r="H358" s="40"/>
    </row>
    <row r="359" spans="1:8" ht="15">
      <c r="A359" s="159"/>
      <c r="B359" s="118" t="s">
        <v>626</v>
      </c>
      <c r="C359" s="34" t="s">
        <v>16</v>
      </c>
      <c r="D359" s="36">
        <v>1</v>
      </c>
      <c r="E359" s="37">
        <f>E333</f>
        <v>179.5</v>
      </c>
      <c r="F359" s="380"/>
      <c r="G359" s="445">
        <v>3.3</v>
      </c>
      <c r="H359" s="39">
        <f>E359*G359</f>
        <v>592.35</v>
      </c>
    </row>
    <row r="360" spans="1:8" ht="15">
      <c r="A360" s="159"/>
      <c r="B360" s="118"/>
      <c r="C360" s="34"/>
      <c r="D360" s="36"/>
      <c r="E360" s="37"/>
      <c r="F360" s="380"/>
      <c r="G360" s="380"/>
      <c r="H360" s="39"/>
    </row>
    <row r="361" spans="1:8" ht="15">
      <c r="A361" s="34"/>
      <c r="B361" s="35"/>
      <c r="C361" s="34"/>
      <c r="D361" s="36"/>
      <c r="E361" s="37"/>
      <c r="F361" s="616" t="s">
        <v>65</v>
      </c>
      <c r="G361" s="616"/>
      <c r="H361" s="40">
        <f>ROUND(SUM(H358:H360),0)</f>
        <v>592</v>
      </c>
    </row>
    <row r="362" spans="1:8" ht="15">
      <c r="A362" s="34"/>
      <c r="B362" s="35"/>
      <c r="C362" s="34"/>
      <c r="D362" s="36"/>
      <c r="E362" s="37"/>
      <c r="F362" s="380"/>
      <c r="G362" s="380"/>
      <c r="H362" s="40"/>
    </row>
    <row r="363" spans="1:8" ht="15">
      <c r="A363" s="159" t="s">
        <v>71</v>
      </c>
      <c r="B363" s="160" t="s">
        <v>226</v>
      </c>
      <c r="C363" s="34"/>
      <c r="D363" s="36"/>
      <c r="E363" s="37"/>
      <c r="F363" s="380"/>
      <c r="G363" s="380"/>
      <c r="H363" s="40"/>
    </row>
    <row r="364" spans="1:8" ht="15">
      <c r="A364" s="34"/>
      <c r="B364" s="35" t="s">
        <v>227</v>
      </c>
      <c r="C364" s="34" t="s">
        <v>16</v>
      </c>
      <c r="D364" s="36">
        <v>1</v>
      </c>
      <c r="E364" s="37">
        <f>E359</f>
        <v>179.5</v>
      </c>
      <c r="F364" s="380"/>
      <c r="G364" s="39">
        <v>1.3</v>
      </c>
      <c r="H364" s="39">
        <f>D364*E364*G364</f>
        <v>233.35</v>
      </c>
    </row>
    <row r="365" spans="1:8" ht="15">
      <c r="A365" s="34"/>
      <c r="B365" s="35" t="s">
        <v>627</v>
      </c>
      <c r="C365" s="34" t="s">
        <v>16</v>
      </c>
      <c r="D365" s="36">
        <v>1</v>
      </c>
      <c r="E365" s="37">
        <f>E364</f>
        <v>179.5</v>
      </c>
      <c r="F365" s="380"/>
      <c r="G365" s="39">
        <f>G359</f>
        <v>3.3</v>
      </c>
      <c r="H365" s="39">
        <f>D365*E365*G365</f>
        <v>592.35</v>
      </c>
    </row>
    <row r="366" spans="1:8" ht="15">
      <c r="A366" s="34"/>
      <c r="B366" s="35"/>
      <c r="C366" s="34"/>
      <c r="D366" s="36"/>
      <c r="E366" s="37"/>
      <c r="F366" s="616" t="s">
        <v>65</v>
      </c>
      <c r="G366" s="616"/>
      <c r="H366" s="40">
        <f>ROUND(SUM(H363:H365),0)</f>
        <v>826</v>
      </c>
    </row>
    <row r="367" spans="1:8" ht="15">
      <c r="A367" s="34"/>
      <c r="B367" s="35"/>
      <c r="C367" s="34"/>
      <c r="D367" s="36"/>
      <c r="E367" s="37"/>
      <c r="F367" s="380"/>
      <c r="G367" s="380"/>
      <c r="H367" s="40"/>
    </row>
    <row r="368" spans="1:8" ht="15">
      <c r="A368" s="159">
        <v>20</v>
      </c>
      <c r="B368" s="189" t="s">
        <v>229</v>
      </c>
      <c r="C368" s="451"/>
      <c r="D368" s="36"/>
      <c r="E368" s="452"/>
      <c r="F368" s="36"/>
      <c r="G368" s="380"/>
      <c r="H368" s="254"/>
    </row>
    <row r="369" spans="1:8" ht="15">
      <c r="A369" s="159"/>
      <c r="B369" s="189" t="s">
        <v>375</v>
      </c>
      <c r="C369" s="34"/>
      <c r="D369" s="36"/>
      <c r="E369" s="37"/>
      <c r="F369" s="37"/>
      <c r="G369" s="40"/>
      <c r="H369" s="254"/>
    </row>
    <row r="370" spans="1:8" ht="15">
      <c r="A370" s="453"/>
      <c r="B370" s="454"/>
      <c r="C370" s="455"/>
      <c r="D370" s="456">
        <v>0</v>
      </c>
      <c r="E370" s="674">
        <f>32.2*12.6</f>
        <v>405.72</v>
      </c>
      <c r="F370" s="675"/>
      <c r="G370" s="457"/>
      <c r="H370" s="457">
        <f>D370*E370</f>
        <v>0</v>
      </c>
    </row>
    <row r="371" spans="1:8" ht="15">
      <c r="A371" s="453"/>
      <c r="B371" s="454"/>
      <c r="C371" s="458"/>
      <c r="D371" s="456"/>
      <c r="E371" s="457"/>
      <c r="F371" s="457"/>
      <c r="G371" s="428" t="s">
        <v>65</v>
      </c>
      <c r="H371" s="459">
        <f>SUM(H370:H370)</f>
        <v>0</v>
      </c>
    </row>
    <row r="372" spans="1:8" ht="15">
      <c r="A372" s="43"/>
      <c r="B372" s="393"/>
      <c r="C372" s="34"/>
      <c r="D372" s="36"/>
      <c r="E372" s="36"/>
      <c r="F372" s="616" t="s">
        <v>65</v>
      </c>
      <c r="G372" s="616"/>
      <c r="H372" s="40">
        <f>ROUND(H371*1,0)</f>
        <v>0</v>
      </c>
    </row>
    <row r="373" spans="1:8" ht="15">
      <c r="A373" s="43"/>
      <c r="B373" s="460"/>
      <c r="C373" s="34"/>
      <c r="D373" s="36"/>
      <c r="E373" s="36"/>
      <c r="F373" s="36"/>
      <c r="G373" s="380"/>
      <c r="H373" s="254"/>
    </row>
    <row r="374" spans="1:8" ht="15">
      <c r="A374" s="159">
        <v>21</v>
      </c>
      <c r="B374" s="189" t="s">
        <v>230</v>
      </c>
      <c r="C374" s="451"/>
      <c r="D374" s="36"/>
      <c r="E374" s="452"/>
      <c r="F374" s="36"/>
      <c r="G374" s="380"/>
      <c r="H374" s="254"/>
    </row>
    <row r="375" spans="1:8" ht="15">
      <c r="A375" s="159"/>
      <c r="B375" s="189" t="s">
        <v>375</v>
      </c>
      <c r="C375" s="34"/>
      <c r="D375" s="36"/>
      <c r="E375" s="37"/>
      <c r="F375" s="37"/>
      <c r="G375" s="40"/>
      <c r="H375" s="254"/>
    </row>
    <row r="376" spans="1:8" ht="15">
      <c r="A376" s="453"/>
      <c r="B376" s="454"/>
      <c r="C376" s="455"/>
      <c r="D376" s="456">
        <v>0</v>
      </c>
      <c r="E376" s="674">
        <f>E370</f>
        <v>405.72</v>
      </c>
      <c r="F376" s="675"/>
      <c r="G376" s="457"/>
      <c r="H376" s="457">
        <f>D376*E376</f>
        <v>0</v>
      </c>
    </row>
    <row r="377" spans="1:8" ht="15">
      <c r="A377" s="453"/>
      <c r="B377" s="454"/>
      <c r="C377" s="458"/>
      <c r="D377" s="456"/>
      <c r="E377" s="457"/>
      <c r="F377" s="457"/>
      <c r="G377" s="428" t="s">
        <v>65</v>
      </c>
      <c r="H377" s="459">
        <f>SUM(H376:H376)</f>
        <v>0</v>
      </c>
    </row>
    <row r="378" spans="1:8" ht="15">
      <c r="A378" s="43"/>
      <c r="B378" s="393"/>
      <c r="C378" s="34"/>
      <c r="D378" s="36"/>
      <c r="E378" s="36"/>
      <c r="F378" s="616" t="s">
        <v>65</v>
      </c>
      <c r="G378" s="616"/>
      <c r="H378" s="190">
        <f>ROUND(H377*1,0)</f>
        <v>0</v>
      </c>
    </row>
    <row r="379" spans="1:8" ht="15">
      <c r="A379" s="219"/>
      <c r="B379" s="35"/>
      <c r="C379" s="219"/>
      <c r="D379" s="36"/>
      <c r="E379" s="37"/>
      <c r="F379" s="187"/>
      <c r="G379" s="229"/>
      <c r="H379" s="39"/>
    </row>
    <row r="380" spans="1:8" ht="15">
      <c r="A380" s="159">
        <v>22</v>
      </c>
      <c r="B380" s="189" t="s">
        <v>61</v>
      </c>
      <c r="C380" s="119"/>
      <c r="D380" s="228"/>
      <c r="E380" s="98"/>
      <c r="F380" s="98"/>
      <c r="G380" s="229"/>
      <c r="H380" s="190"/>
    </row>
    <row r="381" spans="1:8" ht="15">
      <c r="A381" s="218" t="s">
        <v>10</v>
      </c>
      <c r="B381" s="160" t="s">
        <v>231</v>
      </c>
      <c r="C381" s="119"/>
      <c r="D381" s="36"/>
      <c r="E381" s="37"/>
      <c r="F381" s="187"/>
      <c r="G381" s="229"/>
      <c r="H381" s="39"/>
    </row>
    <row r="382" spans="1:8" ht="15">
      <c r="A382" s="461">
        <v>2</v>
      </c>
      <c r="B382" s="462" t="s">
        <v>231</v>
      </c>
      <c r="C382" s="458"/>
      <c r="D382" s="456"/>
      <c r="E382" s="457"/>
      <c r="F382" s="457"/>
      <c r="G382" s="457"/>
      <c r="H382" s="457"/>
    </row>
    <row r="383" spans="1:8" ht="15">
      <c r="A383" s="463"/>
      <c r="B383" s="454" t="s">
        <v>628</v>
      </c>
      <c r="C383" s="119" t="s">
        <v>16</v>
      </c>
      <c r="D383" s="456">
        <v>0</v>
      </c>
      <c r="E383" s="456">
        <v>32.200000000000003</v>
      </c>
      <c r="F383" s="456">
        <v>12.6</v>
      </c>
      <c r="G383" s="457"/>
      <c r="H383" s="457">
        <f t="shared" ref="H383:H384" si="34">D383*E383*F383</f>
        <v>0</v>
      </c>
    </row>
    <row r="384" spans="1:8" ht="15">
      <c r="A384" s="463"/>
      <c r="B384" s="454" t="s">
        <v>623</v>
      </c>
      <c r="C384" s="119" t="s">
        <v>16</v>
      </c>
      <c r="D384" s="456">
        <v>1</v>
      </c>
      <c r="E384" s="464">
        <v>4</v>
      </c>
      <c r="F384" s="456">
        <v>3.72</v>
      </c>
      <c r="G384" s="457"/>
      <c r="H384" s="457">
        <f t="shared" si="34"/>
        <v>14.88</v>
      </c>
    </row>
    <row r="385" spans="1:8" ht="15">
      <c r="A385" s="463"/>
      <c r="B385" s="454"/>
      <c r="C385" s="458"/>
      <c r="D385" s="456"/>
      <c r="E385" s="457"/>
      <c r="F385" s="457"/>
      <c r="G385" s="428" t="s">
        <v>65</v>
      </c>
      <c r="H385" s="40">
        <f>SUM(H383:H384)</f>
        <v>14.88</v>
      </c>
    </row>
    <row r="386" spans="1:8" ht="18.75">
      <c r="A386" s="159"/>
      <c r="B386" s="393"/>
      <c r="C386" s="386"/>
      <c r="D386" s="239"/>
      <c r="E386" s="428"/>
      <c r="F386" s="428"/>
      <c r="G386" s="428" t="s">
        <v>607</v>
      </c>
      <c r="H386" s="465">
        <f>ROUND(H385*1,0)</f>
        <v>15</v>
      </c>
    </row>
    <row r="387" spans="1:8" ht="15">
      <c r="A387" s="219"/>
      <c r="B387" s="191"/>
      <c r="C387" s="119"/>
      <c r="D387" s="36"/>
      <c r="E387" s="37"/>
      <c r="F387" s="380"/>
      <c r="G387" s="380"/>
      <c r="H387" s="40"/>
    </row>
    <row r="388" spans="1:8" ht="25.5">
      <c r="A388" s="219" t="s">
        <v>36</v>
      </c>
      <c r="B388" s="320" t="s">
        <v>629</v>
      </c>
      <c r="C388" s="119"/>
      <c r="D388" s="36"/>
      <c r="E388" s="37"/>
      <c r="F388" s="380"/>
      <c r="G388" s="380"/>
      <c r="H388" s="40"/>
    </row>
    <row r="389" spans="1:8" ht="15">
      <c r="A389" s="219"/>
      <c r="B389" s="191" t="s">
        <v>630</v>
      </c>
      <c r="C389" s="119" t="s">
        <v>16</v>
      </c>
      <c r="D389" s="36">
        <v>0</v>
      </c>
      <c r="E389" s="37">
        <v>32.200000000000003</v>
      </c>
      <c r="F389" s="381">
        <v>12.6</v>
      </c>
      <c r="G389" s="380"/>
      <c r="H389" s="39">
        <f>D389*E389*F389</f>
        <v>0</v>
      </c>
    </row>
    <row r="390" spans="1:8" ht="15">
      <c r="A390" s="219"/>
      <c r="B390" s="191" t="s">
        <v>631</v>
      </c>
      <c r="C390" s="119" t="s">
        <v>16</v>
      </c>
      <c r="D390" s="36">
        <v>0</v>
      </c>
      <c r="E390" s="37">
        <v>3.5049999999999999</v>
      </c>
      <c r="F390" s="381">
        <v>0.6</v>
      </c>
      <c r="G390" s="380"/>
      <c r="H390" s="39">
        <f t="shared" ref="H390:H395" si="35">D390*E390*F390</f>
        <v>0</v>
      </c>
    </row>
    <row r="391" spans="1:8" ht="15">
      <c r="A391" s="219"/>
      <c r="B391" s="191" t="s">
        <v>632</v>
      </c>
      <c r="C391" s="119" t="s">
        <v>16</v>
      </c>
      <c r="D391" s="36">
        <v>0</v>
      </c>
      <c r="E391" s="37">
        <v>1</v>
      </c>
      <c r="F391" s="381">
        <v>0.6</v>
      </c>
      <c r="G391" s="380"/>
      <c r="H391" s="39">
        <f t="shared" si="35"/>
        <v>0</v>
      </c>
    </row>
    <row r="392" spans="1:8" ht="15">
      <c r="A392" s="219"/>
      <c r="B392" s="191"/>
      <c r="C392" s="119"/>
      <c r="D392" s="36"/>
      <c r="E392" s="37"/>
      <c r="F392" s="380"/>
      <c r="G392" s="380"/>
      <c r="H392" s="39"/>
    </row>
    <row r="393" spans="1:8" ht="15">
      <c r="A393" s="219"/>
      <c r="B393" s="466" t="s">
        <v>633</v>
      </c>
      <c r="C393" s="119"/>
      <c r="D393" s="36"/>
      <c r="E393" s="37"/>
      <c r="F393" s="380"/>
      <c r="G393" s="380"/>
      <c r="H393" s="39"/>
    </row>
    <row r="394" spans="1:8" ht="15">
      <c r="A394" s="219"/>
      <c r="B394" s="191" t="s">
        <v>631</v>
      </c>
      <c r="C394" s="119" t="s">
        <v>16</v>
      </c>
      <c r="D394" s="36">
        <v>0</v>
      </c>
      <c r="E394" s="37">
        <v>3.3</v>
      </c>
      <c r="F394" s="381">
        <v>0.6</v>
      </c>
      <c r="G394" s="380"/>
      <c r="H394" s="39">
        <f t="shared" si="35"/>
        <v>0</v>
      </c>
    </row>
    <row r="395" spans="1:8" ht="15">
      <c r="A395" s="219"/>
      <c r="B395" s="191" t="s">
        <v>634</v>
      </c>
      <c r="C395" s="119" t="s">
        <v>16</v>
      </c>
      <c r="D395" s="36">
        <v>0</v>
      </c>
      <c r="E395" s="37">
        <v>1.9</v>
      </c>
      <c r="F395" s="381">
        <v>0.6</v>
      </c>
      <c r="G395" s="380"/>
      <c r="H395" s="39">
        <f t="shared" si="35"/>
        <v>0</v>
      </c>
    </row>
    <row r="396" spans="1:8" ht="15">
      <c r="A396" s="219"/>
      <c r="B396" s="191"/>
      <c r="C396" s="119"/>
      <c r="D396" s="36"/>
      <c r="E396" s="37"/>
      <c r="F396" s="380"/>
      <c r="G396" s="380"/>
      <c r="H396" s="40">
        <f>SUM(H389:H395)</f>
        <v>0</v>
      </c>
    </row>
    <row r="397" spans="1:8" ht="15">
      <c r="A397" s="219"/>
      <c r="B397" s="191"/>
      <c r="C397" s="119"/>
      <c r="D397" s="36"/>
      <c r="E397" s="37"/>
      <c r="F397" s="620" t="s">
        <v>65</v>
      </c>
      <c r="G397" s="621"/>
      <c r="H397" s="40">
        <f>ROUND(H396*2,0)</f>
        <v>0</v>
      </c>
    </row>
    <row r="398" spans="1:8" ht="15">
      <c r="A398" s="159">
        <v>23</v>
      </c>
      <c r="B398" s="189" t="s">
        <v>62</v>
      </c>
      <c r="C398" s="119"/>
      <c r="D398" s="36"/>
      <c r="E398" s="37"/>
      <c r="F398" s="380"/>
      <c r="G398" s="380"/>
      <c r="H398" s="40"/>
    </row>
    <row r="399" spans="1:8" ht="15">
      <c r="A399" s="218" t="s">
        <v>10</v>
      </c>
      <c r="B399" s="334" t="s">
        <v>240</v>
      </c>
      <c r="C399" s="119"/>
      <c r="D399" s="36"/>
      <c r="E399" s="37"/>
      <c r="F399" s="380"/>
      <c r="G399" s="380"/>
      <c r="H399" s="40"/>
    </row>
    <row r="400" spans="1:8" ht="15">
      <c r="A400" s="219"/>
      <c r="B400" s="219" t="s">
        <v>635</v>
      </c>
      <c r="C400" s="119" t="s">
        <v>30</v>
      </c>
      <c r="D400" s="36">
        <v>1</v>
      </c>
      <c r="E400" s="37"/>
      <c r="F400" s="380"/>
      <c r="G400" s="380"/>
      <c r="H400" s="39">
        <f>D400</f>
        <v>1</v>
      </c>
    </row>
    <row r="401" spans="1:8" ht="15">
      <c r="A401" s="219"/>
      <c r="B401" s="191"/>
      <c r="C401" s="119"/>
      <c r="D401" s="36"/>
      <c r="E401" s="37"/>
      <c r="F401" s="380"/>
      <c r="G401" s="380"/>
      <c r="H401" s="40"/>
    </row>
    <row r="402" spans="1:8" ht="15">
      <c r="A402" s="218" t="s">
        <v>12</v>
      </c>
      <c r="B402" s="334" t="s">
        <v>241</v>
      </c>
      <c r="C402" s="119"/>
      <c r="D402" s="36"/>
      <c r="E402" s="37"/>
      <c r="F402" s="380"/>
      <c r="G402" s="380"/>
      <c r="H402" s="40"/>
    </row>
    <row r="403" spans="1:8" ht="15">
      <c r="A403" s="219"/>
      <c r="B403" s="335" t="s">
        <v>636</v>
      </c>
      <c r="C403" s="119" t="s">
        <v>30</v>
      </c>
      <c r="D403" s="36">
        <v>0</v>
      </c>
      <c r="E403" s="37"/>
      <c r="F403" s="380"/>
      <c r="G403" s="380"/>
      <c r="H403" s="39">
        <f>D403</f>
        <v>0</v>
      </c>
    </row>
    <row r="404" spans="1:8" ht="15">
      <c r="A404" s="219"/>
      <c r="B404" s="335" t="s">
        <v>637</v>
      </c>
      <c r="C404" s="119" t="s">
        <v>30</v>
      </c>
      <c r="D404" s="36">
        <v>4</v>
      </c>
      <c r="E404" s="37"/>
      <c r="F404" s="380"/>
      <c r="G404" s="380"/>
      <c r="H404" s="39">
        <f>D404</f>
        <v>4</v>
      </c>
    </row>
    <row r="405" spans="1:8" ht="15">
      <c r="A405" s="219"/>
      <c r="B405" s="191"/>
      <c r="C405" s="119"/>
      <c r="D405" s="36"/>
      <c r="E405" s="37"/>
      <c r="F405" s="380"/>
      <c r="G405" s="380"/>
      <c r="H405" s="40"/>
    </row>
    <row r="406" spans="1:8" ht="15">
      <c r="A406" s="218" t="s">
        <v>13</v>
      </c>
      <c r="B406" s="334" t="s">
        <v>66</v>
      </c>
      <c r="C406" s="119"/>
      <c r="D406" s="36"/>
      <c r="E406" s="37"/>
      <c r="F406" s="380"/>
      <c r="G406" s="380"/>
      <c r="H406" s="40"/>
    </row>
    <row r="407" spans="1:8" ht="15">
      <c r="A407" s="219"/>
      <c r="B407" s="335" t="s">
        <v>638</v>
      </c>
      <c r="C407" s="119" t="s">
        <v>30</v>
      </c>
      <c r="D407" s="36">
        <v>0</v>
      </c>
      <c r="E407" s="37"/>
      <c r="F407" s="380"/>
      <c r="G407" s="380"/>
      <c r="H407" s="39">
        <f>D407</f>
        <v>0</v>
      </c>
    </row>
    <row r="408" spans="1:8" ht="15">
      <c r="A408" s="219"/>
      <c r="B408" s="191"/>
      <c r="C408" s="119"/>
      <c r="D408" s="36"/>
      <c r="E408" s="37"/>
      <c r="F408" s="380"/>
      <c r="G408" s="380"/>
      <c r="H408" s="40"/>
    </row>
    <row r="409" spans="1:8" ht="15">
      <c r="A409" s="218" t="s">
        <v>36</v>
      </c>
      <c r="B409" s="334" t="s">
        <v>242</v>
      </c>
      <c r="C409" s="119"/>
      <c r="D409" s="36"/>
      <c r="E409" s="37"/>
      <c r="F409" s="380"/>
      <c r="G409" s="380"/>
      <c r="H409" s="40"/>
    </row>
    <row r="410" spans="1:8" ht="15">
      <c r="A410" s="219"/>
      <c r="B410" s="335" t="s">
        <v>639</v>
      </c>
      <c r="C410" s="119" t="s">
        <v>30</v>
      </c>
      <c r="D410" s="36">
        <v>0</v>
      </c>
      <c r="E410" s="37"/>
      <c r="F410" s="380"/>
      <c r="G410" s="380"/>
      <c r="H410" s="39">
        <f>D410</f>
        <v>0</v>
      </c>
    </row>
    <row r="411" spans="1:8" ht="15">
      <c r="A411" s="219"/>
      <c r="B411" s="191"/>
      <c r="C411" s="119"/>
      <c r="D411" s="36"/>
      <c r="E411" s="37"/>
      <c r="F411" s="380"/>
      <c r="G411" s="380"/>
      <c r="H411" s="40"/>
    </row>
    <row r="412" spans="1:8" ht="15">
      <c r="A412" s="218" t="s">
        <v>42</v>
      </c>
      <c r="B412" s="334" t="s">
        <v>640</v>
      </c>
      <c r="C412" s="119"/>
      <c r="D412" s="36"/>
      <c r="E412" s="37"/>
      <c r="F412" s="380"/>
      <c r="G412" s="380"/>
      <c r="H412" s="40"/>
    </row>
    <row r="413" spans="1:8" ht="15">
      <c r="A413" s="219"/>
      <c r="B413" s="335" t="s">
        <v>641</v>
      </c>
      <c r="C413" s="119"/>
      <c r="D413" s="36"/>
      <c r="E413" s="37"/>
      <c r="F413" s="380"/>
      <c r="G413" s="380"/>
      <c r="H413" s="40"/>
    </row>
    <row r="414" spans="1:8" ht="15">
      <c r="A414" s="219"/>
      <c r="B414" s="335" t="s">
        <v>642</v>
      </c>
      <c r="C414" s="119"/>
      <c r="D414" s="36"/>
      <c r="E414" s="37"/>
      <c r="F414" s="380"/>
      <c r="G414" s="380"/>
      <c r="H414" s="40"/>
    </row>
    <row r="415" spans="1:8" ht="15">
      <c r="A415" s="219"/>
      <c r="B415" s="335" t="s">
        <v>643</v>
      </c>
      <c r="C415" s="119" t="s">
        <v>30</v>
      </c>
      <c r="D415" s="36">
        <v>16</v>
      </c>
      <c r="E415" s="37"/>
      <c r="F415" s="380"/>
      <c r="G415" s="380"/>
      <c r="H415" s="39">
        <f>D415</f>
        <v>16</v>
      </c>
    </row>
    <row r="416" spans="1:8" ht="15">
      <c r="A416" s="219"/>
      <c r="B416" s="335" t="s">
        <v>644</v>
      </c>
      <c r="C416" s="119" t="s">
        <v>30</v>
      </c>
      <c r="D416" s="36">
        <v>1</v>
      </c>
      <c r="E416" s="37"/>
      <c r="F416" s="380"/>
      <c r="G416" s="380"/>
      <c r="H416" s="39">
        <f t="shared" ref="H416:H418" si="36">D416</f>
        <v>1</v>
      </c>
    </row>
    <row r="417" spans="1:8" ht="15">
      <c r="A417" s="219"/>
      <c r="B417" s="335" t="s">
        <v>247</v>
      </c>
      <c r="C417" s="119" t="s">
        <v>30</v>
      </c>
      <c r="D417" s="36">
        <v>0</v>
      </c>
      <c r="E417" s="37"/>
      <c r="F417" s="380"/>
      <c r="G417" s="380"/>
      <c r="H417" s="39">
        <f t="shared" si="36"/>
        <v>0</v>
      </c>
    </row>
    <row r="418" spans="1:8" ht="15">
      <c r="A418" s="219"/>
      <c r="B418" s="335" t="s">
        <v>246</v>
      </c>
      <c r="C418" s="119" t="s">
        <v>30</v>
      </c>
      <c r="D418" s="36">
        <v>0</v>
      </c>
      <c r="E418" s="37"/>
      <c r="F418" s="380"/>
      <c r="G418" s="380"/>
      <c r="H418" s="39">
        <f t="shared" si="36"/>
        <v>0</v>
      </c>
    </row>
    <row r="419" spans="1:8" ht="15">
      <c r="A419" s="219"/>
      <c r="B419" s="191"/>
      <c r="C419" s="119"/>
      <c r="D419" s="36"/>
      <c r="E419" s="37"/>
      <c r="F419" s="620" t="s">
        <v>65</v>
      </c>
      <c r="G419" s="621"/>
      <c r="H419" s="40">
        <f>SUM(H415:H418)</f>
        <v>17</v>
      </c>
    </row>
    <row r="420" spans="1:8" ht="15">
      <c r="A420" s="218" t="s">
        <v>42</v>
      </c>
      <c r="B420" s="334" t="s">
        <v>243</v>
      </c>
      <c r="C420" s="119"/>
      <c r="D420" s="36"/>
      <c r="E420" s="37"/>
      <c r="F420" s="380"/>
      <c r="G420" s="380"/>
      <c r="H420" s="40"/>
    </row>
    <row r="421" spans="1:8" ht="15">
      <c r="A421" s="219"/>
      <c r="B421" s="335" t="s">
        <v>645</v>
      </c>
      <c r="C421" s="119" t="s">
        <v>30</v>
      </c>
      <c r="D421" s="36">
        <v>1</v>
      </c>
      <c r="E421" s="37"/>
      <c r="F421" s="380"/>
      <c r="G421" s="380"/>
      <c r="H421" s="39">
        <f>D421</f>
        <v>1</v>
      </c>
    </row>
    <row r="422" spans="1:8" ht="15">
      <c r="A422" s="219"/>
      <c r="B422" s="335" t="s">
        <v>646</v>
      </c>
      <c r="C422" s="119" t="s">
        <v>30</v>
      </c>
      <c r="D422" s="36">
        <v>1</v>
      </c>
      <c r="E422" s="37"/>
      <c r="F422" s="380"/>
      <c r="G422" s="380"/>
      <c r="H422" s="39">
        <f>D422</f>
        <v>1</v>
      </c>
    </row>
    <row r="423" spans="1:8" ht="15">
      <c r="A423" s="219"/>
      <c r="B423" s="191"/>
      <c r="C423" s="119"/>
      <c r="D423" s="36"/>
      <c r="E423" s="37"/>
      <c r="F423" s="380"/>
      <c r="G423" s="380"/>
      <c r="H423" s="39"/>
    </row>
    <row r="424" spans="1:8" ht="15">
      <c r="A424" s="159">
        <v>24</v>
      </c>
      <c r="B424" s="189" t="s">
        <v>245</v>
      </c>
      <c r="C424" s="119"/>
      <c r="D424" s="36"/>
      <c r="E424" s="37"/>
      <c r="F424" s="380"/>
      <c r="G424" s="380"/>
      <c r="H424" s="39"/>
    </row>
    <row r="425" spans="1:8" ht="15">
      <c r="A425" s="219"/>
      <c r="B425" s="191" t="s">
        <v>246</v>
      </c>
      <c r="C425" s="119" t="s">
        <v>27</v>
      </c>
      <c r="D425" s="36">
        <v>0</v>
      </c>
      <c r="E425" s="37">
        <f t="shared" ref="E425:E426" si="37">3.4+1.45+2.1</f>
        <v>6.9499999999999993</v>
      </c>
      <c r="F425" s="380"/>
      <c r="G425" s="380"/>
      <c r="H425" s="39">
        <f>D425*E425</f>
        <v>0</v>
      </c>
    </row>
    <row r="426" spans="1:8" ht="15">
      <c r="A426" s="219"/>
      <c r="B426" s="191" t="s">
        <v>247</v>
      </c>
      <c r="C426" s="119" t="s">
        <v>27</v>
      </c>
      <c r="D426" s="36">
        <v>0</v>
      </c>
      <c r="E426" s="37">
        <f t="shared" si="37"/>
        <v>6.9499999999999993</v>
      </c>
      <c r="F426" s="380"/>
      <c r="G426" s="380"/>
      <c r="H426" s="39">
        <f>D426*E426</f>
        <v>0</v>
      </c>
    </row>
    <row r="427" spans="1:8" ht="15">
      <c r="A427" s="219"/>
      <c r="B427" s="191" t="s">
        <v>248</v>
      </c>
      <c r="C427" s="119" t="s">
        <v>27</v>
      </c>
      <c r="D427" s="36">
        <v>0</v>
      </c>
      <c r="E427" s="37">
        <f>3.425*2</f>
        <v>6.85</v>
      </c>
      <c r="F427" s="380"/>
      <c r="G427" s="380"/>
      <c r="H427" s="39">
        <f>D427*E427</f>
        <v>0</v>
      </c>
    </row>
    <row r="428" spans="1:8" ht="15">
      <c r="A428" s="219"/>
      <c r="B428" s="191" t="s">
        <v>249</v>
      </c>
      <c r="C428" s="119" t="s">
        <v>27</v>
      </c>
      <c r="D428" s="36">
        <v>0</v>
      </c>
      <c r="E428" s="37">
        <f>3.4+1.45+2.1</f>
        <v>6.9499999999999993</v>
      </c>
      <c r="F428" s="380"/>
      <c r="G428" s="380"/>
      <c r="H428" s="39">
        <f>D428*E428</f>
        <v>0</v>
      </c>
    </row>
    <row r="429" spans="1:8" ht="15">
      <c r="A429" s="219"/>
      <c r="B429" s="191"/>
      <c r="C429" s="119"/>
      <c r="D429" s="36"/>
      <c r="E429" s="37"/>
      <c r="F429" s="616" t="s">
        <v>65</v>
      </c>
      <c r="G429" s="616"/>
      <c r="H429" s="40">
        <f>ROUND(SUM(H424:H428),0)</f>
        <v>0</v>
      </c>
    </row>
    <row r="430" spans="1:8" ht="15">
      <c r="A430" s="219"/>
      <c r="B430" s="191"/>
      <c r="C430" s="119"/>
      <c r="D430" s="36"/>
      <c r="E430" s="37"/>
      <c r="F430" s="380"/>
      <c r="G430" s="380"/>
      <c r="H430" s="40"/>
    </row>
    <row r="431" spans="1:8" ht="15">
      <c r="A431" s="159">
        <v>25</v>
      </c>
      <c r="B431" s="189" t="s">
        <v>250</v>
      </c>
      <c r="C431" s="119" t="s">
        <v>63</v>
      </c>
      <c r="D431" s="36">
        <v>1</v>
      </c>
      <c r="E431" s="37"/>
      <c r="F431" s="380"/>
      <c r="G431" s="380"/>
      <c r="H431" s="40">
        <f>D431</f>
        <v>1</v>
      </c>
    </row>
    <row r="433" spans="1:8" ht="15">
      <c r="A433" s="219">
        <v>26</v>
      </c>
      <c r="B433" s="189" t="s">
        <v>251</v>
      </c>
      <c r="C433" s="119" t="s">
        <v>63</v>
      </c>
      <c r="D433" s="36">
        <f>SUM(D421:D422)*2</f>
        <v>4</v>
      </c>
      <c r="E433" s="37"/>
      <c r="F433" s="380"/>
      <c r="G433" s="380"/>
      <c r="H433" s="40">
        <f>D433</f>
        <v>4</v>
      </c>
    </row>
    <row r="434" spans="1:8" ht="15">
      <c r="A434" s="467"/>
      <c r="B434" s="468"/>
      <c r="C434" s="469"/>
      <c r="D434" s="470"/>
      <c r="E434" s="471"/>
      <c r="F434" s="472"/>
      <c r="G434" s="472"/>
      <c r="H434" s="473"/>
    </row>
    <row r="435" spans="1:8" ht="15">
      <c r="A435" s="219">
        <v>27</v>
      </c>
      <c r="B435" s="189" t="s">
        <v>252</v>
      </c>
      <c r="C435" s="119" t="s">
        <v>63</v>
      </c>
      <c r="D435" s="36">
        <f>D433</f>
        <v>4</v>
      </c>
      <c r="E435" s="37"/>
      <c r="F435" s="380"/>
      <c r="G435" s="380"/>
      <c r="H435" s="40">
        <f>D435</f>
        <v>4</v>
      </c>
    </row>
    <row r="436" spans="1:8">
      <c r="A436" s="54"/>
      <c r="B436" s="54"/>
      <c r="C436" s="54"/>
      <c r="D436" s="54"/>
      <c r="E436" s="54"/>
      <c r="F436" s="54"/>
      <c r="G436" s="54"/>
      <c r="H436" s="54"/>
    </row>
    <row r="437" spans="1:8">
      <c r="A437" s="219">
        <v>28</v>
      </c>
      <c r="B437" s="54" t="s">
        <v>647</v>
      </c>
      <c r="C437" s="54"/>
      <c r="D437" s="54"/>
      <c r="E437" s="54"/>
      <c r="F437" s="54"/>
      <c r="G437" s="54"/>
      <c r="H437" s="54"/>
    </row>
    <row r="438" spans="1:8">
      <c r="A438" s="54"/>
      <c r="B438" s="54"/>
      <c r="C438" s="54"/>
      <c r="D438" s="54"/>
      <c r="E438" s="54"/>
      <c r="F438" s="54"/>
      <c r="G438" s="54"/>
      <c r="H438" s="54"/>
    </row>
    <row r="439" spans="1:8">
      <c r="A439" s="474"/>
      <c r="B439" s="474" t="s">
        <v>648</v>
      </c>
      <c r="C439" s="474" t="s">
        <v>11</v>
      </c>
      <c r="D439" s="475">
        <v>1</v>
      </c>
      <c r="E439" s="474">
        <f>0.6*10</f>
        <v>6</v>
      </c>
      <c r="F439" s="474">
        <v>0.23</v>
      </c>
      <c r="G439" s="474">
        <v>2.15</v>
      </c>
      <c r="H439" s="407">
        <f>ROUND(D439*E439*F439*G439,0)</f>
        <v>3</v>
      </c>
    </row>
    <row r="440" spans="1:8">
      <c r="A440" s="474"/>
      <c r="B440" s="474"/>
      <c r="C440" s="54" t="s">
        <v>11</v>
      </c>
      <c r="D440" s="54">
        <v>0</v>
      </c>
      <c r="E440" s="54">
        <f>E466+0.3*2</f>
        <v>3</v>
      </c>
      <c r="F440" s="54">
        <f>F466+0.3*2</f>
        <v>3</v>
      </c>
      <c r="G440" s="54">
        <v>1.5</v>
      </c>
      <c r="H440" s="54">
        <f>ROUND(D440*E440*F440*G440,0)</f>
        <v>0</v>
      </c>
    </row>
    <row r="441" spans="1:8">
      <c r="A441" s="474"/>
      <c r="B441" s="474"/>
      <c r="C441" s="474"/>
      <c r="D441" s="475"/>
      <c r="E441" s="474"/>
      <c r="F441" s="474"/>
      <c r="G441" s="474"/>
      <c r="H441" s="474"/>
    </row>
    <row r="442" spans="1:8">
      <c r="A442" s="474"/>
      <c r="B442" s="474"/>
      <c r="C442" s="474"/>
      <c r="D442" s="474"/>
      <c r="E442" s="474"/>
      <c r="F442" s="474"/>
      <c r="G442" s="474"/>
      <c r="H442" s="474"/>
    </row>
    <row r="443" spans="1:8" hidden="1">
      <c r="A443" s="54"/>
      <c r="B443" s="54" t="s">
        <v>649</v>
      </c>
      <c r="C443" s="54"/>
      <c r="D443" s="54"/>
      <c r="E443" s="54"/>
      <c r="F443" s="54"/>
      <c r="G443" s="54"/>
      <c r="H443" s="54"/>
    </row>
    <row r="444" spans="1:8" hidden="1">
      <c r="A444" s="54"/>
      <c r="B444" s="337" t="s">
        <v>650</v>
      </c>
      <c r="C444" s="54"/>
      <c r="D444" s="54"/>
      <c r="E444" s="54"/>
      <c r="F444" s="54"/>
      <c r="G444" s="54"/>
      <c r="H444" s="54"/>
    </row>
    <row r="445" spans="1:8" hidden="1">
      <c r="A445" s="54"/>
      <c r="B445" s="54" t="s">
        <v>102</v>
      </c>
      <c r="C445" s="54" t="s">
        <v>11</v>
      </c>
      <c r="D445" s="54">
        <v>0</v>
      </c>
      <c r="E445" s="54">
        <f>E471+0.3*2</f>
        <v>3.4</v>
      </c>
      <c r="F445" s="54">
        <f>F471+0.3*2</f>
        <v>3.4</v>
      </c>
      <c r="G445" s="54">
        <v>1.5</v>
      </c>
      <c r="H445" s="54">
        <f>ROUND(D445*E445*F445*G445,0)</f>
        <v>0</v>
      </c>
    </row>
    <row r="446" spans="1:8" hidden="1">
      <c r="A446" s="54"/>
      <c r="B446" s="54" t="s">
        <v>344</v>
      </c>
      <c r="C446" s="54" t="s">
        <v>11</v>
      </c>
      <c r="D446" s="54">
        <v>0</v>
      </c>
      <c r="E446" s="54">
        <f>E472+0.3*2</f>
        <v>2.4</v>
      </c>
      <c r="F446" s="54">
        <f>F472+0.3*2</f>
        <v>2.4</v>
      </c>
      <c r="G446" s="54">
        <v>1.5</v>
      </c>
      <c r="H446" s="54">
        <f>ROUND(D446*E446*F446*G446,0)</f>
        <v>0</v>
      </c>
    </row>
    <row r="447" spans="1:8" hidden="1">
      <c r="A447" s="54"/>
      <c r="B447" s="54"/>
      <c r="C447" s="54"/>
      <c r="D447" s="54"/>
      <c r="E447" s="54"/>
      <c r="F447" s="671" t="s">
        <v>65</v>
      </c>
      <c r="G447" s="672"/>
      <c r="H447" s="476">
        <f>SUM(H444:H446)</f>
        <v>0</v>
      </c>
    </row>
    <row r="448" spans="1:8" hidden="1">
      <c r="A448" s="54"/>
      <c r="B448" s="54"/>
      <c r="C448" s="54"/>
      <c r="D448" s="54"/>
      <c r="E448" s="54"/>
      <c r="F448" s="54"/>
      <c r="G448" s="54"/>
      <c r="H448" s="54"/>
    </row>
    <row r="449" spans="1:8" hidden="1">
      <c r="A449" s="54"/>
      <c r="B449" s="54" t="s">
        <v>649</v>
      </c>
      <c r="C449" s="54"/>
      <c r="D449" s="54"/>
      <c r="E449" s="54"/>
      <c r="F449" s="54"/>
      <c r="G449" s="54"/>
      <c r="H449" s="54"/>
    </row>
    <row r="450" spans="1:8" hidden="1">
      <c r="A450" s="54"/>
      <c r="B450" s="337" t="s">
        <v>650</v>
      </c>
      <c r="C450" s="54"/>
      <c r="D450" s="54"/>
      <c r="E450" s="54"/>
      <c r="F450" s="54"/>
      <c r="G450" s="54"/>
      <c r="H450" s="54"/>
    </row>
    <row r="451" spans="1:8" hidden="1">
      <c r="A451" s="54"/>
      <c r="B451" s="54" t="s">
        <v>102</v>
      </c>
      <c r="C451" s="54" t="s">
        <v>11</v>
      </c>
      <c r="D451" s="54">
        <v>0</v>
      </c>
      <c r="E451" s="54">
        <f>E471+0.3*2</f>
        <v>3.4</v>
      </c>
      <c r="F451" s="54">
        <f>F471+0.3*2</f>
        <v>3.4</v>
      </c>
      <c r="G451" s="54">
        <v>0.5</v>
      </c>
      <c r="H451" s="54">
        <f>ROUND(D451*E451*F451*G451,0)</f>
        <v>0</v>
      </c>
    </row>
    <row r="452" spans="1:8" hidden="1">
      <c r="A452" s="54"/>
      <c r="B452" s="54" t="s">
        <v>344</v>
      </c>
      <c r="C452" s="54" t="s">
        <v>11</v>
      </c>
      <c r="D452" s="54">
        <v>0</v>
      </c>
      <c r="E452" s="54">
        <f>E472+0.3*2</f>
        <v>2.4</v>
      </c>
      <c r="F452" s="54">
        <f>F472+0.3*2</f>
        <v>2.4</v>
      </c>
      <c r="G452" s="54">
        <v>0.5</v>
      </c>
      <c r="H452" s="54">
        <f>ROUND(D452*E452*F452*G452,0)</f>
        <v>0</v>
      </c>
    </row>
    <row r="453" spans="1:8" hidden="1">
      <c r="A453" s="54"/>
      <c r="B453" s="54"/>
      <c r="C453" s="54"/>
      <c r="D453" s="54"/>
      <c r="E453" s="54"/>
      <c r="F453" s="671" t="s">
        <v>65</v>
      </c>
      <c r="G453" s="672"/>
      <c r="H453" s="476">
        <f>SUM(H450:H452)</f>
        <v>0</v>
      </c>
    </row>
    <row r="454" spans="1:8" hidden="1">
      <c r="A454" s="54"/>
      <c r="B454" s="54"/>
      <c r="C454" s="54"/>
      <c r="D454" s="54"/>
      <c r="E454" s="54"/>
      <c r="F454" s="54"/>
      <c r="G454" s="54"/>
      <c r="H454" s="54"/>
    </row>
    <row r="455" spans="1:8" hidden="1">
      <c r="A455" s="54"/>
      <c r="B455" s="54" t="s">
        <v>651</v>
      </c>
      <c r="C455" s="54" t="s">
        <v>16</v>
      </c>
      <c r="D455" s="54">
        <v>0</v>
      </c>
      <c r="E455" s="54">
        <v>32.200000000000003</v>
      </c>
      <c r="F455" s="54">
        <v>12.6</v>
      </c>
      <c r="G455" s="54"/>
      <c r="H455" s="54">
        <f>ROUND(D455*E455*F455,0)</f>
        <v>0</v>
      </c>
    </row>
    <row r="456" spans="1:8" hidden="1">
      <c r="A456" s="54"/>
      <c r="B456" s="54"/>
      <c r="C456" s="54"/>
      <c r="D456" s="54"/>
      <c r="E456" s="54"/>
      <c r="F456" s="54"/>
      <c r="G456" s="54"/>
      <c r="H456" s="54"/>
    </row>
    <row r="457" spans="1:8" hidden="1">
      <c r="A457" s="54"/>
      <c r="B457" s="54" t="s">
        <v>652</v>
      </c>
      <c r="C457" s="54" t="s">
        <v>16</v>
      </c>
      <c r="D457" s="54">
        <v>0</v>
      </c>
      <c r="E457" s="54">
        <f>E455</f>
        <v>32.200000000000003</v>
      </c>
      <c r="F457" s="54">
        <f>F455</f>
        <v>12.6</v>
      </c>
      <c r="G457" s="54"/>
      <c r="H457" s="54">
        <f>ROUND(D457*E457*F457,0)</f>
        <v>0</v>
      </c>
    </row>
    <row r="458" spans="1:8" hidden="1">
      <c r="A458" s="54"/>
      <c r="B458" s="54"/>
      <c r="C458" s="54"/>
      <c r="D458" s="54"/>
      <c r="E458" s="54"/>
      <c r="F458" s="54"/>
      <c r="G458" s="54"/>
      <c r="H458" s="54"/>
    </row>
    <row r="459" spans="1:8" hidden="1">
      <c r="A459" s="219" t="s">
        <v>10</v>
      </c>
      <c r="B459" s="54" t="s">
        <v>436</v>
      </c>
      <c r="C459" s="54"/>
      <c r="D459" s="54"/>
      <c r="E459" s="54"/>
      <c r="F459" s="54"/>
      <c r="G459" s="54"/>
      <c r="H459" s="38"/>
    </row>
    <row r="460" spans="1:8" hidden="1">
      <c r="A460" s="219"/>
      <c r="B460" s="54" t="s">
        <v>102</v>
      </c>
      <c r="C460" s="54" t="s">
        <v>11</v>
      </c>
      <c r="D460" s="54">
        <f>D445*2</f>
        <v>0</v>
      </c>
      <c r="E460" s="54">
        <f>E471+0.15*2</f>
        <v>3.0999999999999996</v>
      </c>
      <c r="F460" s="54">
        <f>F471+0.15*2</f>
        <v>3.0999999999999996</v>
      </c>
      <c r="G460" s="54">
        <v>0.1</v>
      </c>
      <c r="H460" s="38">
        <f t="shared" ref="H460:H461" si="38">ROUND(D460*E460*F460*G460,0)</f>
        <v>0</v>
      </c>
    </row>
    <row r="461" spans="1:8" hidden="1">
      <c r="A461" s="219"/>
      <c r="B461" s="54" t="s">
        <v>344</v>
      </c>
      <c r="C461" s="54" t="s">
        <v>11</v>
      </c>
      <c r="D461" s="54">
        <f>D446*2</f>
        <v>0</v>
      </c>
      <c r="E461" s="54">
        <f>E472+0.15*2</f>
        <v>2.1</v>
      </c>
      <c r="F461" s="54">
        <f>F472+0.15*2</f>
        <v>2.1</v>
      </c>
      <c r="G461" s="54">
        <v>0.1</v>
      </c>
      <c r="H461" s="38">
        <f t="shared" si="38"/>
        <v>0</v>
      </c>
    </row>
    <row r="462" spans="1:8" hidden="1">
      <c r="A462" s="219"/>
      <c r="B462" s="54"/>
      <c r="C462" s="54"/>
      <c r="D462" s="54"/>
      <c r="E462" s="54"/>
      <c r="F462" s="54"/>
      <c r="G462" s="54"/>
      <c r="H462" s="476">
        <f>SUM(H459:H461)</f>
        <v>0</v>
      </c>
    </row>
    <row r="463" spans="1:8" hidden="1">
      <c r="A463" s="54"/>
      <c r="B463" s="54"/>
      <c r="C463" s="54"/>
      <c r="D463" s="54"/>
      <c r="E463" s="54"/>
      <c r="F463" s="54"/>
      <c r="G463" s="54"/>
      <c r="H463" s="54"/>
    </row>
    <row r="464" spans="1:8" hidden="1">
      <c r="A464" s="219" t="s">
        <v>12</v>
      </c>
      <c r="B464" s="54" t="s">
        <v>307</v>
      </c>
      <c r="C464" s="54"/>
      <c r="D464" s="54"/>
      <c r="E464" s="54"/>
      <c r="F464" s="54"/>
      <c r="G464" s="54"/>
      <c r="H464" s="38"/>
    </row>
    <row r="465" spans="1:8" hidden="1">
      <c r="A465" s="54"/>
      <c r="B465" s="54" t="s">
        <v>102</v>
      </c>
      <c r="C465" s="54" t="s">
        <v>11</v>
      </c>
      <c r="D465" s="54">
        <f t="shared" ref="D465:F466" si="39">D451</f>
        <v>0</v>
      </c>
      <c r="E465" s="54">
        <f t="shared" si="39"/>
        <v>3.4</v>
      </c>
      <c r="F465" s="54">
        <f t="shared" si="39"/>
        <v>3.4</v>
      </c>
      <c r="G465" s="54">
        <v>0.23</v>
      </c>
      <c r="H465" s="38">
        <f t="shared" ref="H465:H466" si="40">ROUND(D465*E465*F465*G465,0)</f>
        <v>0</v>
      </c>
    </row>
    <row r="466" spans="1:8" hidden="1">
      <c r="A466" s="54"/>
      <c r="B466" s="54" t="s">
        <v>344</v>
      </c>
      <c r="C466" s="54" t="s">
        <v>11</v>
      </c>
      <c r="D466" s="54">
        <f t="shared" si="39"/>
        <v>0</v>
      </c>
      <c r="E466" s="54">
        <f t="shared" si="39"/>
        <v>2.4</v>
      </c>
      <c r="F466" s="54">
        <f t="shared" si="39"/>
        <v>2.4</v>
      </c>
      <c r="G466" s="54">
        <v>0.23</v>
      </c>
      <c r="H466" s="38">
        <f t="shared" si="40"/>
        <v>0</v>
      </c>
    </row>
    <row r="467" spans="1:8" hidden="1">
      <c r="A467" s="54"/>
      <c r="B467" s="54"/>
      <c r="C467" s="54"/>
      <c r="D467" s="54"/>
      <c r="E467" s="54"/>
      <c r="F467" s="54"/>
      <c r="G467" s="54"/>
      <c r="H467" s="476">
        <f>SUM(H464:H466)</f>
        <v>0</v>
      </c>
    </row>
    <row r="468" spans="1:8" hidden="1">
      <c r="A468" s="54"/>
      <c r="B468" s="54"/>
      <c r="C468" s="54"/>
      <c r="D468" s="54"/>
      <c r="E468" s="54"/>
      <c r="F468" s="54"/>
      <c r="G468" s="54"/>
      <c r="H468" s="54"/>
    </row>
    <row r="469" spans="1:8" hidden="1">
      <c r="A469" s="219" t="s">
        <v>13</v>
      </c>
      <c r="B469" s="54" t="s">
        <v>653</v>
      </c>
      <c r="C469" s="54"/>
      <c r="D469" s="54"/>
      <c r="E469" s="54"/>
      <c r="F469" s="54"/>
      <c r="G469" s="54"/>
      <c r="H469" s="54"/>
    </row>
    <row r="470" spans="1:8" hidden="1">
      <c r="A470" s="219"/>
      <c r="B470" s="337" t="s">
        <v>20</v>
      </c>
      <c r="C470" s="54"/>
      <c r="D470" s="54"/>
      <c r="E470" s="54"/>
      <c r="F470" s="54"/>
      <c r="G470" s="54"/>
      <c r="H470" s="54"/>
    </row>
    <row r="471" spans="1:8" hidden="1">
      <c r="A471" s="219"/>
      <c r="B471" s="54" t="s">
        <v>102</v>
      </c>
      <c r="C471" s="54" t="s">
        <v>11</v>
      </c>
      <c r="D471" s="54">
        <v>0</v>
      </c>
      <c r="E471" s="54">
        <v>2.8</v>
      </c>
      <c r="F471" s="54">
        <v>2.8</v>
      </c>
      <c r="G471" s="54">
        <v>0.7</v>
      </c>
      <c r="H471" s="38">
        <f>ROUND(D471*E471*F471*G471,0)</f>
        <v>0</v>
      </c>
    </row>
    <row r="472" spans="1:8" hidden="1">
      <c r="A472" s="219"/>
      <c r="B472" s="54" t="s">
        <v>344</v>
      </c>
      <c r="C472" s="54" t="s">
        <v>11</v>
      </c>
      <c r="D472" s="54">
        <v>0</v>
      </c>
      <c r="E472" s="54">
        <v>1.8</v>
      </c>
      <c r="F472" s="54">
        <v>1.8</v>
      </c>
      <c r="G472" s="54">
        <v>0.6</v>
      </c>
      <c r="H472" s="38">
        <f>ROUND(D472*E472*F472*G472,0)</f>
        <v>0</v>
      </c>
    </row>
    <row r="473" spans="1:8" hidden="1">
      <c r="A473" s="219"/>
      <c r="B473" s="54"/>
      <c r="C473" s="54"/>
      <c r="D473" s="54"/>
      <c r="E473" s="54"/>
      <c r="F473" s="671" t="s">
        <v>65</v>
      </c>
      <c r="G473" s="672"/>
      <c r="H473" s="476">
        <f>SUM(H470:H472)</f>
        <v>0</v>
      </c>
    </row>
    <row r="474" spans="1:8" hidden="1">
      <c r="A474" s="219"/>
      <c r="B474" s="54"/>
      <c r="C474" s="54"/>
      <c r="D474" s="54"/>
      <c r="E474" s="54"/>
      <c r="F474" s="477"/>
      <c r="G474" s="478"/>
      <c r="H474" s="476"/>
    </row>
    <row r="475" spans="1:8" hidden="1">
      <c r="A475" s="219"/>
      <c r="B475" s="337" t="s">
        <v>654</v>
      </c>
      <c r="C475" s="54" t="s">
        <v>11</v>
      </c>
      <c r="D475" s="54">
        <f>D471</f>
        <v>0</v>
      </c>
      <c r="E475" s="54">
        <v>0.45</v>
      </c>
      <c r="F475" s="54">
        <v>0.3</v>
      </c>
      <c r="G475" s="54">
        <f>9.2-G472</f>
        <v>8.6</v>
      </c>
      <c r="H475" s="38">
        <f>ROUND(D475*E475*F475*G475,0)</f>
        <v>0</v>
      </c>
    </row>
    <row r="476" spans="1:8" hidden="1">
      <c r="A476" s="219"/>
      <c r="B476" s="337"/>
      <c r="C476" s="54" t="s">
        <v>11</v>
      </c>
      <c r="D476" s="54">
        <f>D472</f>
        <v>0</v>
      </c>
      <c r="E476" s="54">
        <v>0.45</v>
      </c>
      <c r="F476" s="54">
        <v>0.3</v>
      </c>
      <c r="G476" s="54">
        <v>5.2</v>
      </c>
      <c r="H476" s="38">
        <f>ROUND(D476*E476*F476*G476,0)</f>
        <v>0</v>
      </c>
    </row>
    <row r="477" spans="1:8" hidden="1">
      <c r="A477" s="219"/>
      <c r="B477" s="54"/>
      <c r="C477" s="54"/>
      <c r="D477" s="54"/>
      <c r="E477" s="54"/>
      <c r="F477" s="671" t="s">
        <v>65</v>
      </c>
      <c r="G477" s="672"/>
      <c r="H477" s="476">
        <f>SUM(H475:H476)</f>
        <v>0</v>
      </c>
    </row>
    <row r="478" spans="1:8" hidden="1">
      <c r="A478" s="219"/>
      <c r="B478" s="337" t="s">
        <v>655</v>
      </c>
      <c r="C478" s="54"/>
      <c r="D478" s="54"/>
      <c r="E478" s="54"/>
      <c r="F478" s="54"/>
      <c r="G478" s="54"/>
      <c r="H478" s="38"/>
    </row>
    <row r="479" spans="1:8" hidden="1">
      <c r="A479" s="219"/>
      <c r="B479" s="54" t="s">
        <v>606</v>
      </c>
      <c r="C479" s="54" t="s">
        <v>11</v>
      </c>
      <c r="D479" s="54">
        <v>0</v>
      </c>
      <c r="E479" s="54">
        <f>6.7+6.05+8+6.7*2+6.675+6.7*3+6.675*4</f>
        <v>87.625</v>
      </c>
      <c r="F479" s="54">
        <v>0.3</v>
      </c>
      <c r="G479" s="54">
        <v>0.5</v>
      </c>
      <c r="H479" s="38">
        <f>ROUND(D479*E479*F479*G479,0)</f>
        <v>0</v>
      </c>
    </row>
    <row r="480" spans="1:8" hidden="1">
      <c r="A480" s="219"/>
      <c r="B480" s="54" t="s">
        <v>656</v>
      </c>
      <c r="C480" s="54" t="s">
        <v>11</v>
      </c>
      <c r="D480" s="54">
        <v>0</v>
      </c>
      <c r="E480" s="54">
        <f>6.7+6.05+8+6.7*2+6.675+6.7*3+6.675*4</f>
        <v>87.625</v>
      </c>
      <c r="F480" s="54">
        <v>0.3</v>
      </c>
      <c r="G480" s="54">
        <v>0.5</v>
      </c>
      <c r="H480" s="38">
        <f>ROUND(D480*E480*F480*G480,0)</f>
        <v>0</v>
      </c>
    </row>
    <row r="481" spans="1:8" hidden="1">
      <c r="A481" s="219"/>
      <c r="B481" s="54"/>
      <c r="C481" s="54"/>
      <c r="D481" s="54"/>
      <c r="E481" s="54"/>
      <c r="F481" s="671" t="s">
        <v>65</v>
      </c>
      <c r="G481" s="672"/>
      <c r="H481" s="476">
        <f>SUM(H478:H480)</f>
        <v>0</v>
      </c>
    </row>
    <row r="482" spans="1:8" hidden="1">
      <c r="A482" s="219"/>
      <c r="B482" s="54"/>
      <c r="C482" s="54"/>
      <c r="D482" s="54"/>
      <c r="E482" s="54"/>
      <c r="F482" s="54"/>
      <c r="G482" s="54"/>
      <c r="H482" s="38"/>
    </row>
    <row r="483" spans="1:8" hidden="1">
      <c r="A483" s="219"/>
      <c r="B483" s="337" t="s">
        <v>35</v>
      </c>
      <c r="C483" s="54"/>
      <c r="D483" s="54"/>
      <c r="E483" s="54"/>
      <c r="F483" s="54"/>
      <c r="G483" s="54"/>
      <c r="H483" s="38"/>
    </row>
    <row r="484" spans="1:8" hidden="1">
      <c r="A484" s="219"/>
      <c r="B484" s="200" t="s">
        <v>657</v>
      </c>
      <c r="C484" s="54" t="s">
        <v>11</v>
      </c>
      <c r="D484" s="54">
        <v>0</v>
      </c>
      <c r="E484" s="54">
        <v>32.200000000000003</v>
      </c>
      <c r="F484" s="54">
        <v>12.6</v>
      </c>
      <c r="G484" s="54">
        <v>0.15</v>
      </c>
      <c r="H484" s="38">
        <f>ROUND(D484*E484*F484*G484,0)</f>
        <v>0</v>
      </c>
    </row>
    <row r="485" spans="1:8" hidden="1">
      <c r="A485" s="219"/>
      <c r="B485" s="54" t="s">
        <v>658</v>
      </c>
      <c r="C485" s="54" t="s">
        <v>11</v>
      </c>
      <c r="D485" s="54">
        <v>0</v>
      </c>
      <c r="E485" s="54">
        <v>3.3</v>
      </c>
      <c r="F485" s="54">
        <v>3.15</v>
      </c>
      <c r="G485" s="54">
        <v>0.15</v>
      </c>
      <c r="H485" s="38">
        <f>ROUND(D485*E485*F485*G485,0)</f>
        <v>0</v>
      </c>
    </row>
    <row r="486" spans="1:8" hidden="1">
      <c r="A486" s="219"/>
      <c r="B486" s="54"/>
      <c r="C486" s="54"/>
      <c r="D486" s="54"/>
      <c r="E486" s="54"/>
      <c r="F486" s="54"/>
      <c r="G486" s="54"/>
      <c r="H486" s="38"/>
    </row>
    <row r="487" spans="1:8" hidden="1">
      <c r="A487" s="219"/>
      <c r="B487" s="54" t="s">
        <v>659</v>
      </c>
      <c r="C487" s="54" t="s">
        <v>11</v>
      </c>
      <c r="D487" s="54">
        <v>0</v>
      </c>
      <c r="E487" s="54">
        <v>4.5</v>
      </c>
      <c r="F487" s="54">
        <v>4.2</v>
      </c>
      <c r="G487" s="54">
        <v>0.15</v>
      </c>
      <c r="H487" s="38">
        <f>ROUND(D487*E487*F487*G487,0)</f>
        <v>0</v>
      </c>
    </row>
    <row r="488" spans="1:8" hidden="1">
      <c r="A488" s="219"/>
      <c r="B488" s="54"/>
      <c r="C488" s="54"/>
      <c r="D488" s="54"/>
      <c r="E488" s="54"/>
      <c r="F488" s="671" t="s">
        <v>65</v>
      </c>
      <c r="G488" s="672"/>
      <c r="H488" s="476">
        <f>SUM(H484:H487)</f>
        <v>0</v>
      </c>
    </row>
    <row r="489" spans="1:8" hidden="1">
      <c r="A489" s="219"/>
      <c r="B489" s="54"/>
      <c r="C489" s="54"/>
      <c r="D489" s="54"/>
      <c r="E489" s="54"/>
      <c r="F489" s="54"/>
      <c r="G489" s="54"/>
      <c r="H489" s="54"/>
    </row>
    <row r="490" spans="1:8" hidden="1">
      <c r="A490" s="219"/>
      <c r="B490" s="337" t="s">
        <v>660</v>
      </c>
      <c r="C490" s="54"/>
      <c r="D490" s="54"/>
      <c r="E490" s="54"/>
      <c r="F490" s="54"/>
      <c r="G490" s="54"/>
      <c r="H490" s="54"/>
    </row>
    <row r="491" spans="1:8" hidden="1">
      <c r="A491" s="54"/>
      <c r="B491" s="54" t="s">
        <v>661</v>
      </c>
      <c r="C491" s="54" t="s">
        <v>11</v>
      </c>
      <c r="D491" s="54">
        <v>0</v>
      </c>
      <c r="E491" s="54">
        <v>1.5</v>
      </c>
      <c r="F491" s="54">
        <v>0.3</v>
      </c>
      <c r="G491" s="54">
        <v>0.15</v>
      </c>
      <c r="H491" s="54">
        <f>0.5*(D491*E491*F491*G491)</f>
        <v>0</v>
      </c>
    </row>
    <row r="492" spans="1:8" hidden="1">
      <c r="A492" s="54"/>
      <c r="B492" s="54"/>
      <c r="C492" s="54"/>
      <c r="D492" s="54"/>
      <c r="E492" s="54"/>
      <c r="F492" s="54"/>
      <c r="G492" s="54"/>
      <c r="H492" s="54"/>
    </row>
    <row r="493" spans="1:8" hidden="1">
      <c r="A493" s="54"/>
      <c r="B493" s="54" t="s">
        <v>662</v>
      </c>
      <c r="C493" s="54" t="s">
        <v>11</v>
      </c>
      <c r="D493" s="54">
        <v>0</v>
      </c>
      <c r="E493" s="54">
        <v>1.5</v>
      </c>
      <c r="F493" s="54">
        <v>3.3</v>
      </c>
      <c r="G493" s="187">
        <v>0.15</v>
      </c>
      <c r="H493" s="54">
        <f>D493*E493*F493*G493</f>
        <v>0</v>
      </c>
    </row>
    <row r="494" spans="1:8" hidden="1">
      <c r="A494" s="54"/>
      <c r="B494" s="54"/>
      <c r="C494" s="54"/>
      <c r="D494" s="54"/>
      <c r="E494" s="54"/>
      <c r="F494" s="54"/>
      <c r="G494" s="54"/>
      <c r="H494" s="476">
        <f>ROUND(SUM(H490:H493),0)</f>
        <v>0</v>
      </c>
    </row>
    <row r="495" spans="1:8" hidden="1">
      <c r="A495" s="54"/>
      <c r="B495" s="54"/>
      <c r="C495" s="54"/>
      <c r="D495" s="54"/>
      <c r="E495" s="54"/>
      <c r="F495" s="54"/>
      <c r="G495" s="54"/>
      <c r="H495" s="476"/>
    </row>
    <row r="496" spans="1:8" hidden="1">
      <c r="A496" s="219" t="s">
        <v>36</v>
      </c>
      <c r="B496" s="337" t="s">
        <v>663</v>
      </c>
      <c r="C496" s="54"/>
      <c r="D496" s="54"/>
      <c r="E496" s="54"/>
      <c r="F496" s="54"/>
      <c r="G496" s="54"/>
      <c r="H496" s="54"/>
    </row>
    <row r="497" spans="1:8" hidden="1">
      <c r="A497" s="219"/>
      <c r="B497" s="337" t="s">
        <v>20</v>
      </c>
      <c r="C497" s="54"/>
      <c r="D497" s="54"/>
      <c r="E497" s="54"/>
      <c r="F497" s="54"/>
      <c r="G497" s="54"/>
      <c r="H497" s="54"/>
    </row>
    <row r="498" spans="1:8" hidden="1">
      <c r="A498" s="219"/>
      <c r="B498" s="54" t="s">
        <v>102</v>
      </c>
      <c r="C498" s="54" t="s">
        <v>16</v>
      </c>
      <c r="D498" s="54">
        <f>D471</f>
        <v>0</v>
      </c>
      <c r="E498" s="54">
        <f>2*(E471+F471)</f>
        <v>11.2</v>
      </c>
      <c r="F498" s="54"/>
      <c r="G498" s="54">
        <f>G471</f>
        <v>0.7</v>
      </c>
      <c r="H498" s="54">
        <f>ROUND(D498*E498*G498,0)</f>
        <v>0</v>
      </c>
    </row>
    <row r="499" spans="1:8" hidden="1">
      <c r="A499" s="219"/>
      <c r="B499" s="54" t="s">
        <v>344</v>
      </c>
      <c r="C499" s="54" t="s">
        <v>16</v>
      </c>
      <c r="D499" s="54">
        <f>D472</f>
        <v>0</v>
      </c>
      <c r="E499" s="54">
        <f>2*(E472+F472)</f>
        <v>7.2</v>
      </c>
      <c r="F499" s="54"/>
      <c r="G499" s="54">
        <f>G472</f>
        <v>0.6</v>
      </c>
      <c r="H499" s="54">
        <f>ROUND(D499*E499*G499,0)</f>
        <v>0</v>
      </c>
    </row>
    <row r="500" spans="1:8" hidden="1">
      <c r="A500" s="219"/>
      <c r="B500" s="54"/>
      <c r="C500" s="54"/>
      <c r="D500" s="54"/>
      <c r="E500" s="54"/>
      <c r="F500" s="671" t="s">
        <v>65</v>
      </c>
      <c r="G500" s="672"/>
      <c r="H500" s="476">
        <f>SUM(H497:H499)</f>
        <v>0</v>
      </c>
    </row>
    <row r="501" spans="1:8" hidden="1">
      <c r="A501" s="219"/>
      <c r="B501" s="54"/>
      <c r="C501" s="54"/>
      <c r="D501" s="54"/>
      <c r="E501" s="54"/>
      <c r="F501" s="54"/>
      <c r="G501" s="54"/>
      <c r="H501" s="54"/>
    </row>
    <row r="502" spans="1:8" hidden="1">
      <c r="A502" s="219"/>
      <c r="B502" s="337" t="s">
        <v>654</v>
      </c>
      <c r="C502" s="54" t="s">
        <v>16</v>
      </c>
      <c r="D502" s="54">
        <f>D475</f>
        <v>0</v>
      </c>
      <c r="E502" s="54">
        <f>2*(E475+F475)</f>
        <v>1.5</v>
      </c>
      <c r="F502" s="54"/>
      <c r="G502" s="54">
        <f>9.2-G499</f>
        <v>8.6</v>
      </c>
      <c r="H502" s="54">
        <f>ROUND(D502*E502*G502,0)</f>
        <v>0</v>
      </c>
    </row>
    <row r="503" spans="1:8" hidden="1">
      <c r="A503" s="219"/>
      <c r="B503" s="337"/>
      <c r="C503" s="54" t="s">
        <v>16</v>
      </c>
      <c r="D503" s="54">
        <f>D476</f>
        <v>0</v>
      </c>
      <c r="E503" s="54">
        <f>2*(E476+F476)</f>
        <v>1.5</v>
      </c>
      <c r="F503" s="479"/>
      <c r="G503" s="54">
        <f>9.2-G500</f>
        <v>9.1999999999999993</v>
      </c>
      <c r="H503" s="54">
        <f>ROUND(D503*E503*G503,0)</f>
        <v>0</v>
      </c>
    </row>
    <row r="504" spans="1:8" hidden="1">
      <c r="A504" s="219"/>
      <c r="B504" s="54"/>
      <c r="C504" s="54"/>
      <c r="D504" s="54"/>
      <c r="E504" s="54"/>
      <c r="F504" s="671" t="s">
        <v>65</v>
      </c>
      <c r="G504" s="672"/>
      <c r="H504" s="476">
        <f>SUM(H502:H503)</f>
        <v>0</v>
      </c>
    </row>
    <row r="505" spans="1:8" hidden="1">
      <c r="A505" s="219"/>
      <c r="B505" s="337" t="s">
        <v>655</v>
      </c>
      <c r="C505" s="54"/>
      <c r="D505" s="54"/>
      <c r="E505" s="54"/>
      <c r="F505" s="54"/>
      <c r="G505" s="54"/>
      <c r="H505" s="38"/>
    </row>
    <row r="506" spans="1:8" hidden="1">
      <c r="A506" s="219"/>
      <c r="B506" s="54" t="s">
        <v>606</v>
      </c>
      <c r="C506" s="54" t="s">
        <v>11</v>
      </c>
      <c r="D506" s="54">
        <v>0</v>
      </c>
      <c r="E506" s="54">
        <f>E479</f>
        <v>87.625</v>
      </c>
      <c r="F506" s="54"/>
      <c r="G506" s="54">
        <f>G479*2</f>
        <v>1</v>
      </c>
      <c r="H506" s="54">
        <f t="shared" ref="H506:H507" si="41">ROUND(D506*E506*G506,0)</f>
        <v>0</v>
      </c>
    </row>
    <row r="507" spans="1:8" hidden="1">
      <c r="A507" s="219"/>
      <c r="B507" s="54" t="s">
        <v>656</v>
      </c>
      <c r="C507" s="54" t="s">
        <v>11</v>
      </c>
      <c r="D507" s="54">
        <v>0</v>
      </c>
      <c r="E507" s="54">
        <f>E480</f>
        <v>87.625</v>
      </c>
      <c r="F507" s="54"/>
      <c r="G507" s="54">
        <f>G480*2</f>
        <v>1</v>
      </c>
      <c r="H507" s="54">
        <f t="shared" si="41"/>
        <v>0</v>
      </c>
    </row>
    <row r="508" spans="1:8" hidden="1">
      <c r="A508" s="219"/>
      <c r="B508" s="54"/>
      <c r="C508" s="54"/>
      <c r="D508" s="54"/>
      <c r="E508" s="54"/>
      <c r="F508" s="671" t="s">
        <v>65</v>
      </c>
      <c r="G508" s="672"/>
      <c r="H508" s="476">
        <f>SUM(H505:H507)</f>
        <v>0</v>
      </c>
    </row>
    <row r="509" spans="1:8" hidden="1">
      <c r="A509" s="219"/>
      <c r="B509" s="54"/>
      <c r="C509" s="54"/>
      <c r="D509" s="54"/>
      <c r="E509" s="54"/>
      <c r="F509" s="54"/>
      <c r="G509" s="54"/>
      <c r="H509" s="38"/>
    </row>
    <row r="510" spans="1:8" hidden="1">
      <c r="A510" s="219"/>
      <c r="B510" s="337" t="s">
        <v>35</v>
      </c>
      <c r="C510" s="54" t="s">
        <v>11</v>
      </c>
      <c r="D510" s="54">
        <v>0</v>
      </c>
      <c r="E510" s="54">
        <f>E484</f>
        <v>32.200000000000003</v>
      </c>
      <c r="F510" s="54">
        <f>F484</f>
        <v>12.6</v>
      </c>
      <c r="G510" s="54"/>
      <c r="H510" s="54">
        <f>ROUND(D510*E510*F510,0)</f>
        <v>0</v>
      </c>
    </row>
    <row r="511" spans="1:8" hidden="1">
      <c r="A511" s="219"/>
      <c r="B511" s="54" t="s">
        <v>658</v>
      </c>
      <c r="C511" s="54" t="s">
        <v>11</v>
      </c>
      <c r="D511" s="54">
        <v>0</v>
      </c>
      <c r="E511" s="54">
        <f>E485</f>
        <v>3.3</v>
      </c>
      <c r="F511" s="54">
        <f>F485</f>
        <v>3.15</v>
      </c>
      <c r="G511" s="54"/>
      <c r="H511" s="54">
        <f t="shared" ref="H511:H512" si="42">ROUND(D511*E511*F511,0)</f>
        <v>0</v>
      </c>
    </row>
    <row r="512" spans="1:8" hidden="1">
      <c r="A512" s="54"/>
      <c r="B512" s="54"/>
      <c r="C512" s="54" t="s">
        <v>11</v>
      </c>
      <c r="D512" s="54">
        <v>0</v>
      </c>
      <c r="E512" s="54">
        <f t="shared" ref="E512:F512" si="43">E487</f>
        <v>4.5</v>
      </c>
      <c r="F512" s="54">
        <f t="shared" si="43"/>
        <v>4.2</v>
      </c>
      <c r="G512" s="54"/>
      <c r="H512" s="54">
        <f t="shared" si="42"/>
        <v>0</v>
      </c>
    </row>
    <row r="513" spans="1:8" hidden="1">
      <c r="A513" s="54"/>
      <c r="B513" s="54"/>
      <c r="C513" s="54"/>
      <c r="D513" s="54"/>
      <c r="E513" s="54"/>
      <c r="F513" s="671" t="s">
        <v>65</v>
      </c>
      <c r="G513" s="672"/>
      <c r="H513" s="476">
        <f>SUM(H510:H512)</f>
        <v>0</v>
      </c>
    </row>
    <row r="514" spans="1:8" hidden="1">
      <c r="A514" s="54"/>
      <c r="B514" s="54"/>
      <c r="C514" s="54"/>
      <c r="D514" s="54"/>
      <c r="E514" s="54"/>
      <c r="F514" s="54"/>
      <c r="G514" s="54"/>
      <c r="H514" s="54"/>
    </row>
    <row r="515" spans="1:8" hidden="1">
      <c r="A515" s="54"/>
      <c r="B515" s="337" t="s">
        <v>660</v>
      </c>
      <c r="C515" s="54"/>
      <c r="D515" s="54"/>
      <c r="E515" s="54"/>
      <c r="F515" s="54"/>
      <c r="G515" s="54"/>
      <c r="H515" s="54"/>
    </row>
    <row r="516" spans="1:8" hidden="1">
      <c r="A516" s="54"/>
      <c r="B516" s="54" t="s">
        <v>661</v>
      </c>
      <c r="C516" s="54" t="s">
        <v>11</v>
      </c>
      <c r="D516" s="54">
        <f>D491</f>
        <v>0</v>
      </c>
      <c r="E516" s="54">
        <f>E491</f>
        <v>1.5</v>
      </c>
      <c r="F516" s="54"/>
      <c r="G516" s="54">
        <f>G491</f>
        <v>0.15</v>
      </c>
      <c r="H516" s="54">
        <f>ROUND(D516*E516*G516,0)</f>
        <v>0</v>
      </c>
    </row>
    <row r="517" spans="1:8" hidden="1">
      <c r="A517" s="54"/>
      <c r="B517" s="54"/>
      <c r="C517" s="54"/>
      <c r="D517" s="54"/>
      <c r="E517" s="54"/>
      <c r="F517" s="54"/>
      <c r="G517" s="54"/>
      <c r="H517" s="54"/>
    </row>
    <row r="518" spans="1:8" hidden="1">
      <c r="A518" s="54"/>
      <c r="B518" s="54" t="s">
        <v>662</v>
      </c>
      <c r="C518" s="54" t="s">
        <v>11</v>
      </c>
      <c r="D518" s="54">
        <f>D493</f>
        <v>0</v>
      </c>
      <c r="E518" s="54">
        <f>E493</f>
        <v>1.5</v>
      </c>
      <c r="F518" s="54">
        <f>F493</f>
        <v>3.3</v>
      </c>
      <c r="G518" s="187"/>
      <c r="H518" s="54">
        <f>ROUND(D518*E518*F518,0)</f>
        <v>0</v>
      </c>
    </row>
    <row r="519" spans="1:8" hidden="1">
      <c r="A519" s="54"/>
      <c r="B519" s="54"/>
      <c r="C519" s="54"/>
      <c r="D519" s="54"/>
      <c r="E519" s="54"/>
      <c r="F519" s="54"/>
      <c r="G519" s="187"/>
      <c r="H519" s="54"/>
    </row>
    <row r="520" spans="1:8" hidden="1">
      <c r="A520" s="54"/>
      <c r="B520" s="54"/>
      <c r="C520" s="54"/>
      <c r="D520" s="54"/>
      <c r="E520" s="54"/>
      <c r="F520" s="54"/>
      <c r="G520" s="54"/>
      <c r="H520" s="476">
        <f>ROUND(SUM(H515:H519),0)</f>
        <v>0</v>
      </c>
    </row>
    <row r="521" spans="1:8" hidden="1">
      <c r="A521" s="54"/>
      <c r="B521" s="54"/>
      <c r="C521" s="54"/>
      <c r="D521" s="54"/>
      <c r="E521" s="54"/>
      <c r="F521" s="54"/>
      <c r="G521" s="54"/>
      <c r="H521" s="54"/>
    </row>
    <row r="522" spans="1:8" hidden="1">
      <c r="A522" s="219" t="s">
        <v>42</v>
      </c>
      <c r="B522" s="54" t="s">
        <v>22</v>
      </c>
      <c r="C522" s="54"/>
      <c r="D522" s="54"/>
      <c r="E522" s="54"/>
      <c r="F522" s="54"/>
      <c r="G522" s="54"/>
      <c r="H522" s="54"/>
    </row>
    <row r="523" spans="1:8" hidden="1">
      <c r="A523" s="219"/>
      <c r="B523" s="54"/>
      <c r="C523" s="54"/>
      <c r="D523" s="54"/>
      <c r="E523" s="54"/>
      <c r="F523" s="54"/>
      <c r="G523" s="54"/>
      <c r="H523" s="54"/>
    </row>
    <row r="524" spans="1:8" ht="15" hidden="1">
      <c r="A524" s="219"/>
      <c r="B524" s="54" t="s">
        <v>20</v>
      </c>
      <c r="C524" s="119" t="s">
        <v>23</v>
      </c>
      <c r="D524" s="36">
        <v>75</v>
      </c>
      <c r="E524" s="120" t="s">
        <v>150</v>
      </c>
      <c r="F524" s="38"/>
      <c r="G524" s="39"/>
      <c r="H524" s="39">
        <f>(D524*H473)/1000</f>
        <v>0</v>
      </c>
    </row>
    <row r="525" spans="1:8" ht="15" hidden="1">
      <c r="A525" s="219"/>
      <c r="B525" s="54" t="s">
        <v>664</v>
      </c>
      <c r="C525" s="119" t="s">
        <v>23</v>
      </c>
      <c r="D525" s="36">
        <v>75</v>
      </c>
      <c r="E525" s="120" t="s">
        <v>150</v>
      </c>
      <c r="F525" s="38"/>
      <c r="G525" s="39"/>
      <c r="H525" s="39">
        <f>(D525*H477)/1000</f>
        <v>0</v>
      </c>
    </row>
    <row r="526" spans="1:8" ht="15" hidden="1">
      <c r="A526" s="219"/>
      <c r="B526" s="54" t="s">
        <v>655</v>
      </c>
      <c r="C526" s="119" t="s">
        <v>23</v>
      </c>
      <c r="D526" s="36">
        <v>75</v>
      </c>
      <c r="E526" s="120" t="s">
        <v>150</v>
      </c>
      <c r="F526" s="38"/>
      <c r="G526" s="39"/>
      <c r="H526" s="39">
        <f>(D526*H481)/1000</f>
        <v>0</v>
      </c>
    </row>
    <row r="527" spans="1:8" ht="15" hidden="1">
      <c r="A527" s="54"/>
      <c r="B527" s="54" t="s">
        <v>661</v>
      </c>
      <c r="C527" s="119" t="s">
        <v>23</v>
      </c>
      <c r="D527" s="36">
        <v>75</v>
      </c>
      <c r="E527" s="120" t="s">
        <v>150</v>
      </c>
      <c r="F527" s="38"/>
      <c r="G527" s="39"/>
      <c r="H527" s="39">
        <f>(D527*H494)/1000</f>
        <v>0</v>
      </c>
    </row>
    <row r="528" spans="1:8" ht="15" hidden="1">
      <c r="A528" s="54"/>
      <c r="B528" s="54" t="s">
        <v>35</v>
      </c>
      <c r="C528" s="119" t="s">
        <v>23</v>
      </c>
      <c r="D528" s="36">
        <v>75</v>
      </c>
      <c r="E528" s="120" t="s">
        <v>150</v>
      </c>
      <c r="F528" s="38"/>
      <c r="G528" s="39"/>
      <c r="H528" s="39">
        <f>(D528*H488)/1000</f>
        <v>0</v>
      </c>
    </row>
    <row r="529" spans="1:8" ht="15" hidden="1">
      <c r="A529" s="54"/>
      <c r="B529" s="54" t="s">
        <v>660</v>
      </c>
      <c r="C529" s="119" t="s">
        <v>23</v>
      </c>
      <c r="D529" s="36">
        <v>75</v>
      </c>
      <c r="E529" s="120" t="s">
        <v>150</v>
      </c>
      <c r="F529" s="38"/>
      <c r="G529" s="39"/>
      <c r="H529" s="39">
        <f>(D529*H494)/1000</f>
        <v>0</v>
      </c>
    </row>
    <row r="530" spans="1:8" hidden="1">
      <c r="A530" s="54"/>
      <c r="B530" s="54"/>
      <c r="C530" s="54"/>
      <c r="D530" s="54"/>
      <c r="E530" s="54"/>
      <c r="F530" s="54"/>
      <c r="G530" s="54"/>
      <c r="H530" s="54"/>
    </row>
    <row r="531" spans="1:8" hidden="1">
      <c r="A531" s="219" t="s">
        <v>44</v>
      </c>
      <c r="B531" s="54" t="s">
        <v>665</v>
      </c>
      <c r="C531" s="54"/>
      <c r="D531" s="54"/>
      <c r="E531" s="54"/>
      <c r="F531" s="54"/>
      <c r="G531" s="54"/>
      <c r="H531" s="54"/>
    </row>
    <row r="532" spans="1:8" hidden="1">
      <c r="A532" s="54"/>
      <c r="B532" s="54" t="s">
        <v>661</v>
      </c>
      <c r="C532" s="54" t="s">
        <v>16</v>
      </c>
      <c r="D532" s="54">
        <f>D516</f>
        <v>0</v>
      </c>
      <c r="E532" s="54">
        <f>E516</f>
        <v>1.5</v>
      </c>
      <c r="F532" s="54">
        <v>0.3</v>
      </c>
      <c r="G532" s="54"/>
      <c r="H532" s="54">
        <f>D532*E532*F532</f>
        <v>0</v>
      </c>
    </row>
    <row r="533" spans="1:8" hidden="1">
      <c r="A533" s="54"/>
      <c r="B533" s="54"/>
      <c r="C533" s="54" t="s">
        <v>16</v>
      </c>
      <c r="D533" s="54">
        <v>0</v>
      </c>
      <c r="E533" s="54">
        <f>E532</f>
        <v>1.5</v>
      </c>
      <c r="F533" s="54"/>
      <c r="G533" s="54">
        <v>0.15</v>
      </c>
      <c r="H533" s="54">
        <f>D533*E533*G533</f>
        <v>0</v>
      </c>
    </row>
    <row r="534" spans="1:8" hidden="1">
      <c r="A534" s="54"/>
      <c r="B534" s="54"/>
      <c r="C534" s="54"/>
      <c r="D534" s="54"/>
      <c r="E534" s="54"/>
      <c r="F534" s="671" t="s">
        <v>65</v>
      </c>
      <c r="G534" s="672"/>
      <c r="H534" s="337">
        <f>ROUND(SUM(H532:H533),0)</f>
        <v>0</v>
      </c>
    </row>
    <row r="535" spans="1:8" hidden="1">
      <c r="A535" s="54"/>
      <c r="B535" s="54"/>
      <c r="C535" s="54"/>
      <c r="D535" s="54"/>
      <c r="E535" s="54"/>
      <c r="F535" s="54"/>
      <c r="G535" s="54"/>
      <c r="H535" s="54"/>
    </row>
    <row r="536" spans="1:8" hidden="1">
      <c r="A536" s="219" t="s">
        <v>46</v>
      </c>
      <c r="B536" s="54" t="s">
        <v>666</v>
      </c>
      <c r="C536" s="54" t="s">
        <v>27</v>
      </c>
      <c r="D536" s="54">
        <v>0</v>
      </c>
      <c r="E536" s="54">
        <v>4</v>
      </c>
      <c r="F536" s="54"/>
      <c r="G536" s="54"/>
      <c r="H536" s="54">
        <f>D536*E536</f>
        <v>0</v>
      </c>
    </row>
    <row r="537" spans="1:8" hidden="1">
      <c r="A537" s="54"/>
      <c r="B537" s="54"/>
      <c r="C537" s="54"/>
      <c r="D537" s="54"/>
      <c r="E537" s="54"/>
      <c r="F537" s="54"/>
      <c r="G537" s="54"/>
      <c r="H537" s="54"/>
    </row>
    <row r="538" spans="1:8" hidden="1">
      <c r="A538" s="219" t="s">
        <v>48</v>
      </c>
      <c r="B538" s="54" t="s">
        <v>667</v>
      </c>
      <c r="C538" s="54" t="s">
        <v>63</v>
      </c>
      <c r="D538" s="54">
        <v>0</v>
      </c>
      <c r="E538" s="54"/>
      <c r="F538" s="54"/>
      <c r="G538" s="54"/>
      <c r="H538" s="54">
        <f>D538</f>
        <v>0</v>
      </c>
    </row>
    <row r="539" spans="1:8" hidden="1">
      <c r="A539" s="54"/>
      <c r="B539" s="480" t="s">
        <v>70</v>
      </c>
      <c r="C539" s="54"/>
      <c r="D539" s="54"/>
      <c r="E539" s="54"/>
      <c r="F539" s="54"/>
      <c r="G539" s="54"/>
      <c r="H539" s="54"/>
    </row>
    <row r="540" spans="1:8">
      <c r="A540" s="159">
        <v>26</v>
      </c>
      <c r="B540" s="480" t="s">
        <v>72</v>
      </c>
      <c r="C540" s="54"/>
      <c r="D540" s="54"/>
      <c r="E540" s="54"/>
      <c r="F540" s="54"/>
      <c r="G540" s="54"/>
      <c r="H540" s="54"/>
    </row>
    <row r="541" spans="1:8" ht="15">
      <c r="A541" s="34" t="s">
        <v>50</v>
      </c>
      <c r="B541" s="439" t="s">
        <v>253</v>
      </c>
      <c r="C541" s="219" t="s">
        <v>63</v>
      </c>
      <c r="D541" s="410">
        <v>3</v>
      </c>
      <c r="E541" s="481"/>
      <c r="F541" s="481"/>
      <c r="G541" s="481"/>
      <c r="H541" s="39">
        <f>D541</f>
        <v>3</v>
      </c>
    </row>
    <row r="542" spans="1:8">
      <c r="A542" s="54"/>
      <c r="B542" s="200"/>
      <c r="C542" s="219"/>
      <c r="D542" s="481"/>
      <c r="E542" s="481"/>
      <c r="F542" s="481"/>
      <c r="G542" s="481"/>
      <c r="H542" s="54"/>
    </row>
    <row r="543" spans="1:8" ht="15">
      <c r="A543" s="34" t="s">
        <v>254</v>
      </c>
      <c r="B543" s="439" t="s">
        <v>255</v>
      </c>
      <c r="C543" s="219" t="s">
        <v>63</v>
      </c>
      <c r="D543" s="397"/>
      <c r="E543" s="481"/>
      <c r="F543" s="481"/>
      <c r="G543" s="481"/>
      <c r="H543" s="39">
        <f>D543</f>
        <v>0</v>
      </c>
    </row>
    <row r="544" spans="1:8">
      <c r="A544" s="54"/>
      <c r="B544" s="200"/>
      <c r="C544" s="54"/>
      <c r="D544" s="481"/>
      <c r="E544" s="481"/>
      <c r="F544" s="481"/>
      <c r="G544" s="481"/>
      <c r="H544" s="54"/>
    </row>
    <row r="545" spans="1:8" ht="15">
      <c r="A545" s="34" t="s">
        <v>256</v>
      </c>
      <c r="B545" s="439" t="s">
        <v>257</v>
      </c>
      <c r="C545" s="219" t="s">
        <v>63</v>
      </c>
      <c r="D545" s="410">
        <v>3</v>
      </c>
      <c r="E545" s="481"/>
      <c r="F545" s="481"/>
      <c r="G545" s="481"/>
      <c r="H545" s="39">
        <f>D545</f>
        <v>3</v>
      </c>
    </row>
    <row r="546" spans="1:8">
      <c r="A546" s="54"/>
      <c r="B546" s="200"/>
      <c r="C546" s="54"/>
      <c r="D546" s="481"/>
      <c r="E546" s="481"/>
      <c r="F546" s="481"/>
      <c r="G546" s="481"/>
      <c r="H546" s="54"/>
    </row>
    <row r="547" spans="1:8" ht="15">
      <c r="A547" s="34" t="s">
        <v>258</v>
      </c>
      <c r="B547" s="439" t="s">
        <v>259</v>
      </c>
      <c r="C547" s="219" t="s">
        <v>63</v>
      </c>
      <c r="D547" s="410">
        <v>2</v>
      </c>
      <c r="E547" s="481"/>
      <c r="F547" s="481"/>
      <c r="G547" s="481"/>
      <c r="H547" s="39">
        <f>D547</f>
        <v>2</v>
      </c>
    </row>
    <row r="548" spans="1:8">
      <c r="A548" s="54"/>
      <c r="B548" s="200"/>
      <c r="C548" s="54"/>
      <c r="D548" s="481"/>
      <c r="E548" s="481"/>
      <c r="F548" s="481"/>
      <c r="G548" s="481"/>
      <c r="H548" s="54"/>
    </row>
    <row r="549" spans="1:8" ht="15">
      <c r="A549" s="34" t="s">
        <v>260</v>
      </c>
      <c r="B549" s="439" t="s">
        <v>261</v>
      </c>
      <c r="C549" s="219" t="s">
        <v>63</v>
      </c>
      <c r="D549" s="410">
        <v>2</v>
      </c>
      <c r="E549" s="481"/>
      <c r="F549" s="481"/>
      <c r="G549" s="481"/>
      <c r="H549" s="39">
        <f>D549</f>
        <v>2</v>
      </c>
    </row>
    <row r="550" spans="1:8">
      <c r="A550" s="54"/>
      <c r="B550" s="200"/>
      <c r="C550" s="54"/>
      <c r="D550" s="481"/>
      <c r="E550" s="481"/>
      <c r="F550" s="481"/>
      <c r="G550" s="481"/>
      <c r="H550" s="54"/>
    </row>
    <row r="551" spans="1:8" ht="15">
      <c r="A551" s="34" t="s">
        <v>262</v>
      </c>
      <c r="B551" s="439" t="s">
        <v>263</v>
      </c>
      <c r="C551" s="219" t="s">
        <v>63</v>
      </c>
      <c r="D551" s="410">
        <v>3</v>
      </c>
      <c r="E551" s="481"/>
      <c r="F551" s="481"/>
      <c r="G551" s="481"/>
      <c r="H551" s="39">
        <f>D551</f>
        <v>3</v>
      </c>
    </row>
    <row r="552" spans="1:8">
      <c r="A552" s="54"/>
      <c r="B552" s="200"/>
      <c r="C552" s="54"/>
      <c r="D552" s="54"/>
      <c r="E552" s="54"/>
      <c r="F552" s="54"/>
      <c r="G552" s="54"/>
      <c r="H552" s="54"/>
    </row>
    <row r="553" spans="1:8">
      <c r="A553" s="34" t="s">
        <v>264</v>
      </c>
      <c r="B553" s="200" t="s">
        <v>265</v>
      </c>
      <c r="C553" s="54"/>
      <c r="D553" s="54"/>
      <c r="E553" s="54"/>
      <c r="F553" s="54"/>
      <c r="G553" s="54"/>
      <c r="H553" s="54"/>
    </row>
    <row r="554" spans="1:8" ht="15">
      <c r="A554" s="482" t="s">
        <v>10</v>
      </c>
      <c r="B554" s="483" t="s">
        <v>668</v>
      </c>
      <c r="C554" s="219" t="s">
        <v>63</v>
      </c>
      <c r="D554" s="410">
        <v>0</v>
      </c>
      <c r="E554" s="481"/>
      <c r="F554" s="481"/>
      <c r="G554" s="481"/>
      <c r="H554" s="39">
        <f>D554</f>
        <v>0</v>
      </c>
    </row>
    <row r="555" spans="1:8" ht="15">
      <c r="A555" s="482" t="s">
        <v>12</v>
      </c>
      <c r="B555" s="483" t="s">
        <v>669</v>
      </c>
      <c r="C555" s="219" t="s">
        <v>63</v>
      </c>
      <c r="D555" s="410">
        <v>0</v>
      </c>
      <c r="E555" s="481"/>
      <c r="F555" s="481"/>
      <c r="G555" s="481"/>
      <c r="H555" s="39">
        <f>D555</f>
        <v>0</v>
      </c>
    </row>
    <row r="556" spans="1:8">
      <c r="A556" s="482" t="s">
        <v>13</v>
      </c>
      <c r="B556" s="483" t="s">
        <v>670</v>
      </c>
      <c r="C556" s="219" t="s">
        <v>63</v>
      </c>
      <c r="D556" s="484">
        <v>0</v>
      </c>
      <c r="E556" s="481"/>
      <c r="F556" s="481"/>
      <c r="G556" s="481"/>
      <c r="H556" s="39">
        <f t="shared" ref="H556:H559" si="44">D556</f>
        <v>0</v>
      </c>
    </row>
    <row r="557" spans="1:8">
      <c r="A557" s="482" t="s">
        <v>36</v>
      </c>
      <c r="B557" s="483" t="s">
        <v>671</v>
      </c>
      <c r="C557" s="219" t="s">
        <v>63</v>
      </c>
      <c r="D557" s="484">
        <v>0</v>
      </c>
      <c r="E557" s="481"/>
      <c r="F557" s="481"/>
      <c r="G557" s="481"/>
      <c r="H557" s="39">
        <f t="shared" si="44"/>
        <v>0</v>
      </c>
    </row>
    <row r="558" spans="1:8">
      <c r="A558" s="482" t="s">
        <v>42</v>
      </c>
      <c r="B558" s="483" t="s">
        <v>672</v>
      </c>
      <c r="C558" s="219" t="s">
        <v>63</v>
      </c>
      <c r="D558" s="484">
        <v>0</v>
      </c>
      <c r="E558" s="481"/>
      <c r="F558" s="481"/>
      <c r="G558" s="481"/>
      <c r="H558" s="39">
        <f t="shared" si="44"/>
        <v>0</v>
      </c>
    </row>
    <row r="559" spans="1:8">
      <c r="A559" s="485" t="s">
        <v>44</v>
      </c>
      <c r="B559" s="483" t="s">
        <v>673</v>
      </c>
      <c r="C559" s="219" t="s">
        <v>63</v>
      </c>
      <c r="D559" s="484">
        <v>0</v>
      </c>
      <c r="E559" s="481"/>
      <c r="F559" s="481"/>
      <c r="G559" s="481"/>
      <c r="H559" s="39">
        <f t="shared" si="44"/>
        <v>0</v>
      </c>
    </row>
    <row r="560" spans="1:8">
      <c r="A560" s="54"/>
      <c r="B560" s="200"/>
      <c r="C560" s="54"/>
      <c r="D560" s="481"/>
      <c r="E560" s="481"/>
      <c r="F560" s="481"/>
      <c r="G560" s="481"/>
      <c r="H560" s="54"/>
    </row>
    <row r="561" spans="1:8" ht="15">
      <c r="A561" s="34" t="s">
        <v>268</v>
      </c>
      <c r="B561" s="439" t="s">
        <v>269</v>
      </c>
      <c r="C561" s="219" t="s">
        <v>63</v>
      </c>
      <c r="D561" s="410">
        <v>3</v>
      </c>
      <c r="E561" s="481"/>
      <c r="F561" s="481"/>
      <c r="G561" s="481"/>
      <c r="H561" s="39">
        <f>D561</f>
        <v>3</v>
      </c>
    </row>
    <row r="562" spans="1:8">
      <c r="A562" s="54"/>
      <c r="B562" s="200"/>
      <c r="C562" s="54"/>
      <c r="D562" s="481"/>
      <c r="E562" s="481"/>
      <c r="F562" s="481"/>
      <c r="G562" s="481"/>
      <c r="H562" s="54"/>
    </row>
    <row r="563" spans="1:8" ht="15">
      <c r="A563" s="34" t="s">
        <v>270</v>
      </c>
      <c r="B563" s="439" t="s">
        <v>271</v>
      </c>
      <c r="C563" s="219" t="s">
        <v>63</v>
      </c>
      <c r="D563" s="410">
        <v>3</v>
      </c>
      <c r="E563" s="481"/>
      <c r="F563" s="481"/>
      <c r="G563" s="481"/>
      <c r="H563" s="39">
        <f>D563</f>
        <v>3</v>
      </c>
    </row>
    <row r="564" spans="1:8">
      <c r="A564" s="54"/>
      <c r="B564" s="200"/>
      <c r="C564" s="54"/>
      <c r="D564" s="481"/>
      <c r="E564" s="481"/>
      <c r="F564" s="481"/>
      <c r="G564" s="481"/>
      <c r="H564" s="54"/>
    </row>
    <row r="565" spans="1:8" ht="15">
      <c r="A565" s="34" t="s">
        <v>272</v>
      </c>
      <c r="B565" s="439" t="s">
        <v>273</v>
      </c>
      <c r="C565" s="219" t="s">
        <v>63</v>
      </c>
      <c r="D565" s="410">
        <v>3</v>
      </c>
      <c r="E565" s="481"/>
      <c r="F565" s="481"/>
      <c r="G565" s="481"/>
      <c r="H565" s="39">
        <f>D565</f>
        <v>3</v>
      </c>
    </row>
    <row r="566" spans="1:8">
      <c r="A566" s="54"/>
      <c r="B566" s="200"/>
      <c r="C566" s="54"/>
      <c r="D566" s="481"/>
      <c r="E566" s="481"/>
      <c r="F566" s="481"/>
      <c r="G566" s="481"/>
      <c r="H566" s="54"/>
    </row>
    <row r="567" spans="1:8" ht="15">
      <c r="A567" s="34" t="s">
        <v>274</v>
      </c>
      <c r="B567" s="439" t="s">
        <v>275</v>
      </c>
      <c r="C567" s="219" t="s">
        <v>63</v>
      </c>
      <c r="D567" s="410">
        <v>3</v>
      </c>
      <c r="E567" s="481"/>
      <c r="F567" s="481"/>
      <c r="G567" s="481"/>
      <c r="H567" s="39">
        <f>D567</f>
        <v>3</v>
      </c>
    </row>
    <row r="568" spans="1:8">
      <c r="A568" s="54"/>
      <c r="B568" s="200"/>
      <c r="C568" s="54"/>
      <c r="D568" s="481"/>
      <c r="E568" s="481"/>
      <c r="F568" s="481"/>
      <c r="G568" s="481"/>
      <c r="H568" s="54"/>
    </row>
    <row r="569" spans="1:8" ht="15">
      <c r="A569" s="34" t="s">
        <v>276</v>
      </c>
      <c r="B569" s="439" t="s">
        <v>277</v>
      </c>
      <c r="C569" s="34" t="s">
        <v>63</v>
      </c>
      <c r="D569" s="410">
        <v>2</v>
      </c>
      <c r="E569" s="486"/>
      <c r="F569" s="486"/>
      <c r="G569" s="486"/>
      <c r="H569" s="39">
        <f>D569</f>
        <v>2</v>
      </c>
    </row>
    <row r="570" spans="1:8">
      <c r="A570" s="54"/>
      <c r="B570" s="200"/>
      <c r="C570" s="54"/>
      <c r="D570" s="54"/>
      <c r="E570" s="54"/>
      <c r="F570" s="54"/>
      <c r="G570" s="54"/>
      <c r="H570" s="54"/>
    </row>
    <row r="571" spans="1:8">
      <c r="A571" s="159">
        <v>27</v>
      </c>
      <c r="B571" s="480" t="s">
        <v>278</v>
      </c>
      <c r="C571" s="54"/>
      <c r="D571" s="54"/>
      <c r="E571" s="54"/>
      <c r="F571" s="54"/>
      <c r="G571" s="54"/>
      <c r="H571" s="54"/>
    </row>
    <row r="572" spans="1:8">
      <c r="A572" s="54"/>
      <c r="B572" s="200"/>
      <c r="C572" s="54"/>
      <c r="D572" s="54"/>
      <c r="E572" s="54"/>
      <c r="F572" s="54"/>
      <c r="G572" s="54"/>
      <c r="H572" s="54"/>
    </row>
    <row r="573" spans="1:8" ht="15">
      <c r="A573" s="34" t="s">
        <v>50</v>
      </c>
      <c r="B573" s="439" t="s">
        <v>279</v>
      </c>
      <c r="C573" s="219" t="s">
        <v>27</v>
      </c>
      <c r="D573" s="410">
        <v>3</v>
      </c>
      <c r="E573" s="487">
        <v>5</v>
      </c>
      <c r="F573" s="481"/>
      <c r="G573" s="481"/>
      <c r="H573" s="39">
        <f>ROUND(D573*E573,0)</f>
        <v>15</v>
      </c>
    </row>
    <row r="574" spans="1:8">
      <c r="A574" s="54"/>
      <c r="B574" s="200"/>
      <c r="C574" s="54"/>
      <c r="D574" s="487"/>
      <c r="E574" s="487"/>
      <c r="F574" s="481"/>
      <c r="G574" s="481"/>
      <c r="H574" s="54"/>
    </row>
    <row r="575" spans="1:8" ht="15">
      <c r="A575" s="34" t="s">
        <v>254</v>
      </c>
      <c r="B575" s="439" t="s">
        <v>280</v>
      </c>
      <c r="C575" s="219" t="s">
        <v>27</v>
      </c>
      <c r="D575" s="410">
        <v>3</v>
      </c>
      <c r="E575" s="487">
        <v>5</v>
      </c>
      <c r="F575" s="481"/>
      <c r="G575" s="481"/>
      <c r="H575" s="39">
        <f>ROUND(D575*E575,0)</f>
        <v>15</v>
      </c>
    </row>
    <row r="576" spans="1:8">
      <c r="A576" s="54"/>
      <c r="B576" s="200"/>
      <c r="C576" s="54"/>
      <c r="D576" s="487"/>
      <c r="E576" s="487"/>
      <c r="F576" s="481"/>
      <c r="G576" s="481"/>
      <c r="H576" s="54"/>
    </row>
    <row r="577" spans="1:8" ht="15">
      <c r="A577" s="34" t="s">
        <v>256</v>
      </c>
      <c r="B577" s="439" t="s">
        <v>281</v>
      </c>
      <c r="C577" s="219" t="s">
        <v>27</v>
      </c>
      <c r="D577" s="410">
        <v>3</v>
      </c>
      <c r="E577" s="487">
        <v>4</v>
      </c>
      <c r="F577" s="481"/>
      <c r="G577" s="481"/>
      <c r="H577" s="39">
        <f>ROUND(D577*E577,0)</f>
        <v>12</v>
      </c>
    </row>
    <row r="578" spans="1:8">
      <c r="A578" s="54"/>
      <c r="B578" s="200"/>
      <c r="C578" s="54"/>
      <c r="D578" s="487"/>
      <c r="E578" s="487"/>
      <c r="F578" s="481"/>
      <c r="G578" s="481"/>
      <c r="H578" s="54"/>
    </row>
    <row r="579" spans="1:8" ht="15">
      <c r="A579" s="34" t="s">
        <v>258</v>
      </c>
      <c r="B579" s="439" t="s">
        <v>282</v>
      </c>
      <c r="C579" s="219" t="s">
        <v>27</v>
      </c>
      <c r="D579" s="410">
        <v>2</v>
      </c>
      <c r="E579" s="487">
        <v>2</v>
      </c>
      <c r="F579" s="481"/>
      <c r="G579" s="481"/>
      <c r="H579" s="39">
        <f>ROUND(D579*E579,0)</f>
        <v>4</v>
      </c>
    </row>
    <row r="580" spans="1:8">
      <c r="A580" s="54"/>
      <c r="B580" s="200"/>
      <c r="C580" s="54"/>
      <c r="D580" s="487"/>
      <c r="E580" s="487"/>
      <c r="F580" s="481"/>
      <c r="G580" s="481"/>
      <c r="H580" s="54"/>
    </row>
    <row r="581" spans="1:8" ht="15">
      <c r="A581" s="34" t="s">
        <v>260</v>
      </c>
      <c r="B581" s="439" t="s">
        <v>283</v>
      </c>
      <c r="C581" s="219" t="s">
        <v>27</v>
      </c>
      <c r="D581" s="410">
        <v>1</v>
      </c>
      <c r="E581" s="487">
        <f>55+4.5*5</f>
        <v>77.5</v>
      </c>
      <c r="F581" s="481"/>
      <c r="G581" s="481"/>
      <c r="H581" s="39">
        <f>ROUND(D581*E581,0)</f>
        <v>78</v>
      </c>
    </row>
    <row r="582" spans="1:8">
      <c r="A582" s="54"/>
      <c r="B582" s="54"/>
      <c r="C582" s="54"/>
      <c r="D582" s="481"/>
      <c r="E582" s="481"/>
      <c r="F582" s="481"/>
      <c r="G582" s="481"/>
      <c r="H582" s="54"/>
    </row>
    <row r="583" spans="1:8">
      <c r="A583" s="34" t="s">
        <v>262</v>
      </c>
      <c r="B583" s="200" t="s">
        <v>284</v>
      </c>
      <c r="C583" s="200"/>
      <c r="D583" s="486"/>
      <c r="E583" s="486"/>
      <c r="F583" s="486"/>
      <c r="G583" s="486"/>
      <c r="H583" s="200"/>
    </row>
    <row r="584" spans="1:8" ht="15">
      <c r="A584" s="200"/>
      <c r="B584" s="200" t="s">
        <v>76</v>
      </c>
      <c r="C584" s="34" t="s">
        <v>63</v>
      </c>
      <c r="D584" s="410">
        <v>3</v>
      </c>
      <c r="E584" s="486"/>
      <c r="F584" s="486"/>
      <c r="G584" s="486"/>
      <c r="H584" s="39">
        <f>D584</f>
        <v>3</v>
      </c>
    </row>
    <row r="585" spans="1:8">
      <c r="A585" s="54"/>
      <c r="B585" s="54"/>
      <c r="C585" s="54"/>
      <c r="D585" s="487"/>
      <c r="E585" s="481"/>
      <c r="F585" s="481"/>
      <c r="G585" s="481"/>
      <c r="H585" s="54"/>
    </row>
    <row r="586" spans="1:8">
      <c r="A586" s="34" t="s">
        <v>264</v>
      </c>
      <c r="B586" s="54" t="s">
        <v>285</v>
      </c>
      <c r="C586" s="54"/>
      <c r="D586" s="487"/>
      <c r="E586" s="481"/>
      <c r="F586" s="481"/>
      <c r="G586" s="481"/>
      <c r="H586" s="54"/>
    </row>
    <row r="587" spans="1:8" ht="15">
      <c r="A587" s="54"/>
      <c r="B587" s="200" t="s">
        <v>75</v>
      </c>
      <c r="C587" s="34" t="s">
        <v>63</v>
      </c>
      <c r="D587" s="410">
        <v>5</v>
      </c>
      <c r="E587" s="486"/>
      <c r="F587" s="486"/>
      <c r="G587" s="486"/>
      <c r="H587" s="39">
        <f>D587</f>
        <v>5</v>
      </c>
    </row>
    <row r="588" spans="1:8">
      <c r="A588" s="54"/>
      <c r="B588" s="200"/>
      <c r="C588" s="54"/>
      <c r="D588" s="474"/>
      <c r="E588" s="54"/>
      <c r="F588" s="54"/>
      <c r="G588" s="54"/>
      <c r="H588" s="54"/>
    </row>
    <row r="589" spans="1:8">
      <c r="A589" s="34" t="s">
        <v>268</v>
      </c>
      <c r="B589" s="54" t="s">
        <v>286</v>
      </c>
      <c r="C589" s="54"/>
      <c r="D589" s="474"/>
      <c r="E589" s="54"/>
      <c r="F589" s="54"/>
      <c r="G589" s="54"/>
      <c r="H589" s="54"/>
    </row>
    <row r="590" spans="1:8" ht="15">
      <c r="A590" s="54"/>
      <c r="B590" s="200" t="s">
        <v>75</v>
      </c>
      <c r="C590" s="34" t="s">
        <v>63</v>
      </c>
      <c r="D590" s="410">
        <v>5</v>
      </c>
      <c r="E590" s="200"/>
      <c r="F590" s="200"/>
      <c r="G590" s="200"/>
      <c r="H590" s="39">
        <f>D590</f>
        <v>5</v>
      </c>
    </row>
    <row r="591" spans="1:8">
      <c r="A591" s="54"/>
      <c r="B591" s="54"/>
      <c r="C591" s="54"/>
      <c r="D591" s="54"/>
      <c r="E591" s="54"/>
      <c r="F591" s="54"/>
      <c r="G591" s="54"/>
      <c r="H591" s="54"/>
    </row>
    <row r="592" spans="1:8">
      <c r="A592" s="159">
        <v>28</v>
      </c>
      <c r="B592" s="480" t="s">
        <v>77</v>
      </c>
      <c r="C592" s="54"/>
      <c r="D592" s="54"/>
      <c r="E592" s="54"/>
      <c r="F592" s="54"/>
      <c r="G592" s="54"/>
      <c r="H592" s="54"/>
    </row>
    <row r="593" spans="1:8">
      <c r="A593" s="218" t="s">
        <v>7</v>
      </c>
      <c r="B593" s="480" t="s">
        <v>78</v>
      </c>
      <c r="C593" s="54"/>
      <c r="D593" s="54"/>
      <c r="E593" s="54"/>
      <c r="F593" s="54"/>
      <c r="G593" s="54"/>
      <c r="H593" s="54"/>
    </row>
    <row r="594" spans="1:8" ht="15">
      <c r="A594" s="34" t="s">
        <v>50</v>
      </c>
      <c r="B594" s="54" t="s">
        <v>287</v>
      </c>
      <c r="C594" s="219" t="s">
        <v>27</v>
      </c>
      <c r="D594" s="410">
        <f>25*1</f>
        <v>25</v>
      </c>
      <c r="E594" s="487">
        <v>2.5</v>
      </c>
      <c r="F594" s="481"/>
      <c r="G594" s="54"/>
      <c r="H594" s="39">
        <f>ROUND(D594*E594,0)</f>
        <v>63</v>
      </c>
    </row>
    <row r="595" spans="1:8">
      <c r="A595" s="54"/>
      <c r="B595" s="54"/>
      <c r="C595" s="54"/>
      <c r="D595" s="487"/>
      <c r="E595" s="487"/>
      <c r="F595" s="481"/>
      <c r="G595" s="54"/>
      <c r="H595" s="54"/>
    </row>
    <row r="596" spans="1:8" ht="15">
      <c r="A596" s="34" t="s">
        <v>254</v>
      </c>
      <c r="B596" s="54" t="s">
        <v>288</v>
      </c>
      <c r="C596" s="219" t="s">
        <v>27</v>
      </c>
      <c r="D596" s="410">
        <f>5*1</f>
        <v>5</v>
      </c>
      <c r="E596" s="487">
        <v>5</v>
      </c>
      <c r="F596" s="481"/>
      <c r="G596" s="54"/>
      <c r="H596" s="39">
        <f>ROUND(D596*E596,0)</f>
        <v>25</v>
      </c>
    </row>
    <row r="597" spans="1:8">
      <c r="A597" s="54"/>
      <c r="B597" s="54"/>
      <c r="C597" s="54"/>
      <c r="D597" s="487"/>
      <c r="E597" s="487"/>
      <c r="F597" s="481"/>
      <c r="G597" s="54"/>
      <c r="H597" s="54"/>
    </row>
    <row r="598" spans="1:8" ht="15">
      <c r="A598" s="34" t="s">
        <v>256</v>
      </c>
      <c r="B598" s="54" t="s">
        <v>289</v>
      </c>
      <c r="C598" s="219" t="s">
        <v>27</v>
      </c>
      <c r="D598" s="410">
        <f>1*1</f>
        <v>1</v>
      </c>
      <c r="E598" s="487">
        <f>5.6*2+3.2</f>
        <v>14.399999999999999</v>
      </c>
      <c r="F598" s="481"/>
      <c r="G598" s="54"/>
      <c r="H598" s="39">
        <f>ROUND(D598*E598,0)</f>
        <v>14</v>
      </c>
    </row>
    <row r="599" spans="1:8">
      <c r="A599" s="54"/>
      <c r="B599" s="54"/>
      <c r="C599" s="54"/>
      <c r="D599" s="487"/>
      <c r="E599" s="487"/>
      <c r="F599" s="481"/>
      <c r="G599" s="54"/>
      <c r="H599" s="54"/>
    </row>
    <row r="600" spans="1:8" ht="15">
      <c r="A600" s="34" t="s">
        <v>256</v>
      </c>
      <c r="B600" s="54" t="s">
        <v>290</v>
      </c>
      <c r="C600" s="219" t="s">
        <v>27</v>
      </c>
      <c r="D600" s="410">
        <f>1*1</f>
        <v>1</v>
      </c>
      <c r="E600" s="487">
        <v>10</v>
      </c>
      <c r="F600" s="481"/>
      <c r="G600" s="54"/>
      <c r="H600" s="39">
        <f>ROUND(D600*E600,0)</f>
        <v>10</v>
      </c>
    </row>
    <row r="601" spans="1:8">
      <c r="A601" s="54"/>
      <c r="B601" s="54"/>
      <c r="C601" s="54"/>
      <c r="D601" s="487"/>
      <c r="E601" s="487"/>
      <c r="F601" s="481"/>
      <c r="G601" s="54"/>
      <c r="H601" s="54"/>
    </row>
    <row r="602" spans="1:8" ht="15">
      <c r="A602" s="34" t="s">
        <v>258</v>
      </c>
      <c r="B602" s="54" t="s">
        <v>291</v>
      </c>
      <c r="C602" s="219" t="s">
        <v>27</v>
      </c>
      <c r="D602" s="410">
        <f>1*1</f>
        <v>1</v>
      </c>
      <c r="E602" s="487">
        <v>25</v>
      </c>
      <c r="F602" s="481"/>
      <c r="G602" s="54"/>
      <c r="H602" s="39">
        <f>ROUND(D602*E602,0)</f>
        <v>25</v>
      </c>
    </row>
    <row r="603" spans="1:8">
      <c r="A603" s="54"/>
      <c r="B603" s="54"/>
      <c r="C603" s="54"/>
      <c r="D603" s="486"/>
      <c r="E603" s="481"/>
      <c r="F603" s="481"/>
      <c r="G603" s="54"/>
      <c r="H603" s="54"/>
    </row>
    <row r="604" spans="1:8">
      <c r="A604" s="34" t="s">
        <v>260</v>
      </c>
      <c r="B604" s="54" t="s">
        <v>292</v>
      </c>
      <c r="C604" s="54"/>
      <c r="D604" s="486"/>
      <c r="E604" s="481"/>
      <c r="F604" s="481"/>
      <c r="G604" s="54"/>
      <c r="H604" s="54"/>
    </row>
    <row r="605" spans="1:8" ht="15">
      <c r="A605" s="54"/>
      <c r="B605" s="488" t="s">
        <v>79</v>
      </c>
      <c r="C605" s="34" t="s">
        <v>63</v>
      </c>
      <c r="D605" s="410">
        <f>6*1</f>
        <v>6</v>
      </c>
      <c r="E605" s="486"/>
      <c r="F605" s="486"/>
      <c r="G605" s="200"/>
      <c r="H605" s="39">
        <f>D605</f>
        <v>6</v>
      </c>
    </row>
    <row r="606" spans="1:8" ht="15">
      <c r="A606" s="54"/>
      <c r="B606" s="488" t="s">
        <v>80</v>
      </c>
      <c r="C606" s="34" t="s">
        <v>63</v>
      </c>
      <c r="D606" s="410">
        <f>6*1</f>
        <v>6</v>
      </c>
      <c r="E606" s="486"/>
      <c r="F606" s="486"/>
      <c r="G606" s="200"/>
      <c r="H606" s="39">
        <f>D606</f>
        <v>6</v>
      </c>
    </row>
    <row r="607" spans="1:8">
      <c r="A607" s="54"/>
      <c r="B607" s="54"/>
      <c r="C607" s="54"/>
      <c r="D607" s="487"/>
      <c r="E607" s="481"/>
      <c r="F607" s="481"/>
      <c r="G607" s="54"/>
      <c r="H607" s="54"/>
    </row>
    <row r="608" spans="1:8">
      <c r="A608" s="219" t="s">
        <v>262</v>
      </c>
      <c r="B608" s="54" t="s">
        <v>293</v>
      </c>
      <c r="C608" s="54"/>
      <c r="D608" s="487"/>
      <c r="E608" s="481"/>
      <c r="F608" s="481"/>
      <c r="G608" s="54"/>
      <c r="H608" s="54"/>
    </row>
    <row r="609" spans="1:8" ht="15">
      <c r="A609" s="54"/>
      <c r="B609" s="488" t="s">
        <v>80</v>
      </c>
      <c r="C609" s="34" t="s">
        <v>63</v>
      </c>
      <c r="D609" s="410">
        <f>3*1</f>
        <v>3</v>
      </c>
      <c r="E609" s="486"/>
      <c r="F609" s="486"/>
      <c r="G609" s="200"/>
      <c r="H609" s="39">
        <f>D609</f>
        <v>3</v>
      </c>
    </row>
    <row r="610" spans="1:8">
      <c r="A610" s="54"/>
      <c r="B610" s="54"/>
      <c r="C610" s="54"/>
      <c r="D610" s="489"/>
      <c r="E610" s="54"/>
      <c r="F610" s="54"/>
      <c r="G610" s="54"/>
      <c r="H610" s="54"/>
    </row>
    <row r="611" spans="1:8">
      <c r="A611" s="218" t="s">
        <v>32</v>
      </c>
      <c r="B611" s="480" t="s">
        <v>81</v>
      </c>
      <c r="C611" s="54"/>
      <c r="D611" s="489"/>
      <c r="E611" s="54"/>
      <c r="F611" s="54"/>
      <c r="G611" s="54"/>
      <c r="H611" s="54"/>
    </row>
    <row r="612" spans="1:8" ht="15">
      <c r="A612" s="34" t="s">
        <v>50</v>
      </c>
      <c r="B612" s="54" t="s">
        <v>287</v>
      </c>
      <c r="C612" s="219" t="s">
        <v>27</v>
      </c>
      <c r="D612" s="410">
        <f>8*1</f>
        <v>8</v>
      </c>
      <c r="E612" s="487">
        <v>2.5</v>
      </c>
      <c r="F612" s="54"/>
      <c r="G612" s="54"/>
      <c r="H612" s="39">
        <f>ROUND(D612*E612,0)</f>
        <v>20</v>
      </c>
    </row>
    <row r="613" spans="1:8">
      <c r="A613" s="54"/>
      <c r="B613" s="54"/>
      <c r="C613" s="54"/>
      <c r="D613" s="487"/>
      <c r="E613" s="487"/>
      <c r="F613" s="54"/>
      <c r="G613" s="54"/>
      <c r="H613" s="54"/>
    </row>
    <row r="614" spans="1:8" ht="15">
      <c r="A614" s="34" t="s">
        <v>254</v>
      </c>
      <c r="B614" s="54" t="s">
        <v>288</v>
      </c>
      <c r="C614" s="219" t="s">
        <v>27</v>
      </c>
      <c r="D614" s="410">
        <f>1*1</f>
        <v>1</v>
      </c>
      <c r="E614" s="487">
        <v>30</v>
      </c>
      <c r="F614" s="54"/>
      <c r="G614" s="54"/>
      <c r="H614" s="39">
        <f>ROUND(D614*E614,0)</f>
        <v>30</v>
      </c>
    </row>
    <row r="615" spans="1:8">
      <c r="A615" s="54"/>
      <c r="B615" s="54"/>
      <c r="C615" s="54"/>
      <c r="D615" s="487"/>
      <c r="E615" s="487"/>
      <c r="F615" s="54"/>
      <c r="G615" s="54"/>
      <c r="H615" s="54"/>
    </row>
    <row r="616" spans="1:8" ht="15">
      <c r="A616" s="34" t="s">
        <v>256</v>
      </c>
      <c r="B616" s="54" t="s">
        <v>289</v>
      </c>
      <c r="C616" s="219" t="s">
        <v>27</v>
      </c>
      <c r="D616" s="410">
        <f>1*1</f>
        <v>1</v>
      </c>
      <c r="E616" s="487">
        <v>10</v>
      </c>
      <c r="F616" s="54"/>
      <c r="G616" s="54"/>
      <c r="H616" s="39">
        <f>ROUND(D616*E616,0)</f>
        <v>10</v>
      </c>
    </row>
    <row r="617" spans="1:8">
      <c r="A617" s="54"/>
      <c r="B617" s="54"/>
      <c r="C617" s="54"/>
      <c r="D617" s="487"/>
      <c r="E617" s="487"/>
      <c r="F617" s="54"/>
      <c r="G617" s="54"/>
      <c r="H617" s="54"/>
    </row>
    <row r="618" spans="1:8" ht="15">
      <c r="A618" s="34" t="s">
        <v>256</v>
      </c>
      <c r="B618" s="54" t="s">
        <v>290</v>
      </c>
      <c r="C618" s="219" t="s">
        <v>27</v>
      </c>
      <c r="D618" s="410">
        <f>1*2</f>
        <v>2</v>
      </c>
      <c r="E618" s="487">
        <f>5.6*2</f>
        <v>11.2</v>
      </c>
      <c r="F618" s="54"/>
      <c r="G618" s="54"/>
      <c r="H618" s="39">
        <f>ROUND(D618*E618,0)</f>
        <v>22</v>
      </c>
    </row>
    <row r="619" spans="1:8">
      <c r="A619" s="54"/>
      <c r="B619" s="54"/>
      <c r="C619" s="54"/>
      <c r="D619" s="487"/>
      <c r="E619" s="487"/>
      <c r="F619" s="54"/>
      <c r="G619" s="54"/>
      <c r="H619" s="54"/>
    </row>
    <row r="620" spans="1:8" ht="15">
      <c r="A620" s="34" t="s">
        <v>258</v>
      </c>
      <c r="B620" s="54" t="s">
        <v>291</v>
      </c>
      <c r="C620" s="219" t="s">
        <v>27</v>
      </c>
      <c r="D620" s="410">
        <f>1*2</f>
        <v>2</v>
      </c>
      <c r="E620" s="487">
        <v>25</v>
      </c>
      <c r="F620" s="54"/>
      <c r="G620" s="54"/>
      <c r="H620" s="39">
        <f>ROUND(D620*E620,0)</f>
        <v>50</v>
      </c>
    </row>
    <row r="621" spans="1:8">
      <c r="A621" s="54"/>
      <c r="B621" s="54"/>
      <c r="C621" s="54"/>
      <c r="D621" s="490"/>
      <c r="E621" s="481"/>
      <c r="F621" s="54"/>
      <c r="G621" s="54"/>
      <c r="H621" s="54"/>
    </row>
    <row r="622" spans="1:8">
      <c r="A622" s="34" t="s">
        <v>260</v>
      </c>
      <c r="B622" s="54" t="s">
        <v>292</v>
      </c>
      <c r="C622" s="54"/>
      <c r="D622" s="490"/>
      <c r="E622" s="481"/>
      <c r="F622" s="54"/>
      <c r="G622" s="54"/>
      <c r="H622" s="54"/>
    </row>
    <row r="623" spans="1:8" ht="15">
      <c r="A623" s="54"/>
      <c r="B623" s="488" t="s">
        <v>79</v>
      </c>
      <c r="C623" s="34" t="s">
        <v>63</v>
      </c>
      <c r="D623" s="410">
        <f>6*1</f>
        <v>6</v>
      </c>
      <c r="E623" s="486"/>
      <c r="F623" s="200"/>
      <c r="G623" s="200"/>
      <c r="H623" s="39">
        <f>D623</f>
        <v>6</v>
      </c>
    </row>
    <row r="624" spans="1:8" ht="15">
      <c r="A624" s="54"/>
      <c r="B624" s="488" t="s">
        <v>80</v>
      </c>
      <c r="C624" s="34" t="s">
        <v>63</v>
      </c>
      <c r="D624" s="410">
        <f>6*1</f>
        <v>6</v>
      </c>
      <c r="E624" s="486"/>
      <c r="F624" s="200"/>
      <c r="G624" s="200"/>
      <c r="H624" s="39">
        <f>D624</f>
        <v>6</v>
      </c>
    </row>
    <row r="625" spans="1:8">
      <c r="A625" s="54"/>
      <c r="B625" s="54"/>
      <c r="C625" s="54"/>
      <c r="D625" s="487"/>
      <c r="E625" s="481"/>
      <c r="F625" s="54"/>
      <c r="G625" s="54"/>
      <c r="H625" s="54"/>
    </row>
    <row r="626" spans="1:8">
      <c r="A626" s="219" t="s">
        <v>262</v>
      </c>
      <c r="B626" s="54" t="s">
        <v>293</v>
      </c>
      <c r="C626" s="54"/>
      <c r="D626" s="487"/>
      <c r="E626" s="481"/>
      <c r="F626" s="54"/>
      <c r="G626" s="54"/>
      <c r="H626" s="54"/>
    </row>
    <row r="627" spans="1:8" ht="15">
      <c r="A627" s="54"/>
      <c r="B627" s="488" t="s">
        <v>80</v>
      </c>
      <c r="C627" s="34" t="s">
        <v>63</v>
      </c>
      <c r="D627" s="410">
        <f>5*1</f>
        <v>5</v>
      </c>
      <c r="E627" s="486"/>
      <c r="F627" s="200"/>
      <c r="G627" s="200"/>
      <c r="H627" s="39">
        <f>D627</f>
        <v>5</v>
      </c>
    </row>
    <row r="628" spans="1:8">
      <c r="A628" s="54"/>
      <c r="B628" s="54"/>
      <c r="C628" s="54"/>
      <c r="D628" s="489"/>
      <c r="E628" s="54"/>
      <c r="F628" s="54"/>
      <c r="G628" s="54"/>
      <c r="H628" s="54"/>
    </row>
    <row r="629" spans="1:8">
      <c r="A629" s="218">
        <v>30</v>
      </c>
      <c r="B629" s="480" t="s">
        <v>83</v>
      </c>
      <c r="C629" s="54"/>
      <c r="D629" s="489"/>
      <c r="E629" s="54"/>
      <c r="F629" s="54"/>
      <c r="G629" s="54"/>
      <c r="H629" s="54"/>
    </row>
    <row r="630" spans="1:8">
      <c r="A630" s="54"/>
      <c r="B630" s="54"/>
      <c r="C630" s="54"/>
      <c r="D630" s="489"/>
      <c r="E630" s="54"/>
      <c r="F630" s="54"/>
      <c r="G630" s="54"/>
      <c r="H630" s="54"/>
    </row>
    <row r="631" spans="1:8" ht="15">
      <c r="A631" s="34" t="s">
        <v>50</v>
      </c>
      <c r="B631" s="54" t="s">
        <v>294</v>
      </c>
      <c r="C631" s="21" t="s">
        <v>30</v>
      </c>
      <c r="D631" s="405">
        <v>0</v>
      </c>
      <c r="E631" s="54"/>
      <c r="F631" s="54"/>
      <c r="G631" s="54"/>
      <c r="H631" s="39">
        <f>D631</f>
        <v>0</v>
      </c>
    </row>
    <row r="632" spans="1:8">
      <c r="A632" s="54"/>
      <c r="B632" s="54"/>
      <c r="C632" s="54"/>
      <c r="D632" s="474"/>
      <c r="E632" s="54"/>
      <c r="F632" s="54"/>
      <c r="G632" s="54"/>
      <c r="H632" s="54"/>
    </row>
    <row r="633" spans="1:8" ht="15">
      <c r="A633" s="34" t="s">
        <v>254</v>
      </c>
      <c r="B633" s="54" t="s">
        <v>295</v>
      </c>
      <c r="C633" s="21" t="s">
        <v>30</v>
      </c>
      <c r="D633" s="405">
        <v>0</v>
      </c>
      <c r="E633" s="54"/>
      <c r="F633" s="54"/>
      <c r="G633" s="54"/>
      <c r="H633" s="39">
        <f>D633</f>
        <v>0</v>
      </c>
    </row>
    <row r="634" spans="1:8">
      <c r="A634" s="54"/>
      <c r="B634" s="54"/>
      <c r="C634" s="54"/>
      <c r="D634" s="474"/>
      <c r="E634" s="54"/>
      <c r="F634" s="54"/>
      <c r="G634" s="54"/>
      <c r="H634" s="54"/>
    </row>
    <row r="635" spans="1:8">
      <c r="A635" s="34" t="s">
        <v>256</v>
      </c>
      <c r="B635" s="480" t="s">
        <v>296</v>
      </c>
      <c r="C635" s="200"/>
      <c r="D635" s="474"/>
      <c r="E635" s="200"/>
      <c r="F635" s="200"/>
      <c r="G635" s="200"/>
      <c r="H635" s="200"/>
    </row>
    <row r="636" spans="1:8" ht="15">
      <c r="A636" s="34" t="s">
        <v>10</v>
      </c>
      <c r="B636" s="491" t="s">
        <v>84</v>
      </c>
      <c r="C636" s="21" t="s">
        <v>30</v>
      </c>
      <c r="D636" s="405">
        <v>0</v>
      </c>
      <c r="E636" s="200"/>
      <c r="F636" s="200"/>
      <c r="G636" s="200"/>
      <c r="H636" s="39">
        <v>20</v>
      </c>
    </row>
    <row r="637" spans="1:8">
      <c r="A637" s="34"/>
      <c r="B637" s="200"/>
      <c r="C637" s="200"/>
      <c r="D637" s="474"/>
      <c r="E637" s="200"/>
      <c r="F637" s="200"/>
      <c r="G637" s="200"/>
      <c r="H637" s="200"/>
    </row>
    <row r="638" spans="1:8" ht="15">
      <c r="A638" s="34" t="s">
        <v>12</v>
      </c>
      <c r="B638" s="491" t="s">
        <v>297</v>
      </c>
      <c r="C638" s="21" t="s">
        <v>30</v>
      </c>
      <c r="D638" s="36"/>
      <c r="E638" s="200"/>
      <c r="F638" s="200"/>
      <c r="G638" s="200"/>
      <c r="H638" s="39"/>
    </row>
    <row r="639" spans="1:8">
      <c r="A639" s="200"/>
      <c r="B639" s="200"/>
      <c r="C639" s="200"/>
      <c r="D639" s="200"/>
      <c r="E639" s="200"/>
      <c r="F639" s="200"/>
      <c r="G639" s="200"/>
      <c r="H639" s="200"/>
    </row>
    <row r="640" spans="1:8" ht="15">
      <c r="A640" s="34" t="s">
        <v>258</v>
      </c>
      <c r="B640" s="200" t="s">
        <v>298</v>
      </c>
      <c r="C640" s="21" t="s">
        <v>30</v>
      </c>
      <c r="D640" s="405">
        <v>5</v>
      </c>
      <c r="E640" s="200"/>
      <c r="F640" s="200"/>
      <c r="G640" s="200"/>
      <c r="H640" s="39">
        <f>D640</f>
        <v>5</v>
      </c>
    </row>
    <row r="641" spans="1:8">
      <c r="A641" s="200"/>
      <c r="B641" s="200"/>
      <c r="C641" s="200"/>
      <c r="D641" s="200"/>
      <c r="E641" s="200"/>
      <c r="F641" s="200"/>
      <c r="G641" s="200"/>
      <c r="H641" s="200"/>
    </row>
    <row r="642" spans="1:8">
      <c r="A642" s="159" t="s">
        <v>71</v>
      </c>
      <c r="B642" s="181" t="s">
        <v>301</v>
      </c>
      <c r="C642" s="182"/>
      <c r="D642" s="182"/>
      <c r="E642" s="182"/>
      <c r="F642" s="182"/>
      <c r="G642" s="182"/>
      <c r="H642" s="182"/>
    </row>
    <row r="643" spans="1:8">
      <c r="A643" s="218">
        <v>1</v>
      </c>
      <c r="B643" s="54" t="s">
        <v>302</v>
      </c>
      <c r="C643" s="54"/>
      <c r="D643" s="54"/>
      <c r="E643" s="54"/>
      <c r="F643" s="54"/>
      <c r="G643" s="54"/>
      <c r="H643" s="54"/>
    </row>
    <row r="644" spans="1:8" ht="15">
      <c r="A644" s="218"/>
      <c r="B644" s="183" t="s">
        <v>304</v>
      </c>
      <c r="C644" s="184" t="s">
        <v>11</v>
      </c>
      <c r="D644" s="184">
        <v>1</v>
      </c>
      <c r="E644" s="670">
        <f>35*16.5</f>
        <v>577.5</v>
      </c>
      <c r="F644" s="670"/>
      <c r="G644" s="185">
        <v>1</v>
      </c>
      <c r="H644" s="186">
        <f>ROUND(D644*E644*G644,0)</f>
        <v>578</v>
      </c>
    </row>
    <row r="645" spans="1:8">
      <c r="A645" s="54"/>
      <c r="B645" s="54"/>
      <c r="C645" s="54"/>
      <c r="D645" s="54"/>
      <c r="E645" s="54"/>
      <c r="F645" s="54"/>
      <c r="G645" s="54"/>
      <c r="H645" s="54"/>
    </row>
    <row r="646" spans="1:8">
      <c r="A646" s="218">
        <v>2</v>
      </c>
      <c r="B646" s="54" t="s">
        <v>305</v>
      </c>
      <c r="C646" s="54"/>
      <c r="D646" s="54"/>
      <c r="E646" s="54"/>
      <c r="F646" s="54"/>
      <c r="G646" s="54"/>
      <c r="H646" s="187">
        <f>H649</f>
        <v>289</v>
      </c>
    </row>
    <row r="647" spans="1:8">
      <c r="A647" s="54"/>
      <c r="B647" s="54"/>
      <c r="C647" s="54"/>
      <c r="D647" s="54"/>
      <c r="E647" s="54"/>
      <c r="F647" s="54"/>
      <c r="G647" s="54"/>
      <c r="H647" s="54"/>
    </row>
    <row r="648" spans="1:8">
      <c r="A648" s="218">
        <v>3</v>
      </c>
      <c r="B648" s="54" t="s">
        <v>306</v>
      </c>
      <c r="C648" s="54"/>
      <c r="D648" s="54"/>
      <c r="E648" s="54"/>
      <c r="F648" s="54"/>
      <c r="G648" s="54"/>
      <c r="H648" s="54"/>
    </row>
    <row r="649" spans="1:8" ht="15">
      <c r="A649" s="54"/>
      <c r="B649" s="183" t="s">
        <v>303</v>
      </c>
      <c r="C649" s="184" t="s">
        <v>11</v>
      </c>
      <c r="D649" s="184">
        <v>1</v>
      </c>
      <c r="E649" s="670">
        <f>E644</f>
        <v>577.5</v>
      </c>
      <c r="F649" s="670"/>
      <c r="G649" s="185">
        <v>0.5</v>
      </c>
      <c r="H649" s="186">
        <f>ROUND(D649*E649*G649,0)</f>
        <v>289</v>
      </c>
    </row>
    <row r="650" spans="1:8">
      <c r="A650" s="54"/>
      <c r="B650" s="54"/>
      <c r="C650" s="54"/>
      <c r="D650" s="54"/>
      <c r="E650" s="54"/>
      <c r="F650" s="54"/>
      <c r="G650" s="54"/>
      <c r="H650" s="54"/>
    </row>
    <row r="651" spans="1:8">
      <c r="A651" s="218">
        <v>4</v>
      </c>
      <c r="B651" s="188" t="s">
        <v>307</v>
      </c>
      <c r="C651" s="54"/>
      <c r="D651" s="54"/>
      <c r="E651" s="54"/>
      <c r="F651" s="54"/>
      <c r="G651" s="54"/>
      <c r="H651" s="54"/>
    </row>
    <row r="652" spans="1:8" ht="15">
      <c r="A652" s="54"/>
      <c r="B652" s="183" t="s">
        <v>303</v>
      </c>
      <c r="C652" s="184" t="s">
        <v>11</v>
      </c>
      <c r="D652" s="184">
        <v>1</v>
      </c>
      <c r="E652" s="670">
        <f>E644</f>
        <v>577.5</v>
      </c>
      <c r="F652" s="670"/>
      <c r="G652" s="185">
        <v>0.15</v>
      </c>
      <c r="H652" s="186">
        <f>ROUND(D652*E652*G652,0)</f>
        <v>87</v>
      </c>
    </row>
    <row r="653" spans="1:8">
      <c r="A653" s="54"/>
      <c r="B653" s="54"/>
      <c r="C653" s="54"/>
      <c r="D653" s="54"/>
      <c r="E653" s="54"/>
      <c r="F653" s="54"/>
      <c r="G653" s="54"/>
      <c r="H653" s="54"/>
    </row>
    <row r="654" spans="1:8">
      <c r="A654" s="218">
        <v>5</v>
      </c>
      <c r="B654" s="188" t="s">
        <v>308</v>
      </c>
      <c r="C654" s="54"/>
      <c r="D654" s="54"/>
      <c r="E654" s="54"/>
      <c r="F654" s="54"/>
      <c r="G654" s="54"/>
      <c r="H654" s="54"/>
    </row>
    <row r="655" spans="1:8" ht="15">
      <c r="A655" s="54"/>
      <c r="B655" s="183" t="s">
        <v>303</v>
      </c>
      <c r="C655" s="184" t="s">
        <v>11</v>
      </c>
      <c r="D655" s="184">
        <v>1</v>
      </c>
      <c r="E655" s="670">
        <f>E644</f>
        <v>577.5</v>
      </c>
      <c r="F655" s="670"/>
      <c r="G655" s="185">
        <v>0.1</v>
      </c>
      <c r="H655" s="186">
        <f>ROUND(D655*E655*G655,0)</f>
        <v>58</v>
      </c>
    </row>
    <row r="656" spans="1:8">
      <c r="A656" s="54"/>
      <c r="B656" s="54"/>
      <c r="C656" s="54"/>
      <c r="D656" s="54"/>
      <c r="E656" s="54"/>
      <c r="F656" s="54"/>
      <c r="G656" s="54"/>
      <c r="H656" s="54"/>
    </row>
    <row r="657" spans="1:8">
      <c r="A657" s="218">
        <v>6</v>
      </c>
      <c r="B657" s="188" t="s">
        <v>309</v>
      </c>
      <c r="C657" s="54"/>
      <c r="D657" s="54"/>
      <c r="E657" s="54"/>
      <c r="F657" s="54"/>
      <c r="G657" s="54"/>
      <c r="H657" s="54"/>
    </row>
    <row r="658" spans="1:8" ht="15">
      <c r="A658" s="54"/>
      <c r="B658" s="183" t="s">
        <v>303</v>
      </c>
      <c r="C658" s="184" t="s">
        <v>11</v>
      </c>
      <c r="D658" s="184">
        <v>1</v>
      </c>
      <c r="E658" s="670">
        <f>E644</f>
        <v>577.5</v>
      </c>
      <c r="F658" s="670"/>
      <c r="G658" s="185">
        <v>0.25</v>
      </c>
      <c r="H658" s="186">
        <f>ROUND(D658*E658*G658,0)</f>
        <v>144</v>
      </c>
    </row>
  </sheetData>
  <mergeCells count="82">
    <mergeCell ref="B13:H13"/>
    <mergeCell ref="A2:A4"/>
    <mergeCell ref="B2:E4"/>
    <mergeCell ref="F2:H5"/>
    <mergeCell ref="A5:E5"/>
    <mergeCell ref="A6:B6"/>
    <mergeCell ref="G6:H6"/>
    <mergeCell ref="A7:E8"/>
    <mergeCell ref="A9:B9"/>
    <mergeCell ref="B10:H10"/>
    <mergeCell ref="B11:H11"/>
    <mergeCell ref="B12:H12"/>
    <mergeCell ref="F82:G82"/>
    <mergeCell ref="A14:H14"/>
    <mergeCell ref="A15:A16"/>
    <mergeCell ref="B15:B16"/>
    <mergeCell ref="C15:C16"/>
    <mergeCell ref="D15:D16"/>
    <mergeCell ref="E15:E16"/>
    <mergeCell ref="F15:F16"/>
    <mergeCell ref="G15:G16"/>
    <mergeCell ref="H15:H16"/>
    <mergeCell ref="F25:G25"/>
    <mergeCell ref="F33:G33"/>
    <mergeCell ref="F53:G53"/>
    <mergeCell ref="F56:G56"/>
    <mergeCell ref="F69:G69"/>
    <mergeCell ref="F153:G153"/>
    <mergeCell ref="F92:G92"/>
    <mergeCell ref="F101:G101"/>
    <mergeCell ref="F103:G103"/>
    <mergeCell ref="F109:G109"/>
    <mergeCell ref="F113:G113"/>
    <mergeCell ref="F117:G117"/>
    <mergeCell ref="F125:G125"/>
    <mergeCell ref="F131:G131"/>
    <mergeCell ref="F140:G140"/>
    <mergeCell ref="F148:G148"/>
    <mergeCell ref="F152:G152"/>
    <mergeCell ref="E257:F257"/>
    <mergeCell ref="F156:G156"/>
    <mergeCell ref="F164:G164"/>
    <mergeCell ref="F170:G170"/>
    <mergeCell ref="F180:G180"/>
    <mergeCell ref="F194:G194"/>
    <mergeCell ref="F203:G203"/>
    <mergeCell ref="F211:G211"/>
    <mergeCell ref="F219:G219"/>
    <mergeCell ref="F235:G235"/>
    <mergeCell ref="F255:G255"/>
    <mergeCell ref="F256:G256"/>
    <mergeCell ref="F378:G378"/>
    <mergeCell ref="F265:G265"/>
    <mergeCell ref="F293:G293"/>
    <mergeCell ref="F307:G307"/>
    <mergeCell ref="F315:G315"/>
    <mergeCell ref="F340:G340"/>
    <mergeCell ref="F356:G356"/>
    <mergeCell ref="F361:G361"/>
    <mergeCell ref="F366:G366"/>
    <mergeCell ref="E370:F370"/>
    <mergeCell ref="F372:G372"/>
    <mergeCell ref="E376:F376"/>
    <mergeCell ref="F508:G508"/>
    <mergeCell ref="F397:G397"/>
    <mergeCell ref="F419:G419"/>
    <mergeCell ref="F429:G429"/>
    <mergeCell ref="F447:G447"/>
    <mergeCell ref="F453:G453"/>
    <mergeCell ref="F473:G473"/>
    <mergeCell ref="F477:G477"/>
    <mergeCell ref="F481:G481"/>
    <mergeCell ref="F488:G488"/>
    <mergeCell ref="F500:G500"/>
    <mergeCell ref="F504:G504"/>
    <mergeCell ref="E658:F658"/>
    <mergeCell ref="F513:G513"/>
    <mergeCell ref="F534:G534"/>
    <mergeCell ref="E644:F644"/>
    <mergeCell ref="E649:F649"/>
    <mergeCell ref="E652:F652"/>
    <mergeCell ref="E655:F655"/>
  </mergeCells>
  <pageMargins left="0.74803149606299213" right="0.74803149606299213" top="0.98425196850393704" bottom="0.98425196850393704" header="0.51181102362204722" footer="0.51181102362204722"/>
  <pageSetup paperSize="9" scale="88" orientation="portrait" r:id="rId1"/>
  <headerFooter alignWithMargins="0"/>
  <rowBreaks count="6" manualBreakCount="6">
    <brk id="102" max="7" man="1"/>
    <brk id="204" max="7" man="1"/>
    <brk id="266" max="7" man="1"/>
    <brk id="333" max="7" man="1"/>
    <brk id="379" max="7" man="1"/>
    <brk id="430" max="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O590"/>
  <sheetViews>
    <sheetView view="pageBreakPreview" topLeftCell="A331" zoomScaleNormal="100" zoomScaleSheetLayoutView="100" workbookViewId="0">
      <selection activeCell="E352" sqref="E352"/>
    </sheetView>
  </sheetViews>
  <sheetFormatPr defaultRowHeight="12.75"/>
  <cols>
    <col min="1" max="1" width="8.85546875" style="57" customWidth="1"/>
    <col min="2" max="2" width="30.42578125" style="57" customWidth="1"/>
    <col min="3" max="4" width="7.5703125" style="57" customWidth="1"/>
    <col min="5" max="5" width="9.140625" style="57"/>
    <col min="6" max="6" width="10.28515625" style="57" customWidth="1"/>
    <col min="7" max="7" width="11.140625" style="57" customWidth="1"/>
    <col min="8" max="8" width="11.5703125" style="57" customWidth="1"/>
    <col min="9" max="11" width="9.140625" style="57"/>
    <col min="12" max="12" width="7" style="57" bestFit="1" customWidth="1"/>
    <col min="13" max="256" width="9.140625" style="57"/>
    <col min="257" max="257" width="8.85546875" style="57" customWidth="1"/>
    <col min="258" max="258" width="30.42578125" style="57" customWidth="1"/>
    <col min="259" max="260" width="7.5703125" style="57" customWidth="1"/>
    <col min="261" max="261" width="9.140625" style="57"/>
    <col min="262" max="262" width="10.28515625" style="57" customWidth="1"/>
    <col min="263" max="263" width="11.140625" style="57" customWidth="1"/>
    <col min="264" max="264" width="11.5703125" style="57" customWidth="1"/>
    <col min="265" max="267" width="9.140625" style="57"/>
    <col min="268" max="268" width="7" style="57" bestFit="1" customWidth="1"/>
    <col min="269" max="512" width="9.140625" style="57"/>
    <col min="513" max="513" width="8.85546875" style="57" customWidth="1"/>
    <col min="514" max="514" width="30.42578125" style="57" customWidth="1"/>
    <col min="515" max="516" width="7.5703125" style="57" customWidth="1"/>
    <col min="517" max="517" width="9.140625" style="57"/>
    <col min="518" max="518" width="10.28515625" style="57" customWidth="1"/>
    <col min="519" max="519" width="11.140625" style="57" customWidth="1"/>
    <col min="520" max="520" width="11.5703125" style="57" customWidth="1"/>
    <col min="521" max="523" width="9.140625" style="57"/>
    <col min="524" max="524" width="7" style="57" bestFit="1" customWidth="1"/>
    <col min="525" max="768" width="9.140625" style="57"/>
    <col min="769" max="769" width="8.85546875" style="57" customWidth="1"/>
    <col min="770" max="770" width="30.42578125" style="57" customWidth="1"/>
    <col min="771" max="772" width="7.5703125" style="57" customWidth="1"/>
    <col min="773" max="773" width="9.140625" style="57"/>
    <col min="774" max="774" width="10.28515625" style="57" customWidth="1"/>
    <col min="775" max="775" width="11.140625" style="57" customWidth="1"/>
    <col min="776" max="776" width="11.5703125" style="57" customWidth="1"/>
    <col min="777" max="779" width="9.140625" style="57"/>
    <col min="780" max="780" width="7" style="57" bestFit="1" customWidth="1"/>
    <col min="781" max="1024" width="9.140625" style="57"/>
    <col min="1025" max="1025" width="8.85546875" style="57" customWidth="1"/>
    <col min="1026" max="1026" width="30.42578125" style="57" customWidth="1"/>
    <col min="1027" max="1028" width="7.5703125" style="57" customWidth="1"/>
    <col min="1029" max="1029" width="9.140625" style="57"/>
    <col min="1030" max="1030" width="10.28515625" style="57" customWidth="1"/>
    <col min="1031" max="1031" width="11.140625" style="57" customWidth="1"/>
    <col min="1032" max="1032" width="11.5703125" style="57" customWidth="1"/>
    <col min="1033" max="1035" width="9.140625" style="57"/>
    <col min="1036" max="1036" width="7" style="57" bestFit="1" customWidth="1"/>
    <col min="1037" max="1280" width="9.140625" style="57"/>
    <col min="1281" max="1281" width="8.85546875" style="57" customWidth="1"/>
    <col min="1282" max="1282" width="30.42578125" style="57" customWidth="1"/>
    <col min="1283" max="1284" width="7.5703125" style="57" customWidth="1"/>
    <col min="1285" max="1285" width="9.140625" style="57"/>
    <col min="1286" max="1286" width="10.28515625" style="57" customWidth="1"/>
    <col min="1287" max="1287" width="11.140625" style="57" customWidth="1"/>
    <col min="1288" max="1288" width="11.5703125" style="57" customWidth="1"/>
    <col min="1289" max="1291" width="9.140625" style="57"/>
    <col min="1292" max="1292" width="7" style="57" bestFit="1" customWidth="1"/>
    <col min="1293" max="1536" width="9.140625" style="57"/>
    <col min="1537" max="1537" width="8.85546875" style="57" customWidth="1"/>
    <col min="1538" max="1538" width="30.42578125" style="57" customWidth="1"/>
    <col min="1539" max="1540" width="7.5703125" style="57" customWidth="1"/>
    <col min="1541" max="1541" width="9.140625" style="57"/>
    <col min="1542" max="1542" width="10.28515625" style="57" customWidth="1"/>
    <col min="1543" max="1543" width="11.140625" style="57" customWidth="1"/>
    <col min="1544" max="1544" width="11.5703125" style="57" customWidth="1"/>
    <col min="1545" max="1547" width="9.140625" style="57"/>
    <col min="1548" max="1548" width="7" style="57" bestFit="1" customWidth="1"/>
    <col min="1549" max="1792" width="9.140625" style="57"/>
    <col min="1793" max="1793" width="8.85546875" style="57" customWidth="1"/>
    <col min="1794" max="1794" width="30.42578125" style="57" customWidth="1"/>
    <col min="1795" max="1796" width="7.5703125" style="57" customWidth="1"/>
    <col min="1797" max="1797" width="9.140625" style="57"/>
    <col min="1798" max="1798" width="10.28515625" style="57" customWidth="1"/>
    <col min="1799" max="1799" width="11.140625" style="57" customWidth="1"/>
    <col min="1800" max="1800" width="11.5703125" style="57" customWidth="1"/>
    <col min="1801" max="1803" width="9.140625" style="57"/>
    <col min="1804" max="1804" width="7" style="57" bestFit="1" customWidth="1"/>
    <col min="1805" max="2048" width="9.140625" style="57"/>
    <col min="2049" max="2049" width="8.85546875" style="57" customWidth="1"/>
    <col min="2050" max="2050" width="30.42578125" style="57" customWidth="1"/>
    <col min="2051" max="2052" width="7.5703125" style="57" customWidth="1"/>
    <col min="2053" max="2053" width="9.140625" style="57"/>
    <col min="2054" max="2054" width="10.28515625" style="57" customWidth="1"/>
    <col min="2055" max="2055" width="11.140625" style="57" customWidth="1"/>
    <col min="2056" max="2056" width="11.5703125" style="57" customWidth="1"/>
    <col min="2057" max="2059" width="9.140625" style="57"/>
    <col min="2060" max="2060" width="7" style="57" bestFit="1" customWidth="1"/>
    <col min="2061" max="2304" width="9.140625" style="57"/>
    <col min="2305" max="2305" width="8.85546875" style="57" customWidth="1"/>
    <col min="2306" max="2306" width="30.42578125" style="57" customWidth="1"/>
    <col min="2307" max="2308" width="7.5703125" style="57" customWidth="1"/>
    <col min="2309" max="2309" width="9.140625" style="57"/>
    <col min="2310" max="2310" width="10.28515625" style="57" customWidth="1"/>
    <col min="2311" max="2311" width="11.140625" style="57" customWidth="1"/>
    <col min="2312" max="2312" width="11.5703125" style="57" customWidth="1"/>
    <col min="2313" max="2315" width="9.140625" style="57"/>
    <col min="2316" max="2316" width="7" style="57" bestFit="1" customWidth="1"/>
    <col min="2317" max="2560" width="9.140625" style="57"/>
    <col min="2561" max="2561" width="8.85546875" style="57" customWidth="1"/>
    <col min="2562" max="2562" width="30.42578125" style="57" customWidth="1"/>
    <col min="2563" max="2564" width="7.5703125" style="57" customWidth="1"/>
    <col min="2565" max="2565" width="9.140625" style="57"/>
    <col min="2566" max="2566" width="10.28515625" style="57" customWidth="1"/>
    <col min="2567" max="2567" width="11.140625" style="57" customWidth="1"/>
    <col min="2568" max="2568" width="11.5703125" style="57" customWidth="1"/>
    <col min="2569" max="2571" width="9.140625" style="57"/>
    <col min="2572" max="2572" width="7" style="57" bestFit="1" customWidth="1"/>
    <col min="2573" max="2816" width="9.140625" style="57"/>
    <col min="2817" max="2817" width="8.85546875" style="57" customWidth="1"/>
    <col min="2818" max="2818" width="30.42578125" style="57" customWidth="1"/>
    <col min="2819" max="2820" width="7.5703125" style="57" customWidth="1"/>
    <col min="2821" max="2821" width="9.140625" style="57"/>
    <col min="2822" max="2822" width="10.28515625" style="57" customWidth="1"/>
    <col min="2823" max="2823" width="11.140625" style="57" customWidth="1"/>
    <col min="2824" max="2824" width="11.5703125" style="57" customWidth="1"/>
    <col min="2825" max="2827" width="9.140625" style="57"/>
    <col min="2828" max="2828" width="7" style="57" bestFit="1" customWidth="1"/>
    <col min="2829" max="3072" width="9.140625" style="57"/>
    <col min="3073" max="3073" width="8.85546875" style="57" customWidth="1"/>
    <col min="3074" max="3074" width="30.42578125" style="57" customWidth="1"/>
    <col min="3075" max="3076" width="7.5703125" style="57" customWidth="1"/>
    <col min="3077" max="3077" width="9.140625" style="57"/>
    <col min="3078" max="3078" width="10.28515625" style="57" customWidth="1"/>
    <col min="3079" max="3079" width="11.140625" style="57" customWidth="1"/>
    <col min="3080" max="3080" width="11.5703125" style="57" customWidth="1"/>
    <col min="3081" max="3083" width="9.140625" style="57"/>
    <col min="3084" max="3084" width="7" style="57" bestFit="1" customWidth="1"/>
    <col min="3085" max="3328" width="9.140625" style="57"/>
    <col min="3329" max="3329" width="8.85546875" style="57" customWidth="1"/>
    <col min="3330" max="3330" width="30.42578125" style="57" customWidth="1"/>
    <col min="3331" max="3332" width="7.5703125" style="57" customWidth="1"/>
    <col min="3333" max="3333" width="9.140625" style="57"/>
    <col min="3334" max="3334" width="10.28515625" style="57" customWidth="1"/>
    <col min="3335" max="3335" width="11.140625" style="57" customWidth="1"/>
    <col min="3336" max="3336" width="11.5703125" style="57" customWidth="1"/>
    <col min="3337" max="3339" width="9.140625" style="57"/>
    <col min="3340" max="3340" width="7" style="57" bestFit="1" customWidth="1"/>
    <col min="3341" max="3584" width="9.140625" style="57"/>
    <col min="3585" max="3585" width="8.85546875" style="57" customWidth="1"/>
    <col min="3586" max="3586" width="30.42578125" style="57" customWidth="1"/>
    <col min="3587" max="3588" width="7.5703125" style="57" customWidth="1"/>
    <col min="3589" max="3589" width="9.140625" style="57"/>
    <col min="3590" max="3590" width="10.28515625" style="57" customWidth="1"/>
    <col min="3591" max="3591" width="11.140625" style="57" customWidth="1"/>
    <col min="3592" max="3592" width="11.5703125" style="57" customWidth="1"/>
    <col min="3593" max="3595" width="9.140625" style="57"/>
    <col min="3596" max="3596" width="7" style="57" bestFit="1" customWidth="1"/>
    <col min="3597" max="3840" width="9.140625" style="57"/>
    <col min="3841" max="3841" width="8.85546875" style="57" customWidth="1"/>
    <col min="3842" max="3842" width="30.42578125" style="57" customWidth="1"/>
    <col min="3843" max="3844" width="7.5703125" style="57" customWidth="1"/>
    <col min="3845" max="3845" width="9.140625" style="57"/>
    <col min="3846" max="3846" width="10.28515625" style="57" customWidth="1"/>
    <col min="3847" max="3847" width="11.140625" style="57" customWidth="1"/>
    <col min="3848" max="3848" width="11.5703125" style="57" customWidth="1"/>
    <col min="3849" max="3851" width="9.140625" style="57"/>
    <col min="3852" max="3852" width="7" style="57" bestFit="1" customWidth="1"/>
    <col min="3853" max="4096" width="9.140625" style="57"/>
    <col min="4097" max="4097" width="8.85546875" style="57" customWidth="1"/>
    <col min="4098" max="4098" width="30.42578125" style="57" customWidth="1"/>
    <col min="4099" max="4100" width="7.5703125" style="57" customWidth="1"/>
    <col min="4101" max="4101" width="9.140625" style="57"/>
    <col min="4102" max="4102" width="10.28515625" style="57" customWidth="1"/>
    <col min="4103" max="4103" width="11.140625" style="57" customWidth="1"/>
    <col min="4104" max="4104" width="11.5703125" style="57" customWidth="1"/>
    <col min="4105" max="4107" width="9.140625" style="57"/>
    <col min="4108" max="4108" width="7" style="57" bestFit="1" customWidth="1"/>
    <col min="4109" max="4352" width="9.140625" style="57"/>
    <col min="4353" max="4353" width="8.85546875" style="57" customWidth="1"/>
    <col min="4354" max="4354" width="30.42578125" style="57" customWidth="1"/>
    <col min="4355" max="4356" width="7.5703125" style="57" customWidth="1"/>
    <col min="4357" max="4357" width="9.140625" style="57"/>
    <col min="4358" max="4358" width="10.28515625" style="57" customWidth="1"/>
    <col min="4359" max="4359" width="11.140625" style="57" customWidth="1"/>
    <col min="4360" max="4360" width="11.5703125" style="57" customWidth="1"/>
    <col min="4361" max="4363" width="9.140625" style="57"/>
    <col min="4364" max="4364" width="7" style="57" bestFit="1" customWidth="1"/>
    <col min="4365" max="4608" width="9.140625" style="57"/>
    <col min="4609" max="4609" width="8.85546875" style="57" customWidth="1"/>
    <col min="4610" max="4610" width="30.42578125" style="57" customWidth="1"/>
    <col min="4611" max="4612" width="7.5703125" style="57" customWidth="1"/>
    <col min="4613" max="4613" width="9.140625" style="57"/>
    <col min="4614" max="4614" width="10.28515625" style="57" customWidth="1"/>
    <col min="4615" max="4615" width="11.140625" style="57" customWidth="1"/>
    <col min="4616" max="4616" width="11.5703125" style="57" customWidth="1"/>
    <col min="4617" max="4619" width="9.140625" style="57"/>
    <col min="4620" max="4620" width="7" style="57" bestFit="1" customWidth="1"/>
    <col min="4621" max="4864" width="9.140625" style="57"/>
    <col min="4865" max="4865" width="8.85546875" style="57" customWidth="1"/>
    <col min="4866" max="4866" width="30.42578125" style="57" customWidth="1"/>
    <col min="4867" max="4868" width="7.5703125" style="57" customWidth="1"/>
    <col min="4869" max="4869" width="9.140625" style="57"/>
    <col min="4870" max="4870" width="10.28515625" style="57" customWidth="1"/>
    <col min="4871" max="4871" width="11.140625" style="57" customWidth="1"/>
    <col min="4872" max="4872" width="11.5703125" style="57" customWidth="1"/>
    <col min="4873" max="4875" width="9.140625" style="57"/>
    <col min="4876" max="4876" width="7" style="57" bestFit="1" customWidth="1"/>
    <col min="4877" max="5120" width="9.140625" style="57"/>
    <col min="5121" max="5121" width="8.85546875" style="57" customWidth="1"/>
    <col min="5122" max="5122" width="30.42578125" style="57" customWidth="1"/>
    <col min="5123" max="5124" width="7.5703125" style="57" customWidth="1"/>
    <col min="5125" max="5125" width="9.140625" style="57"/>
    <col min="5126" max="5126" width="10.28515625" style="57" customWidth="1"/>
    <col min="5127" max="5127" width="11.140625" style="57" customWidth="1"/>
    <col min="5128" max="5128" width="11.5703125" style="57" customWidth="1"/>
    <col min="5129" max="5131" width="9.140625" style="57"/>
    <col min="5132" max="5132" width="7" style="57" bestFit="1" customWidth="1"/>
    <col min="5133" max="5376" width="9.140625" style="57"/>
    <col min="5377" max="5377" width="8.85546875" style="57" customWidth="1"/>
    <col min="5378" max="5378" width="30.42578125" style="57" customWidth="1"/>
    <col min="5379" max="5380" width="7.5703125" style="57" customWidth="1"/>
    <col min="5381" max="5381" width="9.140625" style="57"/>
    <col min="5382" max="5382" width="10.28515625" style="57" customWidth="1"/>
    <col min="5383" max="5383" width="11.140625" style="57" customWidth="1"/>
    <col min="5384" max="5384" width="11.5703125" style="57" customWidth="1"/>
    <col min="5385" max="5387" width="9.140625" style="57"/>
    <col min="5388" max="5388" width="7" style="57" bestFit="1" customWidth="1"/>
    <col min="5389" max="5632" width="9.140625" style="57"/>
    <col min="5633" max="5633" width="8.85546875" style="57" customWidth="1"/>
    <col min="5634" max="5634" width="30.42578125" style="57" customWidth="1"/>
    <col min="5635" max="5636" width="7.5703125" style="57" customWidth="1"/>
    <col min="5637" max="5637" width="9.140625" style="57"/>
    <col min="5638" max="5638" width="10.28515625" style="57" customWidth="1"/>
    <col min="5639" max="5639" width="11.140625" style="57" customWidth="1"/>
    <col min="5640" max="5640" width="11.5703125" style="57" customWidth="1"/>
    <col min="5641" max="5643" width="9.140625" style="57"/>
    <col min="5644" max="5644" width="7" style="57" bestFit="1" customWidth="1"/>
    <col min="5645" max="5888" width="9.140625" style="57"/>
    <col min="5889" max="5889" width="8.85546875" style="57" customWidth="1"/>
    <col min="5890" max="5890" width="30.42578125" style="57" customWidth="1"/>
    <col min="5891" max="5892" width="7.5703125" style="57" customWidth="1"/>
    <col min="5893" max="5893" width="9.140625" style="57"/>
    <col min="5894" max="5894" width="10.28515625" style="57" customWidth="1"/>
    <col min="5895" max="5895" width="11.140625" style="57" customWidth="1"/>
    <col min="5896" max="5896" width="11.5703125" style="57" customWidth="1"/>
    <col min="5897" max="5899" width="9.140625" style="57"/>
    <col min="5900" max="5900" width="7" style="57" bestFit="1" customWidth="1"/>
    <col min="5901" max="6144" width="9.140625" style="57"/>
    <col min="6145" max="6145" width="8.85546875" style="57" customWidth="1"/>
    <col min="6146" max="6146" width="30.42578125" style="57" customWidth="1"/>
    <col min="6147" max="6148" width="7.5703125" style="57" customWidth="1"/>
    <col min="6149" max="6149" width="9.140625" style="57"/>
    <col min="6150" max="6150" width="10.28515625" style="57" customWidth="1"/>
    <col min="6151" max="6151" width="11.140625" style="57" customWidth="1"/>
    <col min="6152" max="6152" width="11.5703125" style="57" customWidth="1"/>
    <col min="6153" max="6155" width="9.140625" style="57"/>
    <col min="6156" max="6156" width="7" style="57" bestFit="1" customWidth="1"/>
    <col min="6157" max="6400" width="9.140625" style="57"/>
    <col min="6401" max="6401" width="8.85546875" style="57" customWidth="1"/>
    <col min="6402" max="6402" width="30.42578125" style="57" customWidth="1"/>
    <col min="6403" max="6404" width="7.5703125" style="57" customWidth="1"/>
    <col min="6405" max="6405" width="9.140625" style="57"/>
    <col min="6406" max="6406" width="10.28515625" style="57" customWidth="1"/>
    <col min="6407" max="6407" width="11.140625" style="57" customWidth="1"/>
    <col min="6408" max="6408" width="11.5703125" style="57" customWidth="1"/>
    <col min="6409" max="6411" width="9.140625" style="57"/>
    <col min="6412" max="6412" width="7" style="57" bestFit="1" customWidth="1"/>
    <col min="6413" max="6656" width="9.140625" style="57"/>
    <col min="6657" max="6657" width="8.85546875" style="57" customWidth="1"/>
    <col min="6658" max="6658" width="30.42578125" style="57" customWidth="1"/>
    <col min="6659" max="6660" width="7.5703125" style="57" customWidth="1"/>
    <col min="6661" max="6661" width="9.140625" style="57"/>
    <col min="6662" max="6662" width="10.28515625" style="57" customWidth="1"/>
    <col min="6663" max="6663" width="11.140625" style="57" customWidth="1"/>
    <col min="6664" max="6664" width="11.5703125" style="57" customWidth="1"/>
    <col min="6665" max="6667" width="9.140625" style="57"/>
    <col min="6668" max="6668" width="7" style="57" bestFit="1" customWidth="1"/>
    <col min="6669" max="6912" width="9.140625" style="57"/>
    <col min="6913" max="6913" width="8.85546875" style="57" customWidth="1"/>
    <col min="6914" max="6914" width="30.42578125" style="57" customWidth="1"/>
    <col min="6915" max="6916" width="7.5703125" style="57" customWidth="1"/>
    <col min="6917" max="6917" width="9.140625" style="57"/>
    <col min="6918" max="6918" width="10.28515625" style="57" customWidth="1"/>
    <col min="6919" max="6919" width="11.140625" style="57" customWidth="1"/>
    <col min="6920" max="6920" width="11.5703125" style="57" customWidth="1"/>
    <col min="6921" max="6923" width="9.140625" style="57"/>
    <col min="6924" max="6924" width="7" style="57" bestFit="1" customWidth="1"/>
    <col min="6925" max="7168" width="9.140625" style="57"/>
    <col min="7169" max="7169" width="8.85546875" style="57" customWidth="1"/>
    <col min="7170" max="7170" width="30.42578125" style="57" customWidth="1"/>
    <col min="7171" max="7172" width="7.5703125" style="57" customWidth="1"/>
    <col min="7173" max="7173" width="9.140625" style="57"/>
    <col min="7174" max="7174" width="10.28515625" style="57" customWidth="1"/>
    <col min="7175" max="7175" width="11.140625" style="57" customWidth="1"/>
    <col min="7176" max="7176" width="11.5703125" style="57" customWidth="1"/>
    <col min="7177" max="7179" width="9.140625" style="57"/>
    <col min="7180" max="7180" width="7" style="57" bestFit="1" customWidth="1"/>
    <col min="7181" max="7424" width="9.140625" style="57"/>
    <col min="7425" max="7425" width="8.85546875" style="57" customWidth="1"/>
    <col min="7426" max="7426" width="30.42578125" style="57" customWidth="1"/>
    <col min="7427" max="7428" width="7.5703125" style="57" customWidth="1"/>
    <col min="7429" max="7429" width="9.140625" style="57"/>
    <col min="7430" max="7430" width="10.28515625" style="57" customWidth="1"/>
    <col min="7431" max="7431" width="11.140625" style="57" customWidth="1"/>
    <col min="7432" max="7432" width="11.5703125" style="57" customWidth="1"/>
    <col min="7433" max="7435" width="9.140625" style="57"/>
    <col min="7436" max="7436" width="7" style="57" bestFit="1" customWidth="1"/>
    <col min="7437" max="7680" width="9.140625" style="57"/>
    <col min="7681" max="7681" width="8.85546875" style="57" customWidth="1"/>
    <col min="7682" max="7682" width="30.42578125" style="57" customWidth="1"/>
    <col min="7683" max="7684" width="7.5703125" style="57" customWidth="1"/>
    <col min="7685" max="7685" width="9.140625" style="57"/>
    <col min="7686" max="7686" width="10.28515625" style="57" customWidth="1"/>
    <col min="7687" max="7687" width="11.140625" style="57" customWidth="1"/>
    <col min="7688" max="7688" width="11.5703125" style="57" customWidth="1"/>
    <col min="7689" max="7691" width="9.140625" style="57"/>
    <col min="7692" max="7692" width="7" style="57" bestFit="1" customWidth="1"/>
    <col min="7693" max="7936" width="9.140625" style="57"/>
    <col min="7937" max="7937" width="8.85546875" style="57" customWidth="1"/>
    <col min="7938" max="7938" width="30.42578125" style="57" customWidth="1"/>
    <col min="7939" max="7940" width="7.5703125" style="57" customWidth="1"/>
    <col min="7941" max="7941" width="9.140625" style="57"/>
    <col min="7942" max="7942" width="10.28515625" style="57" customWidth="1"/>
    <col min="7943" max="7943" width="11.140625" style="57" customWidth="1"/>
    <col min="7944" max="7944" width="11.5703125" style="57" customWidth="1"/>
    <col min="7945" max="7947" width="9.140625" style="57"/>
    <col min="7948" max="7948" width="7" style="57" bestFit="1" customWidth="1"/>
    <col min="7949" max="8192" width="9.140625" style="57"/>
    <col min="8193" max="8193" width="8.85546875" style="57" customWidth="1"/>
    <col min="8194" max="8194" width="30.42578125" style="57" customWidth="1"/>
    <col min="8195" max="8196" width="7.5703125" style="57" customWidth="1"/>
    <col min="8197" max="8197" width="9.140625" style="57"/>
    <col min="8198" max="8198" width="10.28515625" style="57" customWidth="1"/>
    <col min="8199" max="8199" width="11.140625" style="57" customWidth="1"/>
    <col min="8200" max="8200" width="11.5703125" style="57" customWidth="1"/>
    <col min="8201" max="8203" width="9.140625" style="57"/>
    <col min="8204" max="8204" width="7" style="57" bestFit="1" customWidth="1"/>
    <col min="8205" max="8448" width="9.140625" style="57"/>
    <col min="8449" max="8449" width="8.85546875" style="57" customWidth="1"/>
    <col min="8450" max="8450" width="30.42578125" style="57" customWidth="1"/>
    <col min="8451" max="8452" width="7.5703125" style="57" customWidth="1"/>
    <col min="8453" max="8453" width="9.140625" style="57"/>
    <col min="8454" max="8454" width="10.28515625" style="57" customWidth="1"/>
    <col min="8455" max="8455" width="11.140625" style="57" customWidth="1"/>
    <col min="8456" max="8456" width="11.5703125" style="57" customWidth="1"/>
    <col min="8457" max="8459" width="9.140625" style="57"/>
    <col min="8460" max="8460" width="7" style="57" bestFit="1" customWidth="1"/>
    <col min="8461" max="8704" width="9.140625" style="57"/>
    <col min="8705" max="8705" width="8.85546875" style="57" customWidth="1"/>
    <col min="8706" max="8706" width="30.42578125" style="57" customWidth="1"/>
    <col min="8707" max="8708" width="7.5703125" style="57" customWidth="1"/>
    <col min="8709" max="8709" width="9.140625" style="57"/>
    <col min="8710" max="8710" width="10.28515625" style="57" customWidth="1"/>
    <col min="8711" max="8711" width="11.140625" style="57" customWidth="1"/>
    <col min="8712" max="8712" width="11.5703125" style="57" customWidth="1"/>
    <col min="8713" max="8715" width="9.140625" style="57"/>
    <col min="8716" max="8716" width="7" style="57" bestFit="1" customWidth="1"/>
    <col min="8717" max="8960" width="9.140625" style="57"/>
    <col min="8961" max="8961" width="8.85546875" style="57" customWidth="1"/>
    <col min="8962" max="8962" width="30.42578125" style="57" customWidth="1"/>
    <col min="8963" max="8964" width="7.5703125" style="57" customWidth="1"/>
    <col min="8965" max="8965" width="9.140625" style="57"/>
    <col min="8966" max="8966" width="10.28515625" style="57" customWidth="1"/>
    <col min="8967" max="8967" width="11.140625" style="57" customWidth="1"/>
    <col min="8968" max="8968" width="11.5703125" style="57" customWidth="1"/>
    <col min="8969" max="8971" width="9.140625" style="57"/>
    <col min="8972" max="8972" width="7" style="57" bestFit="1" customWidth="1"/>
    <col min="8973" max="9216" width="9.140625" style="57"/>
    <col min="9217" max="9217" width="8.85546875" style="57" customWidth="1"/>
    <col min="9218" max="9218" width="30.42578125" style="57" customWidth="1"/>
    <col min="9219" max="9220" width="7.5703125" style="57" customWidth="1"/>
    <col min="9221" max="9221" width="9.140625" style="57"/>
    <col min="9222" max="9222" width="10.28515625" style="57" customWidth="1"/>
    <col min="9223" max="9223" width="11.140625" style="57" customWidth="1"/>
    <col min="9224" max="9224" width="11.5703125" style="57" customWidth="1"/>
    <col min="9225" max="9227" width="9.140625" style="57"/>
    <col min="9228" max="9228" width="7" style="57" bestFit="1" customWidth="1"/>
    <col min="9229" max="9472" width="9.140625" style="57"/>
    <col min="9473" max="9473" width="8.85546875" style="57" customWidth="1"/>
    <col min="9474" max="9474" width="30.42578125" style="57" customWidth="1"/>
    <col min="9475" max="9476" width="7.5703125" style="57" customWidth="1"/>
    <col min="9477" max="9477" width="9.140625" style="57"/>
    <col min="9478" max="9478" width="10.28515625" style="57" customWidth="1"/>
    <col min="9479" max="9479" width="11.140625" style="57" customWidth="1"/>
    <col min="9480" max="9480" width="11.5703125" style="57" customWidth="1"/>
    <col min="9481" max="9483" width="9.140625" style="57"/>
    <col min="9484" max="9484" width="7" style="57" bestFit="1" customWidth="1"/>
    <col min="9485" max="9728" width="9.140625" style="57"/>
    <col min="9729" max="9729" width="8.85546875" style="57" customWidth="1"/>
    <col min="9730" max="9730" width="30.42578125" style="57" customWidth="1"/>
    <col min="9731" max="9732" width="7.5703125" style="57" customWidth="1"/>
    <col min="9733" max="9733" width="9.140625" style="57"/>
    <col min="9734" max="9734" width="10.28515625" style="57" customWidth="1"/>
    <col min="9735" max="9735" width="11.140625" style="57" customWidth="1"/>
    <col min="9736" max="9736" width="11.5703125" style="57" customWidth="1"/>
    <col min="9737" max="9739" width="9.140625" style="57"/>
    <col min="9740" max="9740" width="7" style="57" bestFit="1" customWidth="1"/>
    <col min="9741" max="9984" width="9.140625" style="57"/>
    <col min="9985" max="9985" width="8.85546875" style="57" customWidth="1"/>
    <col min="9986" max="9986" width="30.42578125" style="57" customWidth="1"/>
    <col min="9987" max="9988" width="7.5703125" style="57" customWidth="1"/>
    <col min="9989" max="9989" width="9.140625" style="57"/>
    <col min="9990" max="9990" width="10.28515625" style="57" customWidth="1"/>
    <col min="9991" max="9991" width="11.140625" style="57" customWidth="1"/>
    <col min="9992" max="9992" width="11.5703125" style="57" customWidth="1"/>
    <col min="9993" max="9995" width="9.140625" style="57"/>
    <col min="9996" max="9996" width="7" style="57" bestFit="1" customWidth="1"/>
    <col min="9997" max="10240" width="9.140625" style="57"/>
    <col min="10241" max="10241" width="8.85546875" style="57" customWidth="1"/>
    <col min="10242" max="10242" width="30.42578125" style="57" customWidth="1"/>
    <col min="10243" max="10244" width="7.5703125" style="57" customWidth="1"/>
    <col min="10245" max="10245" width="9.140625" style="57"/>
    <col min="10246" max="10246" width="10.28515625" style="57" customWidth="1"/>
    <col min="10247" max="10247" width="11.140625" style="57" customWidth="1"/>
    <col min="10248" max="10248" width="11.5703125" style="57" customWidth="1"/>
    <col min="10249" max="10251" width="9.140625" style="57"/>
    <col min="10252" max="10252" width="7" style="57" bestFit="1" customWidth="1"/>
    <col min="10253" max="10496" width="9.140625" style="57"/>
    <col min="10497" max="10497" width="8.85546875" style="57" customWidth="1"/>
    <col min="10498" max="10498" width="30.42578125" style="57" customWidth="1"/>
    <col min="10499" max="10500" width="7.5703125" style="57" customWidth="1"/>
    <col min="10501" max="10501" width="9.140625" style="57"/>
    <col min="10502" max="10502" width="10.28515625" style="57" customWidth="1"/>
    <col min="10503" max="10503" width="11.140625" style="57" customWidth="1"/>
    <col min="10504" max="10504" width="11.5703125" style="57" customWidth="1"/>
    <col min="10505" max="10507" width="9.140625" style="57"/>
    <col min="10508" max="10508" width="7" style="57" bestFit="1" customWidth="1"/>
    <col min="10509" max="10752" width="9.140625" style="57"/>
    <col min="10753" max="10753" width="8.85546875" style="57" customWidth="1"/>
    <col min="10754" max="10754" width="30.42578125" style="57" customWidth="1"/>
    <col min="10755" max="10756" width="7.5703125" style="57" customWidth="1"/>
    <col min="10757" max="10757" width="9.140625" style="57"/>
    <col min="10758" max="10758" width="10.28515625" style="57" customWidth="1"/>
    <col min="10759" max="10759" width="11.140625" style="57" customWidth="1"/>
    <col min="10760" max="10760" width="11.5703125" style="57" customWidth="1"/>
    <col min="10761" max="10763" width="9.140625" style="57"/>
    <col min="10764" max="10764" width="7" style="57" bestFit="1" customWidth="1"/>
    <col min="10765" max="11008" width="9.140625" style="57"/>
    <col min="11009" max="11009" width="8.85546875" style="57" customWidth="1"/>
    <col min="11010" max="11010" width="30.42578125" style="57" customWidth="1"/>
    <col min="11011" max="11012" width="7.5703125" style="57" customWidth="1"/>
    <col min="11013" max="11013" width="9.140625" style="57"/>
    <col min="11014" max="11014" width="10.28515625" style="57" customWidth="1"/>
    <col min="11015" max="11015" width="11.140625" style="57" customWidth="1"/>
    <col min="11016" max="11016" width="11.5703125" style="57" customWidth="1"/>
    <col min="11017" max="11019" width="9.140625" style="57"/>
    <col min="11020" max="11020" width="7" style="57" bestFit="1" customWidth="1"/>
    <col min="11021" max="11264" width="9.140625" style="57"/>
    <col min="11265" max="11265" width="8.85546875" style="57" customWidth="1"/>
    <col min="11266" max="11266" width="30.42578125" style="57" customWidth="1"/>
    <col min="11267" max="11268" width="7.5703125" style="57" customWidth="1"/>
    <col min="11269" max="11269" width="9.140625" style="57"/>
    <col min="11270" max="11270" width="10.28515625" style="57" customWidth="1"/>
    <col min="11271" max="11271" width="11.140625" style="57" customWidth="1"/>
    <col min="11272" max="11272" width="11.5703125" style="57" customWidth="1"/>
    <col min="11273" max="11275" width="9.140625" style="57"/>
    <col min="11276" max="11276" width="7" style="57" bestFit="1" customWidth="1"/>
    <col min="11277" max="11520" width="9.140625" style="57"/>
    <col min="11521" max="11521" width="8.85546875" style="57" customWidth="1"/>
    <col min="11522" max="11522" width="30.42578125" style="57" customWidth="1"/>
    <col min="11523" max="11524" width="7.5703125" style="57" customWidth="1"/>
    <col min="11525" max="11525" width="9.140625" style="57"/>
    <col min="11526" max="11526" width="10.28515625" style="57" customWidth="1"/>
    <col min="11527" max="11527" width="11.140625" style="57" customWidth="1"/>
    <col min="11528" max="11528" width="11.5703125" style="57" customWidth="1"/>
    <col min="11529" max="11531" width="9.140625" style="57"/>
    <col min="11532" max="11532" width="7" style="57" bestFit="1" customWidth="1"/>
    <col min="11533" max="11776" width="9.140625" style="57"/>
    <col min="11777" max="11777" width="8.85546875" style="57" customWidth="1"/>
    <col min="11778" max="11778" width="30.42578125" style="57" customWidth="1"/>
    <col min="11779" max="11780" width="7.5703125" style="57" customWidth="1"/>
    <col min="11781" max="11781" width="9.140625" style="57"/>
    <col min="11782" max="11782" width="10.28515625" style="57" customWidth="1"/>
    <col min="11783" max="11783" width="11.140625" style="57" customWidth="1"/>
    <col min="11784" max="11784" width="11.5703125" style="57" customWidth="1"/>
    <col min="11785" max="11787" width="9.140625" style="57"/>
    <col min="11788" max="11788" width="7" style="57" bestFit="1" customWidth="1"/>
    <col min="11789" max="12032" width="9.140625" style="57"/>
    <col min="12033" max="12033" width="8.85546875" style="57" customWidth="1"/>
    <col min="12034" max="12034" width="30.42578125" style="57" customWidth="1"/>
    <col min="12035" max="12036" width="7.5703125" style="57" customWidth="1"/>
    <col min="12037" max="12037" width="9.140625" style="57"/>
    <col min="12038" max="12038" width="10.28515625" style="57" customWidth="1"/>
    <col min="12039" max="12039" width="11.140625" style="57" customWidth="1"/>
    <col min="12040" max="12040" width="11.5703125" style="57" customWidth="1"/>
    <col min="12041" max="12043" width="9.140625" style="57"/>
    <col min="12044" max="12044" width="7" style="57" bestFit="1" customWidth="1"/>
    <col min="12045" max="12288" width="9.140625" style="57"/>
    <col min="12289" max="12289" width="8.85546875" style="57" customWidth="1"/>
    <col min="12290" max="12290" width="30.42578125" style="57" customWidth="1"/>
    <col min="12291" max="12292" width="7.5703125" style="57" customWidth="1"/>
    <col min="12293" max="12293" width="9.140625" style="57"/>
    <col min="12294" max="12294" width="10.28515625" style="57" customWidth="1"/>
    <col min="12295" max="12295" width="11.140625" style="57" customWidth="1"/>
    <col min="12296" max="12296" width="11.5703125" style="57" customWidth="1"/>
    <col min="12297" max="12299" width="9.140625" style="57"/>
    <col min="12300" max="12300" width="7" style="57" bestFit="1" customWidth="1"/>
    <col min="12301" max="12544" width="9.140625" style="57"/>
    <col min="12545" max="12545" width="8.85546875" style="57" customWidth="1"/>
    <col min="12546" max="12546" width="30.42578125" style="57" customWidth="1"/>
    <col min="12547" max="12548" width="7.5703125" style="57" customWidth="1"/>
    <col min="12549" max="12549" width="9.140625" style="57"/>
    <col min="12550" max="12550" width="10.28515625" style="57" customWidth="1"/>
    <col min="12551" max="12551" width="11.140625" style="57" customWidth="1"/>
    <col min="12552" max="12552" width="11.5703125" style="57" customWidth="1"/>
    <col min="12553" max="12555" width="9.140625" style="57"/>
    <col min="12556" max="12556" width="7" style="57" bestFit="1" customWidth="1"/>
    <col min="12557" max="12800" width="9.140625" style="57"/>
    <col min="12801" max="12801" width="8.85546875" style="57" customWidth="1"/>
    <col min="12802" max="12802" width="30.42578125" style="57" customWidth="1"/>
    <col min="12803" max="12804" width="7.5703125" style="57" customWidth="1"/>
    <col min="12805" max="12805" width="9.140625" style="57"/>
    <col min="12806" max="12806" width="10.28515625" style="57" customWidth="1"/>
    <col min="12807" max="12807" width="11.140625" style="57" customWidth="1"/>
    <col min="12808" max="12808" width="11.5703125" style="57" customWidth="1"/>
    <col min="12809" max="12811" width="9.140625" style="57"/>
    <col min="12812" max="12812" width="7" style="57" bestFit="1" customWidth="1"/>
    <col min="12813" max="13056" width="9.140625" style="57"/>
    <col min="13057" max="13057" width="8.85546875" style="57" customWidth="1"/>
    <col min="13058" max="13058" width="30.42578125" style="57" customWidth="1"/>
    <col min="13059" max="13060" width="7.5703125" style="57" customWidth="1"/>
    <col min="13061" max="13061" width="9.140625" style="57"/>
    <col min="13062" max="13062" width="10.28515625" style="57" customWidth="1"/>
    <col min="13063" max="13063" width="11.140625" style="57" customWidth="1"/>
    <col min="13064" max="13064" width="11.5703125" style="57" customWidth="1"/>
    <col min="13065" max="13067" width="9.140625" style="57"/>
    <col min="13068" max="13068" width="7" style="57" bestFit="1" customWidth="1"/>
    <col min="13069" max="13312" width="9.140625" style="57"/>
    <col min="13313" max="13313" width="8.85546875" style="57" customWidth="1"/>
    <col min="13314" max="13314" width="30.42578125" style="57" customWidth="1"/>
    <col min="13315" max="13316" width="7.5703125" style="57" customWidth="1"/>
    <col min="13317" max="13317" width="9.140625" style="57"/>
    <col min="13318" max="13318" width="10.28515625" style="57" customWidth="1"/>
    <col min="13319" max="13319" width="11.140625" style="57" customWidth="1"/>
    <col min="13320" max="13320" width="11.5703125" style="57" customWidth="1"/>
    <col min="13321" max="13323" width="9.140625" style="57"/>
    <col min="13324" max="13324" width="7" style="57" bestFit="1" customWidth="1"/>
    <col min="13325" max="13568" width="9.140625" style="57"/>
    <col min="13569" max="13569" width="8.85546875" style="57" customWidth="1"/>
    <col min="13570" max="13570" width="30.42578125" style="57" customWidth="1"/>
    <col min="13571" max="13572" width="7.5703125" style="57" customWidth="1"/>
    <col min="13573" max="13573" width="9.140625" style="57"/>
    <col min="13574" max="13574" width="10.28515625" style="57" customWidth="1"/>
    <col min="13575" max="13575" width="11.140625" style="57" customWidth="1"/>
    <col min="13576" max="13576" width="11.5703125" style="57" customWidth="1"/>
    <col min="13577" max="13579" width="9.140625" style="57"/>
    <col min="13580" max="13580" width="7" style="57" bestFit="1" customWidth="1"/>
    <col min="13581" max="13824" width="9.140625" style="57"/>
    <col min="13825" max="13825" width="8.85546875" style="57" customWidth="1"/>
    <col min="13826" max="13826" width="30.42578125" style="57" customWidth="1"/>
    <col min="13827" max="13828" width="7.5703125" style="57" customWidth="1"/>
    <col min="13829" max="13829" width="9.140625" style="57"/>
    <col min="13830" max="13830" width="10.28515625" style="57" customWidth="1"/>
    <col min="13831" max="13831" width="11.140625" style="57" customWidth="1"/>
    <col min="13832" max="13832" width="11.5703125" style="57" customWidth="1"/>
    <col min="13833" max="13835" width="9.140625" style="57"/>
    <col min="13836" max="13836" width="7" style="57" bestFit="1" customWidth="1"/>
    <col min="13837" max="14080" width="9.140625" style="57"/>
    <col min="14081" max="14081" width="8.85546875" style="57" customWidth="1"/>
    <col min="14082" max="14082" width="30.42578125" style="57" customWidth="1"/>
    <col min="14083" max="14084" width="7.5703125" style="57" customWidth="1"/>
    <col min="14085" max="14085" width="9.140625" style="57"/>
    <col min="14086" max="14086" width="10.28515625" style="57" customWidth="1"/>
    <col min="14087" max="14087" width="11.140625" style="57" customWidth="1"/>
    <col min="14088" max="14088" width="11.5703125" style="57" customWidth="1"/>
    <col min="14089" max="14091" width="9.140625" style="57"/>
    <col min="14092" max="14092" width="7" style="57" bestFit="1" customWidth="1"/>
    <col min="14093" max="14336" width="9.140625" style="57"/>
    <col min="14337" max="14337" width="8.85546875" style="57" customWidth="1"/>
    <col min="14338" max="14338" width="30.42578125" style="57" customWidth="1"/>
    <col min="14339" max="14340" width="7.5703125" style="57" customWidth="1"/>
    <col min="14341" max="14341" width="9.140625" style="57"/>
    <col min="14342" max="14342" width="10.28515625" style="57" customWidth="1"/>
    <col min="14343" max="14343" width="11.140625" style="57" customWidth="1"/>
    <col min="14344" max="14344" width="11.5703125" style="57" customWidth="1"/>
    <col min="14345" max="14347" width="9.140625" style="57"/>
    <col min="14348" max="14348" width="7" style="57" bestFit="1" customWidth="1"/>
    <col min="14349" max="14592" width="9.140625" style="57"/>
    <col min="14593" max="14593" width="8.85546875" style="57" customWidth="1"/>
    <col min="14594" max="14594" width="30.42578125" style="57" customWidth="1"/>
    <col min="14595" max="14596" width="7.5703125" style="57" customWidth="1"/>
    <col min="14597" max="14597" width="9.140625" style="57"/>
    <col min="14598" max="14598" width="10.28515625" style="57" customWidth="1"/>
    <col min="14599" max="14599" width="11.140625" style="57" customWidth="1"/>
    <col min="14600" max="14600" width="11.5703125" style="57" customWidth="1"/>
    <col min="14601" max="14603" width="9.140625" style="57"/>
    <col min="14604" max="14604" width="7" style="57" bestFit="1" customWidth="1"/>
    <col min="14605" max="14848" width="9.140625" style="57"/>
    <col min="14849" max="14849" width="8.85546875" style="57" customWidth="1"/>
    <col min="14850" max="14850" width="30.42578125" style="57" customWidth="1"/>
    <col min="14851" max="14852" width="7.5703125" style="57" customWidth="1"/>
    <col min="14853" max="14853" width="9.140625" style="57"/>
    <col min="14854" max="14854" width="10.28515625" style="57" customWidth="1"/>
    <col min="14855" max="14855" width="11.140625" style="57" customWidth="1"/>
    <col min="14856" max="14856" width="11.5703125" style="57" customWidth="1"/>
    <col min="14857" max="14859" width="9.140625" style="57"/>
    <col min="14860" max="14860" width="7" style="57" bestFit="1" customWidth="1"/>
    <col min="14861" max="15104" width="9.140625" style="57"/>
    <col min="15105" max="15105" width="8.85546875" style="57" customWidth="1"/>
    <col min="15106" max="15106" width="30.42578125" style="57" customWidth="1"/>
    <col min="15107" max="15108" width="7.5703125" style="57" customWidth="1"/>
    <col min="15109" max="15109" width="9.140625" style="57"/>
    <col min="15110" max="15110" width="10.28515625" style="57" customWidth="1"/>
    <col min="15111" max="15111" width="11.140625" style="57" customWidth="1"/>
    <col min="15112" max="15112" width="11.5703125" style="57" customWidth="1"/>
    <col min="15113" max="15115" width="9.140625" style="57"/>
    <col min="15116" max="15116" width="7" style="57" bestFit="1" customWidth="1"/>
    <col min="15117" max="15360" width="9.140625" style="57"/>
    <col min="15361" max="15361" width="8.85546875" style="57" customWidth="1"/>
    <col min="15362" max="15362" width="30.42578125" style="57" customWidth="1"/>
    <col min="15363" max="15364" width="7.5703125" style="57" customWidth="1"/>
    <col min="15365" max="15365" width="9.140625" style="57"/>
    <col min="15366" max="15366" width="10.28515625" style="57" customWidth="1"/>
    <col min="15367" max="15367" width="11.140625" style="57" customWidth="1"/>
    <col min="15368" max="15368" width="11.5703125" style="57" customWidth="1"/>
    <col min="15369" max="15371" width="9.140625" style="57"/>
    <col min="15372" max="15372" width="7" style="57" bestFit="1" customWidth="1"/>
    <col min="15373" max="15616" width="9.140625" style="57"/>
    <col min="15617" max="15617" width="8.85546875" style="57" customWidth="1"/>
    <col min="15618" max="15618" width="30.42578125" style="57" customWidth="1"/>
    <col min="15619" max="15620" width="7.5703125" style="57" customWidth="1"/>
    <col min="15621" max="15621" width="9.140625" style="57"/>
    <col min="15622" max="15622" width="10.28515625" style="57" customWidth="1"/>
    <col min="15623" max="15623" width="11.140625" style="57" customWidth="1"/>
    <col min="15624" max="15624" width="11.5703125" style="57" customWidth="1"/>
    <col min="15625" max="15627" width="9.140625" style="57"/>
    <col min="15628" max="15628" width="7" style="57" bestFit="1" customWidth="1"/>
    <col min="15629" max="15872" width="9.140625" style="57"/>
    <col min="15873" max="15873" width="8.85546875" style="57" customWidth="1"/>
    <col min="15874" max="15874" width="30.42578125" style="57" customWidth="1"/>
    <col min="15875" max="15876" width="7.5703125" style="57" customWidth="1"/>
    <col min="15877" max="15877" width="9.140625" style="57"/>
    <col min="15878" max="15878" width="10.28515625" style="57" customWidth="1"/>
    <col min="15879" max="15879" width="11.140625" style="57" customWidth="1"/>
    <col min="15880" max="15880" width="11.5703125" style="57" customWidth="1"/>
    <col min="15881" max="15883" width="9.140625" style="57"/>
    <col min="15884" max="15884" width="7" style="57" bestFit="1" customWidth="1"/>
    <col min="15885" max="16128" width="9.140625" style="57"/>
    <col min="16129" max="16129" width="8.85546875" style="57" customWidth="1"/>
    <col min="16130" max="16130" width="30.42578125" style="57" customWidth="1"/>
    <col min="16131" max="16132" width="7.5703125" style="57" customWidth="1"/>
    <col min="16133" max="16133" width="9.140625" style="57"/>
    <col min="16134" max="16134" width="10.28515625" style="57" customWidth="1"/>
    <col min="16135" max="16135" width="11.140625" style="57" customWidth="1"/>
    <col min="16136" max="16136" width="11.5703125" style="57" customWidth="1"/>
    <col min="16137" max="16139" width="9.140625" style="57"/>
    <col min="16140" max="16140" width="7" style="57" bestFit="1" customWidth="1"/>
    <col min="16141" max="16384" width="9.140625" style="57"/>
  </cols>
  <sheetData>
    <row r="1" spans="1:8" ht="13.5" thickBot="1"/>
    <row r="2" spans="1:8" ht="12.75" customHeight="1">
      <c r="A2" s="694" t="s">
        <v>85</v>
      </c>
      <c r="B2" s="696" t="s">
        <v>86</v>
      </c>
      <c r="C2" s="696"/>
      <c r="D2" s="696"/>
      <c r="E2" s="697"/>
      <c r="F2" s="700"/>
      <c r="G2" s="701"/>
      <c r="H2" s="702"/>
    </row>
    <row r="3" spans="1:8" ht="12.75" customHeight="1">
      <c r="A3" s="695"/>
      <c r="B3" s="698"/>
      <c r="C3" s="698"/>
      <c r="D3" s="698"/>
      <c r="E3" s="699"/>
      <c r="F3" s="703"/>
      <c r="G3" s="704"/>
      <c r="H3" s="705"/>
    </row>
    <row r="4" spans="1:8" ht="30.75" customHeight="1">
      <c r="A4" s="695"/>
      <c r="B4" s="698"/>
      <c r="C4" s="698"/>
      <c r="D4" s="698"/>
      <c r="E4" s="699"/>
      <c r="F4" s="703"/>
      <c r="G4" s="704"/>
      <c r="H4" s="705"/>
    </row>
    <row r="5" spans="1:8" ht="13.5" thickBot="1">
      <c r="A5" s="709" t="s">
        <v>87</v>
      </c>
      <c r="B5" s="710"/>
      <c r="C5" s="710"/>
      <c r="D5" s="710"/>
      <c r="E5" s="711"/>
      <c r="F5" s="706"/>
      <c r="G5" s="707"/>
      <c r="H5" s="708"/>
    </row>
    <row r="6" spans="1:8" ht="27" thickBot="1">
      <c r="A6" s="712" t="s">
        <v>88</v>
      </c>
      <c r="B6" s="713"/>
      <c r="C6" s="58"/>
      <c r="D6" s="58"/>
      <c r="E6" s="59"/>
      <c r="F6" s="60" t="s">
        <v>89</v>
      </c>
      <c r="G6" s="714" t="s">
        <v>90</v>
      </c>
      <c r="H6" s="715"/>
    </row>
    <row r="7" spans="1:8" ht="33" customHeight="1" thickBot="1">
      <c r="A7" s="689" t="s">
        <v>317</v>
      </c>
      <c r="B7" s="690"/>
      <c r="C7" s="690"/>
      <c r="D7" s="690"/>
      <c r="E7" s="691"/>
      <c r="F7" s="61" t="s">
        <v>91</v>
      </c>
      <c r="G7" s="60" t="s">
        <v>318</v>
      </c>
      <c r="H7" s="62" t="s">
        <v>92</v>
      </c>
    </row>
    <row r="8" spans="1:8" ht="29.25" customHeight="1">
      <c r="A8" s="689"/>
      <c r="B8" s="690"/>
      <c r="C8" s="690"/>
      <c r="D8" s="690"/>
      <c r="E8" s="691"/>
      <c r="F8" s="63" t="s">
        <v>93</v>
      </c>
      <c r="G8" s="64" t="s">
        <v>319</v>
      </c>
      <c r="H8" s="62"/>
    </row>
    <row r="9" spans="1:8">
      <c r="A9" s="692"/>
      <c r="B9" s="692"/>
      <c r="C9" s="692"/>
      <c r="D9" s="692"/>
      <c r="E9" s="692"/>
      <c r="F9" s="692"/>
      <c r="G9" s="692"/>
      <c r="H9" s="692"/>
    </row>
    <row r="10" spans="1:8" ht="12.75" customHeight="1">
      <c r="A10" s="693" t="s">
        <v>1</v>
      </c>
      <c r="B10" s="693" t="s">
        <v>2</v>
      </c>
      <c r="C10" s="693" t="s">
        <v>3</v>
      </c>
      <c r="D10" s="693" t="s">
        <v>69</v>
      </c>
      <c r="E10" s="693" t="s">
        <v>94</v>
      </c>
      <c r="F10" s="693" t="s">
        <v>95</v>
      </c>
      <c r="G10" s="693" t="s">
        <v>82</v>
      </c>
      <c r="H10" s="693" t="s">
        <v>4</v>
      </c>
    </row>
    <row r="11" spans="1:8" ht="18" customHeight="1">
      <c r="A11" s="693"/>
      <c r="B11" s="693"/>
      <c r="C11" s="693"/>
      <c r="D11" s="693"/>
      <c r="E11" s="693"/>
      <c r="F11" s="693"/>
      <c r="G11" s="693"/>
      <c r="H11" s="693"/>
    </row>
    <row r="12" spans="1:8" ht="26.25" customHeight="1">
      <c r="A12" s="65"/>
      <c r="B12" s="65"/>
      <c r="C12" s="65"/>
      <c r="D12" s="65"/>
      <c r="E12" s="65"/>
      <c r="F12" s="65"/>
      <c r="G12" s="65"/>
      <c r="H12" s="66"/>
    </row>
    <row r="13" spans="1:8" ht="12.75" customHeight="1">
      <c r="A13" s="67">
        <v>1</v>
      </c>
      <c r="B13" s="68" t="s">
        <v>96</v>
      </c>
      <c r="C13" s="69"/>
      <c r="D13" s="70"/>
      <c r="E13" s="70"/>
      <c r="F13" s="70"/>
      <c r="G13" s="70"/>
      <c r="H13" s="71"/>
    </row>
    <row r="14" spans="1:8" ht="12.75" customHeight="1">
      <c r="A14" s="65" t="s">
        <v>10</v>
      </c>
      <c r="B14" s="72" t="s">
        <v>97</v>
      </c>
      <c r="C14" s="65"/>
      <c r="D14" s="65"/>
      <c r="E14" s="65"/>
      <c r="F14" s="65"/>
      <c r="G14" s="65"/>
      <c r="H14" s="66"/>
    </row>
    <row r="15" spans="1:8" ht="12.75" customHeight="1">
      <c r="A15" s="67"/>
      <c r="B15" s="73" t="s">
        <v>98</v>
      </c>
      <c r="C15" s="69" t="s">
        <v>11</v>
      </c>
      <c r="D15" s="74">
        <f>D103</f>
        <v>4</v>
      </c>
      <c r="E15" s="75">
        <f t="shared" ref="E15:F19" si="0">E103+0.3*2</f>
        <v>4.6999999999999993</v>
      </c>
      <c r="F15" s="76">
        <f t="shared" si="0"/>
        <v>3.2</v>
      </c>
      <c r="G15" s="77">
        <v>1.5</v>
      </c>
      <c r="H15" s="78">
        <f>D15*E15*F15*G15</f>
        <v>90.24</v>
      </c>
    </row>
    <row r="16" spans="1:8" ht="12.75" customHeight="1">
      <c r="A16" s="67"/>
      <c r="B16" s="73" t="s">
        <v>99</v>
      </c>
      <c r="C16" s="69" t="s">
        <v>11</v>
      </c>
      <c r="D16" s="74">
        <f t="shared" ref="D16:D23" si="1">D104</f>
        <v>24</v>
      </c>
      <c r="E16" s="75">
        <f t="shared" si="0"/>
        <v>4.6999999999999993</v>
      </c>
      <c r="F16" s="76">
        <f t="shared" si="0"/>
        <v>3.2</v>
      </c>
      <c r="G16" s="77">
        <v>1.5</v>
      </c>
      <c r="H16" s="78">
        <f>D16*E16*F16*G16</f>
        <v>541.43999999999994</v>
      </c>
    </row>
    <row r="17" spans="1:11" ht="15">
      <c r="A17" s="67"/>
      <c r="B17" s="73" t="s">
        <v>100</v>
      </c>
      <c r="C17" s="69" t="s">
        <v>11</v>
      </c>
      <c r="D17" s="74">
        <f t="shared" si="1"/>
        <v>19</v>
      </c>
      <c r="E17" s="75">
        <f t="shared" si="0"/>
        <v>3.5</v>
      </c>
      <c r="F17" s="76">
        <f t="shared" si="0"/>
        <v>3</v>
      </c>
      <c r="G17" s="77">
        <v>1.5</v>
      </c>
      <c r="H17" s="78">
        <f>D17*E17*F17*G17</f>
        <v>299.25</v>
      </c>
    </row>
    <row r="18" spans="1:11" ht="15">
      <c r="A18" s="67"/>
      <c r="B18" s="73" t="s">
        <v>101</v>
      </c>
      <c r="C18" s="69" t="s">
        <v>11</v>
      </c>
      <c r="D18" s="74">
        <f t="shared" si="1"/>
        <v>8</v>
      </c>
      <c r="E18" s="75">
        <f t="shared" si="0"/>
        <v>3.9</v>
      </c>
      <c r="F18" s="76">
        <f t="shared" si="0"/>
        <v>3.5500000000000003</v>
      </c>
      <c r="G18" s="77">
        <v>1.5</v>
      </c>
      <c r="H18" s="78">
        <f>D18*E18*F18*G18</f>
        <v>166.14000000000001</v>
      </c>
      <c r="K18" s="79"/>
    </row>
    <row r="19" spans="1:11" ht="15">
      <c r="A19" s="67"/>
      <c r="B19" s="73" t="s">
        <v>102</v>
      </c>
      <c r="C19" s="69" t="s">
        <v>11</v>
      </c>
      <c r="D19" s="74">
        <f t="shared" si="1"/>
        <v>24</v>
      </c>
      <c r="E19" s="75">
        <f t="shared" si="0"/>
        <v>3.85</v>
      </c>
      <c r="F19" s="76">
        <f t="shared" si="0"/>
        <v>3.7</v>
      </c>
      <c r="G19" s="77">
        <v>1.5</v>
      </c>
      <c r="H19" s="78">
        <f>D19*E19*F19*G19</f>
        <v>512.82000000000005</v>
      </c>
      <c r="K19" s="79"/>
    </row>
    <row r="20" spans="1:11" ht="15">
      <c r="A20" s="67"/>
      <c r="B20" s="73" t="s">
        <v>344</v>
      </c>
      <c r="C20" s="69" t="s">
        <v>11</v>
      </c>
      <c r="D20" s="74">
        <f t="shared" si="1"/>
        <v>1</v>
      </c>
      <c r="E20" s="75">
        <f t="shared" ref="E20:F20" si="2">E108+0.3*2</f>
        <v>4.3250000000000002</v>
      </c>
      <c r="F20" s="76">
        <f t="shared" si="2"/>
        <v>3</v>
      </c>
      <c r="G20" s="77">
        <v>1.5</v>
      </c>
      <c r="H20" s="78">
        <f t="shared" ref="H20:H23" si="3">D20*E20*F20*G20</f>
        <v>19.462500000000002</v>
      </c>
      <c r="K20" s="79"/>
    </row>
    <row r="21" spans="1:11" ht="15">
      <c r="A21" s="67"/>
      <c r="B21" s="73" t="s">
        <v>345</v>
      </c>
      <c r="C21" s="69" t="s">
        <v>11</v>
      </c>
      <c r="D21" s="74">
        <f t="shared" si="1"/>
        <v>1</v>
      </c>
      <c r="E21" s="75">
        <f t="shared" ref="E21:F21" si="4">E109+0.3*2</f>
        <v>4.6999999999999993</v>
      </c>
      <c r="F21" s="76">
        <f t="shared" si="4"/>
        <v>3.2</v>
      </c>
      <c r="G21" s="77">
        <v>1.5</v>
      </c>
      <c r="H21" s="78">
        <f t="shared" si="3"/>
        <v>22.56</v>
      </c>
      <c r="K21" s="79"/>
    </row>
    <row r="22" spans="1:11" ht="15">
      <c r="A22" s="67"/>
      <c r="B22" s="73" t="s">
        <v>346</v>
      </c>
      <c r="C22" s="69" t="s">
        <v>11</v>
      </c>
      <c r="D22" s="74">
        <f t="shared" si="1"/>
        <v>1</v>
      </c>
      <c r="E22" s="75">
        <f t="shared" ref="E22:F22" si="5">E110+0.3*2</f>
        <v>4.6999999999999993</v>
      </c>
      <c r="F22" s="76">
        <f t="shared" si="5"/>
        <v>3.2</v>
      </c>
      <c r="G22" s="77">
        <v>1.5</v>
      </c>
      <c r="H22" s="78">
        <f t="shared" si="3"/>
        <v>22.56</v>
      </c>
      <c r="K22" s="79"/>
    </row>
    <row r="23" spans="1:11" ht="15">
      <c r="A23" s="67"/>
      <c r="B23" s="73" t="s">
        <v>347</v>
      </c>
      <c r="C23" s="69" t="s">
        <v>11</v>
      </c>
      <c r="D23" s="74">
        <f t="shared" si="1"/>
        <v>3</v>
      </c>
      <c r="E23" s="75">
        <f t="shared" ref="E23:F23" si="6">E111+0.3*2</f>
        <v>1.5</v>
      </c>
      <c r="F23" s="76">
        <f t="shared" si="6"/>
        <v>1.5</v>
      </c>
      <c r="G23" s="77">
        <v>1.5</v>
      </c>
      <c r="H23" s="78">
        <f t="shared" si="3"/>
        <v>10.125</v>
      </c>
      <c r="K23" s="79"/>
    </row>
    <row r="24" spans="1:11" ht="15">
      <c r="A24" s="67"/>
      <c r="B24" s="73"/>
      <c r="C24" s="69"/>
      <c r="D24" s="74"/>
      <c r="E24" s="75"/>
      <c r="F24" s="677" t="s">
        <v>65</v>
      </c>
      <c r="G24" s="677"/>
      <c r="H24" s="80">
        <f>ROUND(SUM(H15:H23),0)</f>
        <v>1685</v>
      </c>
      <c r="K24" s="79"/>
    </row>
    <row r="25" spans="1:11" ht="15">
      <c r="A25" s="81"/>
      <c r="B25" s="82"/>
      <c r="C25" s="83"/>
      <c r="D25" s="84"/>
      <c r="E25" s="85"/>
      <c r="F25" s="86"/>
      <c r="G25" s="87"/>
      <c r="H25" s="87"/>
      <c r="K25" s="79"/>
    </row>
    <row r="26" spans="1:11" ht="15.75">
      <c r="A26" s="65" t="s">
        <v>12</v>
      </c>
      <c r="B26" s="72" t="s">
        <v>103</v>
      </c>
      <c r="C26" s="65"/>
      <c r="D26" s="65"/>
      <c r="E26" s="65"/>
      <c r="F26" s="65"/>
      <c r="G26" s="65"/>
      <c r="H26" s="66"/>
      <c r="K26" s="79"/>
    </row>
    <row r="27" spans="1:11" ht="15">
      <c r="A27" s="67"/>
      <c r="B27" s="73" t="s">
        <v>98</v>
      </c>
      <c r="C27" s="69" t="s">
        <v>11</v>
      </c>
      <c r="D27" s="74">
        <f t="shared" ref="D27:F31" si="7">D15</f>
        <v>4</v>
      </c>
      <c r="E27" s="75">
        <f t="shared" si="7"/>
        <v>4.6999999999999993</v>
      </c>
      <c r="F27" s="75">
        <f t="shared" si="7"/>
        <v>3.2</v>
      </c>
      <c r="G27" s="77">
        <f>0.3+0.2+0.1</f>
        <v>0.6</v>
      </c>
      <c r="H27" s="78">
        <f>D27*E27*F27*G27</f>
        <v>36.095999999999997</v>
      </c>
      <c r="K27" s="79"/>
    </row>
    <row r="28" spans="1:11" ht="15">
      <c r="A28" s="67"/>
      <c r="B28" s="73" t="s">
        <v>99</v>
      </c>
      <c r="C28" s="69" t="s">
        <v>11</v>
      </c>
      <c r="D28" s="74">
        <f t="shared" si="7"/>
        <v>24</v>
      </c>
      <c r="E28" s="75">
        <f t="shared" si="7"/>
        <v>4.6999999999999993</v>
      </c>
      <c r="F28" s="75">
        <f t="shared" si="7"/>
        <v>3.2</v>
      </c>
      <c r="G28" s="77">
        <f t="shared" ref="G28:G35" si="8">0.3+0.2+0.1</f>
        <v>0.6</v>
      </c>
      <c r="H28" s="78">
        <f t="shared" ref="H28:H35" si="9">D28*E28*F28*G28</f>
        <v>216.57599999999999</v>
      </c>
      <c r="K28" s="79"/>
    </row>
    <row r="29" spans="1:11" ht="15">
      <c r="A29" s="67"/>
      <c r="B29" s="73" t="s">
        <v>100</v>
      </c>
      <c r="C29" s="69" t="s">
        <v>11</v>
      </c>
      <c r="D29" s="74">
        <f t="shared" si="7"/>
        <v>19</v>
      </c>
      <c r="E29" s="75">
        <f t="shared" si="7"/>
        <v>3.5</v>
      </c>
      <c r="F29" s="75">
        <f t="shared" si="7"/>
        <v>3</v>
      </c>
      <c r="G29" s="77">
        <f t="shared" si="8"/>
        <v>0.6</v>
      </c>
      <c r="H29" s="78">
        <f t="shared" si="9"/>
        <v>119.69999999999999</v>
      </c>
      <c r="K29" s="79"/>
    </row>
    <row r="30" spans="1:11" ht="15">
      <c r="A30" s="67"/>
      <c r="B30" s="73" t="s">
        <v>101</v>
      </c>
      <c r="C30" s="69" t="s">
        <v>11</v>
      </c>
      <c r="D30" s="74">
        <f t="shared" si="7"/>
        <v>8</v>
      </c>
      <c r="E30" s="75">
        <f t="shared" si="7"/>
        <v>3.9</v>
      </c>
      <c r="F30" s="75">
        <f t="shared" si="7"/>
        <v>3.5500000000000003</v>
      </c>
      <c r="G30" s="77">
        <f t="shared" si="8"/>
        <v>0.6</v>
      </c>
      <c r="H30" s="78">
        <f t="shared" si="9"/>
        <v>66.456000000000003</v>
      </c>
      <c r="K30" s="79"/>
    </row>
    <row r="31" spans="1:11" ht="15">
      <c r="A31" s="67"/>
      <c r="B31" s="73" t="s">
        <v>102</v>
      </c>
      <c r="C31" s="69" t="s">
        <v>11</v>
      </c>
      <c r="D31" s="74">
        <f t="shared" si="7"/>
        <v>24</v>
      </c>
      <c r="E31" s="75">
        <f t="shared" si="7"/>
        <v>3.85</v>
      </c>
      <c r="F31" s="75">
        <f t="shared" si="7"/>
        <v>3.7</v>
      </c>
      <c r="G31" s="77">
        <f t="shared" si="8"/>
        <v>0.6</v>
      </c>
      <c r="H31" s="78">
        <f t="shared" si="9"/>
        <v>205.12800000000001</v>
      </c>
      <c r="K31" s="79"/>
    </row>
    <row r="32" spans="1:11" ht="15">
      <c r="A32" s="67"/>
      <c r="B32" s="73" t="s">
        <v>344</v>
      </c>
      <c r="C32" s="69" t="s">
        <v>11</v>
      </c>
      <c r="D32" s="74">
        <f t="shared" ref="D32:F35" si="10">D20</f>
        <v>1</v>
      </c>
      <c r="E32" s="75">
        <f t="shared" si="10"/>
        <v>4.3250000000000002</v>
      </c>
      <c r="F32" s="75">
        <f t="shared" si="10"/>
        <v>3</v>
      </c>
      <c r="G32" s="77">
        <f t="shared" si="8"/>
        <v>0.6</v>
      </c>
      <c r="H32" s="78">
        <f t="shared" si="9"/>
        <v>7.7850000000000001</v>
      </c>
      <c r="K32" s="79"/>
    </row>
    <row r="33" spans="1:11" ht="15">
      <c r="A33" s="67"/>
      <c r="B33" s="73" t="s">
        <v>345</v>
      </c>
      <c r="C33" s="69" t="s">
        <v>11</v>
      </c>
      <c r="D33" s="74">
        <f t="shared" si="10"/>
        <v>1</v>
      </c>
      <c r="E33" s="75">
        <f t="shared" si="10"/>
        <v>4.6999999999999993</v>
      </c>
      <c r="F33" s="75">
        <f t="shared" si="10"/>
        <v>3.2</v>
      </c>
      <c r="G33" s="77">
        <f t="shared" si="8"/>
        <v>0.6</v>
      </c>
      <c r="H33" s="78">
        <f t="shared" si="9"/>
        <v>9.0239999999999991</v>
      </c>
      <c r="K33" s="79"/>
    </row>
    <row r="34" spans="1:11" ht="15">
      <c r="A34" s="67"/>
      <c r="B34" s="73" t="s">
        <v>346</v>
      </c>
      <c r="C34" s="69" t="s">
        <v>11</v>
      </c>
      <c r="D34" s="74">
        <f t="shared" si="10"/>
        <v>1</v>
      </c>
      <c r="E34" s="75">
        <f t="shared" si="10"/>
        <v>4.6999999999999993</v>
      </c>
      <c r="F34" s="75">
        <f t="shared" si="10"/>
        <v>3.2</v>
      </c>
      <c r="G34" s="77">
        <f t="shared" si="8"/>
        <v>0.6</v>
      </c>
      <c r="H34" s="78">
        <f t="shared" si="9"/>
        <v>9.0239999999999991</v>
      </c>
      <c r="K34" s="79"/>
    </row>
    <row r="35" spans="1:11" ht="15">
      <c r="A35" s="67"/>
      <c r="B35" s="73" t="s">
        <v>347</v>
      </c>
      <c r="C35" s="69" t="s">
        <v>11</v>
      </c>
      <c r="D35" s="74">
        <f t="shared" si="10"/>
        <v>3</v>
      </c>
      <c r="E35" s="75">
        <f t="shared" si="10"/>
        <v>1.5</v>
      </c>
      <c r="F35" s="75">
        <f t="shared" si="10"/>
        <v>1.5</v>
      </c>
      <c r="G35" s="77">
        <f t="shared" si="8"/>
        <v>0.6</v>
      </c>
      <c r="H35" s="78">
        <f t="shared" si="9"/>
        <v>4.05</v>
      </c>
      <c r="K35" s="79"/>
    </row>
    <row r="36" spans="1:11" ht="15">
      <c r="A36" s="67"/>
      <c r="B36" s="73"/>
      <c r="C36" s="69"/>
      <c r="D36" s="74"/>
      <c r="E36" s="75"/>
      <c r="F36" s="677" t="s">
        <v>65</v>
      </c>
      <c r="G36" s="677"/>
      <c r="H36" s="80">
        <f>ROUND(SUM(H27:H35),0)</f>
        <v>674</v>
      </c>
      <c r="K36" s="79"/>
    </row>
    <row r="37" spans="1:11" ht="15">
      <c r="A37" s="81"/>
      <c r="B37" s="82"/>
      <c r="C37" s="83"/>
      <c r="D37" s="84"/>
      <c r="E37" s="85"/>
      <c r="F37" s="86"/>
      <c r="G37" s="87"/>
      <c r="H37" s="87"/>
      <c r="K37" s="79"/>
    </row>
    <row r="38" spans="1:11" ht="15">
      <c r="A38" s="67" t="s">
        <v>104</v>
      </c>
      <c r="B38" s="72" t="s">
        <v>105</v>
      </c>
      <c r="C38" s="69" t="s">
        <v>11</v>
      </c>
      <c r="D38" s="70"/>
      <c r="E38" s="75"/>
      <c r="F38" s="76"/>
      <c r="G38" s="77"/>
      <c r="H38" s="78">
        <f>(H24+H36)-SUM(H45:H49)-H79-H112</f>
        <v>1720.056</v>
      </c>
      <c r="K38" s="79"/>
    </row>
    <row r="39" spans="1:11" ht="15">
      <c r="A39" s="67" t="s">
        <v>106</v>
      </c>
      <c r="B39" s="72" t="s">
        <v>107</v>
      </c>
      <c r="C39" s="69"/>
      <c r="D39" s="70"/>
      <c r="E39" s="75"/>
      <c r="F39" s="76"/>
      <c r="G39" s="77"/>
      <c r="H39" s="78"/>
      <c r="K39" s="79"/>
    </row>
    <row r="40" spans="1:11" ht="15">
      <c r="A40" s="67"/>
      <c r="B40" s="73" t="s">
        <v>108</v>
      </c>
      <c r="C40" s="69" t="s">
        <v>11</v>
      </c>
      <c r="D40" s="74">
        <v>1</v>
      </c>
      <c r="E40" s="75">
        <v>121.205</v>
      </c>
      <c r="F40" s="76">
        <v>106.13200000000001</v>
      </c>
      <c r="G40" s="77">
        <f>(1.3+0.6)-(0.2+0.2)</f>
        <v>1.5</v>
      </c>
      <c r="H40" s="78">
        <f>ROUND(D40*E40*F40*G40,0)</f>
        <v>19296</v>
      </c>
      <c r="K40" s="79"/>
    </row>
    <row r="41" spans="1:11" ht="15">
      <c r="A41" s="67"/>
      <c r="B41" s="73" t="s">
        <v>109</v>
      </c>
      <c r="C41" s="69" t="s">
        <v>11</v>
      </c>
      <c r="D41" s="74">
        <v>1</v>
      </c>
      <c r="E41" s="75"/>
      <c r="F41" s="88"/>
      <c r="G41" s="78"/>
      <c r="H41" s="80">
        <f>ROUND(H24+H36-H38,0)</f>
        <v>639</v>
      </c>
      <c r="K41" s="79"/>
    </row>
    <row r="42" spans="1:11" ht="15">
      <c r="A42" s="67"/>
      <c r="B42" s="73" t="s">
        <v>110</v>
      </c>
      <c r="C42" s="69" t="s">
        <v>11</v>
      </c>
      <c r="D42" s="74">
        <v>1</v>
      </c>
      <c r="E42" s="75"/>
      <c r="F42" s="88"/>
      <c r="G42" s="78"/>
      <c r="H42" s="80">
        <f>ROUND(H40-H41,0)</f>
        <v>18657</v>
      </c>
      <c r="K42" s="79"/>
    </row>
    <row r="43" spans="1:11" ht="15">
      <c r="A43" s="67">
        <v>5</v>
      </c>
      <c r="B43" s="72" t="s">
        <v>111</v>
      </c>
      <c r="C43" s="69"/>
      <c r="D43" s="74"/>
      <c r="E43" s="75"/>
      <c r="F43" s="76"/>
      <c r="G43" s="77"/>
      <c r="H43" s="78"/>
      <c r="K43" s="79"/>
    </row>
    <row r="44" spans="1:11" ht="15">
      <c r="A44" s="67"/>
      <c r="B44" s="72" t="s">
        <v>112</v>
      </c>
      <c r="C44" s="69"/>
      <c r="D44" s="74"/>
      <c r="E44" s="75"/>
      <c r="F44" s="76"/>
      <c r="G44" s="77"/>
      <c r="H44" s="78"/>
      <c r="K44" s="79"/>
    </row>
    <row r="45" spans="1:11" ht="15">
      <c r="A45" s="67"/>
      <c r="B45" s="73" t="s">
        <v>98</v>
      </c>
      <c r="C45" s="69" t="s">
        <v>11</v>
      </c>
      <c r="D45" s="74">
        <f>D103</f>
        <v>4</v>
      </c>
      <c r="E45" s="75">
        <f t="shared" ref="E45:F49" si="11">E103+0.15*2</f>
        <v>4.3999999999999995</v>
      </c>
      <c r="F45" s="75">
        <f t="shared" si="11"/>
        <v>2.9</v>
      </c>
      <c r="G45" s="77">
        <v>0.2</v>
      </c>
      <c r="H45" s="78">
        <f>D45*E45*F45*G45</f>
        <v>10.207999999999998</v>
      </c>
      <c r="K45" s="79"/>
    </row>
    <row r="46" spans="1:11" ht="15">
      <c r="A46" s="67"/>
      <c r="B46" s="73" t="s">
        <v>99</v>
      </c>
      <c r="C46" s="69" t="s">
        <v>11</v>
      </c>
      <c r="D46" s="74">
        <f>D104</f>
        <v>24</v>
      </c>
      <c r="E46" s="75">
        <f t="shared" si="11"/>
        <v>4.3999999999999995</v>
      </c>
      <c r="F46" s="75">
        <f t="shared" si="11"/>
        <v>2.9</v>
      </c>
      <c r="G46" s="77">
        <v>0.2</v>
      </c>
      <c r="H46" s="78">
        <f>D46*E46*F46*G46</f>
        <v>61.24799999999999</v>
      </c>
      <c r="K46" s="79"/>
    </row>
    <row r="47" spans="1:11" ht="15">
      <c r="A47" s="67"/>
      <c r="B47" s="73" t="s">
        <v>100</v>
      </c>
      <c r="C47" s="69" t="s">
        <v>11</v>
      </c>
      <c r="D47" s="74">
        <f>D105</f>
        <v>19</v>
      </c>
      <c r="E47" s="75">
        <f t="shared" si="11"/>
        <v>3.1999999999999997</v>
      </c>
      <c r="F47" s="75">
        <f t="shared" si="11"/>
        <v>2.6999999999999997</v>
      </c>
      <c r="G47" s="77">
        <v>0.2</v>
      </c>
      <c r="H47" s="78">
        <f>D47*E47*F47*G47</f>
        <v>32.831999999999994</v>
      </c>
      <c r="K47" s="79"/>
    </row>
    <row r="48" spans="1:11" ht="15">
      <c r="A48" s="67"/>
      <c r="B48" s="73" t="s">
        <v>101</v>
      </c>
      <c r="C48" s="69" t="s">
        <v>11</v>
      </c>
      <c r="D48" s="74">
        <f>D106</f>
        <v>8</v>
      </c>
      <c r="E48" s="75">
        <f t="shared" si="11"/>
        <v>3.5999999999999996</v>
      </c>
      <c r="F48" s="75">
        <f t="shared" si="11"/>
        <v>3.25</v>
      </c>
      <c r="G48" s="77">
        <v>0.2</v>
      </c>
      <c r="H48" s="78">
        <f>D48*E48*F48*G48</f>
        <v>18.72</v>
      </c>
      <c r="K48" s="79"/>
    </row>
    <row r="49" spans="1:13" ht="15">
      <c r="A49" s="67"/>
      <c r="B49" s="73" t="s">
        <v>102</v>
      </c>
      <c r="C49" s="69" t="s">
        <v>11</v>
      </c>
      <c r="D49" s="74">
        <f>D107</f>
        <v>24</v>
      </c>
      <c r="E49" s="75">
        <f t="shared" si="11"/>
        <v>3.55</v>
      </c>
      <c r="F49" s="75">
        <f t="shared" si="11"/>
        <v>3.4</v>
      </c>
      <c r="G49" s="77">
        <v>0.2</v>
      </c>
      <c r="H49" s="78">
        <f>D49*E49*F49*G49</f>
        <v>57.935999999999993</v>
      </c>
      <c r="K49" s="79"/>
    </row>
    <row r="50" spans="1:13" ht="15">
      <c r="A50" s="67"/>
      <c r="B50" s="73" t="s">
        <v>344</v>
      </c>
      <c r="C50" s="69" t="s">
        <v>11</v>
      </c>
      <c r="D50" s="74">
        <f t="shared" ref="D50:D53" si="12">D108</f>
        <v>1</v>
      </c>
      <c r="E50" s="75">
        <f t="shared" ref="E50:F50" si="13">E108+0.15*2</f>
        <v>4.0250000000000004</v>
      </c>
      <c r="F50" s="75">
        <f t="shared" si="13"/>
        <v>2.6999999999999997</v>
      </c>
      <c r="G50" s="77">
        <v>0.2</v>
      </c>
      <c r="H50" s="78">
        <f t="shared" ref="H50:H53" si="14">D50*E50*F50*G50</f>
        <v>2.1735000000000002</v>
      </c>
      <c r="K50" s="79"/>
    </row>
    <row r="51" spans="1:13" ht="15">
      <c r="A51" s="67"/>
      <c r="B51" s="73" t="s">
        <v>345</v>
      </c>
      <c r="C51" s="69" t="s">
        <v>11</v>
      </c>
      <c r="D51" s="74">
        <f t="shared" si="12"/>
        <v>1</v>
      </c>
      <c r="E51" s="75">
        <f t="shared" ref="E51:F51" si="15">E109+0.15*2</f>
        <v>4.3999999999999995</v>
      </c>
      <c r="F51" s="75">
        <f t="shared" si="15"/>
        <v>2.9</v>
      </c>
      <c r="G51" s="77">
        <v>0.2</v>
      </c>
      <c r="H51" s="78">
        <f t="shared" si="14"/>
        <v>2.5519999999999996</v>
      </c>
      <c r="K51" s="79"/>
    </row>
    <row r="52" spans="1:13" ht="15">
      <c r="A52" s="67"/>
      <c r="B52" s="73" t="s">
        <v>346</v>
      </c>
      <c r="C52" s="69" t="s">
        <v>11</v>
      </c>
      <c r="D52" s="74">
        <f t="shared" si="12"/>
        <v>1</v>
      </c>
      <c r="E52" s="75">
        <f t="shared" ref="E52:F52" si="16">E110+0.15*2</f>
        <v>4.3999999999999995</v>
      </c>
      <c r="F52" s="75">
        <f t="shared" si="16"/>
        <v>2.9</v>
      </c>
      <c r="G52" s="77">
        <v>0.2</v>
      </c>
      <c r="H52" s="78">
        <f t="shared" si="14"/>
        <v>2.5519999999999996</v>
      </c>
      <c r="K52" s="79"/>
    </row>
    <row r="53" spans="1:13" ht="15">
      <c r="A53" s="67"/>
      <c r="B53" s="73" t="s">
        <v>347</v>
      </c>
      <c r="C53" s="69" t="s">
        <v>11</v>
      </c>
      <c r="D53" s="74">
        <f t="shared" si="12"/>
        <v>3</v>
      </c>
      <c r="E53" s="75">
        <f t="shared" ref="E53:F53" si="17">E111+0.15*2</f>
        <v>1.2</v>
      </c>
      <c r="F53" s="75">
        <f t="shared" si="17"/>
        <v>1.2</v>
      </c>
      <c r="G53" s="77">
        <v>0.2</v>
      </c>
      <c r="H53" s="78">
        <f t="shared" si="14"/>
        <v>0.86399999999999988</v>
      </c>
      <c r="K53" s="79"/>
    </row>
    <row r="54" spans="1:13" ht="15">
      <c r="A54" s="67"/>
      <c r="B54" s="72" t="s">
        <v>113</v>
      </c>
      <c r="C54" s="69"/>
      <c r="D54" s="74"/>
      <c r="E54" s="75"/>
      <c r="F54" s="76"/>
      <c r="G54" s="77"/>
      <c r="H54" s="78"/>
      <c r="K54" s="79"/>
    </row>
    <row r="55" spans="1:13" ht="15">
      <c r="A55" s="67"/>
      <c r="B55" s="72"/>
      <c r="C55" s="69" t="s">
        <v>11</v>
      </c>
      <c r="D55" s="74">
        <f>D40</f>
        <v>1</v>
      </c>
      <c r="E55" s="75">
        <f>E40</f>
        <v>121.205</v>
      </c>
      <c r="F55" s="75">
        <f>F40</f>
        <v>106.13200000000001</v>
      </c>
      <c r="G55" s="77">
        <v>0.2</v>
      </c>
      <c r="H55" s="78">
        <f>D55*E55*F55*G55</f>
        <v>2572.7458120000001</v>
      </c>
      <c r="K55" s="79"/>
    </row>
    <row r="56" spans="1:13" ht="15">
      <c r="A56" s="67"/>
      <c r="B56" s="72" t="s">
        <v>114</v>
      </c>
      <c r="C56" s="69"/>
      <c r="D56" s="74"/>
      <c r="E56" s="75"/>
      <c r="F56" s="75"/>
      <c r="G56" s="77"/>
      <c r="H56" s="78"/>
      <c r="K56" s="79"/>
    </row>
    <row r="57" spans="1:13" ht="15">
      <c r="A57" s="67"/>
      <c r="B57" s="72"/>
      <c r="C57" s="69" t="s">
        <v>11</v>
      </c>
      <c r="D57" s="74">
        <v>2</v>
      </c>
      <c r="E57" s="74">
        <f>E98</f>
        <v>15.6</v>
      </c>
      <c r="F57" s="74">
        <v>4.5</v>
      </c>
      <c r="G57" s="77">
        <v>0.2</v>
      </c>
      <c r="H57" s="78">
        <f>D57*E57*F57*G57</f>
        <v>28.080000000000002</v>
      </c>
      <c r="K57" s="79"/>
    </row>
    <row r="58" spans="1:13" ht="15">
      <c r="A58" s="67"/>
      <c r="B58" s="72"/>
      <c r="C58" s="69"/>
      <c r="D58" s="74"/>
      <c r="E58" s="75"/>
      <c r="F58" s="75"/>
      <c r="G58" s="77"/>
      <c r="H58" s="78"/>
      <c r="K58" s="79"/>
    </row>
    <row r="59" spans="1:13" ht="15">
      <c r="A59" s="67"/>
      <c r="B59" s="73"/>
      <c r="C59" s="69"/>
      <c r="D59" s="74"/>
      <c r="E59" s="75"/>
      <c r="F59" s="677" t="s">
        <v>65</v>
      </c>
      <c r="G59" s="677"/>
      <c r="H59" s="80">
        <f>ROUND(SUM(H44:H58),0)</f>
        <v>2790</v>
      </c>
      <c r="K59" s="79"/>
    </row>
    <row r="60" spans="1:13" ht="15">
      <c r="A60" s="81"/>
      <c r="B60" s="82"/>
      <c r="C60" s="83"/>
      <c r="D60" s="84"/>
      <c r="E60" s="85"/>
      <c r="F60" s="86"/>
      <c r="G60" s="87"/>
      <c r="H60" s="87"/>
      <c r="K60" s="79"/>
    </row>
    <row r="61" spans="1:13" ht="15">
      <c r="A61" s="67">
        <v>6</v>
      </c>
      <c r="B61" s="72" t="s">
        <v>115</v>
      </c>
      <c r="C61" s="69" t="s">
        <v>16</v>
      </c>
      <c r="D61" s="74">
        <v>1</v>
      </c>
      <c r="E61" s="75">
        <f>E40</f>
        <v>121.205</v>
      </c>
      <c r="F61" s="75">
        <f>F40</f>
        <v>106.13200000000001</v>
      </c>
      <c r="G61" s="77"/>
      <c r="H61" s="78">
        <f>D61*E61*F61</f>
        <v>12863.72906</v>
      </c>
      <c r="K61" s="79"/>
    </row>
    <row r="62" spans="1:13" ht="15">
      <c r="A62" s="67"/>
      <c r="B62" s="73"/>
      <c r="C62" s="69"/>
      <c r="D62" s="74"/>
      <c r="E62" s="75"/>
      <c r="F62" s="677" t="s">
        <v>65</v>
      </c>
      <c r="G62" s="677"/>
      <c r="H62" s="80">
        <f>ROUND(SUM(H61:H61),0)</f>
        <v>12864</v>
      </c>
      <c r="K62" s="79"/>
    </row>
    <row r="63" spans="1:13" ht="15">
      <c r="A63" s="81"/>
      <c r="B63" s="82"/>
      <c r="C63" s="83"/>
      <c r="D63" s="84"/>
      <c r="E63" s="85"/>
      <c r="F63" s="86"/>
      <c r="G63" s="87"/>
      <c r="H63" s="87"/>
      <c r="K63" s="89"/>
      <c r="L63" s="90"/>
      <c r="M63" s="90"/>
    </row>
    <row r="64" spans="1:13" ht="15">
      <c r="A64" s="67" t="s">
        <v>116</v>
      </c>
      <c r="B64" s="72" t="s">
        <v>117</v>
      </c>
      <c r="C64" s="69"/>
      <c r="D64" s="74"/>
      <c r="E64" s="75"/>
      <c r="F64" s="76"/>
      <c r="G64" s="77"/>
      <c r="H64" s="78"/>
      <c r="K64" s="79"/>
    </row>
    <row r="65" spans="1:11" ht="15">
      <c r="A65" s="67"/>
      <c r="B65" s="72" t="s">
        <v>112</v>
      </c>
      <c r="C65" s="69"/>
      <c r="D65" s="74"/>
      <c r="E65" s="75"/>
      <c r="F65" s="76"/>
      <c r="G65" s="77"/>
      <c r="H65" s="78"/>
      <c r="K65" s="91"/>
    </row>
    <row r="66" spans="1:11" ht="15">
      <c r="A66" s="67"/>
      <c r="B66" s="73" t="s">
        <v>98</v>
      </c>
      <c r="C66" s="69" t="s">
        <v>11</v>
      </c>
      <c r="D66" s="74">
        <f>D45</f>
        <v>4</v>
      </c>
      <c r="E66" s="75">
        <f t="shared" ref="E66:F70" si="18">E103+0.15*2</f>
        <v>4.3999999999999995</v>
      </c>
      <c r="F66" s="75">
        <f t="shared" si="18"/>
        <v>2.9</v>
      </c>
      <c r="G66" s="92">
        <v>7.4999999999999997E-2</v>
      </c>
      <c r="H66" s="78">
        <f>D66*E66*F66*G66</f>
        <v>3.8279999999999994</v>
      </c>
      <c r="K66" s="91"/>
    </row>
    <row r="67" spans="1:11" ht="15">
      <c r="A67" s="67"/>
      <c r="B67" s="73" t="s">
        <v>99</v>
      </c>
      <c r="C67" s="69" t="s">
        <v>11</v>
      </c>
      <c r="D67" s="74">
        <f>D46</f>
        <v>24</v>
      </c>
      <c r="E67" s="75">
        <f t="shared" si="18"/>
        <v>4.3999999999999995</v>
      </c>
      <c r="F67" s="75">
        <f t="shared" si="18"/>
        <v>2.9</v>
      </c>
      <c r="G67" s="92">
        <v>7.4999999999999997E-2</v>
      </c>
      <c r="H67" s="78">
        <f>D67*E67*F67*G67</f>
        <v>22.967999999999996</v>
      </c>
      <c r="K67" s="79"/>
    </row>
    <row r="68" spans="1:11" ht="15">
      <c r="A68" s="67"/>
      <c r="B68" s="73" t="s">
        <v>100</v>
      </c>
      <c r="C68" s="69" t="s">
        <v>11</v>
      </c>
      <c r="D68" s="74">
        <f>D47</f>
        <v>19</v>
      </c>
      <c r="E68" s="75">
        <f t="shared" si="18"/>
        <v>3.1999999999999997</v>
      </c>
      <c r="F68" s="75">
        <f t="shared" si="18"/>
        <v>2.6999999999999997</v>
      </c>
      <c r="G68" s="92">
        <v>7.4999999999999997E-2</v>
      </c>
      <c r="H68" s="78">
        <f>D68*E68*F68*G68</f>
        <v>12.311999999999998</v>
      </c>
      <c r="K68" s="79"/>
    </row>
    <row r="69" spans="1:11" ht="15">
      <c r="A69" s="67"/>
      <c r="B69" s="73" t="s">
        <v>101</v>
      </c>
      <c r="C69" s="69" t="s">
        <v>11</v>
      </c>
      <c r="D69" s="74">
        <f>D48</f>
        <v>8</v>
      </c>
      <c r="E69" s="75">
        <f t="shared" si="18"/>
        <v>3.5999999999999996</v>
      </c>
      <c r="F69" s="75">
        <f t="shared" si="18"/>
        <v>3.25</v>
      </c>
      <c r="G69" s="92">
        <v>7.4999999999999997E-2</v>
      </c>
      <c r="H69" s="78">
        <f>D69*E69*F69*G69</f>
        <v>7.02</v>
      </c>
      <c r="K69" s="79"/>
    </row>
    <row r="70" spans="1:11" ht="15">
      <c r="A70" s="67"/>
      <c r="B70" s="73" t="s">
        <v>102</v>
      </c>
      <c r="C70" s="69" t="s">
        <v>11</v>
      </c>
      <c r="D70" s="74">
        <f>D49</f>
        <v>24</v>
      </c>
      <c r="E70" s="75">
        <f t="shared" si="18"/>
        <v>3.55</v>
      </c>
      <c r="F70" s="75">
        <f t="shared" si="18"/>
        <v>3.4</v>
      </c>
      <c r="G70" s="92">
        <v>7.4999999999999997E-2</v>
      </c>
      <c r="H70" s="78">
        <f>D70*E70*F70*G70</f>
        <v>21.725999999999996</v>
      </c>
      <c r="K70" s="91"/>
    </row>
    <row r="71" spans="1:11" ht="15">
      <c r="A71" s="67"/>
      <c r="B71" s="73" t="s">
        <v>344</v>
      </c>
      <c r="C71" s="69" t="s">
        <v>11</v>
      </c>
      <c r="D71" s="74">
        <f t="shared" ref="D71:D74" si="19">D50</f>
        <v>1</v>
      </c>
      <c r="E71" s="75">
        <f t="shared" ref="E71:F71" si="20">E108+0.15*2</f>
        <v>4.0250000000000004</v>
      </c>
      <c r="F71" s="75">
        <f t="shared" si="20"/>
        <v>2.6999999999999997</v>
      </c>
      <c r="G71" s="92">
        <v>7.4999999999999997E-2</v>
      </c>
      <c r="H71" s="78">
        <f t="shared" ref="H71:H74" si="21">D71*E71*F71*G71</f>
        <v>0.81506249999999991</v>
      </c>
      <c r="K71" s="91"/>
    </row>
    <row r="72" spans="1:11" ht="15">
      <c r="A72" s="67"/>
      <c r="B72" s="73" t="s">
        <v>345</v>
      </c>
      <c r="C72" s="69" t="s">
        <v>11</v>
      </c>
      <c r="D72" s="74">
        <f t="shared" si="19"/>
        <v>1</v>
      </c>
      <c r="E72" s="75">
        <f t="shared" ref="E72:F72" si="22">E109+0.15*2</f>
        <v>4.3999999999999995</v>
      </c>
      <c r="F72" s="75">
        <f t="shared" si="22"/>
        <v>2.9</v>
      </c>
      <c r="G72" s="92">
        <v>7.4999999999999997E-2</v>
      </c>
      <c r="H72" s="78">
        <f t="shared" si="21"/>
        <v>0.95699999999999985</v>
      </c>
      <c r="K72" s="91"/>
    </row>
    <row r="73" spans="1:11" ht="15">
      <c r="A73" s="67"/>
      <c r="B73" s="73" t="s">
        <v>346</v>
      </c>
      <c r="C73" s="69" t="s">
        <v>11</v>
      </c>
      <c r="D73" s="74">
        <f t="shared" si="19"/>
        <v>1</v>
      </c>
      <c r="E73" s="75">
        <f t="shared" ref="E73:F73" si="23">E110+0.15*2</f>
        <v>4.3999999999999995</v>
      </c>
      <c r="F73" s="75">
        <f t="shared" si="23"/>
        <v>2.9</v>
      </c>
      <c r="G73" s="92">
        <v>7.4999999999999997E-2</v>
      </c>
      <c r="H73" s="78">
        <f t="shared" si="21"/>
        <v>0.95699999999999985</v>
      </c>
      <c r="K73" s="91"/>
    </row>
    <row r="74" spans="1:11" ht="15">
      <c r="A74" s="67"/>
      <c r="B74" s="73" t="s">
        <v>347</v>
      </c>
      <c r="C74" s="69" t="s">
        <v>11</v>
      </c>
      <c r="D74" s="74">
        <f t="shared" si="19"/>
        <v>3</v>
      </c>
      <c r="E74" s="75">
        <f t="shared" ref="E74:F74" si="24">E111+0.15*2</f>
        <v>1.2</v>
      </c>
      <c r="F74" s="75">
        <f t="shared" si="24"/>
        <v>1.2</v>
      </c>
      <c r="G74" s="92">
        <v>7.4999999999999997E-2</v>
      </c>
      <c r="H74" s="78">
        <f t="shared" si="21"/>
        <v>0.32399999999999995</v>
      </c>
      <c r="K74" s="91"/>
    </row>
    <row r="75" spans="1:11" ht="15">
      <c r="A75" s="81"/>
      <c r="B75" s="93" t="s">
        <v>118</v>
      </c>
      <c r="C75" s="83"/>
      <c r="D75" s="84"/>
      <c r="E75" s="85"/>
      <c r="F75" s="86"/>
      <c r="G75" s="94"/>
      <c r="H75" s="87"/>
      <c r="K75" s="79"/>
    </row>
    <row r="76" spans="1:11" ht="15">
      <c r="A76" s="81"/>
      <c r="B76" s="93" t="s">
        <v>119</v>
      </c>
      <c r="C76" s="83" t="s">
        <v>11</v>
      </c>
      <c r="D76" s="84">
        <f>D131</f>
        <v>2</v>
      </c>
      <c r="E76" s="85">
        <f>E131</f>
        <v>230.57</v>
      </c>
      <c r="F76" s="86">
        <f>F131+0.05*2</f>
        <v>0.35</v>
      </c>
      <c r="G76" s="94">
        <v>7.4999999999999997E-2</v>
      </c>
      <c r="H76" s="87">
        <f>D76*E76*F76*G76</f>
        <v>12.104924999999998</v>
      </c>
      <c r="K76" s="79"/>
    </row>
    <row r="77" spans="1:11" ht="15">
      <c r="A77" s="67"/>
      <c r="B77" s="95"/>
      <c r="C77" s="69"/>
      <c r="D77" s="74"/>
      <c r="E77" s="75"/>
      <c r="F77" s="76"/>
      <c r="G77" s="92"/>
      <c r="H77" s="78"/>
      <c r="K77" s="79"/>
    </row>
    <row r="78" spans="1:11" ht="15">
      <c r="A78" s="67"/>
      <c r="B78" s="95" t="s">
        <v>120</v>
      </c>
      <c r="C78" s="69" t="s">
        <v>11</v>
      </c>
      <c r="D78" s="74">
        <v>2</v>
      </c>
      <c r="E78" s="75">
        <f>E98</f>
        <v>15.6</v>
      </c>
      <c r="F78" s="76">
        <f>F98</f>
        <v>4.5</v>
      </c>
      <c r="G78" s="92">
        <v>7.4999999999999997E-2</v>
      </c>
      <c r="H78" s="78">
        <f>D78*E78*F78*G78</f>
        <v>10.53</v>
      </c>
      <c r="K78" s="79"/>
    </row>
    <row r="79" spans="1:11" ht="15">
      <c r="A79" s="67"/>
      <c r="B79" s="72"/>
      <c r="C79" s="69"/>
      <c r="D79" s="74"/>
      <c r="E79" s="75"/>
      <c r="F79" s="688" t="s">
        <v>65</v>
      </c>
      <c r="G79" s="688"/>
      <c r="H79" s="80">
        <f>ROUND(SUM(H65:H78),0)</f>
        <v>94</v>
      </c>
      <c r="K79" s="79"/>
    </row>
    <row r="80" spans="1:11" ht="15">
      <c r="A80" s="81"/>
      <c r="B80" s="96"/>
      <c r="C80" s="83"/>
      <c r="D80" s="84"/>
      <c r="E80" s="85"/>
      <c r="F80" s="86"/>
      <c r="G80" s="87"/>
      <c r="H80" s="87"/>
      <c r="K80" s="79"/>
    </row>
    <row r="81" spans="1:11" ht="15">
      <c r="A81" s="67" t="s">
        <v>121</v>
      </c>
      <c r="B81" s="97" t="s">
        <v>320</v>
      </c>
      <c r="C81" s="69" t="s">
        <v>11</v>
      </c>
      <c r="D81" s="74">
        <v>8</v>
      </c>
      <c r="E81" s="98">
        <v>2.2000000000000002</v>
      </c>
      <c r="F81" s="98">
        <v>3</v>
      </c>
      <c r="G81" s="99">
        <v>0.4</v>
      </c>
      <c r="H81" s="80">
        <f>ROUND(D81*E81*F81*G81,0)</f>
        <v>21</v>
      </c>
      <c r="K81" s="79"/>
    </row>
    <row r="82" spans="1:11" ht="15">
      <c r="A82" s="81"/>
      <c r="B82" s="96"/>
      <c r="C82" s="83"/>
      <c r="D82" s="84"/>
      <c r="E82" s="85"/>
      <c r="F82" s="86"/>
      <c r="G82" s="87"/>
      <c r="H82" s="87"/>
      <c r="K82" s="79"/>
    </row>
    <row r="83" spans="1:11" ht="15">
      <c r="A83" s="67">
        <v>8</v>
      </c>
      <c r="B83" s="72" t="s">
        <v>122</v>
      </c>
      <c r="C83" s="100"/>
      <c r="D83" s="74"/>
      <c r="E83" s="75"/>
      <c r="F83" s="88"/>
      <c r="G83" s="78"/>
      <c r="H83" s="78"/>
      <c r="K83" s="79"/>
    </row>
    <row r="84" spans="1:11" ht="15">
      <c r="A84" s="67"/>
      <c r="B84" s="101" t="s">
        <v>123</v>
      </c>
      <c r="C84" s="100" t="s">
        <v>11</v>
      </c>
      <c r="D84" s="74">
        <v>1</v>
      </c>
      <c r="E84" s="75">
        <f>E55</f>
        <v>121.205</v>
      </c>
      <c r="F84" s="88">
        <f>F55</f>
        <v>106.13200000000001</v>
      </c>
      <c r="G84" s="78">
        <v>0.2</v>
      </c>
      <c r="H84" s="78">
        <f>D84*E84*F84*G84</f>
        <v>2572.7458120000001</v>
      </c>
      <c r="K84" s="79"/>
    </row>
    <row r="85" spans="1:11" ht="15">
      <c r="A85" s="67"/>
      <c r="B85" s="102" t="s">
        <v>124</v>
      </c>
      <c r="C85" s="100" t="s">
        <v>11</v>
      </c>
      <c r="D85" s="74">
        <v>9</v>
      </c>
      <c r="E85" s="75">
        <f>1.25+0.1</f>
        <v>1.35</v>
      </c>
      <c r="F85" s="75">
        <f>1.25+0.1</f>
        <v>1.35</v>
      </c>
      <c r="G85" s="78">
        <v>0.2</v>
      </c>
      <c r="H85" s="78">
        <f>D85*E85*F85*G85</f>
        <v>3.2805</v>
      </c>
      <c r="K85" s="91"/>
    </row>
    <row r="86" spans="1:11" ht="15">
      <c r="A86" s="67"/>
      <c r="B86" s="102"/>
      <c r="C86" s="100"/>
      <c r="D86" s="74"/>
      <c r="E86" s="75"/>
      <c r="F86" s="75"/>
      <c r="G86" s="78"/>
      <c r="H86" s="78"/>
      <c r="K86" s="91"/>
    </row>
    <row r="87" spans="1:11" ht="15">
      <c r="A87" s="67"/>
      <c r="B87" s="102"/>
      <c r="C87" s="100"/>
      <c r="D87" s="74"/>
      <c r="E87" s="75"/>
      <c r="F87" s="75"/>
      <c r="G87" s="78"/>
      <c r="H87" s="78"/>
      <c r="K87" s="91"/>
    </row>
    <row r="88" spans="1:11" ht="15">
      <c r="A88" s="67"/>
      <c r="B88" s="101" t="s">
        <v>321</v>
      </c>
      <c r="C88" s="100"/>
      <c r="D88" s="74"/>
      <c r="E88" s="75"/>
      <c r="F88" s="88"/>
      <c r="G88" s="78"/>
      <c r="H88" s="78"/>
      <c r="K88" s="79"/>
    </row>
    <row r="89" spans="1:11" ht="15">
      <c r="A89" s="67"/>
      <c r="B89" s="73" t="s">
        <v>98</v>
      </c>
      <c r="C89" s="100" t="s">
        <v>11</v>
      </c>
      <c r="D89" s="74">
        <f>-D114</f>
        <v>-4</v>
      </c>
      <c r="E89" s="75">
        <f t="shared" ref="E89:F93" si="25">E114</f>
        <v>1.4</v>
      </c>
      <c r="F89" s="75">
        <f t="shared" si="25"/>
        <v>0.95</v>
      </c>
      <c r="G89" s="78">
        <v>0.2</v>
      </c>
      <c r="H89" s="78">
        <f t="shared" ref="H89:H98" si="26">D89*E89*F89*G89</f>
        <v>-1.0639999999999998</v>
      </c>
      <c r="K89" s="79"/>
    </row>
    <row r="90" spans="1:11" ht="15">
      <c r="A90" s="67"/>
      <c r="B90" s="73" t="s">
        <v>99</v>
      </c>
      <c r="C90" s="100" t="s">
        <v>11</v>
      </c>
      <c r="D90" s="74">
        <f>-D115</f>
        <v>-24</v>
      </c>
      <c r="E90" s="75">
        <f t="shared" si="25"/>
        <v>1.4</v>
      </c>
      <c r="F90" s="75">
        <f t="shared" si="25"/>
        <v>0.85</v>
      </c>
      <c r="G90" s="78">
        <v>0.2</v>
      </c>
      <c r="H90" s="78">
        <f t="shared" si="26"/>
        <v>-5.7119999999999997</v>
      </c>
      <c r="K90" s="79"/>
    </row>
    <row r="91" spans="1:11" ht="15">
      <c r="A91" s="67"/>
      <c r="B91" s="73" t="s">
        <v>100</v>
      </c>
      <c r="C91" s="100" t="s">
        <v>11</v>
      </c>
      <c r="D91" s="74">
        <f>-D116</f>
        <v>-19</v>
      </c>
      <c r="E91" s="75">
        <f t="shared" si="25"/>
        <v>1.075</v>
      </c>
      <c r="F91" s="75">
        <f t="shared" si="25"/>
        <v>0.45</v>
      </c>
      <c r="G91" s="78">
        <v>0.2</v>
      </c>
      <c r="H91" s="78">
        <f t="shared" si="26"/>
        <v>-1.8382500000000002</v>
      </c>
      <c r="K91" s="79"/>
    </row>
    <row r="92" spans="1:11" ht="15">
      <c r="A92" s="67"/>
      <c r="B92" s="73" t="s">
        <v>101</v>
      </c>
      <c r="C92" s="100" t="s">
        <v>11</v>
      </c>
      <c r="D92" s="74">
        <f>-D117</f>
        <v>-8</v>
      </c>
      <c r="E92" s="75">
        <f t="shared" si="25"/>
        <v>1.2</v>
      </c>
      <c r="F92" s="75">
        <f t="shared" si="25"/>
        <v>0.85</v>
      </c>
      <c r="G92" s="78">
        <v>0.2</v>
      </c>
      <c r="H92" s="78">
        <f t="shared" si="26"/>
        <v>-1.6320000000000001</v>
      </c>
      <c r="K92" s="79"/>
    </row>
    <row r="93" spans="1:11" ht="15">
      <c r="A93" s="67"/>
      <c r="B93" s="73" t="s">
        <v>102</v>
      </c>
      <c r="C93" s="100" t="s">
        <v>11</v>
      </c>
      <c r="D93" s="74">
        <f>-D118</f>
        <v>-24</v>
      </c>
      <c r="E93" s="75">
        <f t="shared" si="25"/>
        <v>1</v>
      </c>
      <c r="F93" s="75">
        <f t="shared" si="25"/>
        <v>0.85</v>
      </c>
      <c r="G93" s="78">
        <v>0.2</v>
      </c>
      <c r="H93" s="78">
        <f t="shared" si="26"/>
        <v>-4.08</v>
      </c>
      <c r="K93" s="79"/>
    </row>
    <row r="94" spans="1:11" ht="15">
      <c r="A94" s="67"/>
      <c r="B94" s="73" t="s">
        <v>344</v>
      </c>
      <c r="C94" s="100" t="s">
        <v>11</v>
      </c>
      <c r="D94" s="74">
        <f t="shared" ref="D94:D97" si="27">-D119</f>
        <v>-1</v>
      </c>
      <c r="E94" s="75">
        <f t="shared" ref="E94:F94" si="28">E119</f>
        <v>1.075</v>
      </c>
      <c r="F94" s="75">
        <f t="shared" si="28"/>
        <v>0.45</v>
      </c>
      <c r="G94" s="78">
        <v>0.2</v>
      </c>
      <c r="H94" s="78">
        <f t="shared" ref="H94:H97" si="29">D94*E94*F94*G94</f>
        <v>-9.6750000000000003E-2</v>
      </c>
      <c r="K94" s="79"/>
    </row>
    <row r="95" spans="1:11" ht="15">
      <c r="A95" s="67"/>
      <c r="B95" s="73" t="s">
        <v>345</v>
      </c>
      <c r="C95" s="100" t="s">
        <v>11</v>
      </c>
      <c r="D95" s="74">
        <f t="shared" si="27"/>
        <v>-1</v>
      </c>
      <c r="E95" s="75">
        <f t="shared" ref="E95:F95" si="30">E120</f>
        <v>1.4</v>
      </c>
      <c r="F95" s="75">
        <f t="shared" si="30"/>
        <v>0.85</v>
      </c>
      <c r="G95" s="78">
        <v>0.2</v>
      </c>
      <c r="H95" s="78">
        <f t="shared" si="29"/>
        <v>-0.23799999999999999</v>
      </c>
      <c r="K95" s="79"/>
    </row>
    <row r="96" spans="1:11" ht="15">
      <c r="A96" s="67"/>
      <c r="B96" s="73" t="s">
        <v>346</v>
      </c>
      <c r="C96" s="100" t="s">
        <v>11</v>
      </c>
      <c r="D96" s="74">
        <f t="shared" si="27"/>
        <v>-1</v>
      </c>
      <c r="E96" s="75">
        <f t="shared" ref="E96:F96" si="31">E121</f>
        <v>1.4</v>
      </c>
      <c r="F96" s="75">
        <f t="shared" si="31"/>
        <v>0.85</v>
      </c>
      <c r="G96" s="78">
        <v>0.2</v>
      </c>
      <c r="H96" s="78">
        <f t="shared" si="29"/>
        <v>-0.23799999999999999</v>
      </c>
      <c r="K96" s="79"/>
    </row>
    <row r="97" spans="1:11" ht="15">
      <c r="A97" s="67"/>
      <c r="B97" s="73" t="s">
        <v>347</v>
      </c>
      <c r="C97" s="100" t="s">
        <v>11</v>
      </c>
      <c r="D97" s="74">
        <f t="shared" si="27"/>
        <v>-3</v>
      </c>
      <c r="E97" s="75">
        <f t="shared" ref="E97:F97" si="32">E122</f>
        <v>0.6</v>
      </c>
      <c r="F97" s="75">
        <f t="shared" si="32"/>
        <v>0.6</v>
      </c>
      <c r="G97" s="78">
        <v>0.2</v>
      </c>
      <c r="H97" s="78">
        <f t="shared" si="29"/>
        <v>-0.21599999999999997</v>
      </c>
      <c r="K97" s="79"/>
    </row>
    <row r="98" spans="1:11" ht="15">
      <c r="A98" s="67"/>
      <c r="B98" s="102" t="s">
        <v>125</v>
      </c>
      <c r="C98" s="100" t="s">
        <v>11</v>
      </c>
      <c r="D98" s="74">
        <v>2</v>
      </c>
      <c r="E98" s="75">
        <v>15.6</v>
      </c>
      <c r="F98" s="75">
        <v>4.5</v>
      </c>
      <c r="G98" s="78">
        <v>0.15</v>
      </c>
      <c r="H98" s="78">
        <f t="shared" si="26"/>
        <v>21.06</v>
      </c>
      <c r="K98" s="79"/>
    </row>
    <row r="99" spans="1:11" ht="15">
      <c r="A99" s="67"/>
      <c r="B99" s="72"/>
      <c r="C99" s="100"/>
      <c r="D99" s="74"/>
      <c r="E99" s="75"/>
      <c r="F99" s="677" t="s">
        <v>65</v>
      </c>
      <c r="G99" s="677"/>
      <c r="H99" s="80">
        <f>ROUND(SUM(H83:H98),0)</f>
        <v>2582</v>
      </c>
      <c r="K99" s="79"/>
    </row>
    <row r="100" spans="1:11" ht="15">
      <c r="A100" s="67"/>
      <c r="B100" s="72"/>
      <c r="C100" s="100"/>
      <c r="D100" s="74"/>
      <c r="E100" s="75"/>
      <c r="F100" s="88"/>
      <c r="G100" s="78"/>
      <c r="H100" s="78"/>
      <c r="K100" s="79"/>
    </row>
    <row r="101" spans="1:11" ht="15">
      <c r="A101" s="67">
        <v>9</v>
      </c>
      <c r="B101" s="72" t="s">
        <v>126</v>
      </c>
      <c r="C101" s="69"/>
      <c r="D101" s="74"/>
      <c r="E101" s="75"/>
      <c r="F101" s="76"/>
      <c r="G101" s="77"/>
      <c r="H101" s="78"/>
      <c r="K101" s="79"/>
    </row>
    <row r="102" spans="1:11" ht="15">
      <c r="A102" s="67"/>
      <c r="B102" s="72" t="s">
        <v>112</v>
      </c>
      <c r="C102" s="69"/>
      <c r="D102" s="74"/>
      <c r="E102" s="75"/>
      <c r="F102" s="76"/>
      <c r="G102" s="77"/>
      <c r="H102" s="78"/>
      <c r="K102" s="79"/>
    </row>
    <row r="103" spans="1:11" ht="15">
      <c r="A103" s="67"/>
      <c r="B103" s="73" t="s">
        <v>98</v>
      </c>
      <c r="C103" s="69" t="s">
        <v>11</v>
      </c>
      <c r="D103" s="74">
        <v>4</v>
      </c>
      <c r="E103" s="75">
        <v>4.0999999999999996</v>
      </c>
      <c r="F103" s="76">
        <v>2.6</v>
      </c>
      <c r="G103" s="77">
        <v>0.45</v>
      </c>
      <c r="H103" s="78">
        <f>D103*E103*F103*G103</f>
        <v>19.188000000000002</v>
      </c>
      <c r="K103" s="79"/>
    </row>
    <row r="104" spans="1:11" ht="15">
      <c r="A104" s="67"/>
      <c r="B104" s="73" t="s">
        <v>99</v>
      </c>
      <c r="C104" s="69" t="s">
        <v>11</v>
      </c>
      <c r="D104" s="74">
        <v>24</v>
      </c>
      <c r="E104" s="75">
        <v>4.0999999999999996</v>
      </c>
      <c r="F104" s="76">
        <v>2.6</v>
      </c>
      <c r="G104" s="77">
        <v>0.45</v>
      </c>
      <c r="H104" s="78">
        <f>D104*E104*F104*G104</f>
        <v>115.12799999999999</v>
      </c>
      <c r="K104" s="79"/>
    </row>
    <row r="105" spans="1:11" ht="15">
      <c r="A105" s="67"/>
      <c r="B105" s="73" t="s">
        <v>100</v>
      </c>
      <c r="C105" s="69" t="s">
        <v>11</v>
      </c>
      <c r="D105" s="74">
        <v>19</v>
      </c>
      <c r="E105" s="75">
        <v>2.9</v>
      </c>
      <c r="F105" s="76">
        <v>2.4</v>
      </c>
      <c r="G105" s="77">
        <v>0.45</v>
      </c>
      <c r="H105" s="78">
        <f>D105*E105*F105*G105</f>
        <v>59.508000000000003</v>
      </c>
      <c r="K105" s="79"/>
    </row>
    <row r="106" spans="1:11" ht="15">
      <c r="A106" s="67"/>
      <c r="B106" s="73" t="s">
        <v>101</v>
      </c>
      <c r="C106" s="69" t="s">
        <v>11</v>
      </c>
      <c r="D106" s="74">
        <f>4*2</f>
        <v>8</v>
      </c>
      <c r="E106" s="75">
        <v>3.3</v>
      </c>
      <c r="F106" s="76">
        <v>2.95</v>
      </c>
      <c r="G106" s="77">
        <v>0.6</v>
      </c>
      <c r="H106" s="78">
        <f>D106*E106*F106*G106</f>
        <v>46.727999999999994</v>
      </c>
      <c r="K106" s="79"/>
    </row>
    <row r="107" spans="1:11" ht="15">
      <c r="A107" s="67"/>
      <c r="B107" s="73" t="s">
        <v>102</v>
      </c>
      <c r="C107" s="69" t="s">
        <v>11</v>
      </c>
      <c r="D107" s="74">
        <v>24</v>
      </c>
      <c r="E107" s="75">
        <v>3.25</v>
      </c>
      <c r="F107" s="76">
        <v>3.1</v>
      </c>
      <c r="G107" s="77">
        <v>0.45</v>
      </c>
      <c r="H107" s="78">
        <f>D107*E107*F107*G107</f>
        <v>108.81</v>
      </c>
      <c r="K107" s="79"/>
    </row>
    <row r="108" spans="1:11" ht="15">
      <c r="A108" s="67"/>
      <c r="B108" s="73" t="s">
        <v>344</v>
      </c>
      <c r="C108" s="69" t="s">
        <v>11</v>
      </c>
      <c r="D108" s="74">
        <v>1</v>
      </c>
      <c r="E108" s="75">
        <v>3.7250000000000001</v>
      </c>
      <c r="F108" s="76">
        <v>2.4</v>
      </c>
      <c r="G108" s="77">
        <v>0.45</v>
      </c>
      <c r="H108" s="78">
        <f t="shared" ref="H108:H111" si="33">D108*E108*F108*G108</f>
        <v>4.0229999999999997</v>
      </c>
      <c r="K108" s="79"/>
    </row>
    <row r="109" spans="1:11" ht="15">
      <c r="A109" s="67"/>
      <c r="B109" s="73" t="s">
        <v>345</v>
      </c>
      <c r="C109" s="69" t="s">
        <v>11</v>
      </c>
      <c r="D109" s="74">
        <v>1</v>
      </c>
      <c r="E109" s="75">
        <v>4.0999999999999996</v>
      </c>
      <c r="F109" s="76">
        <v>2.6</v>
      </c>
      <c r="G109" s="77">
        <v>0.45</v>
      </c>
      <c r="H109" s="78">
        <f t="shared" si="33"/>
        <v>4.7970000000000006</v>
      </c>
      <c r="K109" s="79"/>
    </row>
    <row r="110" spans="1:11" ht="15">
      <c r="A110" s="67"/>
      <c r="B110" s="73" t="s">
        <v>346</v>
      </c>
      <c r="C110" s="69" t="s">
        <v>11</v>
      </c>
      <c r="D110" s="74">
        <v>1</v>
      </c>
      <c r="E110" s="75">
        <v>4.0999999999999996</v>
      </c>
      <c r="F110" s="76">
        <v>2.6</v>
      </c>
      <c r="G110" s="77">
        <v>0.45</v>
      </c>
      <c r="H110" s="78">
        <f t="shared" si="33"/>
        <v>4.7970000000000006</v>
      </c>
      <c r="K110" s="79"/>
    </row>
    <row r="111" spans="1:11" ht="15">
      <c r="A111" s="67"/>
      <c r="B111" s="73" t="s">
        <v>347</v>
      </c>
      <c r="C111" s="69" t="s">
        <v>11</v>
      </c>
      <c r="D111" s="74">
        <v>3</v>
      </c>
      <c r="E111" s="75">
        <v>0.9</v>
      </c>
      <c r="F111" s="76">
        <v>0.9</v>
      </c>
      <c r="G111" s="77">
        <v>0.3</v>
      </c>
      <c r="H111" s="78">
        <f t="shared" si="33"/>
        <v>0.72899999999999998</v>
      </c>
      <c r="K111" s="79"/>
    </row>
    <row r="112" spans="1:11" ht="15">
      <c r="A112" s="67"/>
      <c r="B112" s="72"/>
      <c r="C112" s="69"/>
      <c r="D112" s="74"/>
      <c r="E112" s="103"/>
      <c r="F112" s="677" t="s">
        <v>65</v>
      </c>
      <c r="G112" s="677"/>
      <c r="H112" s="80">
        <f>ROUND(SUM(H103:H111),0)</f>
        <v>364</v>
      </c>
      <c r="K112" s="79"/>
    </row>
    <row r="113" spans="1:11" ht="15">
      <c r="A113" s="67"/>
      <c r="B113" s="72" t="s">
        <v>127</v>
      </c>
      <c r="C113" s="69"/>
      <c r="D113" s="74"/>
      <c r="E113" s="75"/>
      <c r="F113" s="677"/>
      <c r="G113" s="677"/>
      <c r="H113" s="80"/>
      <c r="K113" s="79"/>
    </row>
    <row r="114" spans="1:11" ht="15">
      <c r="A114" s="67"/>
      <c r="B114" s="73" t="s">
        <v>128</v>
      </c>
      <c r="C114" s="69" t="s">
        <v>11</v>
      </c>
      <c r="D114" s="74">
        <f>D103</f>
        <v>4</v>
      </c>
      <c r="E114" s="75">
        <v>1.4</v>
      </c>
      <c r="F114" s="76">
        <v>0.95</v>
      </c>
      <c r="G114" s="77">
        <f>(1.8+0.6+1.3)-(0.075+G103)</f>
        <v>3.1750000000000003</v>
      </c>
      <c r="H114" s="78">
        <f>D114*E114*F114*G114</f>
        <v>16.890999999999998</v>
      </c>
      <c r="K114" s="79"/>
    </row>
    <row r="115" spans="1:11" ht="15">
      <c r="A115" s="67"/>
      <c r="B115" s="73" t="s">
        <v>129</v>
      </c>
      <c r="C115" s="69" t="s">
        <v>11</v>
      </c>
      <c r="D115" s="74">
        <f>D104</f>
        <v>24</v>
      </c>
      <c r="E115" s="75">
        <v>1.4</v>
      </c>
      <c r="F115" s="76">
        <v>0.85</v>
      </c>
      <c r="G115" s="77">
        <f>(1.8+0.6+1.3)-(0.075+G104)</f>
        <v>3.1750000000000003</v>
      </c>
      <c r="H115" s="78">
        <f>D115*E115*F115*G115</f>
        <v>90.677999999999997</v>
      </c>
      <c r="K115" s="79"/>
    </row>
    <row r="116" spans="1:11" ht="15">
      <c r="A116" s="67"/>
      <c r="B116" s="73" t="s">
        <v>130</v>
      </c>
      <c r="C116" s="69" t="s">
        <v>11</v>
      </c>
      <c r="D116" s="74">
        <f>D105</f>
        <v>19</v>
      </c>
      <c r="E116" s="75">
        <v>1.075</v>
      </c>
      <c r="F116" s="76">
        <v>0.45</v>
      </c>
      <c r="G116" s="77">
        <f>(1.8+0.6+1.3)-(0.075+G105)</f>
        <v>3.1750000000000003</v>
      </c>
      <c r="H116" s="78">
        <f>D116*E116*F116*G116</f>
        <v>29.182218750000004</v>
      </c>
      <c r="K116" s="79"/>
    </row>
    <row r="117" spans="1:11" ht="15">
      <c r="A117" s="67"/>
      <c r="B117" s="73" t="s">
        <v>131</v>
      </c>
      <c r="C117" s="69" t="s">
        <v>11</v>
      </c>
      <c r="D117" s="74">
        <f>D106</f>
        <v>8</v>
      </c>
      <c r="E117" s="75">
        <v>1.2</v>
      </c>
      <c r="F117" s="76">
        <v>0.85</v>
      </c>
      <c r="G117" s="77">
        <f>(1.8+0.6+1.3)-(0.075+G106)</f>
        <v>3.0250000000000004</v>
      </c>
      <c r="H117" s="78">
        <f>D117*E117*F117*G117</f>
        <v>24.684000000000005</v>
      </c>
      <c r="K117" s="79"/>
    </row>
    <row r="118" spans="1:11" ht="15">
      <c r="A118" s="67"/>
      <c r="B118" s="73" t="s">
        <v>132</v>
      </c>
      <c r="C118" s="69" t="s">
        <v>11</v>
      </c>
      <c r="D118" s="74">
        <f>D107</f>
        <v>24</v>
      </c>
      <c r="E118" s="75">
        <v>1</v>
      </c>
      <c r="F118" s="76">
        <v>0.85</v>
      </c>
      <c r="G118" s="77">
        <f>(1.8+0.6+1.3)-(0.075+G107)</f>
        <v>3.1750000000000003</v>
      </c>
      <c r="H118" s="78">
        <f>D118*E118*F118*G118</f>
        <v>64.77</v>
      </c>
      <c r="K118" s="79"/>
    </row>
    <row r="119" spans="1:11" ht="15">
      <c r="A119" s="67"/>
      <c r="B119" s="73" t="s">
        <v>348</v>
      </c>
      <c r="C119" s="69" t="s">
        <v>11</v>
      </c>
      <c r="D119" s="74">
        <f t="shared" ref="D119:D122" si="34">D108</f>
        <v>1</v>
      </c>
      <c r="E119" s="75">
        <f>E116</f>
        <v>1.075</v>
      </c>
      <c r="F119" s="75">
        <f>F116</f>
        <v>0.45</v>
      </c>
      <c r="G119" s="77">
        <f>G116</f>
        <v>3.1750000000000003</v>
      </c>
      <c r="H119" s="78">
        <f t="shared" ref="H119:H122" si="35">D119*E119*F119*G119</f>
        <v>1.5359062500000003</v>
      </c>
      <c r="K119" s="79"/>
    </row>
    <row r="120" spans="1:11" ht="15">
      <c r="A120" s="67"/>
      <c r="B120" s="73" t="s">
        <v>349</v>
      </c>
      <c r="C120" s="69" t="s">
        <v>11</v>
      </c>
      <c r="D120" s="74">
        <f t="shared" si="34"/>
        <v>1</v>
      </c>
      <c r="E120" s="75">
        <f>E115</f>
        <v>1.4</v>
      </c>
      <c r="F120" s="75">
        <f t="shared" ref="F120:G120" si="36">F115</f>
        <v>0.85</v>
      </c>
      <c r="G120" s="75">
        <f t="shared" si="36"/>
        <v>3.1750000000000003</v>
      </c>
      <c r="H120" s="78">
        <f t="shared" si="35"/>
        <v>3.7782500000000003</v>
      </c>
      <c r="K120" s="79"/>
    </row>
    <row r="121" spans="1:11" ht="15">
      <c r="A121" s="67"/>
      <c r="B121" s="73" t="s">
        <v>350</v>
      </c>
      <c r="C121" s="69" t="s">
        <v>11</v>
      </c>
      <c r="D121" s="74">
        <f t="shared" si="34"/>
        <v>1</v>
      </c>
      <c r="E121" s="75">
        <f>E115</f>
        <v>1.4</v>
      </c>
      <c r="F121" s="75">
        <f t="shared" ref="F121:G121" si="37">F115</f>
        <v>0.85</v>
      </c>
      <c r="G121" s="75">
        <f t="shared" si="37"/>
        <v>3.1750000000000003</v>
      </c>
      <c r="H121" s="78">
        <f t="shared" si="35"/>
        <v>3.7782500000000003</v>
      </c>
      <c r="K121" s="79"/>
    </row>
    <row r="122" spans="1:11" ht="15">
      <c r="A122" s="67"/>
      <c r="B122" s="73" t="s">
        <v>351</v>
      </c>
      <c r="C122" s="69" t="s">
        <v>11</v>
      </c>
      <c r="D122" s="74">
        <f t="shared" si="34"/>
        <v>3</v>
      </c>
      <c r="E122" s="75">
        <v>0.6</v>
      </c>
      <c r="F122" s="76">
        <v>0.6</v>
      </c>
      <c r="G122" s="77">
        <f>G114</f>
        <v>3.1750000000000003</v>
      </c>
      <c r="H122" s="78">
        <f t="shared" si="35"/>
        <v>3.4289999999999998</v>
      </c>
      <c r="K122" s="79"/>
    </row>
    <row r="123" spans="1:11" ht="15">
      <c r="A123" s="67"/>
      <c r="B123" s="73"/>
      <c r="C123" s="69"/>
      <c r="D123" s="74"/>
      <c r="E123" s="75"/>
      <c r="F123" s="677" t="s">
        <v>65</v>
      </c>
      <c r="G123" s="677"/>
      <c r="H123" s="80">
        <f>ROUND(SUM(H114:H122),0)</f>
        <v>239</v>
      </c>
      <c r="K123" s="79"/>
    </row>
    <row r="124" spans="1:11" ht="15">
      <c r="A124" s="67"/>
      <c r="B124" s="72" t="s">
        <v>133</v>
      </c>
      <c r="C124" s="69"/>
      <c r="D124" s="74"/>
      <c r="E124" s="75"/>
      <c r="F124" s="71"/>
      <c r="G124" s="71"/>
      <c r="H124" s="80"/>
      <c r="K124" s="79"/>
    </row>
    <row r="125" spans="1:11" ht="15">
      <c r="A125" s="67"/>
      <c r="B125" s="73" t="s">
        <v>134</v>
      </c>
      <c r="C125" s="69" t="s">
        <v>11</v>
      </c>
      <c r="D125" s="74">
        <v>4</v>
      </c>
      <c r="E125" s="75">
        <v>0.25</v>
      </c>
      <c r="F125" s="76">
        <v>0.25</v>
      </c>
      <c r="G125" s="77">
        <f>5.55-0.8</f>
        <v>4.75</v>
      </c>
      <c r="H125" s="78">
        <f>D125*E125*F125*G125</f>
        <v>1.1875</v>
      </c>
      <c r="K125" s="79"/>
    </row>
    <row r="126" spans="1:11" ht="15">
      <c r="A126" s="67"/>
      <c r="B126" s="73" t="s">
        <v>322</v>
      </c>
      <c r="C126" s="69" t="s">
        <v>11</v>
      </c>
      <c r="D126" s="74">
        <v>3</v>
      </c>
      <c r="E126" s="75">
        <v>0.25</v>
      </c>
      <c r="F126" s="76">
        <v>0.25</v>
      </c>
      <c r="G126" s="77">
        <f>5.55-0.8</f>
        <v>4.75</v>
      </c>
      <c r="H126" s="78">
        <f>D126*E126*F126*G126</f>
        <v>0.890625</v>
      </c>
      <c r="K126" s="79"/>
    </row>
    <row r="127" spans="1:11" ht="15">
      <c r="A127" s="67"/>
      <c r="B127" s="73" t="s">
        <v>323</v>
      </c>
      <c r="C127" s="69" t="s">
        <v>11</v>
      </c>
      <c r="D127" s="74">
        <v>2</v>
      </c>
      <c r="E127" s="75">
        <v>0.5</v>
      </c>
      <c r="F127" s="76">
        <v>0.25</v>
      </c>
      <c r="G127" s="77">
        <f>5.55-0.8</f>
        <v>4.75</v>
      </c>
      <c r="H127" s="78">
        <f>D127*E127*F127*G127</f>
        <v>1.1875</v>
      </c>
      <c r="K127" s="79"/>
    </row>
    <row r="128" spans="1:11" ht="15">
      <c r="A128" s="67"/>
      <c r="B128" s="72"/>
      <c r="C128" s="69"/>
      <c r="D128" s="74"/>
      <c r="E128" s="75"/>
      <c r="F128" s="677" t="s">
        <v>65</v>
      </c>
      <c r="G128" s="677"/>
      <c r="H128" s="80">
        <f>ROUND(SUM(H125:H127),0)</f>
        <v>3</v>
      </c>
      <c r="K128" s="79"/>
    </row>
    <row r="129" spans="1:12" ht="15">
      <c r="A129" s="67"/>
      <c r="B129" s="72" t="s">
        <v>135</v>
      </c>
      <c r="C129" s="69"/>
      <c r="D129" s="74"/>
      <c r="E129" s="75"/>
      <c r="F129" s="76"/>
      <c r="G129" s="77"/>
      <c r="H129" s="78"/>
      <c r="K129" s="79"/>
    </row>
    <row r="130" spans="1:12" ht="15">
      <c r="A130" s="67" t="s">
        <v>10</v>
      </c>
      <c r="B130" s="95" t="s">
        <v>136</v>
      </c>
      <c r="C130" s="69"/>
      <c r="D130" s="74"/>
      <c r="E130" s="75"/>
      <c r="F130" s="76"/>
      <c r="G130" s="77"/>
      <c r="H130" s="78"/>
      <c r="K130" s="79"/>
    </row>
    <row r="131" spans="1:12" ht="15">
      <c r="A131" s="67"/>
      <c r="B131" s="95" t="s">
        <v>119</v>
      </c>
      <c r="C131" s="69" t="s">
        <v>11</v>
      </c>
      <c r="D131" s="74">
        <v>2</v>
      </c>
      <c r="E131" s="75">
        <f>126.45+104.12</f>
        <v>230.57</v>
      </c>
      <c r="F131" s="76">
        <v>0.25</v>
      </c>
      <c r="G131" s="77">
        <v>1.5</v>
      </c>
      <c r="H131" s="78">
        <f>D131*E131*F131*G131</f>
        <v>172.92750000000001</v>
      </c>
      <c r="K131" s="79"/>
    </row>
    <row r="132" spans="1:12" ht="15">
      <c r="A132" s="67"/>
      <c r="B132" s="95"/>
      <c r="C132" s="69"/>
      <c r="D132" s="74"/>
      <c r="E132" s="75"/>
      <c r="F132" s="677" t="s">
        <v>65</v>
      </c>
      <c r="G132" s="677"/>
      <c r="H132" s="80">
        <f>ROUND(SUM(H130:H131),0)</f>
        <v>173</v>
      </c>
      <c r="K132" s="79"/>
    </row>
    <row r="133" spans="1:12" ht="15">
      <c r="A133" s="67"/>
      <c r="B133" s="95"/>
      <c r="C133" s="69"/>
      <c r="D133" s="74"/>
      <c r="E133" s="75"/>
      <c r="F133" s="71"/>
      <c r="G133" s="71"/>
      <c r="H133" s="80"/>
      <c r="K133" s="79"/>
    </row>
    <row r="134" spans="1:12" ht="15">
      <c r="A134" s="67" t="s">
        <v>12</v>
      </c>
      <c r="B134" s="95" t="s">
        <v>137</v>
      </c>
      <c r="C134" s="69"/>
      <c r="D134" s="74"/>
      <c r="E134" s="75"/>
      <c r="F134" s="76"/>
      <c r="G134" s="77"/>
      <c r="H134" s="78"/>
      <c r="K134" s="79"/>
      <c r="L134" s="57">
        <f>500+550+2575+550</f>
        <v>4175</v>
      </c>
    </row>
    <row r="135" spans="1:12" ht="15">
      <c r="A135" s="67"/>
      <c r="B135" s="95" t="s">
        <v>138</v>
      </c>
      <c r="C135" s="69" t="s">
        <v>11</v>
      </c>
      <c r="D135" s="74">
        <f>1</f>
        <v>1</v>
      </c>
      <c r="E135" s="75">
        <f>5.124*2</f>
        <v>10.247999999999999</v>
      </c>
      <c r="F135" s="76">
        <v>0.25</v>
      </c>
      <c r="G135" s="77">
        <v>0.57499999999999996</v>
      </c>
      <c r="H135" s="78">
        <f t="shared" ref="H135:H141" si="38">D135*E135*F135*G135</f>
        <v>1.4731499999999997</v>
      </c>
      <c r="K135" s="79"/>
    </row>
    <row r="136" spans="1:12" ht="15">
      <c r="A136" s="67"/>
      <c r="B136" s="95" t="s">
        <v>139</v>
      </c>
      <c r="C136" s="69" t="s">
        <v>11</v>
      </c>
      <c r="D136" s="74">
        <f>1</f>
        <v>1</v>
      </c>
      <c r="E136" s="75">
        <f>5.124*2+2.634</f>
        <v>12.882</v>
      </c>
      <c r="F136" s="76">
        <v>0.25</v>
      </c>
      <c r="G136" s="77">
        <v>0.57499999999999996</v>
      </c>
      <c r="H136" s="78">
        <f t="shared" si="38"/>
        <v>1.8517874999999999</v>
      </c>
      <c r="K136" s="79"/>
    </row>
    <row r="137" spans="1:12" ht="15">
      <c r="A137" s="67"/>
      <c r="B137" s="95" t="s">
        <v>140</v>
      </c>
      <c r="C137" s="69" t="s">
        <v>11</v>
      </c>
      <c r="D137" s="74">
        <f>1</f>
        <v>1</v>
      </c>
      <c r="E137" s="75">
        <f>2.805+5.124</f>
        <v>7.9290000000000003</v>
      </c>
      <c r="F137" s="76">
        <v>0.25</v>
      </c>
      <c r="G137" s="77">
        <v>0.57499999999999996</v>
      </c>
      <c r="H137" s="78">
        <f t="shared" si="38"/>
        <v>1.1397937499999999</v>
      </c>
      <c r="K137" s="79"/>
    </row>
    <row r="138" spans="1:12" ht="15">
      <c r="A138" s="67"/>
      <c r="B138" s="95" t="s">
        <v>141</v>
      </c>
      <c r="C138" s="69" t="s">
        <v>11</v>
      </c>
      <c r="D138" s="74">
        <f>1</f>
        <v>1</v>
      </c>
      <c r="E138" s="75">
        <v>2.6339999999999999</v>
      </c>
      <c r="F138" s="76">
        <v>0.25</v>
      </c>
      <c r="G138" s="77">
        <v>0.57499999999999996</v>
      </c>
      <c r="H138" s="78">
        <f t="shared" si="38"/>
        <v>0.37863749999999996</v>
      </c>
      <c r="K138" s="79"/>
    </row>
    <row r="139" spans="1:12" ht="15">
      <c r="A139" s="67"/>
      <c r="B139" s="95" t="s">
        <v>142</v>
      </c>
      <c r="C139" s="69" t="s">
        <v>11</v>
      </c>
      <c r="D139" s="74">
        <f>1</f>
        <v>1</v>
      </c>
      <c r="E139" s="75">
        <f>1.692*2</f>
        <v>3.3839999999999999</v>
      </c>
      <c r="F139" s="76">
        <v>0.25</v>
      </c>
      <c r="G139" s="77">
        <v>0.57499999999999996</v>
      </c>
      <c r="H139" s="78">
        <f t="shared" si="38"/>
        <v>0.48644999999999994</v>
      </c>
      <c r="K139" s="79"/>
    </row>
    <row r="140" spans="1:12" ht="15">
      <c r="A140" s="67"/>
      <c r="B140" s="95" t="s">
        <v>324</v>
      </c>
      <c r="C140" s="69" t="s">
        <v>11</v>
      </c>
      <c r="D140" s="74">
        <v>1</v>
      </c>
      <c r="E140" s="75">
        <f>3.345+2.634</f>
        <v>5.9790000000000001</v>
      </c>
      <c r="F140" s="76">
        <v>0.25</v>
      </c>
      <c r="G140" s="77">
        <v>0.57499999999999996</v>
      </c>
      <c r="H140" s="77">
        <f t="shared" si="38"/>
        <v>0.85948124999999997</v>
      </c>
      <c r="K140" s="79"/>
    </row>
    <row r="141" spans="1:12" ht="15">
      <c r="A141" s="67"/>
      <c r="B141" s="95" t="s">
        <v>325</v>
      </c>
      <c r="C141" s="69" t="s">
        <v>11</v>
      </c>
      <c r="D141" s="74">
        <v>1</v>
      </c>
      <c r="E141" s="75">
        <v>3.5339999999999998</v>
      </c>
      <c r="F141" s="76">
        <v>0.25</v>
      </c>
      <c r="G141" s="77">
        <v>0.57499999999999996</v>
      </c>
      <c r="H141" s="77">
        <f t="shared" si="38"/>
        <v>0.50801249999999998</v>
      </c>
      <c r="K141" s="79"/>
    </row>
    <row r="142" spans="1:12" ht="15">
      <c r="A142" s="67"/>
      <c r="B142" s="95"/>
      <c r="C142" s="69"/>
      <c r="D142" s="74"/>
      <c r="E142" s="75"/>
      <c r="F142" s="677" t="s">
        <v>65</v>
      </c>
      <c r="G142" s="677"/>
      <c r="H142" s="80">
        <f>ROUND(SUM(H134:H141),0)</f>
        <v>7</v>
      </c>
      <c r="K142" s="79"/>
    </row>
    <row r="143" spans="1:12" ht="15">
      <c r="A143" s="67"/>
      <c r="B143" s="72" t="s">
        <v>143</v>
      </c>
      <c r="C143" s="69"/>
      <c r="D143" s="74"/>
      <c r="E143" s="75"/>
      <c r="F143" s="76"/>
      <c r="G143" s="77"/>
      <c r="H143" s="78"/>
      <c r="K143" s="79"/>
    </row>
    <row r="144" spans="1:12" ht="15">
      <c r="A144" s="67"/>
      <c r="B144" s="73" t="s">
        <v>144</v>
      </c>
      <c r="C144" s="69" t="s">
        <v>11</v>
      </c>
      <c r="D144" s="74">
        <f>1</f>
        <v>1</v>
      </c>
      <c r="E144" s="104">
        <v>5.1239999999999997</v>
      </c>
      <c r="F144" s="76">
        <v>3.3650000000000002</v>
      </c>
      <c r="G144" s="77">
        <v>0.15</v>
      </c>
      <c r="H144" s="78">
        <f>D144*E144*F144*G144</f>
        <v>2.5863390000000002</v>
      </c>
      <c r="K144" s="79"/>
    </row>
    <row r="145" spans="1:11" ht="15">
      <c r="A145" s="67"/>
      <c r="B145" s="73" t="s">
        <v>145</v>
      </c>
      <c r="C145" s="69" t="s">
        <v>11</v>
      </c>
      <c r="D145" s="74">
        <f>1</f>
        <v>1</v>
      </c>
      <c r="E145" s="104">
        <v>5.1239999999999997</v>
      </c>
      <c r="F145" s="95">
        <v>2.8050000000000002</v>
      </c>
      <c r="G145" s="77">
        <v>0.15</v>
      </c>
      <c r="H145" s="78">
        <f>D145*E145*F145*G145</f>
        <v>2.1559229999999996</v>
      </c>
      <c r="K145" s="79"/>
    </row>
    <row r="146" spans="1:11" ht="15">
      <c r="A146" s="67"/>
      <c r="B146" s="73" t="s">
        <v>146</v>
      </c>
      <c r="C146" s="69" t="s">
        <v>11</v>
      </c>
      <c r="D146" s="74">
        <f>1</f>
        <v>1</v>
      </c>
      <c r="E146" s="104">
        <f>5.124+1.442</f>
        <v>6.5659999999999998</v>
      </c>
      <c r="F146" s="95">
        <v>2.6339999999999999</v>
      </c>
      <c r="G146" s="77">
        <v>0.15</v>
      </c>
      <c r="H146" s="78">
        <f>D146*E146*F146*G146</f>
        <v>2.5942265999999994</v>
      </c>
      <c r="K146" s="79"/>
    </row>
    <row r="147" spans="1:11" ht="15">
      <c r="A147" s="67"/>
      <c r="B147" s="73" t="s">
        <v>147</v>
      </c>
      <c r="C147" s="69" t="s">
        <v>11</v>
      </c>
      <c r="D147" s="74">
        <f>1</f>
        <v>1</v>
      </c>
      <c r="E147" s="104">
        <v>5.1239999999999997</v>
      </c>
      <c r="F147" s="95">
        <v>0.59899999999999998</v>
      </c>
      <c r="G147" s="77">
        <v>0.15</v>
      </c>
      <c r="H147" s="78">
        <f>D147*E147*F147*G147</f>
        <v>0.46039139999999995</v>
      </c>
      <c r="K147" s="79"/>
    </row>
    <row r="148" spans="1:11" ht="15" customHeight="1">
      <c r="A148" s="67"/>
      <c r="B148" s="73"/>
      <c r="C148" s="69"/>
      <c r="D148" s="74"/>
      <c r="E148" s="75"/>
      <c r="F148" s="677" t="s">
        <v>65</v>
      </c>
      <c r="G148" s="677"/>
      <c r="H148" s="80">
        <f>ROUND(SUM(H144:H147),0)</f>
        <v>8</v>
      </c>
      <c r="K148" s="79"/>
    </row>
    <row r="149" spans="1:11" ht="15" customHeight="1">
      <c r="A149" s="81"/>
      <c r="B149" s="82"/>
      <c r="C149" s="83"/>
      <c r="D149" s="84"/>
      <c r="E149" s="85"/>
      <c r="F149" s="86"/>
      <c r="G149" s="87"/>
      <c r="H149" s="87"/>
      <c r="K149" s="79"/>
    </row>
    <row r="150" spans="1:11" ht="15" customHeight="1">
      <c r="A150" s="67">
        <v>10</v>
      </c>
      <c r="B150" s="72" t="s">
        <v>148</v>
      </c>
      <c r="C150" s="69"/>
      <c r="D150" s="74"/>
      <c r="E150" s="75"/>
      <c r="F150" s="76"/>
      <c r="G150" s="77"/>
      <c r="H150" s="78"/>
      <c r="K150" s="79"/>
    </row>
    <row r="151" spans="1:11" ht="15" customHeight="1">
      <c r="A151" s="67"/>
      <c r="B151" s="72" t="s">
        <v>112</v>
      </c>
      <c r="C151" s="69"/>
      <c r="D151" s="74"/>
      <c r="E151" s="75"/>
      <c r="F151" s="76"/>
      <c r="G151" s="77"/>
      <c r="H151" s="78"/>
      <c r="K151" s="79"/>
    </row>
    <row r="152" spans="1:11" ht="15">
      <c r="A152" s="67"/>
      <c r="B152" s="73" t="s">
        <v>98</v>
      </c>
      <c r="C152" s="69" t="s">
        <v>16</v>
      </c>
      <c r="D152" s="74">
        <f>D103</f>
        <v>4</v>
      </c>
      <c r="E152" s="75">
        <f>2*(E103+F103)</f>
        <v>13.399999999999999</v>
      </c>
      <c r="F152" s="76"/>
      <c r="G152" s="77">
        <f>G103</f>
        <v>0.45</v>
      </c>
      <c r="H152" s="78">
        <f>D152*E152*G152</f>
        <v>24.119999999999997</v>
      </c>
      <c r="K152" s="79"/>
    </row>
    <row r="153" spans="1:11" ht="15">
      <c r="A153" s="67"/>
      <c r="B153" s="73" t="s">
        <v>99</v>
      </c>
      <c r="C153" s="69" t="s">
        <v>16</v>
      </c>
      <c r="D153" s="74">
        <f>D104</f>
        <v>24</v>
      </c>
      <c r="E153" s="75">
        <f>2*(E104+F104)</f>
        <v>13.399999999999999</v>
      </c>
      <c r="F153" s="76"/>
      <c r="G153" s="77">
        <f>G104</f>
        <v>0.45</v>
      </c>
      <c r="H153" s="78">
        <f>D153*E153*G153</f>
        <v>144.72</v>
      </c>
      <c r="K153" s="79"/>
    </row>
    <row r="154" spans="1:11" ht="15">
      <c r="A154" s="67"/>
      <c r="B154" s="73" t="s">
        <v>100</v>
      </c>
      <c r="C154" s="69" t="s">
        <v>16</v>
      </c>
      <c r="D154" s="74">
        <f>D105</f>
        <v>19</v>
      </c>
      <c r="E154" s="75">
        <f>2*(E105+F105)</f>
        <v>10.6</v>
      </c>
      <c r="F154" s="76"/>
      <c r="G154" s="77">
        <f>G105</f>
        <v>0.45</v>
      </c>
      <c r="H154" s="78">
        <f>D154*E154*G154</f>
        <v>90.63000000000001</v>
      </c>
      <c r="K154" s="79"/>
    </row>
    <row r="155" spans="1:11" ht="15">
      <c r="A155" s="67"/>
      <c r="B155" s="73" t="s">
        <v>101</v>
      </c>
      <c r="C155" s="69" t="s">
        <v>16</v>
      </c>
      <c r="D155" s="74">
        <f>D106</f>
        <v>8</v>
      </c>
      <c r="E155" s="75">
        <f>2*(E106+F106)</f>
        <v>12.5</v>
      </c>
      <c r="F155" s="76"/>
      <c r="G155" s="77">
        <f>G106</f>
        <v>0.6</v>
      </c>
      <c r="H155" s="78">
        <f>D155*E155*G155</f>
        <v>60</v>
      </c>
      <c r="K155" s="79"/>
    </row>
    <row r="156" spans="1:11" ht="15">
      <c r="A156" s="67"/>
      <c r="B156" s="73" t="s">
        <v>102</v>
      </c>
      <c r="C156" s="69" t="s">
        <v>16</v>
      </c>
      <c r="D156" s="74">
        <f>D107</f>
        <v>24</v>
      </c>
      <c r="E156" s="75">
        <f>2*(E107+F107)</f>
        <v>12.7</v>
      </c>
      <c r="F156" s="76"/>
      <c r="G156" s="77">
        <f>G107</f>
        <v>0.45</v>
      </c>
      <c r="H156" s="78">
        <f>D156*E156*G156</f>
        <v>137.16</v>
      </c>
      <c r="K156" s="79"/>
    </row>
    <row r="157" spans="1:11" ht="15">
      <c r="A157" s="67"/>
      <c r="B157" s="73" t="s">
        <v>344</v>
      </c>
      <c r="C157" s="69" t="s">
        <v>16</v>
      </c>
      <c r="D157" s="74">
        <f t="shared" ref="D157:D160" si="39">D108</f>
        <v>1</v>
      </c>
      <c r="E157" s="75">
        <f t="shared" ref="E157:E160" si="40">2*(E108+F108)</f>
        <v>12.25</v>
      </c>
      <c r="F157" s="76"/>
      <c r="G157" s="77">
        <f t="shared" ref="G157:G160" si="41">G108</f>
        <v>0.45</v>
      </c>
      <c r="H157" s="78">
        <f t="shared" ref="H157:H160" si="42">D157*E157*G157</f>
        <v>5.5125000000000002</v>
      </c>
      <c r="K157" s="79"/>
    </row>
    <row r="158" spans="1:11" ht="15">
      <c r="A158" s="67"/>
      <c r="B158" s="73" t="s">
        <v>345</v>
      </c>
      <c r="C158" s="69" t="s">
        <v>16</v>
      </c>
      <c r="D158" s="74">
        <f t="shared" si="39"/>
        <v>1</v>
      </c>
      <c r="E158" s="75">
        <f t="shared" si="40"/>
        <v>13.399999999999999</v>
      </c>
      <c r="F158" s="76"/>
      <c r="G158" s="77">
        <f t="shared" si="41"/>
        <v>0.45</v>
      </c>
      <c r="H158" s="78">
        <f t="shared" si="42"/>
        <v>6.0299999999999994</v>
      </c>
      <c r="K158" s="79"/>
    </row>
    <row r="159" spans="1:11" ht="15">
      <c r="A159" s="67"/>
      <c r="B159" s="73" t="s">
        <v>346</v>
      </c>
      <c r="C159" s="69" t="s">
        <v>16</v>
      </c>
      <c r="D159" s="74">
        <f t="shared" si="39"/>
        <v>1</v>
      </c>
      <c r="E159" s="75">
        <f t="shared" si="40"/>
        <v>13.399999999999999</v>
      </c>
      <c r="F159" s="76"/>
      <c r="G159" s="77">
        <f t="shared" si="41"/>
        <v>0.45</v>
      </c>
      <c r="H159" s="78">
        <f t="shared" si="42"/>
        <v>6.0299999999999994</v>
      </c>
      <c r="K159" s="79"/>
    </row>
    <row r="160" spans="1:11" ht="15">
      <c r="A160" s="67"/>
      <c r="B160" s="73" t="s">
        <v>347</v>
      </c>
      <c r="C160" s="69" t="s">
        <v>16</v>
      </c>
      <c r="D160" s="74">
        <f t="shared" si="39"/>
        <v>3</v>
      </c>
      <c r="E160" s="75">
        <f t="shared" si="40"/>
        <v>3.6</v>
      </c>
      <c r="F160" s="76"/>
      <c r="G160" s="77">
        <f t="shared" si="41"/>
        <v>0.3</v>
      </c>
      <c r="H160" s="78">
        <f t="shared" si="42"/>
        <v>3.24</v>
      </c>
      <c r="K160" s="79"/>
    </row>
    <row r="161" spans="1:11" ht="15">
      <c r="A161" s="67"/>
      <c r="B161" s="73"/>
      <c r="C161" s="69"/>
      <c r="D161" s="74"/>
      <c r="E161" s="75"/>
      <c r="F161" s="677" t="s">
        <v>65</v>
      </c>
      <c r="G161" s="677"/>
      <c r="H161" s="80">
        <f>ROUND(SUM(H151:H160),0)</f>
        <v>477</v>
      </c>
      <c r="K161" s="79"/>
    </row>
    <row r="162" spans="1:11" ht="15">
      <c r="A162" s="81"/>
      <c r="B162" s="82"/>
      <c r="C162" s="83"/>
      <c r="D162" s="84"/>
      <c r="E162" s="85"/>
      <c r="F162" s="86"/>
      <c r="G162" s="87"/>
      <c r="H162" s="87"/>
      <c r="K162" s="79"/>
    </row>
    <row r="163" spans="1:11" ht="15">
      <c r="A163" s="67"/>
      <c r="B163" s="72" t="s">
        <v>127</v>
      </c>
      <c r="C163" s="69"/>
      <c r="D163" s="74"/>
      <c r="E163" s="75"/>
      <c r="F163" s="76"/>
      <c r="G163" s="77"/>
      <c r="H163" s="78"/>
      <c r="K163" s="79"/>
    </row>
    <row r="164" spans="1:11" ht="15">
      <c r="A164" s="67"/>
      <c r="B164" s="73" t="s">
        <v>98</v>
      </c>
      <c r="C164" s="69" t="s">
        <v>16</v>
      </c>
      <c r="D164" s="74">
        <f>D114</f>
        <v>4</v>
      </c>
      <c r="E164" s="75">
        <f>2*(E114+F114)</f>
        <v>4.6999999999999993</v>
      </c>
      <c r="F164" s="76"/>
      <c r="G164" s="77">
        <f>G114</f>
        <v>3.1750000000000003</v>
      </c>
      <c r="H164" s="78">
        <f>D164*E164*G164</f>
        <v>59.69</v>
      </c>
      <c r="K164" s="79"/>
    </row>
    <row r="165" spans="1:11" ht="15">
      <c r="A165" s="67"/>
      <c r="B165" s="73" t="s">
        <v>99</v>
      </c>
      <c r="C165" s="69" t="s">
        <v>16</v>
      </c>
      <c r="D165" s="74">
        <f>D115</f>
        <v>24</v>
      </c>
      <c r="E165" s="75">
        <f>2*(E115+F115)</f>
        <v>4.5</v>
      </c>
      <c r="F165" s="76"/>
      <c r="G165" s="77">
        <f>G115</f>
        <v>3.1750000000000003</v>
      </c>
      <c r="H165" s="78">
        <f>D165*E165*G165</f>
        <v>342.90000000000003</v>
      </c>
      <c r="K165" s="79"/>
    </row>
    <row r="166" spans="1:11" ht="15">
      <c r="A166" s="67"/>
      <c r="B166" s="73" t="s">
        <v>100</v>
      </c>
      <c r="C166" s="69" t="s">
        <v>16</v>
      </c>
      <c r="D166" s="74">
        <f>D116</f>
        <v>19</v>
      </c>
      <c r="E166" s="75">
        <f>2*(E116+F116)</f>
        <v>3.05</v>
      </c>
      <c r="F166" s="76"/>
      <c r="G166" s="77">
        <f>G116</f>
        <v>3.1750000000000003</v>
      </c>
      <c r="H166" s="78">
        <f>D166*E166*G166</f>
        <v>183.99125000000001</v>
      </c>
      <c r="K166" s="79"/>
    </row>
    <row r="167" spans="1:11" ht="15">
      <c r="A167" s="67"/>
      <c r="B167" s="73" t="s">
        <v>101</v>
      </c>
      <c r="C167" s="69" t="s">
        <v>16</v>
      </c>
      <c r="D167" s="74">
        <f>D117</f>
        <v>8</v>
      </c>
      <c r="E167" s="75">
        <f>2*(E117+F117)</f>
        <v>4.0999999999999996</v>
      </c>
      <c r="F167" s="76"/>
      <c r="G167" s="77">
        <f>G117</f>
        <v>3.0250000000000004</v>
      </c>
      <c r="H167" s="78">
        <f>D167*E167*G167</f>
        <v>99.22</v>
      </c>
      <c r="K167" s="79"/>
    </row>
    <row r="168" spans="1:11" ht="15">
      <c r="A168" s="67"/>
      <c r="B168" s="73" t="s">
        <v>102</v>
      </c>
      <c r="C168" s="69" t="s">
        <v>16</v>
      </c>
      <c r="D168" s="74">
        <f>D118</f>
        <v>24</v>
      </c>
      <c r="E168" s="75">
        <f>2*(E118+F118)</f>
        <v>3.7</v>
      </c>
      <c r="F168" s="76"/>
      <c r="G168" s="77">
        <f>G118</f>
        <v>3.1750000000000003</v>
      </c>
      <c r="H168" s="78">
        <f>D168*E168*G168</f>
        <v>281.94000000000005</v>
      </c>
      <c r="K168" s="79"/>
    </row>
    <row r="169" spans="1:11" ht="15">
      <c r="A169" s="67"/>
      <c r="B169" s="73" t="s">
        <v>344</v>
      </c>
      <c r="C169" s="69" t="s">
        <v>16</v>
      </c>
      <c r="D169" s="74">
        <f t="shared" ref="D169:D172" si="43">D119</f>
        <v>1</v>
      </c>
      <c r="E169" s="75">
        <f t="shared" ref="E169:E172" si="44">2*(E119+F119)</f>
        <v>3.05</v>
      </c>
      <c r="F169" s="76"/>
      <c r="G169" s="77">
        <f t="shared" ref="G169:G172" si="45">G119</f>
        <v>3.1750000000000003</v>
      </c>
      <c r="H169" s="78">
        <f t="shared" ref="H169:H172" si="46">D169*E169*G169</f>
        <v>9.6837499999999999</v>
      </c>
      <c r="K169" s="79"/>
    </row>
    <row r="170" spans="1:11" ht="15">
      <c r="A170" s="67"/>
      <c r="B170" s="73" t="s">
        <v>345</v>
      </c>
      <c r="C170" s="69" t="s">
        <v>16</v>
      </c>
      <c r="D170" s="74">
        <f t="shared" si="43"/>
        <v>1</v>
      </c>
      <c r="E170" s="75">
        <f t="shared" si="44"/>
        <v>4.5</v>
      </c>
      <c r="F170" s="76"/>
      <c r="G170" s="77">
        <f t="shared" si="45"/>
        <v>3.1750000000000003</v>
      </c>
      <c r="H170" s="78">
        <f t="shared" si="46"/>
        <v>14.287500000000001</v>
      </c>
      <c r="K170" s="79"/>
    </row>
    <row r="171" spans="1:11" ht="15">
      <c r="A171" s="67"/>
      <c r="B171" s="73" t="s">
        <v>346</v>
      </c>
      <c r="C171" s="69" t="s">
        <v>16</v>
      </c>
      <c r="D171" s="74">
        <f t="shared" si="43"/>
        <v>1</v>
      </c>
      <c r="E171" s="75">
        <f t="shared" si="44"/>
        <v>4.5</v>
      </c>
      <c r="F171" s="76"/>
      <c r="G171" s="77">
        <f t="shared" si="45"/>
        <v>3.1750000000000003</v>
      </c>
      <c r="H171" s="78">
        <f t="shared" si="46"/>
        <v>14.287500000000001</v>
      </c>
      <c r="K171" s="79"/>
    </row>
    <row r="172" spans="1:11" ht="15">
      <c r="A172" s="67"/>
      <c r="B172" s="73" t="s">
        <v>347</v>
      </c>
      <c r="C172" s="69" t="s">
        <v>16</v>
      </c>
      <c r="D172" s="74">
        <f t="shared" si="43"/>
        <v>3</v>
      </c>
      <c r="E172" s="75">
        <f t="shared" si="44"/>
        <v>2.4</v>
      </c>
      <c r="F172" s="76"/>
      <c r="G172" s="77">
        <f t="shared" si="45"/>
        <v>3.1750000000000003</v>
      </c>
      <c r="H172" s="78">
        <f t="shared" si="46"/>
        <v>22.86</v>
      </c>
      <c r="K172" s="79"/>
    </row>
    <row r="173" spans="1:11" ht="15">
      <c r="A173" s="67"/>
      <c r="B173" s="73"/>
      <c r="C173" s="69"/>
      <c r="D173" s="74"/>
      <c r="E173" s="75"/>
      <c r="F173" s="677" t="s">
        <v>65</v>
      </c>
      <c r="G173" s="677"/>
      <c r="H173" s="80">
        <f>ROUND(SUM(H163:H172),0)</f>
        <v>1029</v>
      </c>
      <c r="K173" s="79"/>
    </row>
    <row r="174" spans="1:11" ht="15">
      <c r="A174" s="67"/>
      <c r="B174" s="72" t="s">
        <v>133</v>
      </c>
      <c r="C174" s="69"/>
      <c r="D174" s="74"/>
      <c r="E174" s="75"/>
      <c r="F174" s="76"/>
      <c r="G174" s="77"/>
      <c r="H174" s="78"/>
      <c r="K174" s="79"/>
    </row>
    <row r="175" spans="1:11" ht="15">
      <c r="A175" s="67"/>
      <c r="B175" s="73" t="s">
        <v>134</v>
      </c>
      <c r="C175" s="69" t="s">
        <v>16</v>
      </c>
      <c r="D175" s="74">
        <f>D125</f>
        <v>4</v>
      </c>
      <c r="E175" s="75">
        <f>2*(E125+F125)</f>
        <v>1</v>
      </c>
      <c r="F175" s="76"/>
      <c r="G175" s="77">
        <f>G125</f>
        <v>4.75</v>
      </c>
      <c r="H175" s="78">
        <f>D175*E175*G175</f>
        <v>19</v>
      </c>
      <c r="K175" s="79"/>
    </row>
    <row r="176" spans="1:11" ht="15">
      <c r="A176" s="67"/>
      <c r="B176" s="73" t="s">
        <v>322</v>
      </c>
      <c r="C176" s="100" t="s">
        <v>16</v>
      </c>
      <c r="D176" s="74">
        <f>D126</f>
        <v>3</v>
      </c>
      <c r="E176" s="75">
        <f>2*(E126+F126)</f>
        <v>1</v>
      </c>
      <c r="F176" s="76"/>
      <c r="G176" s="77">
        <f>G126</f>
        <v>4.75</v>
      </c>
      <c r="H176" s="78">
        <f>D176*E176*G176</f>
        <v>14.25</v>
      </c>
      <c r="K176" s="79"/>
    </row>
    <row r="177" spans="1:11" ht="15">
      <c r="A177" s="67"/>
      <c r="B177" s="73" t="s">
        <v>323</v>
      </c>
      <c r="C177" s="100" t="s">
        <v>16</v>
      </c>
      <c r="D177" s="74">
        <f>D127</f>
        <v>2</v>
      </c>
      <c r="E177" s="75">
        <f>2*(E127+F127)</f>
        <v>1.5</v>
      </c>
      <c r="F177" s="76"/>
      <c r="G177" s="77">
        <f>G127</f>
        <v>4.75</v>
      </c>
      <c r="H177" s="78">
        <f>D177*E177*G177</f>
        <v>14.25</v>
      </c>
      <c r="K177" s="79"/>
    </row>
    <row r="178" spans="1:11" ht="15">
      <c r="A178" s="81"/>
      <c r="B178" s="82"/>
      <c r="C178" s="83"/>
      <c r="D178" s="84"/>
      <c r="E178" s="85"/>
      <c r="F178" s="677" t="s">
        <v>65</v>
      </c>
      <c r="G178" s="677"/>
      <c r="H178" s="80">
        <f>ROUND(SUM(H175:H177),0)</f>
        <v>48</v>
      </c>
      <c r="K178" s="79"/>
    </row>
    <row r="179" spans="1:11" ht="15">
      <c r="A179" s="67"/>
      <c r="B179" s="72" t="s">
        <v>135</v>
      </c>
      <c r="C179" s="69"/>
      <c r="D179" s="74"/>
      <c r="E179" s="75"/>
      <c r="F179" s="76"/>
      <c r="G179" s="77"/>
      <c r="H179" s="78"/>
      <c r="K179" s="79"/>
    </row>
    <row r="180" spans="1:11" ht="15">
      <c r="A180" s="67" t="s">
        <v>10</v>
      </c>
      <c r="B180" s="95" t="s">
        <v>136</v>
      </c>
      <c r="C180" s="69"/>
      <c r="D180" s="74"/>
      <c r="E180" s="75"/>
      <c r="F180" s="76"/>
      <c r="G180" s="77"/>
      <c r="H180" s="78"/>
      <c r="K180" s="79"/>
    </row>
    <row r="181" spans="1:11" ht="15">
      <c r="A181" s="67"/>
      <c r="B181" s="95" t="s">
        <v>119</v>
      </c>
      <c r="C181" s="69" t="s">
        <v>16</v>
      </c>
      <c r="D181" s="74">
        <f>D131</f>
        <v>2</v>
      </c>
      <c r="E181" s="75">
        <f>E131</f>
        <v>230.57</v>
      </c>
      <c r="F181" s="76"/>
      <c r="G181" s="77">
        <f>F131+1*G131</f>
        <v>1.75</v>
      </c>
      <c r="H181" s="78">
        <f>D181*E181*G181</f>
        <v>806.995</v>
      </c>
      <c r="K181" s="79"/>
    </row>
    <row r="182" spans="1:11" ht="15">
      <c r="A182" s="67"/>
      <c r="B182" s="95"/>
      <c r="C182" s="69"/>
      <c r="D182" s="74"/>
      <c r="E182" s="75"/>
      <c r="F182" s="677" t="s">
        <v>65</v>
      </c>
      <c r="G182" s="677"/>
      <c r="H182" s="80">
        <f>ROUND(SUM(H180:H181),0)</f>
        <v>807</v>
      </c>
      <c r="K182" s="79"/>
    </row>
    <row r="183" spans="1:11" ht="30">
      <c r="A183" s="105" t="s">
        <v>12</v>
      </c>
      <c r="B183" s="106" t="s">
        <v>311</v>
      </c>
      <c r="C183" s="107" t="s">
        <v>16</v>
      </c>
      <c r="D183" s="108">
        <f>D131</f>
        <v>2</v>
      </c>
      <c r="E183" s="109">
        <f>E131</f>
        <v>230.57</v>
      </c>
      <c r="F183" s="110"/>
      <c r="G183" s="111">
        <f>G131</f>
        <v>1.5</v>
      </c>
      <c r="H183" s="112">
        <f>ROUND(D183*E183*G183,0)</f>
        <v>692</v>
      </c>
      <c r="K183" s="79"/>
    </row>
    <row r="184" spans="1:11" ht="15">
      <c r="A184" s="67"/>
      <c r="B184" s="95"/>
      <c r="C184" s="69"/>
      <c r="D184" s="74"/>
      <c r="E184" s="75"/>
      <c r="F184" s="76"/>
      <c r="G184" s="77"/>
      <c r="H184" s="78"/>
      <c r="K184" s="79"/>
    </row>
    <row r="185" spans="1:11" ht="15">
      <c r="A185" s="67" t="s">
        <v>13</v>
      </c>
      <c r="B185" s="95" t="s">
        <v>137</v>
      </c>
      <c r="C185" s="69"/>
      <c r="D185" s="74"/>
      <c r="E185" s="75"/>
      <c r="F185" s="76"/>
      <c r="G185" s="77"/>
      <c r="H185" s="78"/>
      <c r="K185" s="79"/>
    </row>
    <row r="186" spans="1:11" ht="15">
      <c r="A186" s="67"/>
      <c r="B186" s="95" t="s">
        <v>138</v>
      </c>
      <c r="C186" s="69" t="s">
        <v>16</v>
      </c>
      <c r="D186" s="74">
        <f t="shared" ref="D186:E192" si="47">D135</f>
        <v>1</v>
      </c>
      <c r="E186" s="75">
        <f t="shared" si="47"/>
        <v>10.247999999999999</v>
      </c>
      <c r="F186" s="76"/>
      <c r="G186" s="77">
        <f t="shared" ref="G186:G192" si="48">F135+2*G135</f>
        <v>1.4</v>
      </c>
      <c r="H186" s="78">
        <f t="shared" ref="H186:H192" si="49">D186*E186*G186</f>
        <v>14.347199999999997</v>
      </c>
      <c r="K186" s="79"/>
    </row>
    <row r="187" spans="1:11" ht="15">
      <c r="A187" s="67"/>
      <c r="B187" s="95" t="s">
        <v>139</v>
      </c>
      <c r="C187" s="69" t="s">
        <v>16</v>
      </c>
      <c r="D187" s="74">
        <f t="shared" si="47"/>
        <v>1</v>
      </c>
      <c r="E187" s="75">
        <f t="shared" si="47"/>
        <v>12.882</v>
      </c>
      <c r="F187" s="76"/>
      <c r="G187" s="77">
        <f t="shared" si="48"/>
        <v>1.4</v>
      </c>
      <c r="H187" s="78">
        <f t="shared" si="49"/>
        <v>18.034799999999997</v>
      </c>
      <c r="K187" s="79"/>
    </row>
    <row r="188" spans="1:11" ht="15">
      <c r="A188" s="67"/>
      <c r="B188" s="95" t="s">
        <v>140</v>
      </c>
      <c r="C188" s="69" t="s">
        <v>16</v>
      </c>
      <c r="D188" s="74">
        <f t="shared" si="47"/>
        <v>1</v>
      </c>
      <c r="E188" s="75">
        <f t="shared" si="47"/>
        <v>7.9290000000000003</v>
      </c>
      <c r="F188" s="76"/>
      <c r="G188" s="77">
        <f t="shared" si="48"/>
        <v>1.4</v>
      </c>
      <c r="H188" s="78">
        <f t="shared" si="49"/>
        <v>11.1006</v>
      </c>
      <c r="K188" s="79"/>
    </row>
    <row r="189" spans="1:11" ht="15">
      <c r="A189" s="67"/>
      <c r="B189" s="95" t="s">
        <v>141</v>
      </c>
      <c r="C189" s="69" t="s">
        <v>16</v>
      </c>
      <c r="D189" s="74">
        <f t="shared" si="47"/>
        <v>1</v>
      </c>
      <c r="E189" s="75">
        <f t="shared" si="47"/>
        <v>2.6339999999999999</v>
      </c>
      <c r="F189" s="76"/>
      <c r="G189" s="77">
        <f t="shared" si="48"/>
        <v>1.4</v>
      </c>
      <c r="H189" s="78">
        <f t="shared" si="49"/>
        <v>3.6875999999999998</v>
      </c>
      <c r="K189" s="79"/>
    </row>
    <row r="190" spans="1:11" ht="15">
      <c r="A190" s="67"/>
      <c r="B190" s="95" t="s">
        <v>142</v>
      </c>
      <c r="C190" s="69" t="s">
        <v>16</v>
      </c>
      <c r="D190" s="74">
        <f t="shared" si="47"/>
        <v>1</v>
      </c>
      <c r="E190" s="75">
        <f t="shared" si="47"/>
        <v>3.3839999999999999</v>
      </c>
      <c r="F190" s="76"/>
      <c r="G190" s="77">
        <f t="shared" si="48"/>
        <v>1.4</v>
      </c>
      <c r="H190" s="78">
        <f t="shared" si="49"/>
        <v>4.7375999999999996</v>
      </c>
      <c r="K190" s="79"/>
    </row>
    <row r="191" spans="1:11" ht="15">
      <c r="A191" s="67"/>
      <c r="B191" s="95" t="s">
        <v>324</v>
      </c>
      <c r="C191" s="69" t="s">
        <v>16</v>
      </c>
      <c r="D191" s="74">
        <f t="shared" si="47"/>
        <v>1</v>
      </c>
      <c r="E191" s="75">
        <f t="shared" si="47"/>
        <v>5.9790000000000001</v>
      </c>
      <c r="F191" s="76"/>
      <c r="G191" s="77">
        <f t="shared" si="48"/>
        <v>1.4</v>
      </c>
      <c r="H191" s="78">
        <f t="shared" si="49"/>
        <v>8.3705999999999996</v>
      </c>
      <c r="K191" s="79"/>
    </row>
    <row r="192" spans="1:11" ht="15">
      <c r="A192" s="67"/>
      <c r="B192" s="95" t="s">
        <v>325</v>
      </c>
      <c r="C192" s="69" t="s">
        <v>16</v>
      </c>
      <c r="D192" s="74">
        <f t="shared" si="47"/>
        <v>1</v>
      </c>
      <c r="E192" s="75">
        <f t="shared" si="47"/>
        <v>3.5339999999999998</v>
      </c>
      <c r="F192" s="76"/>
      <c r="G192" s="77">
        <f t="shared" si="48"/>
        <v>1.4</v>
      </c>
      <c r="H192" s="78">
        <f t="shared" si="49"/>
        <v>4.9475999999999996</v>
      </c>
      <c r="K192" s="79"/>
    </row>
    <row r="193" spans="1:11" ht="15">
      <c r="A193" s="67"/>
      <c r="B193" s="73"/>
      <c r="C193" s="69"/>
      <c r="D193" s="74"/>
      <c r="E193" s="75"/>
      <c r="F193" s="677" t="s">
        <v>65</v>
      </c>
      <c r="G193" s="677"/>
      <c r="H193" s="80">
        <f>ROUND(SUM(H185:H192),0)</f>
        <v>65</v>
      </c>
      <c r="K193" s="79"/>
    </row>
    <row r="194" spans="1:11" ht="15">
      <c r="A194" s="67"/>
      <c r="B194" s="72" t="s">
        <v>143</v>
      </c>
      <c r="C194" s="69"/>
      <c r="D194" s="74"/>
      <c r="E194" s="75"/>
      <c r="F194" s="76"/>
      <c r="G194" s="77"/>
      <c r="H194" s="78"/>
      <c r="K194" s="79"/>
    </row>
    <row r="195" spans="1:11" ht="15">
      <c r="A195" s="67"/>
      <c r="B195" s="73" t="s">
        <v>144</v>
      </c>
      <c r="C195" s="69" t="s">
        <v>16</v>
      </c>
      <c r="D195" s="74">
        <f t="shared" ref="D195:F198" si="50">D144</f>
        <v>1</v>
      </c>
      <c r="E195" s="113">
        <f t="shared" si="50"/>
        <v>5.1239999999999997</v>
      </c>
      <c r="F195" s="114">
        <f t="shared" si="50"/>
        <v>3.3650000000000002</v>
      </c>
      <c r="G195" s="77"/>
      <c r="H195" s="78">
        <f>D195*E195*F195</f>
        <v>17.242260000000002</v>
      </c>
      <c r="K195" s="79"/>
    </row>
    <row r="196" spans="1:11" ht="15">
      <c r="A196" s="67"/>
      <c r="B196" s="73" t="s">
        <v>145</v>
      </c>
      <c r="C196" s="69" t="s">
        <v>16</v>
      </c>
      <c r="D196" s="74">
        <f t="shared" si="50"/>
        <v>1</v>
      </c>
      <c r="E196" s="113">
        <f t="shared" si="50"/>
        <v>5.1239999999999997</v>
      </c>
      <c r="F196" s="114">
        <f t="shared" si="50"/>
        <v>2.8050000000000002</v>
      </c>
      <c r="G196" s="77"/>
      <c r="H196" s="78">
        <f>D196*E196*F196</f>
        <v>14.372819999999999</v>
      </c>
      <c r="K196" s="79"/>
    </row>
    <row r="197" spans="1:11" ht="15">
      <c r="A197" s="67"/>
      <c r="B197" s="73" t="s">
        <v>146</v>
      </c>
      <c r="C197" s="69" t="s">
        <v>16</v>
      </c>
      <c r="D197" s="74">
        <f t="shared" si="50"/>
        <v>1</v>
      </c>
      <c r="E197" s="113">
        <f t="shared" si="50"/>
        <v>6.5659999999999998</v>
      </c>
      <c r="F197" s="114">
        <f t="shared" si="50"/>
        <v>2.6339999999999999</v>
      </c>
      <c r="G197" s="77"/>
      <c r="H197" s="78">
        <f>D197*E197*F197</f>
        <v>17.294843999999998</v>
      </c>
      <c r="K197" s="79"/>
    </row>
    <row r="198" spans="1:11" ht="15">
      <c r="A198" s="67"/>
      <c r="B198" s="73" t="s">
        <v>147</v>
      </c>
      <c r="C198" s="69" t="s">
        <v>16</v>
      </c>
      <c r="D198" s="74">
        <f t="shared" si="50"/>
        <v>1</v>
      </c>
      <c r="E198" s="113">
        <f t="shared" si="50"/>
        <v>5.1239999999999997</v>
      </c>
      <c r="F198" s="114">
        <f t="shared" si="50"/>
        <v>0.59899999999999998</v>
      </c>
      <c r="G198" s="77"/>
      <c r="H198" s="78">
        <f>D198*E198*F198</f>
        <v>3.0692759999999999</v>
      </c>
      <c r="K198" s="79"/>
    </row>
    <row r="199" spans="1:11" ht="15">
      <c r="A199" s="67"/>
      <c r="B199" s="73"/>
      <c r="C199" s="69"/>
      <c r="D199" s="74"/>
      <c r="E199" s="75"/>
      <c r="F199" s="677" t="s">
        <v>65</v>
      </c>
      <c r="G199" s="677"/>
      <c r="H199" s="80">
        <f>ROUND(SUM(H195:H198),0)</f>
        <v>52</v>
      </c>
      <c r="K199" s="79"/>
    </row>
    <row r="200" spans="1:11" ht="15">
      <c r="A200" s="81"/>
      <c r="B200" s="82"/>
      <c r="C200" s="83"/>
      <c r="D200" s="84"/>
      <c r="E200" s="85"/>
      <c r="F200" s="86"/>
      <c r="G200" s="87"/>
      <c r="H200" s="87"/>
      <c r="K200" s="79"/>
    </row>
    <row r="201" spans="1:11" ht="28.5">
      <c r="A201" s="105">
        <v>11</v>
      </c>
      <c r="B201" s="72" t="s">
        <v>149</v>
      </c>
      <c r="C201" s="69"/>
      <c r="D201" s="74"/>
      <c r="E201" s="75"/>
      <c r="F201" s="76"/>
      <c r="G201" s="77"/>
      <c r="H201" s="78"/>
      <c r="K201" s="79"/>
    </row>
    <row r="202" spans="1:11" ht="15">
      <c r="A202" s="67"/>
      <c r="B202" s="115" t="s">
        <v>20</v>
      </c>
      <c r="C202" s="116" t="s">
        <v>23</v>
      </c>
      <c r="D202" s="74">
        <v>75</v>
      </c>
      <c r="E202" s="101" t="s">
        <v>150</v>
      </c>
      <c r="F202" s="76"/>
      <c r="G202" s="77"/>
      <c r="H202" s="78">
        <f>(D202*H112)/1000</f>
        <v>27.3</v>
      </c>
      <c r="K202" s="79"/>
    </row>
    <row r="203" spans="1:11" ht="15">
      <c r="A203" s="67"/>
      <c r="B203" s="115" t="s">
        <v>151</v>
      </c>
      <c r="C203" s="116" t="s">
        <v>23</v>
      </c>
      <c r="D203" s="74">
        <v>120</v>
      </c>
      <c r="E203" s="101" t="s">
        <v>150</v>
      </c>
      <c r="F203" s="76"/>
      <c r="G203" s="77"/>
      <c r="H203" s="78">
        <f>(D203*H123)/1000</f>
        <v>28.68</v>
      </c>
      <c r="K203" s="79"/>
    </row>
    <row r="204" spans="1:11" ht="15">
      <c r="A204" s="67"/>
      <c r="B204" s="115" t="s">
        <v>34</v>
      </c>
      <c r="C204" s="116" t="s">
        <v>23</v>
      </c>
      <c r="D204" s="74">
        <v>120</v>
      </c>
      <c r="E204" s="101" t="s">
        <v>150</v>
      </c>
      <c r="F204" s="76"/>
      <c r="G204" s="77"/>
      <c r="H204" s="78">
        <f>(D204*H128)/1000</f>
        <v>0.36</v>
      </c>
      <c r="K204" s="79"/>
    </row>
    <row r="205" spans="1:11" ht="15">
      <c r="A205" s="67"/>
      <c r="B205" s="115" t="s">
        <v>136</v>
      </c>
      <c r="C205" s="116" t="s">
        <v>23</v>
      </c>
      <c r="D205" s="74">
        <v>125</v>
      </c>
      <c r="E205" s="101" t="s">
        <v>150</v>
      </c>
      <c r="F205" s="76"/>
      <c r="G205" s="77"/>
      <c r="H205" s="78">
        <f>(D205*H132)/1000</f>
        <v>21.625</v>
      </c>
      <c r="K205" s="79"/>
    </row>
    <row r="206" spans="1:11" ht="15">
      <c r="A206" s="67"/>
      <c r="B206" s="115" t="s">
        <v>152</v>
      </c>
      <c r="C206" s="116" t="s">
        <v>23</v>
      </c>
      <c r="D206" s="74">
        <v>125</v>
      </c>
      <c r="E206" s="101" t="s">
        <v>150</v>
      </c>
      <c r="F206" s="76"/>
      <c r="G206" s="77"/>
      <c r="H206" s="78">
        <f>(D206*H142)/1000</f>
        <v>0.875</v>
      </c>
      <c r="K206" s="79"/>
    </row>
    <row r="207" spans="1:11" ht="15">
      <c r="A207" s="67"/>
      <c r="B207" s="115" t="s">
        <v>35</v>
      </c>
      <c r="C207" s="116" t="s">
        <v>23</v>
      </c>
      <c r="D207" s="74">
        <v>100</v>
      </c>
      <c r="E207" s="101" t="s">
        <v>150</v>
      </c>
      <c r="F207" s="76"/>
      <c r="G207" s="77"/>
      <c r="H207" s="78">
        <f>(D207*H148)/1000</f>
        <v>0.8</v>
      </c>
      <c r="K207" s="79"/>
    </row>
    <row r="208" spans="1:11" ht="15">
      <c r="A208" s="67"/>
      <c r="B208" s="115" t="s">
        <v>37</v>
      </c>
      <c r="C208" s="116" t="s">
        <v>23</v>
      </c>
      <c r="D208" s="117">
        <v>5.91</v>
      </c>
      <c r="E208" s="101" t="s">
        <v>153</v>
      </c>
      <c r="F208" s="88"/>
      <c r="G208" s="78"/>
      <c r="H208" s="78">
        <f>(D208*H315)/1000</f>
        <v>10.66164</v>
      </c>
      <c r="K208" s="79"/>
    </row>
    <row r="209" spans="1:11" ht="15">
      <c r="A209" s="67"/>
      <c r="B209" s="73"/>
      <c r="C209" s="69"/>
      <c r="D209" s="74"/>
      <c r="E209" s="75"/>
      <c r="F209" s="677" t="s">
        <v>65</v>
      </c>
      <c r="G209" s="677"/>
      <c r="H209" s="80">
        <f>ROUND(SUM(H202:H208),0)</f>
        <v>90</v>
      </c>
      <c r="K209" s="79"/>
    </row>
    <row r="210" spans="1:11" ht="15">
      <c r="A210" s="67"/>
      <c r="B210" s="115" t="s">
        <v>154</v>
      </c>
      <c r="C210" s="116" t="s">
        <v>23</v>
      </c>
      <c r="D210" s="117">
        <v>7.85</v>
      </c>
      <c r="E210" s="101" t="s">
        <v>153</v>
      </c>
      <c r="F210" s="88"/>
      <c r="G210" s="78"/>
      <c r="H210" s="80">
        <f>(D210*H315)/1000</f>
        <v>14.1614</v>
      </c>
      <c r="K210" s="79"/>
    </row>
    <row r="211" spans="1:11" ht="15">
      <c r="A211" s="67"/>
      <c r="B211" s="73"/>
      <c r="C211" s="69"/>
      <c r="D211" s="74"/>
      <c r="E211" s="75"/>
      <c r="F211" s="71"/>
      <c r="G211" s="71"/>
      <c r="H211" s="80"/>
      <c r="K211" s="79"/>
    </row>
    <row r="212" spans="1:11" ht="15">
      <c r="A212" s="33"/>
      <c r="B212" s="118" t="s">
        <v>19</v>
      </c>
      <c r="C212" s="119" t="s">
        <v>23</v>
      </c>
      <c r="D212" s="36">
        <v>35</v>
      </c>
      <c r="E212" s="120" t="s">
        <v>150</v>
      </c>
      <c r="F212" s="38"/>
      <c r="G212" s="39"/>
      <c r="H212" s="39">
        <f>(D212*H99)/1000</f>
        <v>90.37</v>
      </c>
      <c r="K212" s="79"/>
    </row>
    <row r="213" spans="1:11" ht="15">
      <c r="A213" s="67"/>
      <c r="B213" s="73"/>
      <c r="C213" s="69"/>
      <c r="D213" s="74"/>
      <c r="E213" s="75"/>
      <c r="F213" s="71"/>
      <c r="G213" s="71"/>
      <c r="H213" s="80"/>
      <c r="K213" s="79"/>
    </row>
    <row r="214" spans="1:11" ht="15">
      <c r="A214" s="67"/>
      <c r="B214" s="73"/>
      <c r="C214" s="69"/>
      <c r="D214" s="74"/>
      <c r="E214" s="75"/>
      <c r="F214" s="71"/>
      <c r="G214" s="71"/>
      <c r="H214" s="80"/>
      <c r="K214" s="79"/>
    </row>
    <row r="215" spans="1:11" ht="25.5">
      <c r="A215" s="105">
        <v>12</v>
      </c>
      <c r="B215" s="121" t="s">
        <v>155</v>
      </c>
      <c r="C215" s="107"/>
      <c r="D215" s="74"/>
      <c r="E215" s="75"/>
      <c r="F215" s="76"/>
      <c r="G215" s="77"/>
      <c r="H215" s="78"/>
      <c r="K215" s="79"/>
    </row>
    <row r="216" spans="1:11" ht="15">
      <c r="A216" s="67"/>
      <c r="B216" s="101" t="s">
        <v>123</v>
      </c>
      <c r="C216" s="107" t="s">
        <v>16</v>
      </c>
      <c r="D216" s="74">
        <f>D84</f>
        <v>1</v>
      </c>
      <c r="E216" s="74">
        <f>E84</f>
        <v>121.205</v>
      </c>
      <c r="F216" s="74">
        <f>F84</f>
        <v>106.13200000000001</v>
      </c>
      <c r="G216" s="77"/>
      <c r="H216" s="78">
        <f>D216*E216*F216</f>
        <v>12863.72906</v>
      </c>
      <c r="K216" s="79"/>
    </row>
    <row r="217" spans="1:11" ht="15">
      <c r="A217" s="67"/>
      <c r="B217" s="101" t="s">
        <v>321</v>
      </c>
      <c r="C217" s="107"/>
      <c r="D217" s="74"/>
      <c r="E217" s="74"/>
      <c r="F217" s="74"/>
      <c r="G217" s="77"/>
      <c r="H217" s="78"/>
      <c r="K217" s="79"/>
    </row>
    <row r="218" spans="1:11" ht="15">
      <c r="A218" s="67"/>
      <c r="B218" s="73" t="s">
        <v>98</v>
      </c>
      <c r="C218" s="107" t="s">
        <v>16</v>
      </c>
      <c r="D218" s="74">
        <f t="shared" ref="D218:F222" si="51">D89</f>
        <v>-4</v>
      </c>
      <c r="E218" s="74">
        <f t="shared" si="51"/>
        <v>1.4</v>
      </c>
      <c r="F218" s="74">
        <f t="shared" si="51"/>
        <v>0.95</v>
      </c>
      <c r="G218" s="77"/>
      <c r="H218" s="78">
        <f>D218*E218*F218</f>
        <v>-5.3199999999999994</v>
      </c>
      <c r="K218" s="79"/>
    </row>
    <row r="219" spans="1:11" ht="15">
      <c r="A219" s="67"/>
      <c r="B219" s="73" t="s">
        <v>99</v>
      </c>
      <c r="C219" s="107" t="s">
        <v>16</v>
      </c>
      <c r="D219" s="74">
        <f t="shared" si="51"/>
        <v>-24</v>
      </c>
      <c r="E219" s="74">
        <f t="shared" si="51"/>
        <v>1.4</v>
      </c>
      <c r="F219" s="74">
        <f t="shared" si="51"/>
        <v>0.85</v>
      </c>
      <c r="G219" s="77"/>
      <c r="H219" s="78">
        <f>D219*E219*F219</f>
        <v>-28.559999999999995</v>
      </c>
      <c r="K219" s="79"/>
    </row>
    <row r="220" spans="1:11" ht="15">
      <c r="A220" s="67"/>
      <c r="B220" s="73" t="s">
        <v>100</v>
      </c>
      <c r="C220" s="107" t="s">
        <v>16</v>
      </c>
      <c r="D220" s="74">
        <f t="shared" si="51"/>
        <v>-19</v>
      </c>
      <c r="E220" s="74">
        <f t="shared" si="51"/>
        <v>1.075</v>
      </c>
      <c r="F220" s="74">
        <f t="shared" si="51"/>
        <v>0.45</v>
      </c>
      <c r="G220" s="77"/>
      <c r="H220" s="78">
        <f>D220*E220*F220</f>
        <v>-9.1912500000000001</v>
      </c>
      <c r="K220" s="79"/>
    </row>
    <row r="221" spans="1:11" ht="15">
      <c r="A221" s="67"/>
      <c r="B221" s="73" t="s">
        <v>101</v>
      </c>
      <c r="C221" s="107" t="s">
        <v>16</v>
      </c>
      <c r="D221" s="74">
        <f t="shared" si="51"/>
        <v>-8</v>
      </c>
      <c r="E221" s="74">
        <f t="shared" si="51"/>
        <v>1.2</v>
      </c>
      <c r="F221" s="74">
        <f t="shared" si="51"/>
        <v>0.85</v>
      </c>
      <c r="G221" s="77"/>
      <c r="H221" s="78">
        <f>D221*E221*F221</f>
        <v>-8.16</v>
      </c>
      <c r="K221" s="79"/>
    </row>
    <row r="222" spans="1:11" ht="15">
      <c r="A222" s="67"/>
      <c r="B222" s="73" t="s">
        <v>102</v>
      </c>
      <c r="C222" s="107" t="s">
        <v>16</v>
      </c>
      <c r="D222" s="74">
        <f t="shared" si="51"/>
        <v>-24</v>
      </c>
      <c r="E222" s="74">
        <f t="shared" si="51"/>
        <v>1</v>
      </c>
      <c r="F222" s="74">
        <f t="shared" si="51"/>
        <v>0.85</v>
      </c>
      <c r="G222" s="77"/>
      <c r="H222" s="78">
        <f>D222*E222*F222</f>
        <v>-20.399999999999999</v>
      </c>
      <c r="K222" s="79"/>
    </row>
    <row r="223" spans="1:11" ht="15">
      <c r="A223" s="67"/>
      <c r="B223" s="121"/>
      <c r="C223" s="69"/>
      <c r="D223" s="74"/>
      <c r="E223" s="75"/>
      <c r="F223" s="677" t="s">
        <v>65</v>
      </c>
      <c r="G223" s="677"/>
      <c r="H223" s="80">
        <f>ROUND(SUM(H216:H222),0)</f>
        <v>12792</v>
      </c>
      <c r="K223" s="79"/>
    </row>
    <row r="224" spans="1:11" ht="15">
      <c r="A224" s="81"/>
      <c r="B224" s="82"/>
      <c r="C224" s="83"/>
      <c r="D224" s="84"/>
      <c r="E224" s="85"/>
      <c r="F224" s="86"/>
      <c r="G224" s="87"/>
      <c r="H224" s="87"/>
      <c r="K224" s="79"/>
    </row>
    <row r="225" spans="1:11" ht="15">
      <c r="A225" s="67" t="s">
        <v>156</v>
      </c>
      <c r="B225" s="121" t="s">
        <v>157</v>
      </c>
      <c r="C225" s="69"/>
      <c r="D225" s="74"/>
      <c r="E225" s="75"/>
      <c r="F225" s="76"/>
      <c r="G225" s="77"/>
      <c r="H225" s="78"/>
      <c r="K225" s="79"/>
    </row>
    <row r="226" spans="1:11" ht="15">
      <c r="A226" s="67"/>
      <c r="B226" s="73" t="s">
        <v>128</v>
      </c>
      <c r="C226" s="69" t="s">
        <v>27</v>
      </c>
      <c r="D226" s="74">
        <f>D114</f>
        <v>4</v>
      </c>
      <c r="E226" s="75">
        <f>2.421*2+3.423</f>
        <v>8.2650000000000006</v>
      </c>
      <c r="F226" s="76"/>
      <c r="G226" s="77"/>
      <c r="H226" s="78">
        <f>D226*E226</f>
        <v>33.06</v>
      </c>
      <c r="K226" s="79"/>
    </row>
    <row r="227" spans="1:11" ht="15">
      <c r="A227" s="67"/>
      <c r="B227" s="73" t="s">
        <v>129</v>
      </c>
      <c r="C227" s="69" t="s">
        <v>27</v>
      </c>
      <c r="D227" s="74">
        <f>D115</f>
        <v>24</v>
      </c>
      <c r="E227" s="75">
        <f>3.791+2.681+2.681</f>
        <v>9.1529999999999987</v>
      </c>
      <c r="F227" s="76"/>
      <c r="G227" s="77"/>
      <c r="H227" s="78">
        <f>D227*E227</f>
        <v>219.67199999999997</v>
      </c>
      <c r="K227" s="79"/>
    </row>
    <row r="228" spans="1:11" ht="15">
      <c r="A228" s="67"/>
      <c r="B228" s="73" t="s">
        <v>130</v>
      </c>
      <c r="C228" s="69" t="s">
        <v>27</v>
      </c>
      <c r="D228" s="74">
        <f>D116</f>
        <v>19</v>
      </c>
      <c r="E228" s="75">
        <f>1.938*2+2.741</f>
        <v>6.617</v>
      </c>
      <c r="F228" s="76"/>
      <c r="G228" s="77"/>
      <c r="H228" s="78">
        <f>D228*E228</f>
        <v>125.723</v>
      </c>
      <c r="K228" s="79"/>
    </row>
    <row r="229" spans="1:11" ht="15">
      <c r="A229" s="67"/>
      <c r="B229" s="73" t="s">
        <v>131</v>
      </c>
      <c r="C229" s="69" t="s">
        <v>27</v>
      </c>
      <c r="D229" s="74">
        <f>D117</f>
        <v>8</v>
      </c>
      <c r="E229" s="75">
        <f>2.404*2+3.391</f>
        <v>8.1989999999999998</v>
      </c>
      <c r="F229" s="76"/>
      <c r="G229" s="77"/>
      <c r="H229" s="78">
        <f>D229*E229</f>
        <v>65.591999999999999</v>
      </c>
      <c r="K229" s="79"/>
    </row>
    <row r="230" spans="1:11" ht="15">
      <c r="A230" s="67"/>
      <c r="B230" s="73" t="s">
        <v>132</v>
      </c>
      <c r="C230" s="69" t="s">
        <v>27</v>
      </c>
      <c r="D230" s="74">
        <f>D118</f>
        <v>24</v>
      </c>
      <c r="E230" s="75">
        <f>1.408*4</f>
        <v>5.6319999999999997</v>
      </c>
      <c r="F230" s="76"/>
      <c r="G230" s="77"/>
      <c r="H230" s="78">
        <f>D230*E230</f>
        <v>135.16800000000001</v>
      </c>
      <c r="K230" s="79"/>
    </row>
    <row r="231" spans="1:11" ht="15">
      <c r="A231" s="67"/>
      <c r="B231" s="73"/>
      <c r="C231" s="69"/>
      <c r="D231" s="74"/>
      <c r="E231" s="75"/>
      <c r="F231" s="677" t="s">
        <v>65</v>
      </c>
      <c r="G231" s="677"/>
      <c r="H231" s="80">
        <f>ROUND(SUM(H225:H230),0)</f>
        <v>579</v>
      </c>
      <c r="K231" s="79"/>
    </row>
    <row r="232" spans="1:11" ht="15">
      <c r="A232" s="81"/>
      <c r="B232" s="82"/>
      <c r="C232" s="83"/>
      <c r="D232" s="84"/>
      <c r="E232" s="85"/>
      <c r="F232" s="71"/>
      <c r="G232" s="71"/>
      <c r="H232" s="80"/>
      <c r="K232" s="79"/>
    </row>
    <row r="233" spans="1:11" ht="15">
      <c r="A233" s="67" t="s">
        <v>158</v>
      </c>
      <c r="B233" s="121" t="s">
        <v>326</v>
      </c>
      <c r="C233" s="69"/>
      <c r="D233" s="74"/>
      <c r="E233" s="75"/>
      <c r="F233" s="76"/>
      <c r="G233" s="77"/>
      <c r="H233" s="78"/>
      <c r="K233" s="79"/>
    </row>
    <row r="234" spans="1:11" ht="15">
      <c r="A234" s="67"/>
      <c r="B234" s="73" t="s">
        <v>128</v>
      </c>
      <c r="C234" s="107" t="s">
        <v>16</v>
      </c>
      <c r="D234" s="74">
        <f>D114</f>
        <v>4</v>
      </c>
      <c r="E234" s="75">
        <f>E226</f>
        <v>8.2650000000000006</v>
      </c>
      <c r="F234" s="76"/>
      <c r="G234" s="77">
        <f>G84</f>
        <v>0.2</v>
      </c>
      <c r="H234" s="78">
        <f>D234*E234*G234</f>
        <v>6.612000000000001</v>
      </c>
      <c r="K234" s="79"/>
    </row>
    <row r="235" spans="1:11" ht="15">
      <c r="A235" s="67"/>
      <c r="B235" s="73" t="s">
        <v>129</v>
      </c>
      <c r="C235" s="107" t="s">
        <v>16</v>
      </c>
      <c r="D235" s="74">
        <f>D115</f>
        <v>24</v>
      </c>
      <c r="E235" s="75">
        <f>E227</f>
        <v>9.1529999999999987</v>
      </c>
      <c r="F235" s="76"/>
      <c r="G235" s="77">
        <f>G234</f>
        <v>0.2</v>
      </c>
      <c r="H235" s="78">
        <f>D235*E235*G235</f>
        <v>43.934399999999997</v>
      </c>
      <c r="K235" s="79"/>
    </row>
    <row r="236" spans="1:11" ht="15">
      <c r="A236" s="67"/>
      <c r="B236" s="73" t="s">
        <v>130</v>
      </c>
      <c r="C236" s="107" t="s">
        <v>16</v>
      </c>
      <c r="D236" s="74">
        <f>D116</f>
        <v>19</v>
      </c>
      <c r="E236" s="75">
        <f>E228</f>
        <v>6.617</v>
      </c>
      <c r="F236" s="76"/>
      <c r="G236" s="77">
        <f>G235</f>
        <v>0.2</v>
      </c>
      <c r="H236" s="78">
        <f>D236*E236*G236</f>
        <v>25.144600000000001</v>
      </c>
      <c r="K236" s="79"/>
    </row>
    <row r="237" spans="1:11" ht="15">
      <c r="A237" s="67"/>
      <c r="B237" s="73" t="s">
        <v>131</v>
      </c>
      <c r="C237" s="107" t="s">
        <v>16</v>
      </c>
      <c r="D237" s="74">
        <f>D117</f>
        <v>8</v>
      </c>
      <c r="E237" s="75">
        <f>E229</f>
        <v>8.1989999999999998</v>
      </c>
      <c r="F237" s="76"/>
      <c r="G237" s="77">
        <f>G236</f>
        <v>0.2</v>
      </c>
      <c r="H237" s="78">
        <f>D237*E237*G237</f>
        <v>13.118400000000001</v>
      </c>
      <c r="K237" s="79"/>
    </row>
    <row r="238" spans="1:11" ht="15">
      <c r="A238" s="67"/>
      <c r="B238" s="73" t="s">
        <v>132</v>
      </c>
      <c r="C238" s="107" t="s">
        <v>16</v>
      </c>
      <c r="D238" s="74">
        <f>D118</f>
        <v>24</v>
      </c>
      <c r="E238" s="75">
        <f>E230</f>
        <v>5.6319999999999997</v>
      </c>
      <c r="F238" s="76"/>
      <c r="G238" s="77">
        <f>G237</f>
        <v>0.2</v>
      </c>
      <c r="H238" s="78">
        <f>D238*E238*G238</f>
        <v>27.033600000000003</v>
      </c>
      <c r="K238" s="79"/>
    </row>
    <row r="239" spans="1:11" ht="15">
      <c r="A239" s="67"/>
      <c r="B239" s="73"/>
      <c r="C239" s="69"/>
      <c r="D239" s="74"/>
      <c r="E239" s="75"/>
      <c r="F239" s="677" t="s">
        <v>65</v>
      </c>
      <c r="G239" s="677"/>
      <c r="H239" s="80">
        <f>ROUND(SUM(H234:H238),0)</f>
        <v>116</v>
      </c>
      <c r="K239" s="79"/>
    </row>
    <row r="240" spans="1:11" ht="15">
      <c r="A240" s="81"/>
      <c r="B240" s="82"/>
      <c r="C240" s="83"/>
      <c r="D240" s="84"/>
      <c r="E240" s="85"/>
      <c r="F240" s="86"/>
      <c r="G240" s="87"/>
      <c r="H240" s="87"/>
      <c r="K240" s="79"/>
    </row>
    <row r="241" spans="1:11" ht="15">
      <c r="A241" s="67">
        <v>14</v>
      </c>
      <c r="B241" s="121" t="s">
        <v>159</v>
      </c>
      <c r="C241" s="69"/>
      <c r="D241" s="74"/>
      <c r="E241" s="75"/>
      <c r="F241" s="76"/>
      <c r="G241" s="77"/>
      <c r="H241" s="78"/>
      <c r="K241" s="79"/>
    </row>
    <row r="242" spans="1:11" ht="15">
      <c r="A242" s="67"/>
      <c r="B242" s="73" t="s">
        <v>128</v>
      </c>
      <c r="C242" s="69" t="s">
        <v>11</v>
      </c>
      <c r="D242" s="74">
        <f>D164</f>
        <v>4</v>
      </c>
      <c r="E242" s="75">
        <v>1.03</v>
      </c>
      <c r="F242" s="86">
        <v>0.25</v>
      </c>
      <c r="G242" s="92">
        <v>0.05</v>
      </c>
      <c r="H242" s="78">
        <f>D242*E242*F242*G242</f>
        <v>5.1500000000000004E-2</v>
      </c>
      <c r="K242" s="79"/>
    </row>
    <row r="243" spans="1:11" ht="15">
      <c r="A243" s="67"/>
      <c r="B243" s="73" t="s">
        <v>129</v>
      </c>
      <c r="C243" s="69" t="s">
        <v>11</v>
      </c>
      <c r="D243" s="74">
        <f>D165</f>
        <v>24</v>
      </c>
      <c r="E243" s="75">
        <v>1.03</v>
      </c>
      <c r="F243" s="86">
        <v>0.55000000000000004</v>
      </c>
      <c r="G243" s="92">
        <v>0.05</v>
      </c>
      <c r="H243" s="78">
        <f>D243*E243*F243*G243</f>
        <v>0.67980000000000007</v>
      </c>
      <c r="K243" s="79"/>
    </row>
    <row r="244" spans="1:11" ht="15">
      <c r="A244" s="67"/>
      <c r="B244" s="73" t="s">
        <v>130</v>
      </c>
      <c r="C244" s="69" t="s">
        <v>11</v>
      </c>
      <c r="D244" s="74">
        <f>D166</f>
        <v>19</v>
      </c>
      <c r="E244" s="75">
        <v>0.83</v>
      </c>
      <c r="F244" s="86">
        <v>0.25</v>
      </c>
      <c r="G244" s="92">
        <v>0.05</v>
      </c>
      <c r="H244" s="78">
        <f>D244*E244*F244*G244</f>
        <v>0.19712499999999999</v>
      </c>
      <c r="K244" s="79"/>
    </row>
    <row r="245" spans="1:11" ht="15">
      <c r="A245" s="67"/>
      <c r="B245" s="73" t="s">
        <v>131</v>
      </c>
      <c r="C245" s="69" t="s">
        <v>11</v>
      </c>
      <c r="D245" s="74">
        <f>D167</f>
        <v>8</v>
      </c>
      <c r="E245" s="75">
        <v>0.83</v>
      </c>
      <c r="F245" s="86">
        <v>0.55000000000000004</v>
      </c>
      <c r="G245" s="92">
        <v>0.05</v>
      </c>
      <c r="H245" s="78">
        <f>D245*E245*F245*G245</f>
        <v>0.18260000000000001</v>
      </c>
      <c r="K245" s="79"/>
    </row>
    <row r="246" spans="1:11" ht="15">
      <c r="A246" s="67"/>
      <c r="B246" s="73" t="s">
        <v>132</v>
      </c>
      <c r="C246" s="69" t="s">
        <v>11</v>
      </c>
      <c r="D246" s="74">
        <f>D168</f>
        <v>24</v>
      </c>
      <c r="E246" s="75">
        <v>0.83</v>
      </c>
      <c r="F246" s="86">
        <v>0.55000000000000004</v>
      </c>
      <c r="G246" s="92">
        <v>0.05</v>
      </c>
      <c r="H246" s="78">
        <f>D246*E246*F246*G246</f>
        <v>0.54779999999999995</v>
      </c>
      <c r="K246" s="79"/>
    </row>
    <row r="247" spans="1:11" ht="15">
      <c r="A247" s="67"/>
      <c r="B247" s="73"/>
      <c r="C247" s="69"/>
      <c r="D247" s="74"/>
      <c r="E247" s="75"/>
      <c r="F247" s="677" t="s">
        <v>65</v>
      </c>
      <c r="G247" s="677"/>
      <c r="H247" s="80">
        <f>ROUND(SUM(H242:H246),0)</f>
        <v>2</v>
      </c>
      <c r="K247" s="79"/>
    </row>
    <row r="248" spans="1:11" ht="15">
      <c r="A248" s="67"/>
      <c r="B248" s="73"/>
      <c r="C248" s="100"/>
      <c r="D248" s="74"/>
      <c r="E248" s="75"/>
      <c r="F248" s="71"/>
      <c r="G248" s="71"/>
      <c r="H248" s="80"/>
      <c r="K248" s="79"/>
    </row>
    <row r="249" spans="1:11" ht="45">
      <c r="A249" s="105">
        <v>15</v>
      </c>
      <c r="B249" s="121" t="s">
        <v>160</v>
      </c>
      <c r="C249" s="100"/>
      <c r="D249" s="108" t="s">
        <v>161</v>
      </c>
      <c r="E249" s="109" t="s">
        <v>162</v>
      </c>
      <c r="F249" s="122" t="s">
        <v>163</v>
      </c>
      <c r="G249" s="109" t="s">
        <v>164</v>
      </c>
      <c r="H249" s="123"/>
      <c r="K249" s="79"/>
    </row>
    <row r="250" spans="1:11" ht="15">
      <c r="A250" s="105"/>
      <c r="B250" s="121" t="s">
        <v>165</v>
      </c>
      <c r="C250" s="100"/>
      <c r="D250" s="108"/>
      <c r="E250" s="109"/>
      <c r="F250" s="122"/>
      <c r="G250" s="109"/>
      <c r="H250" s="123"/>
      <c r="K250" s="79"/>
    </row>
    <row r="251" spans="1:11" ht="15">
      <c r="A251" s="67"/>
      <c r="B251" s="73" t="s">
        <v>166</v>
      </c>
      <c r="C251" s="100" t="s">
        <v>23</v>
      </c>
      <c r="D251" s="74">
        <f>D242</f>
        <v>4</v>
      </c>
      <c r="E251" s="75">
        <v>8</v>
      </c>
      <c r="F251" s="88">
        <v>1</v>
      </c>
      <c r="G251" s="78">
        <v>6.3</v>
      </c>
      <c r="H251" s="124">
        <f>(D251*E251*F251*G251)/1000</f>
        <v>0.2016</v>
      </c>
      <c r="J251" s="57">
        <f>1*1*6.3</f>
        <v>6.3</v>
      </c>
      <c r="K251" s="79"/>
    </row>
    <row r="252" spans="1:11" ht="15">
      <c r="A252" s="67"/>
      <c r="B252" s="73" t="s">
        <v>167</v>
      </c>
      <c r="C252" s="100" t="s">
        <v>23</v>
      </c>
      <c r="D252" s="74">
        <f>D243</f>
        <v>24</v>
      </c>
      <c r="E252" s="75">
        <v>12</v>
      </c>
      <c r="F252" s="88">
        <v>1</v>
      </c>
      <c r="G252" s="78">
        <v>6.3</v>
      </c>
      <c r="H252" s="78">
        <f t="shared" ref="H252:H261" si="52">(D252*E252*F252*G252)/1000</f>
        <v>1.8143999999999998</v>
      </c>
      <c r="K252" s="79"/>
    </row>
    <row r="253" spans="1:11" ht="15">
      <c r="A253" s="67"/>
      <c r="B253" s="73" t="s">
        <v>168</v>
      </c>
      <c r="C253" s="100" t="s">
        <v>23</v>
      </c>
      <c r="D253" s="74">
        <f>D244</f>
        <v>19</v>
      </c>
      <c r="E253" s="75">
        <v>4</v>
      </c>
      <c r="F253" s="88">
        <v>0.7</v>
      </c>
      <c r="G253" s="78">
        <v>2.5</v>
      </c>
      <c r="H253" s="78">
        <f t="shared" si="52"/>
        <v>0.13300000000000001</v>
      </c>
      <c r="J253" s="57">
        <f>1*0.7*2.5</f>
        <v>1.75</v>
      </c>
      <c r="K253" s="79"/>
    </row>
    <row r="254" spans="1:11" ht="15">
      <c r="A254" s="67"/>
      <c r="B254" s="73" t="s">
        <v>327</v>
      </c>
      <c r="C254" s="100" t="s">
        <v>23</v>
      </c>
      <c r="D254" s="74">
        <f>D245</f>
        <v>8</v>
      </c>
      <c r="E254" s="75">
        <v>16</v>
      </c>
      <c r="F254" s="88">
        <v>0.7</v>
      </c>
      <c r="G254" s="78">
        <v>2.5</v>
      </c>
      <c r="H254" s="78">
        <f t="shared" si="52"/>
        <v>0.224</v>
      </c>
      <c r="K254" s="79"/>
    </row>
    <row r="255" spans="1:11" ht="15">
      <c r="A255" s="67"/>
      <c r="B255" s="73" t="s">
        <v>328</v>
      </c>
      <c r="C255" s="100" t="s">
        <v>23</v>
      </c>
      <c r="D255" s="74">
        <f>D246</f>
        <v>24</v>
      </c>
      <c r="E255" s="75">
        <v>12</v>
      </c>
      <c r="F255" s="88">
        <v>0.7</v>
      </c>
      <c r="G255" s="78">
        <v>2.5</v>
      </c>
      <c r="H255" s="78">
        <f t="shared" si="52"/>
        <v>0.504</v>
      </c>
      <c r="K255" s="79"/>
    </row>
    <row r="256" spans="1:11" ht="15">
      <c r="A256" s="67"/>
      <c r="B256" s="121" t="s">
        <v>169</v>
      </c>
      <c r="C256" s="100"/>
      <c r="D256" s="74"/>
      <c r="E256" s="75"/>
      <c r="F256" s="88"/>
      <c r="G256" s="78"/>
      <c r="H256" s="78"/>
      <c r="K256" s="79"/>
    </row>
    <row r="257" spans="1:15" ht="15">
      <c r="A257" s="67"/>
      <c r="B257" s="73" t="s">
        <v>166</v>
      </c>
      <c r="C257" s="100" t="s">
        <v>23</v>
      </c>
      <c r="D257" s="74">
        <f>D251</f>
        <v>4</v>
      </c>
      <c r="E257" s="75">
        <f>E251*2</f>
        <v>16</v>
      </c>
      <c r="F257" s="125">
        <v>2.5999999999999999E-2</v>
      </c>
      <c r="G257" s="78">
        <f>22.2-6.3</f>
        <v>15.899999999999999</v>
      </c>
      <c r="H257" s="78">
        <f t="shared" si="52"/>
        <v>2.6457599999999994E-2</v>
      </c>
      <c r="J257" s="57">
        <f>1*2*0.026*15.9</f>
        <v>0.82679999999999998</v>
      </c>
      <c r="K257" s="79"/>
    </row>
    <row r="258" spans="1:15" ht="15">
      <c r="A258" s="67"/>
      <c r="B258" s="73" t="s">
        <v>167</v>
      </c>
      <c r="C258" s="100" t="s">
        <v>23</v>
      </c>
      <c r="D258" s="74">
        <f>D252</f>
        <v>24</v>
      </c>
      <c r="E258" s="75">
        <f>E252*2</f>
        <v>24</v>
      </c>
      <c r="F258" s="125">
        <v>2.5999999999999999E-2</v>
      </c>
      <c r="G258" s="78">
        <f>22.2-6.3</f>
        <v>15.899999999999999</v>
      </c>
      <c r="H258" s="78">
        <f t="shared" si="52"/>
        <v>0.23811839999999995</v>
      </c>
      <c r="K258" s="79"/>
    </row>
    <row r="259" spans="1:15" ht="15">
      <c r="A259" s="67"/>
      <c r="B259" s="73" t="s">
        <v>168</v>
      </c>
      <c r="C259" s="100" t="s">
        <v>23</v>
      </c>
      <c r="D259" s="74">
        <f>D253</f>
        <v>19</v>
      </c>
      <c r="E259" s="75">
        <f>E253*2</f>
        <v>8</v>
      </c>
      <c r="F259" s="126">
        <v>1.6E-2</v>
      </c>
      <c r="G259" s="78">
        <f>15.4-2.5</f>
        <v>12.9</v>
      </c>
      <c r="H259" s="78">
        <f t="shared" si="52"/>
        <v>3.1372799999999999E-2</v>
      </c>
      <c r="J259" s="57">
        <f>1*2*0.016*12.9</f>
        <v>0.4128</v>
      </c>
      <c r="K259" s="79"/>
    </row>
    <row r="260" spans="1:15" ht="15">
      <c r="A260" s="67"/>
      <c r="B260" s="73" t="s">
        <v>327</v>
      </c>
      <c r="C260" s="100" t="s">
        <v>23</v>
      </c>
      <c r="D260" s="74">
        <f>D254</f>
        <v>8</v>
      </c>
      <c r="E260" s="75">
        <f>E254*2</f>
        <v>32</v>
      </c>
      <c r="F260" s="126">
        <v>1.6E-2</v>
      </c>
      <c r="G260" s="78">
        <f>15.4-2.5</f>
        <v>12.9</v>
      </c>
      <c r="H260" s="78">
        <f t="shared" si="52"/>
        <v>5.2838400000000001E-2</v>
      </c>
      <c r="K260" s="79"/>
      <c r="L260" s="57">
        <f>J253+J259+J264</f>
        <v>2.3203</v>
      </c>
      <c r="M260" s="57" t="s">
        <v>329</v>
      </c>
      <c r="N260" s="57">
        <f>L260*95</f>
        <v>220.42850000000001</v>
      </c>
      <c r="O260" s="57" t="s">
        <v>330</v>
      </c>
    </row>
    <row r="261" spans="1:15" ht="15">
      <c r="A261" s="67"/>
      <c r="B261" s="73" t="s">
        <v>328</v>
      </c>
      <c r="C261" s="100" t="s">
        <v>23</v>
      </c>
      <c r="D261" s="74">
        <f>D255</f>
        <v>24</v>
      </c>
      <c r="E261" s="75">
        <f>E255*2</f>
        <v>24</v>
      </c>
      <c r="F261" s="126">
        <v>1.6E-2</v>
      </c>
      <c r="G261" s="78">
        <f>15.4-2.5</f>
        <v>12.9</v>
      </c>
      <c r="H261" s="78">
        <f t="shared" si="52"/>
        <v>0.11888640000000002</v>
      </c>
      <c r="K261" s="79"/>
    </row>
    <row r="262" spans="1:15" ht="15">
      <c r="A262" s="67"/>
      <c r="B262" s="73"/>
      <c r="C262" s="100"/>
      <c r="D262" s="74"/>
      <c r="E262" s="75"/>
      <c r="F262" s="88"/>
      <c r="G262" s="78"/>
      <c r="H262" s="78"/>
      <c r="K262" s="79"/>
    </row>
    <row r="263" spans="1:15" ht="15">
      <c r="A263" s="67"/>
      <c r="B263" s="121" t="s">
        <v>170</v>
      </c>
      <c r="C263" s="100"/>
      <c r="D263" s="74"/>
      <c r="E263" s="75"/>
      <c r="F263" s="88"/>
      <c r="G263" s="78"/>
      <c r="H263" s="78"/>
      <c r="K263" s="79"/>
    </row>
    <row r="264" spans="1:15" ht="15">
      <c r="A264" s="67"/>
      <c r="B264" s="73" t="s">
        <v>171</v>
      </c>
      <c r="C264" s="100" t="s">
        <v>23</v>
      </c>
      <c r="D264" s="74">
        <f>(D257*E257)+(D258*E258)+(D259*E259)+(D260*E260)+(D261*E261)</f>
        <v>1624</v>
      </c>
      <c r="E264" s="75">
        <v>0.05</v>
      </c>
      <c r="F264" s="88">
        <v>0.05</v>
      </c>
      <c r="G264" s="78">
        <v>63</v>
      </c>
      <c r="H264" s="78">
        <f>(D264*E264*F264*G264)/1000</f>
        <v>0.25578000000000001</v>
      </c>
      <c r="J264" s="57">
        <f>1*0.05*0.05*63</f>
        <v>0.15750000000000003</v>
      </c>
      <c r="K264" s="79"/>
      <c r="L264" s="57">
        <f>J251+J257+J264</f>
        <v>7.2842999999999991</v>
      </c>
      <c r="M264" s="57" t="s">
        <v>329</v>
      </c>
      <c r="N264" s="57">
        <f>L264*95</f>
        <v>692.00849999999991</v>
      </c>
      <c r="O264" s="57" t="s">
        <v>330</v>
      </c>
    </row>
    <row r="265" spans="1:15" ht="15">
      <c r="A265" s="67"/>
      <c r="B265" s="73"/>
      <c r="C265" s="100"/>
      <c r="D265" s="74"/>
      <c r="E265" s="75"/>
      <c r="F265" s="677" t="s">
        <v>65</v>
      </c>
      <c r="G265" s="677"/>
      <c r="H265" s="80">
        <f>SUM(H251:H264)</f>
        <v>3.6004536000000007</v>
      </c>
      <c r="K265" s="79"/>
    </row>
    <row r="266" spans="1:15" ht="38.25">
      <c r="A266" s="127" t="s">
        <v>10</v>
      </c>
      <c r="B266" s="128" t="s">
        <v>29</v>
      </c>
      <c r="C266" s="129" t="s">
        <v>63</v>
      </c>
      <c r="D266" s="108">
        <f>(D251*E251)+(D252*E252)</f>
        <v>320</v>
      </c>
      <c r="E266" s="109"/>
      <c r="F266" s="130"/>
      <c r="G266" s="130"/>
      <c r="H266" s="112">
        <f>D266</f>
        <v>320</v>
      </c>
      <c r="K266" s="79"/>
    </row>
    <row r="267" spans="1:15" ht="36.75" customHeight="1">
      <c r="A267" s="127" t="s">
        <v>12</v>
      </c>
      <c r="B267" s="128" t="s">
        <v>31</v>
      </c>
      <c r="C267" s="129" t="s">
        <v>63</v>
      </c>
      <c r="D267" s="108">
        <f>(D253*E253)+(D254*E254)+(D255*E255)</f>
        <v>492</v>
      </c>
      <c r="E267" s="109"/>
      <c r="F267" s="130"/>
      <c r="G267" s="130"/>
      <c r="H267" s="112">
        <f>D267</f>
        <v>492</v>
      </c>
      <c r="K267" s="79"/>
    </row>
    <row r="268" spans="1:15" ht="15">
      <c r="A268" s="81"/>
      <c r="B268" s="82"/>
      <c r="C268" s="83"/>
      <c r="D268" s="84"/>
      <c r="E268" s="85"/>
      <c r="F268" s="131"/>
      <c r="G268" s="131"/>
      <c r="H268" s="132"/>
      <c r="K268" s="79"/>
    </row>
    <row r="269" spans="1:15" ht="15">
      <c r="A269" s="81"/>
      <c r="B269" s="82"/>
      <c r="C269" s="83"/>
      <c r="D269" s="84"/>
      <c r="E269" s="85"/>
      <c r="F269" s="131"/>
      <c r="G269" s="131"/>
      <c r="H269" s="132"/>
      <c r="K269" s="79"/>
    </row>
    <row r="270" spans="1:15" ht="48">
      <c r="A270" s="105">
        <v>16</v>
      </c>
      <c r="B270" s="121" t="s">
        <v>172</v>
      </c>
      <c r="C270" s="74" t="s">
        <v>173</v>
      </c>
      <c r="D270" s="74" t="s">
        <v>174</v>
      </c>
      <c r="E270" s="117" t="s">
        <v>175</v>
      </c>
      <c r="F270" s="117" t="s">
        <v>176</v>
      </c>
      <c r="G270" s="117" t="s">
        <v>177</v>
      </c>
      <c r="H270" s="117" t="s">
        <v>178</v>
      </c>
      <c r="K270" s="79"/>
    </row>
    <row r="271" spans="1:15" ht="18" customHeight="1">
      <c r="A271" s="105" t="s">
        <v>10</v>
      </c>
      <c r="B271" s="121" t="s">
        <v>179</v>
      </c>
      <c r="C271" s="74"/>
      <c r="D271" s="74"/>
      <c r="E271" s="117"/>
      <c r="F271" s="117"/>
      <c r="G271" s="117"/>
      <c r="H271" s="117"/>
      <c r="K271" s="79"/>
    </row>
    <row r="272" spans="1:15" ht="18" customHeight="1">
      <c r="A272" s="67"/>
      <c r="B272" s="73" t="s">
        <v>180</v>
      </c>
      <c r="C272" s="100" t="s">
        <v>181</v>
      </c>
      <c r="D272" s="74">
        <v>2</v>
      </c>
      <c r="E272" s="104">
        <v>3.5</v>
      </c>
      <c r="F272" s="133">
        <f>D272*E272</f>
        <v>7</v>
      </c>
      <c r="G272" s="133">
        <v>16.8</v>
      </c>
      <c r="H272" s="78">
        <f>F272*G272</f>
        <v>117.60000000000001</v>
      </c>
      <c r="K272" s="79"/>
    </row>
    <row r="273" spans="1:11" ht="18" customHeight="1">
      <c r="A273" s="67"/>
      <c r="B273" s="73" t="s">
        <v>182</v>
      </c>
      <c r="C273" s="100" t="s">
        <v>181</v>
      </c>
      <c r="D273" s="74">
        <v>14</v>
      </c>
      <c r="E273" s="104">
        <v>0.3</v>
      </c>
      <c r="F273" s="133">
        <f t="shared" ref="F273:F279" si="53">D273*E273</f>
        <v>4.2</v>
      </c>
      <c r="G273" s="133">
        <v>5.8</v>
      </c>
      <c r="H273" s="78">
        <f t="shared" ref="H273:H279" si="54">F273*G273</f>
        <v>24.36</v>
      </c>
      <c r="K273" s="79"/>
    </row>
    <row r="274" spans="1:11" ht="25.5">
      <c r="A274" s="67"/>
      <c r="B274" s="73" t="s">
        <v>183</v>
      </c>
      <c r="C274" s="100" t="s">
        <v>181</v>
      </c>
      <c r="D274" s="74">
        <v>7</v>
      </c>
      <c r="E274" s="104">
        <v>0.52500000000000002</v>
      </c>
      <c r="F274" s="133">
        <f t="shared" si="53"/>
        <v>3.6750000000000003</v>
      </c>
      <c r="G274" s="133">
        <v>63</v>
      </c>
      <c r="H274" s="78">
        <f t="shared" si="54"/>
        <v>231.52500000000001</v>
      </c>
      <c r="K274" s="79"/>
    </row>
    <row r="275" spans="1:11" ht="25.5">
      <c r="A275" s="67"/>
      <c r="B275" s="73" t="s">
        <v>184</v>
      </c>
      <c r="C275" s="100" t="s">
        <v>181</v>
      </c>
      <c r="D275" s="74">
        <v>1</v>
      </c>
      <c r="E275" s="104">
        <v>1.98</v>
      </c>
      <c r="F275" s="133">
        <f t="shared" si="53"/>
        <v>1.98</v>
      </c>
      <c r="G275" s="133">
        <v>63</v>
      </c>
      <c r="H275" s="78">
        <f t="shared" si="54"/>
        <v>124.74</v>
      </c>
      <c r="K275" s="79"/>
    </row>
    <row r="276" spans="1:11" ht="15">
      <c r="A276" s="67"/>
      <c r="B276" s="73" t="s">
        <v>185</v>
      </c>
      <c r="C276" s="100" t="s">
        <v>181</v>
      </c>
      <c r="D276" s="74">
        <v>2</v>
      </c>
      <c r="E276" s="104">
        <v>2.5000000000000001E-2</v>
      </c>
      <c r="F276" s="133">
        <f t="shared" si="53"/>
        <v>0.05</v>
      </c>
      <c r="G276" s="133">
        <v>78</v>
      </c>
      <c r="H276" s="78">
        <f t="shared" si="54"/>
        <v>3.9000000000000004</v>
      </c>
      <c r="K276" s="79"/>
    </row>
    <row r="277" spans="1:11" ht="18" customHeight="1">
      <c r="A277" s="67"/>
      <c r="B277" s="73" t="s">
        <v>186</v>
      </c>
      <c r="C277" s="100" t="s">
        <v>181</v>
      </c>
      <c r="D277" s="74">
        <v>8</v>
      </c>
      <c r="E277" s="104">
        <v>0.2</v>
      </c>
      <c r="F277" s="133">
        <f t="shared" si="53"/>
        <v>1.6</v>
      </c>
      <c r="G277" s="133">
        <v>0.9</v>
      </c>
      <c r="H277" s="78">
        <f t="shared" si="54"/>
        <v>1.4400000000000002</v>
      </c>
      <c r="K277" s="79"/>
    </row>
    <row r="278" spans="1:11" ht="18" customHeight="1">
      <c r="A278" s="67"/>
      <c r="B278" s="73" t="s">
        <v>185</v>
      </c>
      <c r="C278" s="100" t="s">
        <v>181</v>
      </c>
      <c r="D278" s="74">
        <v>2</v>
      </c>
      <c r="E278" s="104">
        <v>2.5000000000000001E-2</v>
      </c>
      <c r="F278" s="133">
        <f t="shared" si="53"/>
        <v>0.05</v>
      </c>
      <c r="G278" s="133">
        <v>78</v>
      </c>
      <c r="H278" s="78">
        <f t="shared" si="54"/>
        <v>3.9000000000000004</v>
      </c>
      <c r="K278" s="79"/>
    </row>
    <row r="279" spans="1:11" ht="18" customHeight="1">
      <c r="A279" s="67"/>
      <c r="B279" s="73" t="s">
        <v>187</v>
      </c>
      <c r="C279" s="100" t="s">
        <v>181</v>
      </c>
      <c r="D279" s="74">
        <v>8</v>
      </c>
      <c r="E279" s="104">
        <v>0.2</v>
      </c>
      <c r="F279" s="133">
        <f t="shared" si="53"/>
        <v>1.6</v>
      </c>
      <c r="G279" s="133">
        <v>0.9</v>
      </c>
      <c r="H279" s="78">
        <f t="shared" si="54"/>
        <v>1.4400000000000002</v>
      </c>
      <c r="K279" s="79"/>
    </row>
    <row r="280" spans="1:11" ht="18" customHeight="1">
      <c r="A280" s="67"/>
      <c r="B280" s="102" t="s">
        <v>188</v>
      </c>
      <c r="C280" s="100"/>
      <c r="D280" s="134"/>
      <c r="E280" s="104"/>
      <c r="F280" s="71"/>
      <c r="G280" s="133"/>
      <c r="H280" s="78"/>
      <c r="K280" s="79"/>
    </row>
    <row r="281" spans="1:11" ht="18" customHeight="1">
      <c r="A281" s="67"/>
      <c r="B281" s="73" t="s">
        <v>189</v>
      </c>
      <c r="C281" s="100" t="s">
        <v>181</v>
      </c>
      <c r="D281" s="74">
        <v>1</v>
      </c>
      <c r="E281" s="104">
        <v>1.4</v>
      </c>
      <c r="F281" s="133">
        <f>D281*E281</f>
        <v>1.4</v>
      </c>
      <c r="G281" s="133">
        <v>16.8</v>
      </c>
      <c r="H281" s="78">
        <f>F281*G281</f>
        <v>23.52</v>
      </c>
      <c r="K281" s="79"/>
    </row>
    <row r="282" spans="1:11" ht="18" customHeight="1">
      <c r="A282" s="67"/>
      <c r="B282" s="73" t="s">
        <v>190</v>
      </c>
      <c r="C282" s="100" t="s">
        <v>181</v>
      </c>
      <c r="D282" s="74">
        <v>1</v>
      </c>
      <c r="E282" s="104">
        <v>1.5</v>
      </c>
      <c r="F282" s="133">
        <f>D282*E282</f>
        <v>1.5</v>
      </c>
      <c r="G282" s="133">
        <v>5.8</v>
      </c>
      <c r="H282" s="78">
        <f>F282*G282</f>
        <v>8.6999999999999993</v>
      </c>
      <c r="K282" s="79"/>
    </row>
    <row r="283" spans="1:11" ht="18" customHeight="1">
      <c r="A283" s="67"/>
      <c r="B283" s="73" t="s">
        <v>191</v>
      </c>
      <c r="C283" s="100" t="s">
        <v>181</v>
      </c>
      <c r="D283" s="74">
        <v>2</v>
      </c>
      <c r="E283" s="104">
        <v>2.5000000000000001E-2</v>
      </c>
      <c r="F283" s="133">
        <f>D283*E283</f>
        <v>0.05</v>
      </c>
      <c r="G283" s="133">
        <v>78</v>
      </c>
      <c r="H283" s="78">
        <f>F283*G283</f>
        <v>3.9000000000000004</v>
      </c>
      <c r="K283" s="79"/>
    </row>
    <row r="284" spans="1:11" ht="18" customHeight="1">
      <c r="A284" s="67"/>
      <c r="B284" s="73" t="s">
        <v>192</v>
      </c>
      <c r="C284" s="100" t="s">
        <v>181</v>
      </c>
      <c r="D284" s="74">
        <v>8</v>
      </c>
      <c r="E284" s="104">
        <v>0.2</v>
      </c>
      <c r="F284" s="133">
        <f>D284*E284</f>
        <v>1.6</v>
      </c>
      <c r="G284" s="133">
        <v>0.9</v>
      </c>
      <c r="H284" s="78">
        <f>F284*G284</f>
        <v>1.4400000000000002</v>
      </c>
      <c r="K284" s="79"/>
    </row>
    <row r="285" spans="1:11" ht="18" customHeight="1">
      <c r="A285" s="67"/>
      <c r="B285" s="73"/>
      <c r="C285" s="100"/>
      <c r="D285" s="74"/>
      <c r="E285" s="104"/>
      <c r="F285" s="684" t="s">
        <v>193</v>
      </c>
      <c r="G285" s="685"/>
      <c r="H285" s="78">
        <f>SUM(H272:H284)</f>
        <v>546.46500000000003</v>
      </c>
      <c r="K285" s="79"/>
    </row>
    <row r="286" spans="1:11" ht="18" customHeight="1">
      <c r="A286" s="67"/>
      <c r="B286" s="73"/>
      <c r="C286" s="100"/>
      <c r="D286" s="74"/>
      <c r="E286" s="75"/>
      <c r="F286" s="684" t="s">
        <v>194</v>
      </c>
      <c r="G286" s="685"/>
      <c r="H286" s="78">
        <f>H285/1000</f>
        <v>0.54646499999999998</v>
      </c>
      <c r="K286" s="79"/>
    </row>
    <row r="287" spans="1:11" ht="15">
      <c r="A287" s="67"/>
      <c r="B287" s="73" t="s">
        <v>195</v>
      </c>
      <c r="C287" s="100" t="s">
        <v>23</v>
      </c>
      <c r="D287" s="74">
        <f>3+3+3+4</f>
        <v>13</v>
      </c>
      <c r="E287" s="679">
        <f>H286+H286*10%</f>
        <v>0.60111150000000002</v>
      </c>
      <c r="F287" s="680"/>
      <c r="G287" s="71"/>
      <c r="H287" s="80">
        <f>D287*E287</f>
        <v>7.8144495000000003</v>
      </c>
      <c r="J287" s="135"/>
      <c r="K287" s="79"/>
    </row>
    <row r="288" spans="1:11" ht="15">
      <c r="A288" s="67"/>
      <c r="B288" s="73"/>
      <c r="C288" s="100"/>
      <c r="D288" s="74"/>
      <c r="E288" s="75"/>
      <c r="F288" s="71"/>
      <c r="G288" s="71"/>
      <c r="H288" s="80"/>
      <c r="K288" s="79"/>
    </row>
    <row r="289" spans="1:11" ht="15">
      <c r="A289" s="67" t="s">
        <v>12</v>
      </c>
      <c r="B289" s="121" t="s">
        <v>196</v>
      </c>
      <c r="C289" s="100"/>
      <c r="D289" s="74"/>
      <c r="E289" s="75"/>
      <c r="F289" s="88"/>
      <c r="G289" s="78"/>
      <c r="H289" s="78"/>
      <c r="K289" s="79"/>
    </row>
    <row r="290" spans="1:11" ht="15">
      <c r="A290" s="67"/>
      <c r="B290" s="121" t="s">
        <v>170</v>
      </c>
      <c r="C290" s="100"/>
      <c r="D290" s="74"/>
      <c r="E290" s="75"/>
      <c r="F290" s="88"/>
      <c r="G290" s="78"/>
      <c r="H290" s="78"/>
      <c r="K290" s="79"/>
    </row>
    <row r="291" spans="1:11" ht="15">
      <c r="A291" s="67"/>
      <c r="B291" s="73" t="s">
        <v>197</v>
      </c>
      <c r="C291" s="100" t="s">
        <v>23</v>
      </c>
      <c r="D291" s="84">
        <v>174</v>
      </c>
      <c r="E291" s="104">
        <v>0.2</v>
      </c>
      <c r="F291" s="136">
        <v>0.125</v>
      </c>
      <c r="G291" s="78">
        <v>78</v>
      </c>
      <c r="H291" s="78">
        <f>(D291*E291*F291*G291)/1000</f>
        <v>0.33930000000000005</v>
      </c>
      <c r="K291" s="79"/>
    </row>
    <row r="292" spans="1:11" ht="15">
      <c r="A292" s="67"/>
      <c r="B292" s="73"/>
      <c r="C292" s="100"/>
      <c r="D292" s="74"/>
      <c r="E292" s="75"/>
      <c r="F292" s="88"/>
      <c r="G292" s="78"/>
      <c r="H292" s="78"/>
      <c r="K292" s="79"/>
    </row>
    <row r="293" spans="1:11" ht="15">
      <c r="A293" s="67"/>
      <c r="B293" s="121" t="s">
        <v>198</v>
      </c>
      <c r="C293" s="100"/>
      <c r="D293" s="74"/>
      <c r="E293" s="75"/>
      <c r="F293" s="88"/>
      <c r="G293" s="78"/>
      <c r="H293" s="78"/>
      <c r="K293" s="79"/>
    </row>
    <row r="294" spans="1:11" ht="15">
      <c r="A294" s="67"/>
      <c r="B294" s="73" t="s">
        <v>199</v>
      </c>
      <c r="C294" s="100" t="s">
        <v>23</v>
      </c>
      <c r="D294" s="84">
        <f>D291</f>
        <v>174</v>
      </c>
      <c r="E294" s="75">
        <v>4</v>
      </c>
      <c r="F294" s="125">
        <v>0.15</v>
      </c>
      <c r="G294" s="78">
        <v>0.9</v>
      </c>
      <c r="H294" s="78">
        <f>(D294*E294*F294*G294)/1000</f>
        <v>9.3959999999999988E-2</v>
      </c>
      <c r="K294" s="79"/>
    </row>
    <row r="295" spans="1:11" ht="15">
      <c r="A295" s="67"/>
      <c r="B295" s="73"/>
      <c r="C295" s="100"/>
      <c r="D295" s="74"/>
      <c r="E295" s="75"/>
      <c r="F295" s="677" t="s">
        <v>65</v>
      </c>
      <c r="G295" s="677"/>
      <c r="H295" s="80">
        <f>SUM(H291:H294)</f>
        <v>0.43326000000000003</v>
      </c>
      <c r="K295" s="79"/>
    </row>
    <row r="296" spans="1:11" ht="15">
      <c r="A296" s="67"/>
      <c r="B296" s="73"/>
      <c r="C296" s="100"/>
      <c r="D296" s="74"/>
      <c r="E296" s="75"/>
      <c r="F296" s="71"/>
      <c r="G296" s="71"/>
      <c r="H296" s="80"/>
      <c r="K296" s="79"/>
    </row>
    <row r="297" spans="1:11" ht="25.5">
      <c r="A297" s="67">
        <v>13</v>
      </c>
      <c r="B297" s="121" t="s">
        <v>299</v>
      </c>
      <c r="C297" s="69"/>
      <c r="D297" s="74"/>
      <c r="E297" s="75"/>
      <c r="F297" s="76"/>
      <c r="G297" s="77"/>
      <c r="H297" s="80"/>
      <c r="K297" s="79"/>
    </row>
    <row r="298" spans="1:11" ht="15">
      <c r="A298" s="67" t="s">
        <v>10</v>
      </c>
      <c r="B298" s="137" t="s">
        <v>200</v>
      </c>
      <c r="C298" s="69" t="s">
        <v>11</v>
      </c>
      <c r="D298" s="74">
        <v>1</v>
      </c>
      <c r="E298" s="679">
        <v>59.591999999999999</v>
      </c>
      <c r="F298" s="680"/>
      <c r="G298" s="77">
        <v>0.5</v>
      </c>
      <c r="H298" s="80">
        <f>ROUND(D298*E298*G298,0)</f>
        <v>30</v>
      </c>
      <c r="K298" s="79"/>
    </row>
    <row r="299" spans="1:11" ht="15">
      <c r="A299" s="81"/>
      <c r="B299" s="138"/>
      <c r="C299" s="83"/>
      <c r="D299" s="84"/>
      <c r="E299" s="85"/>
      <c r="F299" s="86"/>
      <c r="G299" s="87"/>
      <c r="H299" s="132"/>
      <c r="K299" s="79"/>
    </row>
    <row r="300" spans="1:11" ht="15">
      <c r="A300" s="67">
        <v>14</v>
      </c>
      <c r="B300" s="121" t="s">
        <v>37</v>
      </c>
      <c r="C300" s="69"/>
      <c r="D300" s="74"/>
      <c r="E300" s="75"/>
      <c r="F300" s="76"/>
      <c r="G300" s="77"/>
      <c r="H300" s="80"/>
      <c r="K300" s="79"/>
    </row>
    <row r="301" spans="1:11" ht="15">
      <c r="A301" s="100" t="s">
        <v>10</v>
      </c>
      <c r="B301" s="115" t="s">
        <v>38</v>
      </c>
      <c r="C301" s="116" t="s">
        <v>16</v>
      </c>
      <c r="D301" s="74">
        <f>(34+2)+(3+1+1+1)+(31+10)+(51)+(40)</f>
        <v>174</v>
      </c>
      <c r="E301" s="104">
        <v>2.4289999999999998</v>
      </c>
      <c r="F301" s="139"/>
      <c r="G301" s="92">
        <v>3.6480000000000001</v>
      </c>
      <c r="H301" s="78">
        <f>ROUND(D301*E301*G301,0)</f>
        <v>1542</v>
      </c>
      <c r="I301" s="57">
        <v>149</v>
      </c>
      <c r="K301" s="79"/>
    </row>
    <row r="302" spans="1:11" ht="15">
      <c r="A302" s="100" t="s">
        <v>12</v>
      </c>
      <c r="B302" s="115" t="s">
        <v>39</v>
      </c>
      <c r="C302" s="116" t="s">
        <v>16</v>
      </c>
      <c r="D302" s="74">
        <f>(1+6+8+7+1+1)+(1)+(1)</f>
        <v>26</v>
      </c>
      <c r="E302" s="104">
        <v>1.88</v>
      </c>
      <c r="F302" s="139"/>
      <c r="G302" s="92">
        <v>3.6480000000000001</v>
      </c>
      <c r="H302" s="78">
        <f t="shared" ref="H302:H306" si="55">ROUND(D302*E302*G302,0)</f>
        <v>178</v>
      </c>
      <c r="K302" s="79"/>
    </row>
    <row r="303" spans="1:11" ht="15">
      <c r="A303" s="100" t="s">
        <v>13</v>
      </c>
      <c r="B303" s="115" t="s">
        <v>40</v>
      </c>
      <c r="C303" s="116" t="s">
        <v>16</v>
      </c>
      <c r="D303" s="74">
        <f>(2)+(1+1+1+1)+(4)</f>
        <v>10</v>
      </c>
      <c r="E303" s="104">
        <v>1.27</v>
      </c>
      <c r="F303" s="139"/>
      <c r="G303" s="92">
        <v>3.6480000000000001</v>
      </c>
      <c r="H303" s="78">
        <f t="shared" si="55"/>
        <v>46</v>
      </c>
      <c r="K303" s="79"/>
    </row>
    <row r="304" spans="1:11" ht="15">
      <c r="A304" s="100" t="s">
        <v>36</v>
      </c>
      <c r="B304" s="115" t="s">
        <v>41</v>
      </c>
      <c r="C304" s="116" t="s">
        <v>16</v>
      </c>
      <c r="D304" s="74">
        <f>(1)</f>
        <v>1</v>
      </c>
      <c r="E304" s="104">
        <v>0.66</v>
      </c>
      <c r="F304" s="139"/>
      <c r="G304" s="92">
        <v>3.6480000000000001</v>
      </c>
      <c r="H304" s="78">
        <f t="shared" si="55"/>
        <v>2</v>
      </c>
      <c r="K304" s="79"/>
    </row>
    <row r="305" spans="1:13" ht="15">
      <c r="A305" s="100"/>
      <c r="B305" s="115"/>
      <c r="C305" s="116"/>
      <c r="D305" s="84"/>
      <c r="E305" s="140"/>
      <c r="F305" s="141"/>
      <c r="G305" s="94"/>
      <c r="H305" s="132"/>
      <c r="K305" s="79"/>
    </row>
    <row r="306" spans="1:13" ht="15">
      <c r="A306" s="100" t="s">
        <v>42</v>
      </c>
      <c r="B306" s="115" t="s">
        <v>43</v>
      </c>
      <c r="C306" s="116" t="s">
        <v>16</v>
      </c>
      <c r="D306" s="74">
        <v>7</v>
      </c>
      <c r="E306" s="104">
        <v>2.4289999999999998</v>
      </c>
      <c r="F306" s="139"/>
      <c r="G306" s="92">
        <v>1.252</v>
      </c>
      <c r="H306" s="78">
        <f t="shared" si="55"/>
        <v>21</v>
      </c>
      <c r="K306" s="79"/>
    </row>
    <row r="307" spans="1:13" ht="15">
      <c r="A307" s="100" t="s">
        <v>44</v>
      </c>
      <c r="B307" s="115" t="s">
        <v>45</v>
      </c>
      <c r="C307" s="116" t="s">
        <v>16</v>
      </c>
      <c r="D307" s="74"/>
      <c r="E307" s="104"/>
      <c r="F307" s="139"/>
      <c r="G307" s="92"/>
      <c r="H307" s="78"/>
      <c r="K307" s="79"/>
    </row>
    <row r="308" spans="1:13" ht="15">
      <c r="A308" s="100" t="s">
        <v>46</v>
      </c>
      <c r="B308" s="115" t="s">
        <v>47</v>
      </c>
      <c r="C308" s="116" t="s">
        <v>16</v>
      </c>
      <c r="D308" s="74"/>
      <c r="E308" s="104"/>
      <c r="F308" s="139"/>
      <c r="G308" s="92"/>
      <c r="H308" s="80"/>
      <c r="K308" s="79"/>
    </row>
    <row r="309" spans="1:13" ht="15">
      <c r="A309" s="100" t="s">
        <v>48</v>
      </c>
      <c r="B309" s="115" t="s">
        <v>49</v>
      </c>
      <c r="C309" s="116" t="s">
        <v>16</v>
      </c>
      <c r="D309" s="74"/>
      <c r="E309" s="104"/>
      <c r="F309" s="139"/>
      <c r="G309" s="92"/>
      <c r="H309" s="80"/>
      <c r="K309" s="79"/>
    </row>
    <row r="310" spans="1:13" ht="15">
      <c r="A310" s="81"/>
      <c r="B310" s="82"/>
      <c r="C310" s="83"/>
      <c r="D310" s="84"/>
      <c r="E310" s="85"/>
      <c r="F310" s="86"/>
      <c r="G310" s="87"/>
      <c r="H310" s="87"/>
      <c r="K310" s="79"/>
    </row>
    <row r="311" spans="1:13" ht="15">
      <c r="A311" s="100" t="s">
        <v>50</v>
      </c>
      <c r="B311" s="115" t="s">
        <v>331</v>
      </c>
      <c r="C311" s="116" t="s">
        <v>16</v>
      </c>
      <c r="D311" s="74">
        <v>5</v>
      </c>
      <c r="E311" s="104">
        <v>1.095</v>
      </c>
      <c r="F311" s="76"/>
      <c r="G311" s="92">
        <f>3.648-2.42</f>
        <v>1.2280000000000002</v>
      </c>
      <c r="H311" s="78">
        <f t="shared" ref="H311:H314" si="56">ROUND(D311*E311*G311,0)</f>
        <v>7</v>
      </c>
      <c r="K311" s="79"/>
    </row>
    <row r="312" spans="1:13" ht="15">
      <c r="A312" s="100" t="s">
        <v>51</v>
      </c>
      <c r="B312" s="115" t="s">
        <v>332</v>
      </c>
      <c r="C312" s="116" t="s">
        <v>16</v>
      </c>
      <c r="D312" s="74">
        <v>1</v>
      </c>
      <c r="E312" s="104">
        <v>1.08</v>
      </c>
      <c r="F312" s="76"/>
      <c r="G312" s="92">
        <f>3.648-2.42</f>
        <v>1.2280000000000002</v>
      </c>
      <c r="H312" s="78">
        <f t="shared" si="56"/>
        <v>1</v>
      </c>
      <c r="K312" s="79"/>
    </row>
    <row r="313" spans="1:13" ht="15">
      <c r="A313" s="100" t="s">
        <v>52</v>
      </c>
      <c r="B313" s="115" t="s">
        <v>333</v>
      </c>
      <c r="C313" s="116" t="s">
        <v>16</v>
      </c>
      <c r="D313" s="74">
        <v>3</v>
      </c>
      <c r="E313" s="104">
        <v>1.115</v>
      </c>
      <c r="F313" s="76"/>
      <c r="G313" s="92">
        <f>3.648-2.42</f>
        <v>1.2280000000000002</v>
      </c>
      <c r="H313" s="78">
        <f t="shared" si="56"/>
        <v>4</v>
      </c>
      <c r="K313" s="79"/>
    </row>
    <row r="314" spans="1:13" ht="15">
      <c r="A314" s="100" t="s">
        <v>53</v>
      </c>
      <c r="B314" s="115" t="s">
        <v>54</v>
      </c>
      <c r="C314" s="116" t="s">
        <v>16</v>
      </c>
      <c r="D314" s="74">
        <v>2</v>
      </c>
      <c r="E314" s="104">
        <v>1.165</v>
      </c>
      <c r="F314" s="76"/>
      <c r="G314" s="92">
        <f>3.648-2.42</f>
        <v>1.2280000000000002</v>
      </c>
      <c r="H314" s="78">
        <f t="shared" si="56"/>
        <v>3</v>
      </c>
      <c r="K314" s="79"/>
    </row>
    <row r="315" spans="1:13" ht="15">
      <c r="A315" s="81"/>
      <c r="B315" s="82"/>
      <c r="C315" s="83"/>
      <c r="D315" s="84"/>
      <c r="E315" s="85"/>
      <c r="F315" s="686" t="s">
        <v>65</v>
      </c>
      <c r="G315" s="687"/>
      <c r="H315" s="80">
        <f>ROUND(SUM(H300:H314),0)</f>
        <v>1804</v>
      </c>
      <c r="K315" s="79"/>
    </row>
    <row r="316" spans="1:13" ht="15">
      <c r="A316" s="81"/>
      <c r="B316" s="82"/>
      <c r="C316" s="83"/>
      <c r="D316" s="84"/>
      <c r="E316" s="85"/>
      <c r="F316" s="86"/>
      <c r="G316" s="87"/>
      <c r="H316" s="87"/>
      <c r="K316" s="79"/>
    </row>
    <row r="317" spans="1:13" ht="15">
      <c r="A317" s="67">
        <v>15</v>
      </c>
      <c r="B317" s="121" t="s">
        <v>201</v>
      </c>
      <c r="C317" s="142"/>
      <c r="D317" s="74"/>
      <c r="E317" s="75"/>
      <c r="F317" s="143"/>
      <c r="G317" s="144"/>
      <c r="H317" s="78"/>
      <c r="K317" s="79"/>
    </row>
    <row r="318" spans="1:13" ht="15">
      <c r="A318" s="67" t="s">
        <v>10</v>
      </c>
      <c r="B318" s="145" t="s">
        <v>202</v>
      </c>
      <c r="C318" s="142"/>
      <c r="D318" s="74"/>
      <c r="E318" s="75"/>
      <c r="F318" s="143"/>
      <c r="G318" s="144"/>
      <c r="H318" s="78"/>
      <c r="K318" s="79"/>
    </row>
    <row r="319" spans="1:13" ht="15">
      <c r="A319" s="67"/>
      <c r="B319" s="73" t="s">
        <v>334</v>
      </c>
      <c r="C319" s="142" t="s">
        <v>11</v>
      </c>
      <c r="D319" s="74">
        <f>1*2</f>
        <v>2</v>
      </c>
      <c r="E319" s="75">
        <v>6.6150000000000002</v>
      </c>
      <c r="F319" s="143">
        <v>0.23</v>
      </c>
      <c r="G319" s="143">
        <f>3.675-0.5</f>
        <v>3.1749999999999998</v>
      </c>
      <c r="H319" s="78">
        <f t="shared" ref="H319:H325" si="57">D319*E319*F319*G319</f>
        <v>9.6612075000000015</v>
      </c>
      <c r="J319" s="146">
        <f>5.413*2+3.333+6.367+6.826+3.608</f>
        <v>30.96</v>
      </c>
      <c r="K319" s="147">
        <v>0.23</v>
      </c>
      <c r="L319" s="148">
        <v>3.18</v>
      </c>
      <c r="M319" s="57">
        <f>J319*K319*L319</f>
        <v>22.644144000000004</v>
      </c>
    </row>
    <row r="320" spans="1:13" ht="15">
      <c r="A320" s="67"/>
      <c r="B320" s="73" t="s">
        <v>203</v>
      </c>
      <c r="C320" s="142" t="s">
        <v>11</v>
      </c>
      <c r="D320" s="74">
        <f>1*2</f>
        <v>2</v>
      </c>
      <c r="E320" s="75">
        <f>3.615+1.05</f>
        <v>4.665</v>
      </c>
      <c r="F320" s="143">
        <v>0.23</v>
      </c>
      <c r="G320" s="143">
        <f>3.675-0.5</f>
        <v>3.1749999999999998</v>
      </c>
      <c r="H320" s="78">
        <f t="shared" si="57"/>
        <v>6.8132324999999998</v>
      </c>
      <c r="J320" s="57">
        <v>-2</v>
      </c>
      <c r="K320" s="79">
        <v>0.23</v>
      </c>
      <c r="L320" s="57">
        <v>2.1</v>
      </c>
      <c r="M320" s="57">
        <f>J320*K320*L320</f>
        <v>-0.96600000000000008</v>
      </c>
    </row>
    <row r="321" spans="1:13" ht="15">
      <c r="A321" s="67"/>
      <c r="B321" s="73"/>
      <c r="C321" s="142" t="s">
        <v>11</v>
      </c>
      <c r="D321" s="74">
        <f>2*2</f>
        <v>4</v>
      </c>
      <c r="E321" s="75">
        <v>5.1449999999999996</v>
      </c>
      <c r="F321" s="143">
        <v>0.23</v>
      </c>
      <c r="G321" s="143">
        <f>3.675-0.5</f>
        <v>3.1749999999999998</v>
      </c>
      <c r="H321" s="78">
        <f t="shared" si="57"/>
        <v>15.028544999999998</v>
      </c>
      <c r="J321" s="57">
        <v>-0.75</v>
      </c>
      <c r="K321" s="79">
        <v>0.23</v>
      </c>
      <c r="L321" s="57">
        <v>2.1</v>
      </c>
      <c r="M321" s="57">
        <f>J321*K321*L321</f>
        <v>-0.36225000000000007</v>
      </c>
    </row>
    <row r="322" spans="1:13" ht="15">
      <c r="A322" s="67"/>
      <c r="B322" s="73" t="s">
        <v>204</v>
      </c>
      <c r="C322" s="142" t="s">
        <v>11</v>
      </c>
      <c r="D322" s="74">
        <f>1*2</f>
        <v>2</v>
      </c>
      <c r="E322" s="75">
        <v>10.035</v>
      </c>
      <c r="F322" s="143">
        <v>0.23</v>
      </c>
      <c r="G322" s="143">
        <f>3.675-0.5</f>
        <v>3.1749999999999998</v>
      </c>
      <c r="H322" s="78">
        <f t="shared" si="57"/>
        <v>14.656117500000001</v>
      </c>
      <c r="K322" s="79"/>
      <c r="M322" s="57">
        <f>SUM(M319:M321)</f>
        <v>21.315894000000004</v>
      </c>
    </row>
    <row r="323" spans="1:13" ht="15">
      <c r="A323" s="67"/>
      <c r="B323" s="73" t="s">
        <v>335</v>
      </c>
      <c r="C323" s="142" t="s">
        <v>11</v>
      </c>
      <c r="D323" s="74">
        <f>-1*2</f>
        <v>-2</v>
      </c>
      <c r="E323" s="75">
        <v>1</v>
      </c>
      <c r="F323" s="143">
        <v>0.23</v>
      </c>
      <c r="G323" s="143">
        <v>2.1</v>
      </c>
      <c r="H323" s="78">
        <f t="shared" si="57"/>
        <v>-0.96600000000000008</v>
      </c>
      <c r="K323" s="79"/>
    </row>
    <row r="324" spans="1:13" ht="15">
      <c r="A324" s="67"/>
      <c r="B324" s="73"/>
      <c r="C324" s="142" t="s">
        <v>11</v>
      </c>
      <c r="D324" s="74">
        <f>-1*2</f>
        <v>-2</v>
      </c>
      <c r="E324" s="75">
        <v>0.75</v>
      </c>
      <c r="F324" s="143">
        <v>0.23</v>
      </c>
      <c r="G324" s="143">
        <v>2.1</v>
      </c>
      <c r="H324" s="78">
        <f t="shared" si="57"/>
        <v>-0.72450000000000014</v>
      </c>
      <c r="K324" s="79"/>
    </row>
    <row r="325" spans="1:13" ht="15">
      <c r="A325" s="67"/>
      <c r="B325" s="73" t="s">
        <v>206</v>
      </c>
      <c r="C325" s="142" t="s">
        <v>11</v>
      </c>
      <c r="D325" s="74">
        <f>2*5</f>
        <v>10</v>
      </c>
      <c r="E325" s="75">
        <v>1</v>
      </c>
      <c r="F325" s="143">
        <v>0.23</v>
      </c>
      <c r="G325" s="143">
        <v>1.7</v>
      </c>
      <c r="H325" s="78">
        <f t="shared" si="57"/>
        <v>3.91</v>
      </c>
      <c r="K325" s="79"/>
    </row>
    <row r="326" spans="1:13" ht="15">
      <c r="A326" s="67"/>
      <c r="B326" s="73"/>
      <c r="C326" s="142"/>
      <c r="D326" s="74"/>
      <c r="E326" s="75"/>
      <c r="F326" s="686" t="s">
        <v>65</v>
      </c>
      <c r="G326" s="687"/>
      <c r="H326" s="80">
        <f>ROUND(SUM(H318:H325),0)</f>
        <v>48</v>
      </c>
      <c r="K326" s="79"/>
    </row>
    <row r="327" spans="1:13" ht="15">
      <c r="A327" s="67" t="s">
        <v>12</v>
      </c>
      <c r="B327" s="145" t="s">
        <v>207</v>
      </c>
      <c r="C327" s="142"/>
      <c r="D327" s="74"/>
      <c r="E327" s="75"/>
      <c r="F327" s="71"/>
      <c r="G327" s="71"/>
      <c r="H327" s="80"/>
      <c r="K327" s="79"/>
    </row>
    <row r="328" spans="1:13" ht="15">
      <c r="A328" s="67"/>
      <c r="B328" s="73" t="s">
        <v>336</v>
      </c>
      <c r="C328" s="142" t="s">
        <v>16</v>
      </c>
      <c r="D328" s="74">
        <f>1*2</f>
        <v>2</v>
      </c>
      <c r="E328" s="75">
        <v>5.45</v>
      </c>
      <c r="F328" s="71"/>
      <c r="G328" s="143">
        <v>2.9</v>
      </c>
      <c r="H328" s="78">
        <f t="shared" ref="H328:H334" si="58">D328*E328*G328</f>
        <v>31.61</v>
      </c>
      <c r="J328" s="57">
        <f>2.049*5+1.65*2</f>
        <v>13.544999999999998</v>
      </c>
      <c r="K328" s="79"/>
      <c r="L328" s="57">
        <v>2.9</v>
      </c>
      <c r="M328" s="57">
        <f>J328*L328</f>
        <v>39.280499999999996</v>
      </c>
    </row>
    <row r="329" spans="1:13" ht="15">
      <c r="A329" s="67"/>
      <c r="B329" s="73" t="s">
        <v>205</v>
      </c>
      <c r="C329" s="142" t="s">
        <v>16</v>
      </c>
      <c r="D329" s="74">
        <f>-5*2</f>
        <v>-10</v>
      </c>
      <c r="E329" s="75">
        <v>0.75</v>
      </c>
      <c r="F329" s="71"/>
      <c r="G329" s="143">
        <v>2.1</v>
      </c>
      <c r="H329" s="78">
        <f t="shared" si="58"/>
        <v>-15.75</v>
      </c>
      <c r="J329" s="57">
        <f>0.615*3</f>
        <v>1.845</v>
      </c>
      <c r="K329" s="79"/>
      <c r="L329" s="57">
        <v>2.9</v>
      </c>
      <c r="M329" s="57">
        <f>J329*L329</f>
        <v>5.3504999999999994</v>
      </c>
    </row>
    <row r="330" spans="1:13" ht="15">
      <c r="A330" s="67"/>
      <c r="B330" s="73" t="s">
        <v>208</v>
      </c>
      <c r="C330" s="142" t="s">
        <v>16</v>
      </c>
      <c r="D330" s="74">
        <f>1*2</f>
        <v>2</v>
      </c>
      <c r="E330" s="75">
        <v>3.3</v>
      </c>
      <c r="F330" s="71"/>
      <c r="G330" s="143">
        <v>2.9</v>
      </c>
      <c r="H330" s="78">
        <f t="shared" si="58"/>
        <v>19.139999999999997</v>
      </c>
      <c r="K330" s="79"/>
      <c r="M330" s="57">
        <f>SUM(M328:M329)</f>
        <v>44.630999999999993</v>
      </c>
    </row>
    <row r="331" spans="1:13" ht="15">
      <c r="A331" s="67"/>
      <c r="B331" s="73" t="s">
        <v>205</v>
      </c>
      <c r="C331" s="142" t="s">
        <v>16</v>
      </c>
      <c r="D331" s="74">
        <f>-3*2</f>
        <v>-6</v>
      </c>
      <c r="E331" s="75">
        <v>0.75</v>
      </c>
      <c r="F331" s="71"/>
      <c r="G331" s="143">
        <v>2.1</v>
      </c>
      <c r="H331" s="78">
        <f t="shared" si="58"/>
        <v>-9.4500000000000011</v>
      </c>
      <c r="K331" s="79"/>
    </row>
    <row r="332" spans="1:13" ht="15">
      <c r="A332" s="67"/>
      <c r="B332" s="73"/>
      <c r="C332" s="142" t="s">
        <v>16</v>
      </c>
      <c r="D332" s="74">
        <f>-1*2</f>
        <v>-2</v>
      </c>
      <c r="E332" s="75">
        <f>0.6</f>
        <v>0.6</v>
      </c>
      <c r="F332" s="71"/>
      <c r="G332" s="143">
        <v>2.9</v>
      </c>
      <c r="H332" s="78">
        <f t="shared" si="58"/>
        <v>-3.48</v>
      </c>
      <c r="K332" s="79"/>
    </row>
    <row r="333" spans="1:13" ht="15">
      <c r="A333" s="67"/>
      <c r="B333" s="73" t="s">
        <v>209</v>
      </c>
      <c r="C333" s="142" t="s">
        <v>16</v>
      </c>
      <c r="D333" s="74">
        <f>2*2</f>
        <v>4</v>
      </c>
      <c r="E333" s="75">
        <v>1.65</v>
      </c>
      <c r="F333" s="71"/>
      <c r="G333" s="143">
        <v>2.9</v>
      </c>
      <c r="H333" s="78">
        <f t="shared" si="58"/>
        <v>19.139999999999997</v>
      </c>
      <c r="K333" s="79"/>
    </row>
    <row r="334" spans="1:13" ht="15">
      <c r="A334" s="67"/>
      <c r="B334" s="73" t="s">
        <v>210</v>
      </c>
      <c r="C334" s="142" t="s">
        <v>16</v>
      </c>
      <c r="D334" s="74">
        <f>4*2</f>
        <v>8</v>
      </c>
      <c r="E334" s="75">
        <v>2</v>
      </c>
      <c r="F334" s="71"/>
      <c r="G334" s="143">
        <v>2.9</v>
      </c>
      <c r="H334" s="78">
        <f t="shared" si="58"/>
        <v>46.4</v>
      </c>
      <c r="K334" s="79"/>
    </row>
    <row r="335" spans="1:13" ht="15">
      <c r="A335" s="67"/>
      <c r="B335" s="73"/>
      <c r="C335" s="142"/>
      <c r="D335" s="74"/>
      <c r="E335" s="75"/>
      <c r="F335" s="686" t="s">
        <v>65</v>
      </c>
      <c r="G335" s="687"/>
      <c r="H335" s="80">
        <f>ROUND(SUM(H328:H334),0)</f>
        <v>88</v>
      </c>
      <c r="K335" s="79"/>
    </row>
    <row r="336" spans="1:13" ht="15">
      <c r="A336" s="67"/>
      <c r="B336" s="73"/>
      <c r="C336" s="142"/>
      <c r="D336" s="74"/>
      <c r="E336" s="75"/>
      <c r="F336" s="71"/>
      <c r="G336" s="71"/>
      <c r="H336" s="80"/>
      <c r="K336" s="79"/>
    </row>
    <row r="337" spans="1:12" ht="15">
      <c r="A337" s="105">
        <v>16</v>
      </c>
      <c r="B337" s="121" t="s">
        <v>211</v>
      </c>
      <c r="C337" s="100"/>
      <c r="D337" s="74"/>
      <c r="E337" s="75"/>
      <c r="F337" s="88"/>
      <c r="G337" s="78"/>
      <c r="H337" s="78"/>
      <c r="K337" s="79"/>
    </row>
    <row r="338" spans="1:12" ht="15">
      <c r="A338" s="105"/>
      <c r="B338" s="137" t="s">
        <v>337</v>
      </c>
      <c r="C338" s="100" t="s">
        <v>16</v>
      </c>
      <c r="D338" s="74">
        <f>2*2</f>
        <v>4</v>
      </c>
      <c r="E338" s="75">
        <v>1.33</v>
      </c>
      <c r="F338" s="88"/>
      <c r="G338" s="78">
        <v>10.9</v>
      </c>
      <c r="H338" s="78">
        <f>D338*E338*G338</f>
        <v>57.988000000000007</v>
      </c>
      <c r="I338" s="149"/>
      <c r="K338" s="79"/>
    </row>
    <row r="339" spans="1:12" ht="15">
      <c r="A339" s="105"/>
      <c r="B339" s="137"/>
      <c r="C339" s="100" t="s">
        <v>16</v>
      </c>
      <c r="D339" s="74">
        <f>2*2</f>
        <v>4</v>
      </c>
      <c r="E339" s="75">
        <v>0.91500000000000004</v>
      </c>
      <c r="F339" s="88"/>
      <c r="G339" s="78">
        <v>10.9</v>
      </c>
      <c r="H339" s="78">
        <f>D339*E339*G339</f>
        <v>39.894000000000005</v>
      </c>
      <c r="K339" s="79"/>
      <c r="L339" s="57">
        <f>2.429*2</f>
        <v>4.8579999999999997</v>
      </c>
    </row>
    <row r="340" spans="1:12" ht="15">
      <c r="A340" s="105"/>
      <c r="B340" s="121"/>
      <c r="C340" s="100" t="s">
        <v>16</v>
      </c>
      <c r="D340" s="74">
        <f>2*2</f>
        <v>4</v>
      </c>
      <c r="E340" s="75">
        <v>2.335</v>
      </c>
      <c r="F340" s="88"/>
      <c r="G340" s="78">
        <v>10.9</v>
      </c>
      <c r="H340" s="78">
        <f>D340*E340*G340</f>
        <v>101.806</v>
      </c>
      <c r="K340" s="79"/>
      <c r="L340" s="57">
        <f>+L339*2</f>
        <v>9.7159999999999993</v>
      </c>
    </row>
    <row r="341" spans="1:12" ht="15">
      <c r="A341" s="105"/>
      <c r="B341" s="121"/>
      <c r="C341" s="100" t="s">
        <v>16</v>
      </c>
      <c r="D341" s="74">
        <f>2*2</f>
        <v>4</v>
      </c>
      <c r="E341" s="75">
        <v>4.9000000000000004</v>
      </c>
      <c r="F341" s="88"/>
      <c r="G341" s="78">
        <v>10.9</v>
      </c>
      <c r="H341" s="78">
        <f>D341*E341*G341</f>
        <v>213.64000000000001</v>
      </c>
      <c r="K341" s="79"/>
    </row>
    <row r="342" spans="1:12" ht="15">
      <c r="A342" s="67"/>
      <c r="B342" s="73"/>
      <c r="C342" s="100"/>
      <c r="D342" s="74"/>
      <c r="E342" s="75"/>
      <c r="F342" s="677" t="s">
        <v>65</v>
      </c>
      <c r="G342" s="677"/>
      <c r="H342" s="80">
        <f>ROUND(SUM(H337:H341),0)</f>
        <v>413</v>
      </c>
      <c r="I342" s="57">
        <f>512.71/2</f>
        <v>256.35500000000002</v>
      </c>
      <c r="J342" s="134" t="s">
        <v>139</v>
      </c>
      <c r="K342" s="79"/>
    </row>
    <row r="343" spans="1:12" ht="15">
      <c r="A343" s="67"/>
      <c r="B343" s="73"/>
      <c r="C343" s="100"/>
      <c r="D343" s="74"/>
      <c r="E343" s="75"/>
      <c r="F343" s="88"/>
      <c r="G343" s="78"/>
      <c r="H343" s="78"/>
      <c r="K343" s="79"/>
    </row>
    <row r="344" spans="1:12" ht="15">
      <c r="A344" s="150">
        <v>17</v>
      </c>
      <c r="B344" s="138" t="s">
        <v>215</v>
      </c>
      <c r="C344" s="83"/>
      <c r="D344" s="84"/>
      <c r="E344" s="85"/>
      <c r="F344" s="86"/>
      <c r="G344" s="87"/>
      <c r="H344" s="87"/>
      <c r="K344" s="79"/>
    </row>
    <row r="345" spans="1:12" ht="15">
      <c r="A345" s="81"/>
      <c r="B345" s="151" t="s">
        <v>212</v>
      </c>
      <c r="C345" s="83" t="s">
        <v>16</v>
      </c>
      <c r="D345" s="84">
        <f>2*1</f>
        <v>2</v>
      </c>
      <c r="E345" s="85">
        <f>4+4.8+5.8</f>
        <v>14.600000000000001</v>
      </c>
      <c r="F345" s="86"/>
      <c r="G345" s="87">
        <v>10.9</v>
      </c>
      <c r="H345" s="87">
        <f t="shared" ref="H345:H350" si="59">D345*E345*G345</f>
        <v>318.28000000000003</v>
      </c>
      <c r="K345" s="79"/>
    </row>
    <row r="346" spans="1:12" ht="15">
      <c r="A346" s="81"/>
      <c r="B346" s="151" t="s">
        <v>216</v>
      </c>
      <c r="C346" s="83" t="s">
        <v>16</v>
      </c>
      <c r="D346" s="84">
        <f>1*2</f>
        <v>2</v>
      </c>
      <c r="E346" s="85">
        <v>18.600000000000001</v>
      </c>
      <c r="F346" s="86"/>
      <c r="G346" s="87">
        <f>2.6+1</f>
        <v>3.6</v>
      </c>
      <c r="H346" s="87">
        <f t="shared" si="59"/>
        <v>133.92000000000002</v>
      </c>
      <c r="K346" s="79"/>
    </row>
    <row r="347" spans="1:12" ht="15">
      <c r="A347" s="81"/>
      <c r="B347" s="151" t="s">
        <v>213</v>
      </c>
      <c r="C347" s="83" t="s">
        <v>16</v>
      </c>
      <c r="D347" s="84">
        <f>1*2</f>
        <v>2</v>
      </c>
      <c r="E347" s="85">
        <f>3.8+3.825+2.8</f>
        <v>10.425000000000001</v>
      </c>
      <c r="F347" s="86"/>
      <c r="G347" s="87">
        <v>10.9</v>
      </c>
      <c r="H347" s="87">
        <f t="shared" si="59"/>
        <v>227.26500000000001</v>
      </c>
      <c r="K347" s="79"/>
    </row>
    <row r="348" spans="1:12" ht="15">
      <c r="A348" s="81"/>
      <c r="B348" s="151" t="s">
        <v>216</v>
      </c>
      <c r="C348" s="83"/>
      <c r="D348" s="84">
        <f>1*2</f>
        <v>2</v>
      </c>
      <c r="E348" s="85">
        <v>20.16</v>
      </c>
      <c r="F348" s="86"/>
      <c r="G348" s="87">
        <f>2.6+1</f>
        <v>3.6</v>
      </c>
      <c r="H348" s="87">
        <f t="shared" si="59"/>
        <v>145.15200000000002</v>
      </c>
      <c r="K348" s="79"/>
    </row>
    <row r="349" spans="1:12" ht="15">
      <c r="A349" s="81"/>
      <c r="B349" s="151" t="s">
        <v>214</v>
      </c>
      <c r="C349" s="83" t="s">
        <v>16</v>
      </c>
      <c r="D349" s="84">
        <f>1*2</f>
        <v>2</v>
      </c>
      <c r="E349" s="85">
        <f>5.525+4.8*2</f>
        <v>15.125</v>
      </c>
      <c r="F349" s="86"/>
      <c r="G349" s="87">
        <v>10.9</v>
      </c>
      <c r="H349" s="87">
        <f t="shared" si="59"/>
        <v>329.72500000000002</v>
      </c>
      <c r="K349" s="91"/>
    </row>
    <row r="350" spans="1:12" ht="15">
      <c r="A350" s="81"/>
      <c r="B350" s="151" t="s">
        <v>216</v>
      </c>
      <c r="C350" s="83" t="s">
        <v>16</v>
      </c>
      <c r="D350" s="84">
        <f>1*2</f>
        <v>2</v>
      </c>
      <c r="E350" s="85">
        <v>27.1</v>
      </c>
      <c r="F350" s="86"/>
      <c r="G350" s="87">
        <f>2.6+1</f>
        <v>3.6</v>
      </c>
      <c r="H350" s="87">
        <f t="shared" si="59"/>
        <v>195.12</v>
      </c>
      <c r="K350" s="79"/>
    </row>
    <row r="351" spans="1:12" ht="15">
      <c r="A351" s="81"/>
      <c r="B351" s="151"/>
      <c r="C351" s="83"/>
      <c r="D351" s="84"/>
      <c r="E351" s="85"/>
      <c r="F351" s="86"/>
      <c r="G351" s="87"/>
      <c r="H351" s="87"/>
      <c r="K351" s="79"/>
    </row>
    <row r="352" spans="1:12" ht="15">
      <c r="A352" s="81"/>
      <c r="B352" s="151" t="s">
        <v>363</v>
      </c>
      <c r="C352" s="83" t="s">
        <v>16</v>
      </c>
      <c r="D352" s="84">
        <v>2</v>
      </c>
      <c r="E352" s="85"/>
      <c r="F352" s="86"/>
      <c r="G352" s="87"/>
      <c r="H352" s="87"/>
      <c r="K352" s="79"/>
    </row>
    <row r="353" spans="1:11" ht="15">
      <c r="A353" s="83"/>
      <c r="B353" s="82"/>
      <c r="C353" s="83"/>
      <c r="D353" s="84"/>
      <c r="E353" s="85"/>
      <c r="F353" s="683" t="s">
        <v>65</v>
      </c>
      <c r="G353" s="683"/>
      <c r="H353" s="132">
        <f>ROUND(SUM(H345:H350),0)</f>
        <v>1349</v>
      </c>
      <c r="I353" s="57">
        <f>917.81/2</f>
        <v>458.90499999999997</v>
      </c>
      <c r="J353" s="134" t="s">
        <v>139</v>
      </c>
      <c r="K353" s="79"/>
    </row>
    <row r="354" spans="1:11" ht="15">
      <c r="A354" s="142"/>
      <c r="B354" s="73"/>
      <c r="C354" s="142"/>
      <c r="D354" s="74"/>
      <c r="E354" s="75"/>
      <c r="F354" s="71"/>
      <c r="G354" s="71"/>
      <c r="H354" s="80"/>
    </row>
    <row r="355" spans="1:11" ht="15">
      <c r="A355" s="81">
        <v>18</v>
      </c>
      <c r="B355" s="152" t="s">
        <v>217</v>
      </c>
      <c r="C355" s="83"/>
      <c r="D355" s="84"/>
      <c r="E355" s="85"/>
      <c r="F355" s="86"/>
      <c r="G355" s="87"/>
      <c r="H355" s="87"/>
    </row>
    <row r="356" spans="1:11" ht="15">
      <c r="A356" s="83"/>
      <c r="B356" s="151" t="s">
        <v>337</v>
      </c>
      <c r="C356" s="153" t="s">
        <v>16</v>
      </c>
      <c r="D356" s="154">
        <f>1*2</f>
        <v>2</v>
      </c>
      <c r="E356" s="155">
        <v>3.9</v>
      </c>
      <c r="F356" s="155"/>
      <c r="G356" s="156">
        <v>10.9</v>
      </c>
      <c r="H356" s="87">
        <f>D356*E356*G356</f>
        <v>85.02</v>
      </c>
    </row>
    <row r="357" spans="1:11" ht="15">
      <c r="A357" s="83"/>
      <c r="B357" s="82"/>
      <c r="C357" s="153" t="s">
        <v>16</v>
      </c>
      <c r="D357" s="84"/>
      <c r="E357" s="85"/>
      <c r="F357" s="683" t="s">
        <v>65</v>
      </c>
      <c r="G357" s="683"/>
      <c r="H357" s="132">
        <f>ROUND(SUM(H355:H356),0)</f>
        <v>85</v>
      </c>
      <c r="I357" s="57">
        <f>155.68/2</f>
        <v>77.84</v>
      </c>
      <c r="J357" s="134" t="s">
        <v>139</v>
      </c>
    </row>
    <row r="358" spans="1:11" ht="15">
      <c r="A358" s="142"/>
      <c r="B358" s="73"/>
      <c r="C358" s="142"/>
      <c r="D358" s="74"/>
      <c r="E358" s="75"/>
      <c r="F358" s="71"/>
      <c r="G358" s="71"/>
      <c r="H358" s="80"/>
    </row>
    <row r="359" spans="1:11" ht="15">
      <c r="A359" s="105">
        <v>19</v>
      </c>
      <c r="B359" s="157" t="s">
        <v>218</v>
      </c>
      <c r="C359" s="142"/>
      <c r="D359" s="74"/>
      <c r="E359" s="75"/>
      <c r="F359" s="71"/>
      <c r="G359" s="71"/>
      <c r="H359" s="80"/>
    </row>
    <row r="360" spans="1:11" ht="15">
      <c r="A360" s="105" t="s">
        <v>7</v>
      </c>
      <c r="B360" s="73" t="s">
        <v>334</v>
      </c>
      <c r="C360" s="107" t="s">
        <v>16</v>
      </c>
      <c r="D360" s="74">
        <f>2*2</f>
        <v>4</v>
      </c>
      <c r="E360" s="75">
        <v>6.6150000000000002</v>
      </c>
      <c r="F360" s="143"/>
      <c r="G360" s="143">
        <f>(3.675-0.5)-2.4</f>
        <v>0.77499999999999991</v>
      </c>
      <c r="H360" s="78">
        <f t="shared" ref="H360:H365" si="60">D360*E360*G360</f>
        <v>20.506499999999999</v>
      </c>
    </row>
    <row r="361" spans="1:11" ht="15">
      <c r="A361" s="105"/>
      <c r="B361" s="73" t="s">
        <v>203</v>
      </c>
      <c r="C361" s="107" t="s">
        <v>16</v>
      </c>
      <c r="D361" s="74">
        <f>2*2</f>
        <v>4</v>
      </c>
      <c r="E361" s="75">
        <v>8</v>
      </c>
      <c r="F361" s="143"/>
      <c r="G361" s="143">
        <f>(3.675-0.5)-2.4</f>
        <v>0.77499999999999991</v>
      </c>
      <c r="H361" s="78">
        <f t="shared" si="60"/>
        <v>24.799999999999997</v>
      </c>
    </row>
    <row r="362" spans="1:11" ht="15">
      <c r="A362" s="105"/>
      <c r="B362" s="73"/>
      <c r="C362" s="107" t="s">
        <v>16</v>
      </c>
      <c r="D362" s="74">
        <f>3*2</f>
        <v>6</v>
      </c>
      <c r="E362" s="75">
        <v>5.6749999999999998</v>
      </c>
      <c r="F362" s="143"/>
      <c r="G362" s="143">
        <f>(3.675-0.5)-2.4</f>
        <v>0.77499999999999991</v>
      </c>
      <c r="H362" s="78">
        <f t="shared" si="60"/>
        <v>26.388749999999995</v>
      </c>
    </row>
    <row r="363" spans="1:11" ht="15">
      <c r="A363" s="142"/>
      <c r="B363" s="73" t="s">
        <v>204</v>
      </c>
      <c r="C363" s="107" t="s">
        <v>16</v>
      </c>
      <c r="D363" s="74">
        <f>2*2</f>
        <v>4</v>
      </c>
      <c r="E363" s="75">
        <v>10.494999999999999</v>
      </c>
      <c r="F363" s="143"/>
      <c r="G363" s="143">
        <f>(3.675-0.5)-2.4</f>
        <v>0.77499999999999991</v>
      </c>
      <c r="H363" s="78">
        <f t="shared" si="60"/>
        <v>32.534499999999994</v>
      </c>
    </row>
    <row r="364" spans="1:11" ht="15">
      <c r="A364" s="142"/>
      <c r="B364" s="73" t="s">
        <v>222</v>
      </c>
      <c r="C364" s="107" t="s">
        <v>16</v>
      </c>
      <c r="D364" s="74">
        <f>2*2</f>
        <v>4</v>
      </c>
      <c r="E364" s="75">
        <v>7.46</v>
      </c>
      <c r="F364" s="143"/>
      <c r="G364" s="143">
        <f>(3.675-0.5)-2.4</f>
        <v>0.77499999999999991</v>
      </c>
      <c r="H364" s="78">
        <f t="shared" si="60"/>
        <v>23.125999999999998</v>
      </c>
    </row>
    <row r="365" spans="1:11" ht="15">
      <c r="A365" s="142"/>
      <c r="B365" s="73" t="s">
        <v>338</v>
      </c>
      <c r="C365" s="107" t="s">
        <v>16</v>
      </c>
      <c r="D365" s="74">
        <f>2*2</f>
        <v>4</v>
      </c>
      <c r="E365" s="75">
        <f>10.5+6.8+5.6</f>
        <v>22.9</v>
      </c>
      <c r="F365" s="143"/>
      <c r="G365" s="143">
        <v>3.18</v>
      </c>
      <c r="H365" s="78">
        <f t="shared" si="60"/>
        <v>291.28800000000001</v>
      </c>
    </row>
    <row r="366" spans="1:11" ht="15">
      <c r="A366" s="142"/>
      <c r="B366" s="73"/>
      <c r="C366" s="69"/>
      <c r="D366" s="74"/>
      <c r="E366" s="75"/>
      <c r="F366" s="677" t="s">
        <v>65</v>
      </c>
      <c r="G366" s="677"/>
      <c r="H366" s="80">
        <f>ROUND(SUM(H359:H365),0)</f>
        <v>419</v>
      </c>
      <c r="I366" s="57">
        <f>158.04+221</f>
        <v>379.03999999999996</v>
      </c>
      <c r="J366" s="134" t="s">
        <v>139</v>
      </c>
    </row>
    <row r="367" spans="1:11" ht="15">
      <c r="A367" s="142"/>
      <c r="B367" s="73"/>
      <c r="C367" s="142"/>
      <c r="D367" s="74"/>
      <c r="E367" s="75"/>
      <c r="F367" s="71"/>
      <c r="G367" s="71"/>
      <c r="H367" s="80"/>
    </row>
    <row r="368" spans="1:11" ht="15">
      <c r="A368" s="67" t="s">
        <v>32</v>
      </c>
      <c r="B368" s="73" t="s">
        <v>352</v>
      </c>
      <c r="C368" s="107" t="s">
        <v>16</v>
      </c>
      <c r="D368" s="74">
        <f>1*2</f>
        <v>2</v>
      </c>
      <c r="E368" s="75">
        <f>4.25+1.175*2</f>
        <v>6.6</v>
      </c>
      <c r="F368" s="143"/>
      <c r="G368" s="143">
        <v>3.65</v>
      </c>
      <c r="H368" s="78">
        <f>ROUND(D368*E368*G368,0)</f>
        <v>48</v>
      </c>
    </row>
    <row r="369" spans="1:9" ht="15">
      <c r="A369" s="142"/>
      <c r="B369" s="73"/>
      <c r="C369" s="142"/>
      <c r="D369" s="74"/>
      <c r="E369" s="75"/>
      <c r="F369" s="71"/>
      <c r="G369" s="71"/>
      <c r="H369" s="80"/>
    </row>
    <row r="370" spans="1:9" ht="25.5">
      <c r="A370" s="105" t="s">
        <v>353</v>
      </c>
      <c r="B370" s="157" t="s">
        <v>339</v>
      </c>
      <c r="C370" s="142"/>
      <c r="D370" s="74"/>
      <c r="E370" s="75"/>
      <c r="F370" s="71"/>
      <c r="G370" s="71"/>
      <c r="H370" s="80"/>
    </row>
    <row r="371" spans="1:9" ht="15">
      <c r="A371" s="142"/>
      <c r="B371" s="73" t="s">
        <v>219</v>
      </c>
      <c r="C371" s="142" t="s">
        <v>16</v>
      </c>
      <c r="D371" s="74">
        <f>1*2</f>
        <v>2</v>
      </c>
      <c r="E371" s="75">
        <v>7.41</v>
      </c>
      <c r="F371" s="71"/>
      <c r="G371" s="78">
        <v>2.4</v>
      </c>
      <c r="H371" s="78">
        <f>D371*E371*G371</f>
        <v>35.567999999999998</v>
      </c>
    </row>
    <row r="372" spans="1:9" ht="15">
      <c r="A372" s="142"/>
      <c r="B372" s="73" t="s">
        <v>208</v>
      </c>
      <c r="C372" s="142" t="s">
        <v>16</v>
      </c>
      <c r="D372" s="74">
        <f>1*2</f>
        <v>2</v>
      </c>
      <c r="E372" s="75">
        <v>3.3</v>
      </c>
      <c r="F372" s="71"/>
      <c r="G372" s="78">
        <v>2.4</v>
      </c>
      <c r="H372" s="78">
        <f>D372*E372*G372</f>
        <v>15.839999999999998</v>
      </c>
    </row>
    <row r="373" spans="1:9" ht="15">
      <c r="A373" s="142"/>
      <c r="B373" s="73"/>
      <c r="C373" s="142"/>
      <c r="D373" s="74"/>
      <c r="E373" s="75"/>
      <c r="F373" s="677" t="s">
        <v>65</v>
      </c>
      <c r="G373" s="677"/>
      <c r="H373" s="80">
        <f>ROUND(SUM(H370:H372),0)</f>
        <v>51</v>
      </c>
    </row>
    <row r="374" spans="1:9" ht="15">
      <c r="A374" s="142"/>
      <c r="B374" s="73"/>
      <c r="C374" s="142"/>
      <c r="D374" s="74"/>
      <c r="E374" s="75"/>
      <c r="F374" s="71"/>
      <c r="G374" s="71"/>
      <c r="H374" s="80"/>
    </row>
    <row r="375" spans="1:9" ht="38.25">
      <c r="A375" s="105" t="s">
        <v>354</v>
      </c>
      <c r="B375" s="157" t="s">
        <v>355</v>
      </c>
      <c r="C375" s="142"/>
      <c r="D375" s="74"/>
      <c r="E375" s="75"/>
      <c r="F375" s="71"/>
      <c r="G375" s="71"/>
      <c r="H375" s="80"/>
    </row>
    <row r="376" spans="1:9" ht="15">
      <c r="A376" s="142"/>
      <c r="B376" s="73" t="s">
        <v>356</v>
      </c>
      <c r="C376" s="142" t="s">
        <v>16</v>
      </c>
      <c r="D376" s="74">
        <v>1</v>
      </c>
      <c r="E376" s="75">
        <v>106</v>
      </c>
      <c r="F376" s="71"/>
      <c r="G376" s="78">
        <v>8.5500000000000007</v>
      </c>
      <c r="H376" s="78">
        <f>D376*E376*G376</f>
        <v>906.30000000000007</v>
      </c>
    </row>
    <row r="377" spans="1:9" ht="15">
      <c r="A377" s="142"/>
      <c r="B377" s="73"/>
      <c r="C377" s="142"/>
      <c r="D377" s="74"/>
      <c r="E377" s="75"/>
      <c r="F377" s="677" t="s">
        <v>65</v>
      </c>
      <c r="G377" s="677"/>
      <c r="H377" s="80">
        <f>ROUND(SUM(H375:H376),0)</f>
        <v>906</v>
      </c>
    </row>
    <row r="378" spans="1:9" ht="15">
      <c r="A378" s="142"/>
      <c r="B378" s="73"/>
      <c r="C378" s="142"/>
      <c r="D378" s="74"/>
      <c r="E378" s="75"/>
      <c r="F378" s="71"/>
      <c r="G378" s="71"/>
      <c r="H378" s="80"/>
    </row>
    <row r="379" spans="1:9" ht="15">
      <c r="A379" s="142"/>
      <c r="B379" s="73"/>
      <c r="C379" s="142"/>
      <c r="D379" s="74"/>
      <c r="E379" s="75"/>
      <c r="F379" s="71"/>
      <c r="G379" s="71"/>
      <c r="H379" s="80"/>
    </row>
    <row r="380" spans="1:9" ht="15">
      <c r="A380" s="142"/>
      <c r="B380" s="73"/>
      <c r="C380" s="142"/>
      <c r="D380" s="74"/>
      <c r="E380" s="75"/>
      <c r="F380" s="71"/>
      <c r="G380" s="71"/>
      <c r="H380" s="80"/>
    </row>
    <row r="381" spans="1:9" ht="15">
      <c r="A381" s="105">
        <v>19</v>
      </c>
      <c r="B381" s="157" t="s">
        <v>220</v>
      </c>
      <c r="C381" s="116"/>
      <c r="D381" s="108"/>
      <c r="E381" s="109"/>
      <c r="F381" s="109"/>
      <c r="G381" s="77"/>
      <c r="H381" s="123"/>
    </row>
    <row r="382" spans="1:9" ht="15">
      <c r="A382" s="105" t="s">
        <v>10</v>
      </c>
      <c r="B382" s="145" t="s">
        <v>221</v>
      </c>
      <c r="C382" s="116"/>
      <c r="D382" s="74"/>
      <c r="E382" s="75"/>
      <c r="F382" s="76"/>
      <c r="G382" s="77"/>
      <c r="H382" s="123"/>
    </row>
    <row r="383" spans="1:9" ht="14.25" customHeight="1">
      <c r="A383" s="69"/>
      <c r="B383" s="158" t="s">
        <v>208</v>
      </c>
      <c r="C383" s="69" t="s">
        <v>16</v>
      </c>
      <c r="D383" s="74">
        <f>1*2</f>
        <v>2</v>
      </c>
      <c r="E383" s="681">
        <v>14.1</v>
      </c>
      <c r="F383" s="682"/>
      <c r="G383" s="77"/>
      <c r="H383" s="123">
        <f>D383*E383</f>
        <v>28.2</v>
      </c>
      <c r="I383" s="57">
        <v>20.45</v>
      </c>
    </row>
    <row r="384" spans="1:9" ht="14.25" customHeight="1">
      <c r="A384" s="69"/>
      <c r="B384" s="158" t="s">
        <v>219</v>
      </c>
      <c r="C384" s="69" t="s">
        <v>16</v>
      </c>
      <c r="D384" s="74">
        <f>1*2</f>
        <v>2</v>
      </c>
      <c r="E384" s="681">
        <v>37.799999999999997</v>
      </c>
      <c r="F384" s="682"/>
      <c r="G384" s="77"/>
      <c r="H384" s="123">
        <f>D384*E384</f>
        <v>75.599999999999994</v>
      </c>
      <c r="I384" s="57">
        <v>43.24</v>
      </c>
    </row>
    <row r="385" spans="1:9" ht="14.25" customHeight="1">
      <c r="A385" s="69"/>
      <c r="B385" s="158" t="s">
        <v>222</v>
      </c>
      <c r="C385" s="69" t="s">
        <v>16</v>
      </c>
      <c r="D385" s="74">
        <f>1*2</f>
        <v>2</v>
      </c>
      <c r="E385" s="74">
        <v>2.1150000000000002</v>
      </c>
      <c r="F385" s="74">
        <v>1.615</v>
      </c>
      <c r="G385" s="77"/>
      <c r="H385" s="123">
        <f>D385*E385*F385</f>
        <v>6.8314500000000002</v>
      </c>
    </row>
    <row r="386" spans="1:9" ht="15">
      <c r="A386" s="69"/>
      <c r="B386" s="73"/>
      <c r="C386" s="69"/>
      <c r="D386" s="74"/>
      <c r="E386" s="75"/>
      <c r="F386" s="677" t="s">
        <v>65</v>
      </c>
      <c r="G386" s="677"/>
      <c r="H386" s="80">
        <f>ROUND(SUM(H382:H385),0)</f>
        <v>111</v>
      </c>
      <c r="I386" s="57">
        <f>SUM(I383:I384)</f>
        <v>63.69</v>
      </c>
    </row>
    <row r="387" spans="1:9" ht="15">
      <c r="A387" s="69"/>
      <c r="B387" s="73"/>
      <c r="C387" s="69"/>
      <c r="D387" s="74"/>
      <c r="E387" s="75"/>
      <c r="F387" s="71"/>
      <c r="G387" s="71"/>
      <c r="H387" s="80"/>
    </row>
    <row r="388" spans="1:9" ht="15">
      <c r="A388" s="67" t="s">
        <v>32</v>
      </c>
      <c r="B388" s="73" t="s">
        <v>352</v>
      </c>
      <c r="C388" s="69" t="s">
        <v>16</v>
      </c>
      <c r="D388" s="74"/>
      <c r="E388" s="75"/>
      <c r="F388" s="71"/>
      <c r="G388" s="71"/>
      <c r="H388" s="80">
        <f>H368</f>
        <v>48</v>
      </c>
    </row>
    <row r="389" spans="1:9" ht="15">
      <c r="A389" s="69"/>
      <c r="B389" s="73"/>
      <c r="C389" s="69"/>
      <c r="D389" s="74"/>
      <c r="E389" s="75"/>
      <c r="F389" s="71"/>
      <c r="G389" s="71"/>
      <c r="H389" s="80"/>
    </row>
    <row r="390" spans="1:9" ht="15">
      <c r="A390" s="105" t="s">
        <v>55</v>
      </c>
      <c r="B390" s="145" t="s">
        <v>223</v>
      </c>
      <c r="C390" s="69"/>
      <c r="D390" s="74"/>
      <c r="E390" s="75"/>
      <c r="F390" s="71"/>
      <c r="G390" s="71"/>
      <c r="H390" s="80"/>
    </row>
    <row r="391" spans="1:9" ht="15">
      <c r="A391" s="105"/>
      <c r="B391" s="102" t="s">
        <v>224</v>
      </c>
      <c r="C391" s="69" t="s">
        <v>16</v>
      </c>
      <c r="D391" s="74"/>
      <c r="E391" s="75"/>
      <c r="F391" s="71"/>
      <c r="G391" s="71"/>
      <c r="H391" s="78">
        <f>H366</f>
        <v>419</v>
      </c>
    </row>
    <row r="392" spans="1:9" ht="25.5">
      <c r="A392" s="105"/>
      <c r="B392" s="102" t="s">
        <v>225</v>
      </c>
      <c r="C392" s="69" t="s">
        <v>16</v>
      </c>
      <c r="D392" s="74"/>
      <c r="E392" s="75"/>
      <c r="F392" s="71"/>
      <c r="G392" s="71"/>
      <c r="H392" s="78">
        <f>H373</f>
        <v>51</v>
      </c>
    </row>
    <row r="393" spans="1:9" ht="15">
      <c r="A393" s="69"/>
      <c r="B393" s="73"/>
      <c r="C393" s="69"/>
      <c r="D393" s="74"/>
      <c r="E393" s="75"/>
      <c r="F393" s="677" t="s">
        <v>65</v>
      </c>
      <c r="G393" s="677"/>
      <c r="H393" s="80">
        <f>ROUND(SUM(H390:H392),0)</f>
        <v>470</v>
      </c>
    </row>
    <row r="394" spans="1:9" ht="15">
      <c r="A394" s="69"/>
      <c r="B394" s="73"/>
      <c r="C394" s="69"/>
      <c r="D394" s="74"/>
      <c r="E394" s="75"/>
      <c r="F394" s="71"/>
      <c r="G394" s="71"/>
      <c r="H394" s="80"/>
    </row>
    <row r="395" spans="1:9" ht="15">
      <c r="A395" s="159" t="s">
        <v>71</v>
      </c>
      <c r="B395" s="160" t="s">
        <v>226</v>
      </c>
      <c r="C395" s="34"/>
      <c r="D395" s="36"/>
      <c r="E395" s="37"/>
      <c r="F395" s="55"/>
      <c r="G395" s="55"/>
      <c r="H395" s="40"/>
    </row>
    <row r="396" spans="1:9" ht="15">
      <c r="A396" s="34"/>
      <c r="B396" s="35" t="s">
        <v>227</v>
      </c>
      <c r="C396" s="34" t="s">
        <v>16</v>
      </c>
      <c r="D396" s="36">
        <v>1</v>
      </c>
      <c r="E396" s="37">
        <f>2*(E40+F40)</f>
        <v>454.67399999999998</v>
      </c>
      <c r="F396" s="55"/>
      <c r="G396" s="39">
        <v>1.5</v>
      </c>
      <c r="H396" s="39">
        <f>D396*E396*G396</f>
        <v>682.01099999999997</v>
      </c>
    </row>
    <row r="397" spans="1:9" ht="15">
      <c r="A397" s="34"/>
      <c r="B397" s="35" t="s">
        <v>228</v>
      </c>
      <c r="C397" s="34" t="s">
        <v>16</v>
      </c>
      <c r="D397" s="36">
        <v>1</v>
      </c>
      <c r="E397" s="37"/>
      <c r="F397" s="55"/>
      <c r="G397" s="55"/>
      <c r="H397" s="39">
        <f>H315</f>
        <v>1804</v>
      </c>
    </row>
    <row r="398" spans="1:9" ht="15">
      <c r="A398" s="34"/>
      <c r="B398" s="35"/>
      <c r="C398" s="34"/>
      <c r="D398" s="36"/>
      <c r="E398" s="37"/>
      <c r="F398" s="616" t="s">
        <v>65</v>
      </c>
      <c r="G398" s="616"/>
      <c r="H398" s="40">
        <f>ROUND(SUM(H395:H397),0)</f>
        <v>2486</v>
      </c>
    </row>
    <row r="399" spans="1:9" ht="15">
      <c r="A399" s="69"/>
      <c r="B399" s="73"/>
      <c r="C399" s="69"/>
      <c r="D399" s="74"/>
      <c r="E399" s="75"/>
      <c r="F399" s="71"/>
      <c r="G399" s="71"/>
      <c r="H399" s="80"/>
    </row>
    <row r="400" spans="1:9" ht="15">
      <c r="A400" s="69"/>
      <c r="B400" s="73"/>
      <c r="C400" s="69"/>
      <c r="D400" s="74"/>
      <c r="E400" s="75"/>
      <c r="F400" s="71"/>
      <c r="G400" s="71"/>
      <c r="H400" s="80"/>
    </row>
    <row r="401" spans="1:10" ht="15">
      <c r="A401" s="69"/>
      <c r="B401" s="73"/>
      <c r="C401" s="69"/>
      <c r="D401" s="74"/>
      <c r="E401" s="75"/>
      <c r="F401" s="71"/>
      <c r="G401" s="71"/>
      <c r="H401" s="80"/>
    </row>
    <row r="402" spans="1:10" ht="15">
      <c r="A402" s="105">
        <v>20</v>
      </c>
      <c r="B402" s="157" t="s">
        <v>229</v>
      </c>
      <c r="C402" s="161"/>
      <c r="D402" s="74"/>
      <c r="E402" s="162"/>
      <c r="F402" s="74"/>
      <c r="G402" s="71"/>
      <c r="H402" s="123"/>
    </row>
    <row r="403" spans="1:10" ht="15">
      <c r="A403" s="69"/>
      <c r="B403" s="158" t="s">
        <v>208</v>
      </c>
      <c r="C403" s="69" t="s">
        <v>16</v>
      </c>
      <c r="D403" s="74">
        <f>1*2</f>
        <v>2</v>
      </c>
      <c r="E403" s="681">
        <f>E383</f>
        <v>14.1</v>
      </c>
      <c r="F403" s="682"/>
      <c r="G403" s="71"/>
      <c r="H403" s="123">
        <f>ROUND(D403*E403,0)*25%</f>
        <v>7</v>
      </c>
    </row>
    <row r="404" spans="1:10" ht="15">
      <c r="A404" s="83"/>
      <c r="B404" s="158" t="s">
        <v>219</v>
      </c>
      <c r="C404" s="69" t="s">
        <v>16</v>
      </c>
      <c r="D404" s="74">
        <f>1*2</f>
        <v>2</v>
      </c>
      <c r="E404" s="681">
        <f>E384</f>
        <v>37.799999999999997</v>
      </c>
      <c r="F404" s="682"/>
      <c r="G404" s="71"/>
      <c r="H404" s="123">
        <f>ROUND(D404*E404,0)*25%</f>
        <v>19</v>
      </c>
    </row>
    <row r="405" spans="1:10" ht="15">
      <c r="A405" s="83"/>
      <c r="B405" s="158" t="s">
        <v>222</v>
      </c>
      <c r="C405" s="69" t="s">
        <v>16</v>
      </c>
      <c r="D405" s="74">
        <f>1*2</f>
        <v>2</v>
      </c>
      <c r="E405" s="74">
        <f>E385</f>
        <v>2.1150000000000002</v>
      </c>
      <c r="F405" s="74">
        <f>F385</f>
        <v>1.615</v>
      </c>
      <c r="G405" s="71"/>
      <c r="H405" s="123">
        <f>ROUND(D405*E405*F405,0)*25%</f>
        <v>1.75</v>
      </c>
    </row>
    <row r="406" spans="1:10" ht="15">
      <c r="A406" s="83"/>
      <c r="B406" s="152"/>
      <c r="C406" s="69"/>
      <c r="D406" s="74"/>
      <c r="E406" s="74"/>
      <c r="F406" s="677" t="s">
        <v>65</v>
      </c>
      <c r="G406" s="677"/>
      <c r="H406" s="80">
        <f>ROUND(SUM(H402:H405),0)</f>
        <v>28</v>
      </c>
      <c r="I406" s="163">
        <f>41.98/2</f>
        <v>20.99</v>
      </c>
      <c r="J406" s="134" t="s">
        <v>139</v>
      </c>
    </row>
    <row r="407" spans="1:10" ht="15">
      <c r="A407" s="83"/>
      <c r="B407" s="152"/>
      <c r="C407" s="69"/>
      <c r="D407" s="74"/>
      <c r="E407" s="74"/>
      <c r="F407" s="74"/>
      <c r="G407" s="71"/>
      <c r="H407" s="123"/>
    </row>
    <row r="408" spans="1:10" ht="15">
      <c r="A408" s="105">
        <v>21</v>
      </c>
      <c r="B408" s="157" t="s">
        <v>230</v>
      </c>
      <c r="C408" s="161"/>
      <c r="D408" s="74"/>
      <c r="E408" s="162"/>
      <c r="F408" s="74"/>
      <c r="G408" s="71"/>
      <c r="H408" s="123"/>
    </row>
    <row r="409" spans="1:10" ht="15">
      <c r="A409" s="83"/>
      <c r="B409" s="158" t="s">
        <v>208</v>
      </c>
      <c r="C409" s="69" t="s">
        <v>16</v>
      </c>
      <c r="D409" s="74">
        <f>1*2</f>
        <v>2</v>
      </c>
      <c r="E409" s="681">
        <f>E403</f>
        <v>14.1</v>
      </c>
      <c r="F409" s="682"/>
      <c r="G409" s="71"/>
      <c r="H409" s="123">
        <f>ROUND(D409*E409,0)*75%</f>
        <v>21</v>
      </c>
    </row>
    <row r="410" spans="1:10" ht="15">
      <c r="A410" s="83"/>
      <c r="B410" s="158" t="s">
        <v>219</v>
      </c>
      <c r="C410" s="69" t="s">
        <v>16</v>
      </c>
      <c r="D410" s="74">
        <f>1*2</f>
        <v>2</v>
      </c>
      <c r="E410" s="681">
        <f>E404</f>
        <v>37.799999999999997</v>
      </c>
      <c r="F410" s="682"/>
      <c r="G410" s="71"/>
      <c r="H410" s="123">
        <f>ROUND(D410*E410,0)*75%</f>
        <v>57</v>
      </c>
    </row>
    <row r="411" spans="1:10" ht="15">
      <c r="A411" s="83"/>
      <c r="B411" s="158" t="s">
        <v>222</v>
      </c>
      <c r="C411" s="69" t="s">
        <v>16</v>
      </c>
      <c r="D411" s="74">
        <f>1*2</f>
        <v>2</v>
      </c>
      <c r="E411" s="74">
        <f>E405</f>
        <v>2.1150000000000002</v>
      </c>
      <c r="F411" s="74">
        <f>F405</f>
        <v>1.615</v>
      </c>
      <c r="G411" s="71"/>
      <c r="H411" s="123">
        <f>ROUND(D411*E411*F411,0)*75%</f>
        <v>5.25</v>
      </c>
    </row>
    <row r="412" spans="1:10" ht="15">
      <c r="A412" s="83"/>
      <c r="B412" s="152"/>
      <c r="C412" s="69"/>
      <c r="D412" s="74"/>
      <c r="E412" s="74"/>
      <c r="F412" s="677" t="s">
        <v>65</v>
      </c>
      <c r="G412" s="677"/>
      <c r="H412" s="80">
        <f>ROUND(SUM(H408:H411),0)</f>
        <v>83</v>
      </c>
      <c r="I412" s="57">
        <v>41.98</v>
      </c>
    </row>
    <row r="413" spans="1:10" ht="15">
      <c r="A413" s="142"/>
      <c r="B413" s="73"/>
      <c r="C413" s="142"/>
      <c r="D413" s="74"/>
      <c r="E413" s="75"/>
      <c r="F413" s="143"/>
      <c r="G413" s="144"/>
      <c r="H413" s="78"/>
    </row>
    <row r="414" spans="1:10" ht="15">
      <c r="A414" s="105">
        <v>22</v>
      </c>
      <c r="B414" s="157" t="s">
        <v>61</v>
      </c>
      <c r="C414" s="116"/>
      <c r="D414" s="108"/>
      <c r="E414" s="109"/>
      <c r="F414" s="109"/>
      <c r="G414" s="144"/>
      <c r="H414" s="112"/>
    </row>
    <row r="415" spans="1:10" ht="15">
      <c r="A415" s="67" t="s">
        <v>10</v>
      </c>
      <c r="B415" s="145" t="s">
        <v>231</v>
      </c>
      <c r="C415" s="116"/>
      <c r="D415" s="74"/>
      <c r="E415" s="75"/>
      <c r="F415" s="143"/>
      <c r="G415" s="144"/>
      <c r="H415" s="78"/>
    </row>
    <row r="416" spans="1:10" ht="15">
      <c r="A416" s="105"/>
      <c r="B416" s="158" t="s">
        <v>208</v>
      </c>
      <c r="C416" s="116" t="s">
        <v>16</v>
      </c>
      <c r="D416" s="74">
        <f>1*2</f>
        <v>2</v>
      </c>
      <c r="E416" s="678">
        <v>14.1</v>
      </c>
      <c r="F416" s="678"/>
      <c r="G416" s="144"/>
      <c r="H416" s="123">
        <f>D416*E416</f>
        <v>28.2</v>
      </c>
    </row>
    <row r="417" spans="1:11" ht="15">
      <c r="A417" s="67"/>
      <c r="B417" s="158" t="s">
        <v>219</v>
      </c>
      <c r="C417" s="116" t="s">
        <v>16</v>
      </c>
      <c r="D417" s="74">
        <f>1*2</f>
        <v>2</v>
      </c>
      <c r="E417" s="678">
        <v>37.799999999999997</v>
      </c>
      <c r="F417" s="678"/>
      <c r="G417" s="144"/>
      <c r="H417" s="123">
        <f>D417*E417</f>
        <v>75.599999999999994</v>
      </c>
    </row>
    <row r="418" spans="1:11" ht="15">
      <c r="A418" s="142"/>
      <c r="B418" s="158" t="s">
        <v>222</v>
      </c>
      <c r="C418" s="116" t="s">
        <v>16</v>
      </c>
      <c r="D418" s="74">
        <f>1*2</f>
        <v>2</v>
      </c>
      <c r="E418" s="74">
        <v>2.1150000000000002</v>
      </c>
      <c r="F418" s="74">
        <v>1.615</v>
      </c>
      <c r="G418" s="144"/>
      <c r="H418" s="123">
        <f>D418*E418*F418</f>
        <v>6.8314500000000002</v>
      </c>
    </row>
    <row r="419" spans="1:11" ht="15">
      <c r="A419" s="142"/>
      <c r="B419" s="164"/>
      <c r="C419" s="116" t="s">
        <v>16</v>
      </c>
      <c r="D419" s="74"/>
      <c r="E419" s="75"/>
      <c r="F419" s="677" t="s">
        <v>65</v>
      </c>
      <c r="G419" s="677"/>
      <c r="H419" s="80">
        <f>ROUND(SUM(H415:H418),0)</f>
        <v>111</v>
      </c>
      <c r="I419" s="57">
        <v>57.98</v>
      </c>
    </row>
    <row r="420" spans="1:11" ht="15">
      <c r="A420" s="142"/>
      <c r="B420" s="164"/>
      <c r="C420" s="116"/>
      <c r="D420" s="74"/>
      <c r="E420" s="75"/>
      <c r="F420" s="71"/>
      <c r="G420" s="71"/>
      <c r="H420" s="80"/>
    </row>
    <row r="421" spans="1:11" ht="15">
      <c r="A421" s="67" t="s">
        <v>12</v>
      </c>
      <c r="B421" s="145" t="s">
        <v>232</v>
      </c>
      <c r="C421" s="116"/>
      <c r="D421" s="74"/>
      <c r="E421" s="75"/>
      <c r="F421" s="71"/>
      <c r="G421" s="71"/>
      <c r="H421" s="80"/>
    </row>
    <row r="422" spans="1:11" ht="15">
      <c r="A422" s="142"/>
      <c r="B422" s="165" t="s">
        <v>233</v>
      </c>
      <c r="C422" s="116" t="s">
        <v>16</v>
      </c>
      <c r="D422" s="74">
        <v>1</v>
      </c>
      <c r="E422" s="679">
        <v>13110</v>
      </c>
      <c r="F422" s="680"/>
      <c r="G422" s="71"/>
      <c r="H422" s="123">
        <f>D422*E422</f>
        <v>13110</v>
      </c>
      <c r="I422" s="57">
        <f>K423</f>
        <v>12528.860059999999</v>
      </c>
      <c r="K422" s="57">
        <f>121.205*106.132</f>
        <v>12863.72906</v>
      </c>
    </row>
    <row r="423" spans="1:11" ht="15">
      <c r="A423" s="142"/>
      <c r="B423" s="165" t="s">
        <v>234</v>
      </c>
      <c r="C423" s="116" t="s">
        <v>16</v>
      </c>
      <c r="D423" s="74">
        <v>2</v>
      </c>
      <c r="E423" s="679">
        <v>268.39999999999998</v>
      </c>
      <c r="F423" s="680"/>
      <c r="G423" s="71"/>
      <c r="H423" s="123">
        <f>D423*E423</f>
        <v>536.79999999999995</v>
      </c>
      <c r="I423" s="57">
        <v>272.79000000000002</v>
      </c>
      <c r="K423" s="57">
        <f>+K422-334.869</f>
        <v>12528.860059999999</v>
      </c>
    </row>
    <row r="424" spans="1:11" ht="15">
      <c r="A424" s="142"/>
      <c r="B424" s="164"/>
      <c r="C424" s="116"/>
      <c r="D424" s="74"/>
      <c r="E424" s="75"/>
      <c r="F424" s="677" t="s">
        <v>65</v>
      </c>
      <c r="G424" s="677"/>
      <c r="H424" s="80">
        <f>ROUND(SUM(H421:H423),0)</f>
        <v>13647</v>
      </c>
    </row>
    <row r="425" spans="1:11" ht="15">
      <c r="A425" s="142"/>
      <c r="B425" s="164"/>
      <c r="C425" s="116"/>
      <c r="D425" s="74"/>
      <c r="E425" s="75"/>
      <c r="F425" s="71"/>
      <c r="G425" s="71"/>
      <c r="H425" s="80"/>
    </row>
    <row r="426" spans="1:11" ht="15">
      <c r="A426" s="67" t="s">
        <v>13</v>
      </c>
      <c r="B426" s="145" t="s">
        <v>235</v>
      </c>
      <c r="C426" s="116"/>
      <c r="D426" s="74"/>
      <c r="E426" s="75"/>
      <c r="F426" s="71"/>
      <c r="G426" s="71"/>
      <c r="H426" s="80"/>
    </row>
    <row r="427" spans="1:11" ht="15">
      <c r="A427" s="142"/>
      <c r="B427" s="157" t="s">
        <v>208</v>
      </c>
      <c r="C427" s="116" t="s">
        <v>16</v>
      </c>
      <c r="D427" s="84">
        <f>1*2</f>
        <v>2</v>
      </c>
      <c r="E427" s="85">
        <f>17.4-3.3</f>
        <v>14.099999999999998</v>
      </c>
      <c r="F427" s="71"/>
      <c r="G427" s="133">
        <v>2.4</v>
      </c>
      <c r="H427" s="78">
        <f>D427*E427*G427</f>
        <v>67.679999999999993</v>
      </c>
    </row>
    <row r="428" spans="1:11" ht="15">
      <c r="A428" s="142"/>
      <c r="B428" s="164" t="s">
        <v>236</v>
      </c>
      <c r="C428" s="116" t="s">
        <v>16</v>
      </c>
      <c r="D428" s="84">
        <f>-1*2</f>
        <v>-2</v>
      </c>
      <c r="E428" s="85">
        <v>1</v>
      </c>
      <c r="F428" s="71"/>
      <c r="G428" s="133">
        <v>2.1</v>
      </c>
      <c r="H428" s="78">
        <f>D428*E428*G428</f>
        <v>-4.2</v>
      </c>
    </row>
    <row r="429" spans="1:11" ht="15">
      <c r="A429" s="142"/>
      <c r="B429" s="164" t="s">
        <v>237</v>
      </c>
      <c r="C429" s="116" t="s">
        <v>16</v>
      </c>
      <c r="D429" s="84">
        <f>4*2</f>
        <v>8</v>
      </c>
      <c r="E429" s="85">
        <v>1.5</v>
      </c>
      <c r="F429" s="71"/>
      <c r="G429" s="133">
        <v>2.4</v>
      </c>
      <c r="H429" s="78">
        <f>D429*E429*G429</f>
        <v>28.799999999999997</v>
      </c>
    </row>
    <row r="430" spans="1:11" ht="15">
      <c r="A430" s="142"/>
      <c r="B430" s="164"/>
      <c r="C430" s="116" t="s">
        <v>16</v>
      </c>
      <c r="D430" s="84">
        <f>2*2</f>
        <v>4</v>
      </c>
      <c r="E430" s="85">
        <v>3.2</v>
      </c>
      <c r="F430" s="71"/>
      <c r="G430" s="133">
        <v>2.4</v>
      </c>
      <c r="H430" s="78">
        <f>D430*E430*G430</f>
        <v>30.72</v>
      </c>
    </row>
    <row r="431" spans="1:11" ht="15">
      <c r="A431" s="142"/>
      <c r="B431" s="164" t="s">
        <v>236</v>
      </c>
      <c r="C431" s="116" t="s">
        <v>16</v>
      </c>
      <c r="D431" s="84">
        <f>-3*2</f>
        <v>-6</v>
      </c>
      <c r="E431" s="85">
        <v>0.75</v>
      </c>
      <c r="F431" s="71"/>
      <c r="G431" s="133">
        <v>2.1</v>
      </c>
      <c r="H431" s="78">
        <f>D431*E431*G431</f>
        <v>-9.4500000000000011</v>
      </c>
    </row>
    <row r="432" spans="1:11" ht="15">
      <c r="A432" s="142"/>
      <c r="B432" s="164"/>
      <c r="C432" s="116"/>
      <c r="D432" s="84"/>
      <c r="E432" s="85"/>
      <c r="F432" s="677" t="s">
        <v>65</v>
      </c>
      <c r="G432" s="677"/>
      <c r="H432" s="80">
        <f>ROUND(SUM(H426:H431),0)</f>
        <v>114</v>
      </c>
      <c r="I432" s="57">
        <v>85.83</v>
      </c>
    </row>
    <row r="433" spans="1:9" ht="15">
      <c r="A433" s="142"/>
      <c r="B433" s="164"/>
      <c r="C433" s="116"/>
      <c r="D433" s="84"/>
      <c r="E433" s="85"/>
      <c r="F433" s="71"/>
      <c r="G433" s="71"/>
      <c r="H433" s="80"/>
    </row>
    <row r="434" spans="1:9" ht="15">
      <c r="A434" s="142"/>
      <c r="B434" s="157" t="s">
        <v>219</v>
      </c>
      <c r="C434" s="116" t="s">
        <v>16</v>
      </c>
      <c r="D434" s="84">
        <f>1*2</f>
        <v>2</v>
      </c>
      <c r="E434" s="85">
        <v>34.4</v>
      </c>
      <c r="F434" s="71"/>
      <c r="G434" s="133">
        <v>2.4</v>
      </c>
      <c r="H434" s="78">
        <f t="shared" ref="H434:H439" si="61">D434*E434*G434</f>
        <v>165.11999999999998</v>
      </c>
    </row>
    <row r="435" spans="1:9" ht="15">
      <c r="A435" s="142"/>
      <c r="B435" s="164" t="s">
        <v>236</v>
      </c>
      <c r="C435" s="116" t="s">
        <v>16</v>
      </c>
      <c r="D435" s="84">
        <f>-1*2</f>
        <v>-2</v>
      </c>
      <c r="E435" s="85">
        <v>1</v>
      </c>
      <c r="F435" s="71"/>
      <c r="G435" s="133">
        <v>2.1</v>
      </c>
      <c r="H435" s="78">
        <f t="shared" si="61"/>
        <v>-4.2</v>
      </c>
    </row>
    <row r="436" spans="1:9" ht="15">
      <c r="A436" s="142"/>
      <c r="B436" s="164" t="s">
        <v>239</v>
      </c>
      <c r="C436" s="116" t="s">
        <v>16</v>
      </c>
      <c r="D436" s="84">
        <f>2*2</f>
        <v>4</v>
      </c>
      <c r="E436" s="85">
        <v>5.5</v>
      </c>
      <c r="F436" s="71"/>
      <c r="G436" s="133">
        <v>2.4</v>
      </c>
      <c r="H436" s="78">
        <f t="shared" si="61"/>
        <v>52.8</v>
      </c>
    </row>
    <row r="437" spans="1:9" ht="15">
      <c r="A437" s="142"/>
      <c r="B437" s="164" t="s">
        <v>236</v>
      </c>
      <c r="C437" s="116" t="s">
        <v>16</v>
      </c>
      <c r="D437" s="84">
        <f>-5*2</f>
        <v>-10</v>
      </c>
      <c r="E437" s="85">
        <v>0.75</v>
      </c>
      <c r="F437" s="71"/>
      <c r="G437" s="133">
        <v>2.1</v>
      </c>
      <c r="H437" s="78">
        <f t="shared" si="61"/>
        <v>-15.75</v>
      </c>
    </row>
    <row r="438" spans="1:9" ht="15">
      <c r="A438" s="142"/>
      <c r="B438" s="164" t="s">
        <v>237</v>
      </c>
      <c r="C438" s="116" t="s">
        <v>16</v>
      </c>
      <c r="D438" s="84">
        <f>5*2</f>
        <v>10</v>
      </c>
      <c r="E438" s="85">
        <v>1.8</v>
      </c>
      <c r="F438" s="71"/>
      <c r="G438" s="133">
        <v>2.4</v>
      </c>
      <c r="H438" s="78">
        <f t="shared" si="61"/>
        <v>43.199999999999996</v>
      </c>
    </row>
    <row r="439" spans="1:9" ht="15">
      <c r="A439" s="142"/>
      <c r="B439" s="164" t="s">
        <v>238</v>
      </c>
      <c r="C439" s="116" t="s">
        <v>16</v>
      </c>
      <c r="D439" s="84">
        <f>3*2</f>
        <v>6</v>
      </c>
      <c r="E439" s="85">
        <v>1.8</v>
      </c>
      <c r="F439" s="71"/>
      <c r="G439" s="133">
        <v>2.4</v>
      </c>
      <c r="H439" s="78">
        <f t="shared" si="61"/>
        <v>25.92</v>
      </c>
    </row>
    <row r="440" spans="1:9" ht="15">
      <c r="A440" s="142"/>
      <c r="B440" s="164"/>
      <c r="C440" s="116"/>
      <c r="D440" s="74"/>
      <c r="E440" s="75"/>
      <c r="F440" s="677" t="s">
        <v>65</v>
      </c>
      <c r="G440" s="677"/>
      <c r="H440" s="80">
        <f>ROUND(SUM(H434:H439),0)</f>
        <v>267</v>
      </c>
      <c r="I440" s="57">
        <v>144.65</v>
      </c>
    </row>
    <row r="441" spans="1:9" ht="15">
      <c r="A441" s="142"/>
      <c r="B441" s="164"/>
      <c r="C441" s="116"/>
      <c r="D441" s="74"/>
      <c r="E441" s="75"/>
      <c r="F441" s="71"/>
      <c r="G441" s="71"/>
      <c r="H441" s="80"/>
    </row>
    <row r="442" spans="1:9" ht="15">
      <c r="A442" s="105">
        <v>23</v>
      </c>
      <c r="B442" s="157" t="s">
        <v>62</v>
      </c>
      <c r="C442" s="116"/>
      <c r="D442" s="74"/>
      <c r="E442" s="75"/>
      <c r="F442" s="71"/>
      <c r="G442" s="71"/>
      <c r="H442" s="80"/>
    </row>
    <row r="443" spans="1:9" ht="15">
      <c r="A443" s="67" t="s">
        <v>10</v>
      </c>
      <c r="B443" s="166" t="s">
        <v>240</v>
      </c>
      <c r="C443" s="116"/>
      <c r="D443" s="74"/>
      <c r="E443" s="75"/>
      <c r="F443" s="71"/>
      <c r="G443" s="71"/>
      <c r="H443" s="80"/>
    </row>
    <row r="444" spans="1:9" ht="15">
      <c r="A444" s="142"/>
      <c r="B444" s="167" t="s">
        <v>357</v>
      </c>
      <c r="C444" s="116" t="s">
        <v>30</v>
      </c>
      <c r="D444" s="74">
        <f>5+1+3+2</f>
        <v>11</v>
      </c>
      <c r="E444" s="75"/>
      <c r="F444" s="71"/>
      <c r="G444" s="71"/>
      <c r="H444" s="78">
        <f>D444</f>
        <v>11</v>
      </c>
    </row>
    <row r="445" spans="1:9" ht="15">
      <c r="A445" s="142"/>
      <c r="B445" s="164"/>
      <c r="C445" s="116"/>
      <c r="D445" s="74"/>
      <c r="E445" s="75"/>
      <c r="F445" s="71"/>
      <c r="G445" s="71"/>
      <c r="H445" s="80"/>
    </row>
    <row r="446" spans="1:9" ht="15">
      <c r="A446" s="67" t="s">
        <v>12</v>
      </c>
      <c r="B446" s="166" t="s">
        <v>241</v>
      </c>
      <c r="C446" s="116"/>
      <c r="D446" s="74"/>
      <c r="E446" s="75"/>
      <c r="F446" s="71"/>
      <c r="G446" s="71"/>
      <c r="H446" s="80"/>
    </row>
    <row r="447" spans="1:9" ht="15">
      <c r="A447" s="142"/>
      <c r="B447" s="164" t="s">
        <v>340</v>
      </c>
      <c r="C447" s="116" t="s">
        <v>30</v>
      </c>
      <c r="D447" s="74">
        <v>2</v>
      </c>
      <c r="E447" s="75"/>
      <c r="F447" s="71"/>
      <c r="G447" s="71"/>
      <c r="H447" s="78">
        <f>D447</f>
        <v>2</v>
      </c>
    </row>
    <row r="448" spans="1:9" ht="15">
      <c r="A448" s="142"/>
      <c r="B448" s="164" t="s">
        <v>341</v>
      </c>
      <c r="C448" s="116" t="s">
        <v>30</v>
      </c>
      <c r="D448" s="74">
        <v>8</v>
      </c>
      <c r="E448" s="75"/>
      <c r="F448" s="71"/>
      <c r="G448" s="71"/>
      <c r="H448" s="78">
        <f>D448</f>
        <v>8</v>
      </c>
    </row>
    <row r="449" spans="1:8" ht="15">
      <c r="A449" s="142"/>
      <c r="B449" s="164"/>
      <c r="C449" s="116"/>
      <c r="D449" s="74"/>
      <c r="E449" s="75"/>
      <c r="F449" s="71"/>
      <c r="G449" s="71"/>
      <c r="H449" s="80"/>
    </row>
    <row r="450" spans="1:8" ht="15">
      <c r="A450" s="67" t="s">
        <v>13</v>
      </c>
      <c r="B450" s="166" t="s">
        <v>66</v>
      </c>
      <c r="C450" s="116"/>
      <c r="D450" s="74"/>
      <c r="E450" s="75"/>
      <c r="F450" s="71"/>
      <c r="G450" s="71"/>
      <c r="H450" s="80"/>
    </row>
    <row r="451" spans="1:8" ht="15">
      <c r="A451" s="142"/>
      <c r="B451" s="164" t="s">
        <v>342</v>
      </c>
      <c r="C451" s="116" t="s">
        <v>30</v>
      </c>
      <c r="D451" s="74">
        <v>1</v>
      </c>
      <c r="E451" s="75"/>
      <c r="F451" s="71"/>
      <c r="G451" s="71"/>
      <c r="H451" s="78">
        <f>D451</f>
        <v>1</v>
      </c>
    </row>
    <row r="452" spans="1:8" ht="15">
      <c r="A452" s="142"/>
      <c r="B452" s="164"/>
      <c r="C452" s="116"/>
      <c r="D452" s="74"/>
      <c r="E452" s="75"/>
      <c r="F452" s="71"/>
      <c r="G452" s="71"/>
      <c r="H452" s="80"/>
    </row>
    <row r="453" spans="1:8" ht="15">
      <c r="A453" s="67" t="s">
        <v>36</v>
      </c>
      <c r="B453" s="166" t="s">
        <v>242</v>
      </c>
      <c r="C453" s="116"/>
      <c r="D453" s="74"/>
      <c r="E453" s="75"/>
      <c r="F453" s="71"/>
      <c r="G453" s="71"/>
      <c r="H453" s="80"/>
    </row>
    <row r="454" spans="1:8" ht="15">
      <c r="A454" s="142"/>
      <c r="B454" s="164" t="s">
        <v>343</v>
      </c>
      <c r="C454" s="116" t="s">
        <v>30</v>
      </c>
      <c r="D454" s="74">
        <v>1</v>
      </c>
      <c r="E454" s="75"/>
      <c r="F454" s="71"/>
      <c r="G454" s="71"/>
      <c r="H454" s="78">
        <f>D454</f>
        <v>1</v>
      </c>
    </row>
    <row r="455" spans="1:8" ht="15">
      <c r="A455" s="142"/>
      <c r="B455" s="164"/>
      <c r="C455" s="116"/>
      <c r="D455" s="74"/>
      <c r="E455" s="75"/>
      <c r="F455" s="71"/>
      <c r="G455" s="71"/>
      <c r="H455" s="80"/>
    </row>
    <row r="456" spans="1:8" ht="15">
      <c r="A456" s="67" t="s">
        <v>42</v>
      </c>
      <c r="B456" s="166" t="s">
        <v>243</v>
      </c>
      <c r="C456" s="116"/>
      <c r="D456" s="74"/>
      <c r="E456" s="75"/>
      <c r="F456" s="71"/>
      <c r="G456" s="71"/>
      <c r="H456" s="80"/>
    </row>
    <row r="457" spans="1:8" ht="15">
      <c r="A457" s="142"/>
      <c r="B457" s="167" t="s">
        <v>244</v>
      </c>
      <c r="C457" s="116" t="s">
        <v>30</v>
      </c>
      <c r="D457" s="74">
        <v>20</v>
      </c>
      <c r="E457" s="75"/>
      <c r="F457" s="71"/>
      <c r="G457" s="71"/>
      <c r="H457" s="78">
        <f>D457</f>
        <v>20</v>
      </c>
    </row>
    <row r="458" spans="1:8" ht="15">
      <c r="A458" s="142"/>
      <c r="B458" s="167" t="s">
        <v>358</v>
      </c>
      <c r="C458" s="116" t="s">
        <v>30</v>
      </c>
      <c r="D458" s="74">
        <v>1</v>
      </c>
      <c r="E458" s="75"/>
      <c r="F458" s="71"/>
      <c r="G458" s="71"/>
      <c r="H458" s="78">
        <f>D458</f>
        <v>1</v>
      </c>
    </row>
    <row r="459" spans="1:8" ht="15">
      <c r="A459" s="142"/>
      <c r="B459" s="164"/>
      <c r="C459" s="116"/>
      <c r="D459" s="74"/>
      <c r="E459" s="75"/>
      <c r="F459" s="71"/>
      <c r="G459" s="71"/>
      <c r="H459" s="78"/>
    </row>
    <row r="460" spans="1:8" ht="15">
      <c r="A460" s="105">
        <v>24</v>
      </c>
      <c r="B460" s="157" t="s">
        <v>245</v>
      </c>
      <c r="C460" s="116"/>
      <c r="D460" s="74"/>
      <c r="E460" s="75"/>
      <c r="F460" s="71"/>
      <c r="G460" s="71"/>
      <c r="H460" s="78"/>
    </row>
    <row r="461" spans="1:8" ht="15">
      <c r="A461" s="142"/>
      <c r="B461" s="164" t="s">
        <v>246</v>
      </c>
      <c r="C461" s="116" t="s">
        <v>27</v>
      </c>
      <c r="D461" s="74">
        <v>3</v>
      </c>
      <c r="E461" s="75">
        <f>3.315+1.35</f>
        <v>4.665</v>
      </c>
      <c r="F461" s="71"/>
      <c r="G461" s="71"/>
      <c r="H461" s="78">
        <f>D461*E461</f>
        <v>13.995000000000001</v>
      </c>
    </row>
    <row r="462" spans="1:8" ht="15">
      <c r="A462" s="142"/>
      <c r="B462" s="164" t="s">
        <v>247</v>
      </c>
      <c r="C462" s="116" t="s">
        <v>27</v>
      </c>
      <c r="D462" s="74">
        <v>3</v>
      </c>
      <c r="E462" s="75">
        <f>3.315+1.35</f>
        <v>4.665</v>
      </c>
      <c r="F462" s="71"/>
      <c r="G462" s="71"/>
      <c r="H462" s="78">
        <f>D462*E462</f>
        <v>13.995000000000001</v>
      </c>
    </row>
    <row r="463" spans="1:8" ht="15">
      <c r="A463" s="142"/>
      <c r="B463" s="164" t="s">
        <v>248</v>
      </c>
      <c r="C463" s="116" t="s">
        <v>27</v>
      </c>
      <c r="D463" s="74">
        <v>4</v>
      </c>
      <c r="E463" s="75">
        <f>3.205*2</f>
        <v>6.41</v>
      </c>
      <c r="F463" s="71"/>
      <c r="G463" s="71"/>
      <c r="H463" s="78">
        <f>D463*E463</f>
        <v>25.64</v>
      </c>
    </row>
    <row r="464" spans="1:8" ht="15">
      <c r="A464" s="142"/>
      <c r="B464" s="164" t="s">
        <v>249</v>
      </c>
      <c r="C464" s="116" t="s">
        <v>27</v>
      </c>
      <c r="D464" s="74">
        <v>3</v>
      </c>
      <c r="E464" s="75">
        <f>3.315+1.35</f>
        <v>4.665</v>
      </c>
      <c r="F464" s="71"/>
      <c r="G464" s="71"/>
      <c r="H464" s="78">
        <f>D464*E464</f>
        <v>13.995000000000001</v>
      </c>
    </row>
    <row r="465" spans="1:8" ht="15">
      <c r="A465" s="142"/>
      <c r="B465" s="164"/>
      <c r="C465" s="116"/>
      <c r="D465" s="74"/>
      <c r="E465" s="75"/>
      <c r="F465" s="677" t="s">
        <v>65</v>
      </c>
      <c r="G465" s="677"/>
      <c r="H465" s="80">
        <f>ROUND(SUM(H460:H464),0)</f>
        <v>68</v>
      </c>
    </row>
    <row r="467" spans="1:8" ht="15">
      <c r="A467" s="105">
        <v>25</v>
      </c>
      <c r="B467" s="157" t="s">
        <v>250</v>
      </c>
      <c r="C467" s="116" t="s">
        <v>63</v>
      </c>
      <c r="D467" s="74">
        <v>8</v>
      </c>
      <c r="E467" s="75"/>
      <c r="F467" s="71"/>
      <c r="G467" s="71"/>
      <c r="H467" s="80">
        <f>D467</f>
        <v>8</v>
      </c>
    </row>
    <row r="469" spans="1:8" ht="15">
      <c r="A469" s="142">
        <v>26</v>
      </c>
      <c r="B469" s="157" t="s">
        <v>251</v>
      </c>
      <c r="C469" s="116" t="s">
        <v>63</v>
      </c>
      <c r="D469" s="74">
        <f>2*(D457+D458)</f>
        <v>42</v>
      </c>
      <c r="E469" s="75"/>
      <c r="F469" s="71"/>
      <c r="G469" s="71"/>
      <c r="H469" s="80">
        <f>D469</f>
        <v>42</v>
      </c>
    </row>
    <row r="470" spans="1:8" ht="15">
      <c r="A470" s="168"/>
      <c r="B470" s="169"/>
      <c r="C470" s="170"/>
      <c r="D470" s="171"/>
      <c r="E470" s="172"/>
      <c r="F470" s="173"/>
      <c r="G470" s="173"/>
      <c r="H470" s="174"/>
    </row>
    <row r="471" spans="1:8" ht="15">
      <c r="A471" s="142">
        <v>27</v>
      </c>
      <c r="B471" s="157" t="s">
        <v>252</v>
      </c>
      <c r="C471" s="116" t="s">
        <v>63</v>
      </c>
      <c r="D471" s="74">
        <f>D469</f>
        <v>42</v>
      </c>
      <c r="E471" s="75"/>
      <c r="F471" s="71"/>
      <c r="G471" s="71"/>
      <c r="H471" s="80">
        <f>D471</f>
        <v>42</v>
      </c>
    </row>
    <row r="472" spans="1:8" ht="15">
      <c r="A472" s="168"/>
      <c r="B472" s="169"/>
      <c r="C472" s="170"/>
      <c r="D472" s="171"/>
      <c r="E472" s="172"/>
      <c r="F472" s="173"/>
      <c r="G472" s="173"/>
      <c r="H472" s="174"/>
    </row>
    <row r="473" spans="1:8">
      <c r="A473" s="175"/>
      <c r="B473" s="176" t="s">
        <v>70</v>
      </c>
      <c r="C473" s="175"/>
      <c r="D473" s="175"/>
      <c r="E473" s="175"/>
      <c r="F473" s="175"/>
      <c r="G473" s="175"/>
      <c r="H473" s="175"/>
    </row>
    <row r="474" spans="1:8">
      <c r="A474" s="105">
        <v>26</v>
      </c>
      <c r="B474" s="176" t="s">
        <v>72</v>
      </c>
      <c r="C474" s="175"/>
      <c r="D474" s="175"/>
      <c r="E474" s="175"/>
      <c r="F474" s="175"/>
      <c r="G474" s="175"/>
      <c r="H474" s="175"/>
    </row>
    <row r="475" spans="1:8" ht="15">
      <c r="A475" s="100" t="s">
        <v>50</v>
      </c>
      <c r="B475" s="158" t="s">
        <v>253</v>
      </c>
      <c r="C475" s="142" t="s">
        <v>63</v>
      </c>
      <c r="D475" s="74">
        <f>5*2</f>
        <v>10</v>
      </c>
      <c r="E475" s="175"/>
      <c r="F475" s="175"/>
      <c r="G475" s="175"/>
      <c r="H475" s="78">
        <f>D475</f>
        <v>10</v>
      </c>
    </row>
    <row r="476" spans="1:8">
      <c r="A476" s="175"/>
      <c r="B476" s="177"/>
      <c r="C476" s="142"/>
      <c r="D476" s="175"/>
      <c r="E476" s="175"/>
      <c r="F476" s="175"/>
      <c r="G476" s="175"/>
      <c r="H476" s="175"/>
    </row>
    <row r="477" spans="1:8" ht="15">
      <c r="A477" s="100" t="s">
        <v>254</v>
      </c>
      <c r="B477" s="158" t="s">
        <v>255</v>
      </c>
      <c r="C477" s="142" t="s">
        <v>63</v>
      </c>
      <c r="D477" s="74">
        <f>3*2</f>
        <v>6</v>
      </c>
      <c r="E477" s="175"/>
      <c r="F477" s="175"/>
      <c r="G477" s="175"/>
      <c r="H477" s="78">
        <f>D477</f>
        <v>6</v>
      </c>
    </row>
    <row r="478" spans="1:8">
      <c r="A478" s="175"/>
      <c r="B478" s="177"/>
      <c r="C478" s="175"/>
      <c r="D478" s="175"/>
      <c r="E478" s="175"/>
      <c r="F478" s="175"/>
      <c r="G478" s="175"/>
      <c r="H478" s="175"/>
    </row>
    <row r="479" spans="1:8" ht="15">
      <c r="A479" s="100" t="s">
        <v>256</v>
      </c>
      <c r="B479" s="158" t="s">
        <v>257</v>
      </c>
      <c r="C479" s="142" t="s">
        <v>63</v>
      </c>
      <c r="D479" s="74">
        <f>9*2</f>
        <v>18</v>
      </c>
      <c r="E479" s="175"/>
      <c r="F479" s="175"/>
      <c r="G479" s="175"/>
      <c r="H479" s="78">
        <f>D479</f>
        <v>18</v>
      </c>
    </row>
    <row r="480" spans="1:8">
      <c r="A480" s="175"/>
      <c r="B480" s="177"/>
      <c r="C480" s="175"/>
      <c r="D480" s="175"/>
      <c r="E480" s="175"/>
      <c r="F480" s="175"/>
      <c r="G480" s="175"/>
      <c r="H480" s="175"/>
    </row>
    <row r="481" spans="1:8" ht="15">
      <c r="A481" s="100" t="s">
        <v>258</v>
      </c>
      <c r="B481" s="158" t="s">
        <v>259</v>
      </c>
      <c r="C481" s="142" t="s">
        <v>63</v>
      </c>
      <c r="D481" s="74">
        <f>8*2</f>
        <v>16</v>
      </c>
      <c r="E481" s="175"/>
      <c r="F481" s="175"/>
      <c r="G481" s="175"/>
      <c r="H481" s="78">
        <f>D481</f>
        <v>16</v>
      </c>
    </row>
    <row r="482" spans="1:8">
      <c r="A482" s="175"/>
      <c r="B482" s="177"/>
      <c r="C482" s="175"/>
      <c r="D482" s="175"/>
      <c r="E482" s="175"/>
      <c r="F482" s="175"/>
      <c r="G482" s="175"/>
      <c r="H482" s="175"/>
    </row>
    <row r="483" spans="1:8" ht="15">
      <c r="A483" s="100" t="s">
        <v>260</v>
      </c>
      <c r="B483" s="158" t="s">
        <v>261</v>
      </c>
      <c r="C483" s="142" t="s">
        <v>63</v>
      </c>
      <c r="D483" s="74">
        <f>7*2</f>
        <v>14</v>
      </c>
      <c r="E483" s="175"/>
      <c r="F483" s="175"/>
      <c r="G483" s="175"/>
      <c r="H483" s="78">
        <f>D483</f>
        <v>14</v>
      </c>
    </row>
    <row r="484" spans="1:8">
      <c r="A484" s="175"/>
      <c r="B484" s="177"/>
      <c r="C484" s="175"/>
      <c r="D484" s="175"/>
      <c r="E484" s="175"/>
      <c r="F484" s="175"/>
      <c r="G484" s="175"/>
      <c r="H484" s="175"/>
    </row>
    <row r="485" spans="1:8" ht="15">
      <c r="A485" s="100" t="s">
        <v>262</v>
      </c>
      <c r="B485" s="158" t="s">
        <v>263</v>
      </c>
      <c r="C485" s="142" t="s">
        <v>63</v>
      </c>
      <c r="D485" s="74">
        <f>8*2</f>
        <v>16</v>
      </c>
      <c r="E485" s="175"/>
      <c r="F485" s="175"/>
      <c r="G485" s="175"/>
      <c r="H485" s="78">
        <f>D485</f>
        <v>16</v>
      </c>
    </row>
    <row r="486" spans="1:8">
      <c r="A486" s="175"/>
      <c r="B486" s="177"/>
      <c r="C486" s="175"/>
      <c r="D486" s="175"/>
      <c r="E486" s="175"/>
      <c r="F486" s="175"/>
      <c r="G486" s="175"/>
      <c r="H486" s="175"/>
    </row>
    <row r="487" spans="1:8">
      <c r="A487" s="100" t="s">
        <v>264</v>
      </c>
      <c r="B487" s="177" t="s">
        <v>265</v>
      </c>
      <c r="C487" s="175"/>
      <c r="D487" s="175"/>
      <c r="E487" s="175"/>
      <c r="F487" s="175"/>
      <c r="G487" s="175"/>
      <c r="H487" s="175"/>
    </row>
    <row r="488" spans="1:8" ht="15">
      <c r="A488" s="142" t="s">
        <v>10</v>
      </c>
      <c r="B488" s="158" t="s">
        <v>266</v>
      </c>
      <c r="C488" s="142" t="s">
        <v>63</v>
      </c>
      <c r="D488" s="74">
        <f>1*2</f>
        <v>2</v>
      </c>
      <c r="E488" s="175"/>
      <c r="F488" s="175"/>
      <c r="G488" s="175"/>
      <c r="H488" s="78">
        <f>D488</f>
        <v>2</v>
      </c>
    </row>
    <row r="489" spans="1:8" ht="15">
      <c r="A489" s="100" t="s">
        <v>12</v>
      </c>
      <c r="B489" s="158" t="s">
        <v>267</v>
      </c>
      <c r="C489" s="142" t="s">
        <v>63</v>
      </c>
      <c r="D489" s="74">
        <f>1*2</f>
        <v>2</v>
      </c>
      <c r="E489" s="175"/>
      <c r="F489" s="175"/>
      <c r="G489" s="175"/>
      <c r="H489" s="78">
        <f>D489</f>
        <v>2</v>
      </c>
    </row>
    <row r="490" spans="1:8">
      <c r="A490" s="175"/>
      <c r="B490" s="177"/>
      <c r="C490" s="175"/>
      <c r="D490" s="175"/>
      <c r="E490" s="175"/>
      <c r="F490" s="175"/>
      <c r="G490" s="175"/>
      <c r="H490" s="175"/>
    </row>
    <row r="491" spans="1:8" ht="15">
      <c r="A491" s="100" t="s">
        <v>268</v>
      </c>
      <c r="B491" s="158" t="s">
        <v>269</v>
      </c>
      <c r="C491" s="142" t="s">
        <v>63</v>
      </c>
      <c r="D491" s="74">
        <f>2*2</f>
        <v>4</v>
      </c>
      <c r="E491" s="175"/>
      <c r="F491" s="175"/>
      <c r="G491" s="175"/>
      <c r="H491" s="78">
        <f>D491</f>
        <v>4</v>
      </c>
    </row>
    <row r="492" spans="1:8">
      <c r="A492" s="175"/>
      <c r="B492" s="177"/>
      <c r="C492" s="175"/>
      <c r="D492" s="175"/>
      <c r="E492" s="175"/>
      <c r="F492" s="175"/>
      <c r="G492" s="175"/>
      <c r="H492" s="175"/>
    </row>
    <row r="493" spans="1:8" ht="15">
      <c r="A493" s="100" t="s">
        <v>270</v>
      </c>
      <c r="B493" s="158" t="s">
        <v>271</v>
      </c>
      <c r="C493" s="142" t="s">
        <v>63</v>
      </c>
      <c r="D493" s="74">
        <f>3*2</f>
        <v>6</v>
      </c>
      <c r="E493" s="175"/>
      <c r="F493" s="175"/>
      <c r="G493" s="175"/>
      <c r="H493" s="78">
        <f>D493</f>
        <v>6</v>
      </c>
    </row>
    <row r="494" spans="1:8">
      <c r="A494" s="175"/>
      <c r="B494" s="177"/>
      <c r="C494" s="175"/>
      <c r="D494" s="175"/>
      <c r="E494" s="175"/>
      <c r="F494" s="175"/>
      <c r="G494" s="175"/>
      <c r="H494" s="175"/>
    </row>
    <row r="495" spans="1:8" ht="15">
      <c r="A495" s="100" t="s">
        <v>272</v>
      </c>
      <c r="B495" s="158" t="s">
        <v>273</v>
      </c>
      <c r="C495" s="142" t="s">
        <v>63</v>
      </c>
      <c r="D495" s="74">
        <f>7*2</f>
        <v>14</v>
      </c>
      <c r="E495" s="175"/>
      <c r="F495" s="175"/>
      <c r="G495" s="175"/>
      <c r="H495" s="78">
        <f>D495</f>
        <v>14</v>
      </c>
    </row>
    <row r="496" spans="1:8">
      <c r="A496" s="175"/>
      <c r="B496" s="177"/>
      <c r="C496" s="175"/>
      <c r="D496" s="175"/>
      <c r="E496" s="175"/>
      <c r="F496" s="175"/>
      <c r="G496" s="175"/>
      <c r="H496" s="175"/>
    </row>
    <row r="497" spans="1:8" ht="15">
      <c r="A497" s="100" t="s">
        <v>274</v>
      </c>
      <c r="B497" s="158" t="s">
        <v>275</v>
      </c>
      <c r="C497" s="142" t="s">
        <v>63</v>
      </c>
      <c r="D497" s="74">
        <f>7*2</f>
        <v>14</v>
      </c>
      <c r="E497" s="175"/>
      <c r="F497" s="175"/>
      <c r="G497" s="175"/>
      <c r="H497" s="78">
        <f>D497</f>
        <v>14</v>
      </c>
    </row>
    <row r="498" spans="1:8">
      <c r="A498" s="175"/>
      <c r="B498" s="177"/>
      <c r="C498" s="175"/>
      <c r="D498" s="175"/>
      <c r="E498" s="175"/>
      <c r="F498" s="175"/>
      <c r="G498" s="175"/>
      <c r="H498" s="175"/>
    </row>
    <row r="499" spans="1:8" ht="15">
      <c r="A499" s="100" t="s">
        <v>276</v>
      </c>
      <c r="B499" s="158" t="s">
        <v>277</v>
      </c>
      <c r="C499" s="100" t="s">
        <v>63</v>
      </c>
      <c r="D499" s="74">
        <f>2*2</f>
        <v>4</v>
      </c>
      <c r="E499" s="177"/>
      <c r="F499" s="177"/>
      <c r="G499" s="177"/>
      <c r="H499" s="78">
        <f>D499</f>
        <v>4</v>
      </c>
    </row>
    <row r="500" spans="1:8">
      <c r="A500" s="175"/>
      <c r="B500" s="177"/>
      <c r="C500" s="175"/>
      <c r="D500" s="175"/>
      <c r="E500" s="175"/>
      <c r="F500" s="175"/>
      <c r="G500" s="175"/>
      <c r="H500" s="175"/>
    </row>
    <row r="501" spans="1:8">
      <c r="A501" s="105">
        <v>27</v>
      </c>
      <c r="B501" s="176" t="s">
        <v>278</v>
      </c>
      <c r="C501" s="175"/>
      <c r="D501" s="175"/>
      <c r="E501" s="175"/>
      <c r="F501" s="175"/>
      <c r="G501" s="175"/>
      <c r="H501" s="175"/>
    </row>
    <row r="502" spans="1:8">
      <c r="A502" s="175"/>
      <c r="B502" s="177"/>
      <c r="C502" s="175"/>
      <c r="D502" s="175"/>
      <c r="E502" s="175"/>
      <c r="F502" s="175"/>
      <c r="G502" s="175"/>
      <c r="H502" s="175"/>
    </row>
    <row r="503" spans="1:8" ht="15">
      <c r="A503" s="100" t="s">
        <v>50</v>
      </c>
      <c r="B503" s="158" t="s">
        <v>279</v>
      </c>
      <c r="C503" s="142" t="s">
        <v>27</v>
      </c>
      <c r="D503" s="74">
        <f>6*2</f>
        <v>12</v>
      </c>
      <c r="E503" s="175">
        <v>1.1000000000000001</v>
      </c>
      <c r="F503" s="175"/>
      <c r="G503" s="175"/>
      <c r="H503" s="78">
        <f>ROUND(D503*E503,0)</f>
        <v>13</v>
      </c>
    </row>
    <row r="504" spans="1:8">
      <c r="A504" s="175"/>
      <c r="B504" s="177"/>
      <c r="C504" s="175"/>
      <c r="D504" s="175"/>
      <c r="E504" s="175"/>
      <c r="F504" s="175"/>
      <c r="G504" s="175"/>
      <c r="H504" s="175"/>
    </row>
    <row r="505" spans="1:8" ht="15">
      <c r="A505" s="100" t="s">
        <v>254</v>
      </c>
      <c r="B505" s="158" t="s">
        <v>280</v>
      </c>
      <c r="C505" s="142" t="s">
        <v>27</v>
      </c>
      <c r="D505" s="74">
        <f>9*2</f>
        <v>18</v>
      </c>
      <c r="E505" s="175">
        <v>1.5</v>
      </c>
      <c r="F505" s="175"/>
      <c r="G505" s="175"/>
      <c r="H505" s="78">
        <f>ROUND(D505*E505,0)</f>
        <v>27</v>
      </c>
    </row>
    <row r="506" spans="1:8">
      <c r="A506" s="175"/>
      <c r="B506" s="177"/>
      <c r="C506" s="175"/>
      <c r="D506" s="175"/>
      <c r="E506" s="175"/>
      <c r="F506" s="175"/>
      <c r="G506" s="175"/>
      <c r="H506" s="175"/>
    </row>
    <row r="507" spans="1:8" ht="15">
      <c r="A507" s="100" t="s">
        <v>256</v>
      </c>
      <c r="B507" s="158" t="s">
        <v>281</v>
      </c>
      <c r="C507" s="142" t="s">
        <v>27</v>
      </c>
      <c r="D507" s="74">
        <f>5*2</f>
        <v>10</v>
      </c>
      <c r="E507" s="175">
        <v>1.8</v>
      </c>
      <c r="F507" s="175"/>
      <c r="G507" s="175"/>
      <c r="H507" s="78">
        <f>ROUND(D507*E507,0)</f>
        <v>18</v>
      </c>
    </row>
    <row r="508" spans="1:8">
      <c r="A508" s="175"/>
      <c r="B508" s="177"/>
      <c r="C508" s="175"/>
      <c r="D508" s="175"/>
      <c r="E508" s="175"/>
      <c r="F508" s="175"/>
      <c r="G508" s="175"/>
      <c r="H508" s="175"/>
    </row>
    <row r="509" spans="1:8" ht="15">
      <c r="A509" s="100" t="s">
        <v>258</v>
      </c>
      <c r="B509" s="158" t="s">
        <v>282</v>
      </c>
      <c r="C509" s="142" t="s">
        <v>27</v>
      </c>
      <c r="D509" s="74">
        <f>3*2</f>
        <v>6</v>
      </c>
      <c r="E509" s="175">
        <v>1.8</v>
      </c>
      <c r="F509" s="175"/>
      <c r="G509" s="175"/>
      <c r="H509" s="78">
        <f>ROUND(D509*E509,0)</f>
        <v>11</v>
      </c>
    </row>
    <row r="510" spans="1:8">
      <c r="A510" s="175"/>
      <c r="B510" s="177"/>
      <c r="C510" s="175"/>
      <c r="D510" s="175"/>
      <c r="E510" s="175"/>
      <c r="F510" s="175"/>
      <c r="G510" s="175"/>
      <c r="H510" s="175"/>
    </row>
    <row r="511" spans="1:8" ht="15">
      <c r="A511" s="100" t="s">
        <v>260</v>
      </c>
      <c r="B511" s="158" t="s">
        <v>283</v>
      </c>
      <c r="C511" s="142" t="s">
        <v>27</v>
      </c>
      <c r="D511" s="74">
        <f>1*2</f>
        <v>2</v>
      </c>
      <c r="E511" s="175">
        <f>55+4.5*5</f>
        <v>77.5</v>
      </c>
      <c r="F511" s="175"/>
      <c r="G511" s="175"/>
      <c r="H511" s="78">
        <f>ROUND(D511*E511,0)</f>
        <v>155</v>
      </c>
    </row>
    <row r="512" spans="1:8">
      <c r="A512" s="175"/>
      <c r="B512" s="175"/>
      <c r="C512" s="175"/>
      <c r="D512" s="175"/>
      <c r="E512" s="175"/>
      <c r="F512" s="175"/>
      <c r="G512" s="175"/>
      <c r="H512" s="175"/>
    </row>
    <row r="513" spans="1:8">
      <c r="A513" s="69" t="s">
        <v>262</v>
      </c>
      <c r="B513" s="70" t="s">
        <v>284</v>
      </c>
      <c r="C513" s="70"/>
      <c r="D513" s="70"/>
      <c r="E513" s="70"/>
      <c r="F513" s="70"/>
      <c r="G513" s="70"/>
      <c r="H513" s="70"/>
    </row>
    <row r="514" spans="1:8" ht="15">
      <c r="A514" s="70"/>
      <c r="B514" s="70" t="s">
        <v>76</v>
      </c>
      <c r="C514" s="69" t="s">
        <v>63</v>
      </c>
      <c r="D514" s="74">
        <f>8*2</f>
        <v>16</v>
      </c>
      <c r="E514" s="177"/>
      <c r="F514" s="177"/>
      <c r="G514" s="177"/>
      <c r="H514" s="78">
        <f>D514</f>
        <v>16</v>
      </c>
    </row>
    <row r="515" spans="1:8">
      <c r="A515" s="175"/>
      <c r="B515" s="175"/>
      <c r="C515" s="175"/>
      <c r="D515" s="175"/>
      <c r="E515" s="175"/>
      <c r="F515" s="175"/>
      <c r="G515" s="175"/>
      <c r="H515" s="175"/>
    </row>
    <row r="516" spans="1:8">
      <c r="A516" s="69" t="s">
        <v>264</v>
      </c>
      <c r="B516" s="175" t="s">
        <v>285</v>
      </c>
      <c r="C516" s="175"/>
      <c r="D516" s="175"/>
      <c r="E516" s="175"/>
      <c r="F516" s="175"/>
      <c r="G516" s="175"/>
      <c r="H516" s="175"/>
    </row>
    <row r="517" spans="1:8" ht="15">
      <c r="A517" s="175"/>
      <c r="B517" s="70" t="s">
        <v>75</v>
      </c>
      <c r="C517" s="69" t="s">
        <v>63</v>
      </c>
      <c r="D517" s="74">
        <f>8*2</f>
        <v>16</v>
      </c>
      <c r="E517" s="177"/>
      <c r="F517" s="177"/>
      <c r="G517" s="177"/>
      <c r="H517" s="78">
        <f>D517</f>
        <v>16</v>
      </c>
    </row>
    <row r="518" spans="1:8">
      <c r="A518" s="175"/>
      <c r="B518" s="70"/>
      <c r="C518" s="175"/>
      <c r="D518" s="175"/>
      <c r="E518" s="175"/>
      <c r="F518" s="175"/>
      <c r="G518" s="175"/>
      <c r="H518" s="175"/>
    </row>
    <row r="519" spans="1:8">
      <c r="A519" s="69" t="s">
        <v>268</v>
      </c>
      <c r="B519" s="175" t="s">
        <v>286</v>
      </c>
      <c r="C519" s="175"/>
      <c r="D519" s="175"/>
      <c r="E519" s="175"/>
      <c r="F519" s="175"/>
      <c r="G519" s="175"/>
      <c r="H519" s="175"/>
    </row>
    <row r="520" spans="1:8" ht="15">
      <c r="A520" s="175"/>
      <c r="B520" s="70" t="s">
        <v>75</v>
      </c>
      <c r="C520" s="69" t="s">
        <v>63</v>
      </c>
      <c r="D520" s="74">
        <f>8*2</f>
        <v>16</v>
      </c>
      <c r="E520" s="177"/>
      <c r="F520" s="177"/>
      <c r="G520" s="177"/>
      <c r="H520" s="78">
        <f>D520</f>
        <v>16</v>
      </c>
    </row>
    <row r="521" spans="1:8">
      <c r="A521" s="175"/>
      <c r="B521" s="175"/>
      <c r="C521" s="175"/>
      <c r="D521" s="175"/>
      <c r="E521" s="175"/>
      <c r="F521" s="175"/>
      <c r="G521" s="175"/>
      <c r="H521" s="175"/>
    </row>
    <row r="522" spans="1:8">
      <c r="A522" s="105">
        <v>28</v>
      </c>
      <c r="B522" s="176" t="s">
        <v>77</v>
      </c>
      <c r="C522" s="175"/>
      <c r="D522" s="175"/>
      <c r="E522" s="175"/>
      <c r="F522" s="175"/>
      <c r="G522" s="175"/>
      <c r="H522" s="175"/>
    </row>
    <row r="523" spans="1:8">
      <c r="A523" s="67" t="s">
        <v>7</v>
      </c>
      <c r="B523" s="176" t="s">
        <v>78</v>
      </c>
      <c r="C523" s="175"/>
      <c r="D523" s="175"/>
      <c r="E523" s="175"/>
      <c r="F523" s="175"/>
      <c r="G523" s="175"/>
      <c r="H523" s="175"/>
    </row>
    <row r="524" spans="1:8" ht="15">
      <c r="A524" s="100" t="s">
        <v>50</v>
      </c>
      <c r="B524" s="175" t="s">
        <v>287</v>
      </c>
      <c r="C524" s="142" t="s">
        <v>27</v>
      </c>
      <c r="D524" s="74">
        <f>25*2</f>
        <v>50</v>
      </c>
      <c r="E524" s="175">
        <v>2.5</v>
      </c>
      <c r="F524" s="175"/>
      <c r="G524" s="175"/>
      <c r="H524" s="78">
        <f>ROUND(D524*E524,0)</f>
        <v>125</v>
      </c>
    </row>
    <row r="525" spans="1:8">
      <c r="A525" s="175"/>
      <c r="B525" s="175"/>
      <c r="C525" s="175"/>
      <c r="D525" s="177"/>
      <c r="E525" s="175"/>
      <c r="F525" s="175"/>
      <c r="G525" s="175"/>
      <c r="H525" s="175"/>
    </row>
    <row r="526" spans="1:8" ht="15">
      <c r="A526" s="100" t="s">
        <v>254</v>
      </c>
      <c r="B526" s="175" t="s">
        <v>288</v>
      </c>
      <c r="C526" s="142" t="s">
        <v>27</v>
      </c>
      <c r="D526" s="74">
        <f>5*2</f>
        <v>10</v>
      </c>
      <c r="E526" s="175">
        <v>3</v>
      </c>
      <c r="F526" s="175"/>
      <c r="G526" s="175"/>
      <c r="H526" s="78">
        <f>ROUND(D526*E526,0)</f>
        <v>30</v>
      </c>
    </row>
    <row r="527" spans="1:8">
      <c r="A527" s="175"/>
      <c r="B527" s="175"/>
      <c r="C527" s="175"/>
      <c r="D527" s="177"/>
      <c r="E527" s="175"/>
      <c r="F527" s="175"/>
      <c r="G527" s="175"/>
      <c r="H527" s="175"/>
    </row>
    <row r="528" spans="1:8" ht="15">
      <c r="A528" s="100" t="s">
        <v>256</v>
      </c>
      <c r="B528" s="175" t="s">
        <v>289</v>
      </c>
      <c r="C528" s="142" t="s">
        <v>27</v>
      </c>
      <c r="D528" s="74">
        <f>1*2</f>
        <v>2</v>
      </c>
      <c r="E528" s="175">
        <f>5.6*2+3.2</f>
        <v>14.399999999999999</v>
      </c>
      <c r="F528" s="175"/>
      <c r="G528" s="175"/>
      <c r="H528" s="78">
        <f>ROUND(D528*E528,0)</f>
        <v>29</v>
      </c>
    </row>
    <row r="529" spans="1:8">
      <c r="A529" s="175"/>
      <c r="B529" s="175"/>
      <c r="C529" s="175"/>
      <c r="D529" s="177"/>
      <c r="E529" s="175"/>
      <c r="F529" s="175"/>
      <c r="G529" s="175"/>
      <c r="H529" s="175"/>
    </row>
    <row r="530" spans="1:8" ht="15">
      <c r="A530" s="100" t="s">
        <v>256</v>
      </c>
      <c r="B530" s="175" t="s">
        <v>290</v>
      </c>
      <c r="C530" s="142" t="s">
        <v>27</v>
      </c>
      <c r="D530" s="74">
        <f>1*2</f>
        <v>2</v>
      </c>
      <c r="E530" s="175">
        <v>5.6</v>
      </c>
      <c r="F530" s="175"/>
      <c r="G530" s="175"/>
      <c r="H530" s="78">
        <f>ROUND(D530*E530,0)</f>
        <v>11</v>
      </c>
    </row>
    <row r="531" spans="1:8">
      <c r="A531" s="175"/>
      <c r="B531" s="175"/>
      <c r="C531" s="175"/>
      <c r="D531" s="177"/>
      <c r="E531" s="175"/>
      <c r="F531" s="175"/>
      <c r="G531" s="175"/>
      <c r="H531" s="175"/>
    </row>
    <row r="532" spans="1:8" ht="15">
      <c r="A532" s="100" t="s">
        <v>258</v>
      </c>
      <c r="B532" s="175" t="s">
        <v>291</v>
      </c>
      <c r="C532" s="142" t="s">
        <v>27</v>
      </c>
      <c r="D532" s="74">
        <f>1*2</f>
        <v>2</v>
      </c>
      <c r="E532" s="175">
        <f>5.6+5.6</f>
        <v>11.2</v>
      </c>
      <c r="F532" s="175"/>
      <c r="G532" s="175"/>
      <c r="H532" s="78">
        <f>ROUND(D532*E532,0)</f>
        <v>22</v>
      </c>
    </row>
    <row r="533" spans="1:8">
      <c r="A533" s="175"/>
      <c r="B533" s="175"/>
      <c r="C533" s="175"/>
      <c r="D533" s="177"/>
      <c r="E533" s="175"/>
      <c r="F533" s="175"/>
      <c r="G533" s="175"/>
      <c r="H533" s="175"/>
    </row>
    <row r="534" spans="1:8">
      <c r="A534" s="100" t="s">
        <v>260</v>
      </c>
      <c r="B534" s="175" t="s">
        <v>292</v>
      </c>
      <c r="C534" s="175"/>
      <c r="D534" s="177"/>
      <c r="E534" s="175"/>
      <c r="F534" s="175"/>
      <c r="G534" s="175"/>
      <c r="H534" s="175"/>
    </row>
    <row r="535" spans="1:8" ht="15">
      <c r="A535" s="175"/>
      <c r="B535" s="178" t="s">
        <v>79</v>
      </c>
      <c r="C535" s="69" t="s">
        <v>63</v>
      </c>
      <c r="D535" s="74">
        <f>6*2</f>
        <v>12</v>
      </c>
      <c r="E535" s="177"/>
      <c r="F535" s="177"/>
      <c r="G535" s="177"/>
      <c r="H535" s="78">
        <f>D535</f>
        <v>12</v>
      </c>
    </row>
    <row r="536" spans="1:8" ht="15">
      <c r="A536" s="175"/>
      <c r="B536" s="178" t="s">
        <v>80</v>
      </c>
      <c r="C536" s="69" t="s">
        <v>63</v>
      </c>
      <c r="D536" s="74">
        <f>6*2</f>
        <v>12</v>
      </c>
      <c r="E536" s="177"/>
      <c r="F536" s="177"/>
      <c r="G536" s="177"/>
      <c r="H536" s="78">
        <f>D536</f>
        <v>12</v>
      </c>
    </row>
    <row r="537" spans="1:8">
      <c r="A537" s="175"/>
      <c r="B537" s="175"/>
      <c r="C537" s="175"/>
      <c r="D537" s="177"/>
      <c r="E537" s="175"/>
      <c r="F537" s="175"/>
      <c r="G537" s="175"/>
      <c r="H537" s="175"/>
    </row>
    <row r="538" spans="1:8">
      <c r="A538" s="142" t="s">
        <v>262</v>
      </c>
      <c r="B538" s="175" t="s">
        <v>293</v>
      </c>
      <c r="C538" s="175"/>
      <c r="D538" s="177"/>
      <c r="E538" s="175"/>
      <c r="F538" s="175"/>
      <c r="G538" s="175"/>
      <c r="H538" s="175"/>
    </row>
    <row r="539" spans="1:8" ht="15">
      <c r="A539" s="175"/>
      <c r="B539" s="178" t="s">
        <v>80</v>
      </c>
      <c r="C539" s="69" t="s">
        <v>63</v>
      </c>
      <c r="D539" s="74">
        <f>3*2</f>
        <v>6</v>
      </c>
      <c r="E539" s="177"/>
      <c r="F539" s="177"/>
      <c r="G539" s="177"/>
      <c r="H539" s="78">
        <f>D539</f>
        <v>6</v>
      </c>
    </row>
    <row r="540" spans="1:8">
      <c r="A540" s="175"/>
      <c r="B540" s="175"/>
      <c r="C540" s="175"/>
      <c r="D540" s="179"/>
      <c r="E540" s="175"/>
      <c r="F540" s="175"/>
      <c r="G540" s="175"/>
      <c r="H540" s="175"/>
    </row>
    <row r="541" spans="1:8">
      <c r="A541" s="67" t="s">
        <v>32</v>
      </c>
      <c r="B541" s="176" t="s">
        <v>81</v>
      </c>
      <c r="C541" s="175"/>
      <c r="D541" s="179"/>
      <c r="E541" s="175"/>
      <c r="F541" s="175"/>
      <c r="G541" s="175"/>
      <c r="H541" s="175"/>
    </row>
    <row r="542" spans="1:8" ht="15">
      <c r="A542" s="100" t="s">
        <v>50</v>
      </c>
      <c r="B542" s="175" t="s">
        <v>287</v>
      </c>
      <c r="C542" s="142" t="s">
        <v>27</v>
      </c>
      <c r="D542" s="74">
        <f>8*2</f>
        <v>16</v>
      </c>
      <c r="E542" s="175">
        <v>1.5</v>
      </c>
      <c r="F542" s="175"/>
      <c r="G542" s="175"/>
      <c r="H542" s="78">
        <f>ROUND(D542*E542,0)</f>
        <v>24</v>
      </c>
    </row>
    <row r="543" spans="1:8">
      <c r="A543" s="175"/>
      <c r="B543" s="175"/>
      <c r="C543" s="175"/>
      <c r="D543" s="177"/>
      <c r="E543" s="175"/>
      <c r="F543" s="175"/>
      <c r="G543" s="175"/>
      <c r="H543" s="175"/>
    </row>
    <row r="544" spans="1:8" ht="15">
      <c r="A544" s="100" t="s">
        <v>254</v>
      </c>
      <c r="B544" s="175" t="s">
        <v>288</v>
      </c>
      <c r="C544" s="142" t="s">
        <v>27</v>
      </c>
      <c r="D544" s="74">
        <f>1*2</f>
        <v>2</v>
      </c>
      <c r="E544" s="175">
        <v>30</v>
      </c>
      <c r="F544" s="175"/>
      <c r="G544" s="175"/>
      <c r="H544" s="78">
        <f>ROUND(D544*E544,0)</f>
        <v>60</v>
      </c>
    </row>
    <row r="545" spans="1:8">
      <c r="A545" s="175"/>
      <c r="B545" s="175"/>
      <c r="C545" s="175"/>
      <c r="D545" s="177"/>
      <c r="E545" s="175"/>
      <c r="F545" s="175"/>
      <c r="G545" s="175"/>
      <c r="H545" s="175"/>
    </row>
    <row r="546" spans="1:8" ht="15">
      <c r="A546" s="100" t="s">
        <v>256</v>
      </c>
      <c r="B546" s="175" t="s">
        <v>289</v>
      </c>
      <c r="C546" s="142" t="s">
        <v>27</v>
      </c>
      <c r="D546" s="74">
        <f>1*2</f>
        <v>2</v>
      </c>
      <c r="E546" s="175">
        <v>10</v>
      </c>
      <c r="F546" s="175"/>
      <c r="G546" s="175"/>
      <c r="H546" s="78">
        <f>ROUND(D546*E546,0)</f>
        <v>20</v>
      </c>
    </row>
    <row r="547" spans="1:8">
      <c r="A547" s="175"/>
      <c r="B547" s="175"/>
      <c r="C547" s="175"/>
      <c r="D547" s="177"/>
      <c r="E547" s="175"/>
      <c r="F547" s="175"/>
      <c r="G547" s="175"/>
      <c r="H547" s="175"/>
    </row>
    <row r="548" spans="1:8" ht="15">
      <c r="A548" s="100" t="s">
        <v>256</v>
      </c>
      <c r="B548" s="175" t="s">
        <v>290</v>
      </c>
      <c r="C548" s="142" t="s">
        <v>27</v>
      </c>
      <c r="D548" s="74">
        <f>1*2</f>
        <v>2</v>
      </c>
      <c r="E548" s="175">
        <f>5.6*2</f>
        <v>11.2</v>
      </c>
      <c r="F548" s="175"/>
      <c r="G548" s="175"/>
      <c r="H548" s="78">
        <f>ROUND(D548*E548,0)</f>
        <v>22</v>
      </c>
    </row>
    <row r="549" spans="1:8">
      <c r="A549" s="175"/>
      <c r="B549" s="175"/>
      <c r="C549" s="175"/>
      <c r="D549" s="177"/>
      <c r="E549" s="175"/>
      <c r="F549" s="175"/>
      <c r="G549" s="175"/>
      <c r="H549" s="175"/>
    </row>
    <row r="550" spans="1:8" ht="15">
      <c r="A550" s="100" t="s">
        <v>258</v>
      </c>
      <c r="B550" s="175" t="s">
        <v>291</v>
      </c>
      <c r="C550" s="142" t="s">
        <v>27</v>
      </c>
      <c r="D550" s="74">
        <f>1*2</f>
        <v>2</v>
      </c>
      <c r="E550" s="175">
        <v>10</v>
      </c>
      <c r="F550" s="175"/>
      <c r="G550" s="175"/>
      <c r="H550" s="78">
        <f>ROUND(D550*E550,0)</f>
        <v>20</v>
      </c>
    </row>
    <row r="551" spans="1:8">
      <c r="A551" s="175"/>
      <c r="B551" s="175"/>
      <c r="C551" s="175"/>
      <c r="D551" s="179"/>
      <c r="E551" s="175"/>
      <c r="F551" s="175"/>
      <c r="G551" s="175"/>
      <c r="H551" s="175"/>
    </row>
    <row r="552" spans="1:8">
      <c r="A552" s="100" t="s">
        <v>260</v>
      </c>
      <c r="B552" s="175" t="s">
        <v>292</v>
      </c>
      <c r="C552" s="175"/>
      <c r="D552" s="179"/>
      <c r="E552" s="175"/>
      <c r="F552" s="175"/>
      <c r="G552" s="175"/>
      <c r="H552" s="175"/>
    </row>
    <row r="553" spans="1:8" ht="15">
      <c r="A553" s="175"/>
      <c r="B553" s="178" t="s">
        <v>79</v>
      </c>
      <c r="C553" s="69" t="s">
        <v>63</v>
      </c>
      <c r="D553" s="74">
        <f>6*2</f>
        <v>12</v>
      </c>
      <c r="E553" s="177"/>
      <c r="F553" s="177"/>
      <c r="G553" s="177"/>
      <c r="H553" s="78">
        <f>D553</f>
        <v>12</v>
      </c>
    </row>
    <row r="554" spans="1:8" ht="15">
      <c r="A554" s="175"/>
      <c r="B554" s="178" t="s">
        <v>80</v>
      </c>
      <c r="C554" s="69" t="s">
        <v>63</v>
      </c>
      <c r="D554" s="74">
        <f>6*2</f>
        <v>12</v>
      </c>
      <c r="E554" s="177"/>
      <c r="F554" s="177"/>
      <c r="G554" s="177"/>
      <c r="H554" s="78">
        <f>D554</f>
        <v>12</v>
      </c>
    </row>
    <row r="555" spans="1:8">
      <c r="A555" s="175"/>
      <c r="B555" s="175"/>
      <c r="C555" s="175"/>
      <c r="D555" s="179"/>
      <c r="E555" s="175"/>
      <c r="F555" s="175"/>
      <c r="G555" s="175"/>
      <c r="H555" s="175"/>
    </row>
    <row r="556" spans="1:8">
      <c r="A556" s="142" t="s">
        <v>262</v>
      </c>
      <c r="B556" s="175" t="s">
        <v>293</v>
      </c>
      <c r="C556" s="175"/>
      <c r="D556" s="179"/>
      <c r="E556" s="175"/>
      <c r="F556" s="175"/>
      <c r="G556" s="175"/>
      <c r="H556" s="175"/>
    </row>
    <row r="557" spans="1:8" ht="15">
      <c r="A557" s="175"/>
      <c r="B557" s="178" t="s">
        <v>80</v>
      </c>
      <c r="C557" s="69" t="s">
        <v>63</v>
      </c>
      <c r="D557" s="74">
        <f>2*2</f>
        <v>4</v>
      </c>
      <c r="E557" s="177"/>
      <c r="F557" s="177"/>
      <c r="G557" s="177"/>
      <c r="H557" s="78">
        <f>D557</f>
        <v>4</v>
      </c>
    </row>
    <row r="558" spans="1:8">
      <c r="A558" s="175"/>
      <c r="B558" s="175"/>
      <c r="C558" s="175"/>
      <c r="D558" s="179"/>
      <c r="E558" s="175"/>
      <c r="F558" s="175"/>
      <c r="G558" s="175"/>
      <c r="H558" s="175"/>
    </row>
    <row r="559" spans="1:8">
      <c r="A559" s="67">
        <v>30</v>
      </c>
      <c r="B559" s="176" t="s">
        <v>83</v>
      </c>
      <c r="C559" s="175"/>
      <c r="D559" s="179"/>
      <c r="E559" s="175"/>
      <c r="F559" s="175"/>
      <c r="G559" s="175"/>
      <c r="H559" s="175"/>
    </row>
    <row r="560" spans="1:8">
      <c r="A560" s="175"/>
      <c r="B560" s="175"/>
      <c r="C560" s="175"/>
      <c r="D560" s="179"/>
      <c r="E560" s="175"/>
      <c r="F560" s="175"/>
      <c r="G560" s="175"/>
      <c r="H560" s="175"/>
    </row>
    <row r="561" spans="1:8" ht="15">
      <c r="A561" s="100" t="s">
        <v>50</v>
      </c>
      <c r="B561" s="175" t="s">
        <v>294</v>
      </c>
      <c r="C561" s="21" t="s">
        <v>30</v>
      </c>
      <c r="D561" s="74">
        <f>5*2</f>
        <v>10</v>
      </c>
      <c r="E561" s="175"/>
      <c r="F561" s="175"/>
      <c r="G561" s="175"/>
      <c r="H561" s="78">
        <f>D561</f>
        <v>10</v>
      </c>
    </row>
    <row r="562" spans="1:8">
      <c r="A562" s="175"/>
      <c r="B562" s="175"/>
      <c r="C562" s="175"/>
      <c r="D562" s="177"/>
      <c r="E562" s="175"/>
      <c r="F562" s="175"/>
      <c r="G562" s="175"/>
      <c r="H562" s="175"/>
    </row>
    <row r="563" spans="1:8" ht="15">
      <c r="A563" s="100" t="s">
        <v>254</v>
      </c>
      <c r="B563" s="175" t="s">
        <v>295</v>
      </c>
      <c r="C563" s="21" t="s">
        <v>30</v>
      </c>
      <c r="D563" s="74">
        <f>5*2</f>
        <v>10</v>
      </c>
      <c r="E563" s="175"/>
      <c r="F563" s="175"/>
      <c r="G563" s="175"/>
      <c r="H563" s="78">
        <f>D563</f>
        <v>10</v>
      </c>
    </row>
    <row r="564" spans="1:8">
      <c r="A564" s="175"/>
      <c r="B564" s="175"/>
      <c r="C564" s="175"/>
      <c r="D564" s="179"/>
      <c r="E564" s="175"/>
      <c r="F564" s="175"/>
      <c r="G564" s="175"/>
      <c r="H564" s="175"/>
    </row>
    <row r="565" spans="1:8">
      <c r="A565" s="100" t="s">
        <v>256</v>
      </c>
      <c r="B565" s="176" t="s">
        <v>296</v>
      </c>
      <c r="C565" s="177"/>
      <c r="D565" s="177"/>
      <c r="E565" s="177"/>
      <c r="F565" s="177"/>
      <c r="G565" s="177"/>
      <c r="H565" s="177"/>
    </row>
    <row r="566" spans="1:8" ht="15">
      <c r="A566" s="100" t="s">
        <v>10</v>
      </c>
      <c r="B566" s="180" t="s">
        <v>84</v>
      </c>
      <c r="C566" s="21" t="s">
        <v>30</v>
      </c>
      <c r="D566" s="74">
        <f>5*2</f>
        <v>10</v>
      </c>
      <c r="E566" s="177"/>
      <c r="F566" s="177"/>
      <c r="G566" s="177"/>
      <c r="H566" s="78">
        <f>D566</f>
        <v>10</v>
      </c>
    </row>
    <row r="567" spans="1:8">
      <c r="A567" s="100"/>
      <c r="B567" s="177"/>
      <c r="C567" s="177"/>
      <c r="D567" s="177"/>
      <c r="E567" s="177"/>
      <c r="F567" s="177"/>
      <c r="G567" s="177"/>
      <c r="H567" s="177"/>
    </row>
    <row r="568" spans="1:8" ht="15">
      <c r="A568" s="100" t="s">
        <v>12</v>
      </c>
      <c r="B568" s="180" t="s">
        <v>297</v>
      </c>
      <c r="C568" s="21" t="s">
        <v>30</v>
      </c>
      <c r="D568" s="74">
        <f>5*2</f>
        <v>10</v>
      </c>
      <c r="E568" s="177"/>
      <c r="F568" s="177"/>
      <c r="G568" s="177"/>
      <c r="H568" s="78">
        <f>D568</f>
        <v>10</v>
      </c>
    </row>
    <row r="569" spans="1:8">
      <c r="A569" s="177"/>
      <c r="B569" s="177"/>
      <c r="C569" s="177"/>
      <c r="D569" s="177"/>
      <c r="E569" s="177"/>
      <c r="F569" s="177"/>
      <c r="G569" s="177"/>
      <c r="H569" s="177"/>
    </row>
    <row r="570" spans="1:8" ht="15">
      <c r="A570" s="100" t="s">
        <v>258</v>
      </c>
      <c r="B570" s="177" t="s">
        <v>298</v>
      </c>
      <c r="C570" s="21" t="s">
        <v>30</v>
      </c>
      <c r="D570" s="74">
        <f>5*2</f>
        <v>10</v>
      </c>
      <c r="E570" s="177"/>
      <c r="F570" s="177"/>
      <c r="G570" s="177"/>
      <c r="H570" s="78">
        <f>D570</f>
        <v>10</v>
      </c>
    </row>
    <row r="571" spans="1:8">
      <c r="A571" s="177"/>
      <c r="B571" s="177"/>
      <c r="C571" s="177"/>
      <c r="D571" s="177"/>
      <c r="E571" s="177"/>
      <c r="F571" s="177"/>
      <c r="G571" s="177"/>
      <c r="H571" s="177"/>
    </row>
    <row r="573" spans="1:8">
      <c r="A573" s="159" t="s">
        <v>71</v>
      </c>
      <c r="B573" s="181" t="s">
        <v>301</v>
      </c>
      <c r="C573" s="182"/>
      <c r="D573" s="182"/>
      <c r="E573" s="182"/>
      <c r="F573" s="182"/>
      <c r="G573" s="182"/>
      <c r="H573" s="182"/>
    </row>
    <row r="574" spans="1:8">
      <c r="A574" s="33">
        <v>1</v>
      </c>
      <c r="B574" s="54" t="s">
        <v>302</v>
      </c>
      <c r="C574" s="54"/>
      <c r="D574" s="54"/>
      <c r="E574" s="54"/>
      <c r="F574" s="54"/>
      <c r="G574" s="54"/>
      <c r="H574" s="54"/>
    </row>
    <row r="575" spans="1:8" ht="15">
      <c r="A575" s="33"/>
      <c r="B575" s="183" t="s">
        <v>304</v>
      </c>
      <c r="C575" s="184" t="s">
        <v>11</v>
      </c>
      <c r="D575" s="184">
        <v>1</v>
      </c>
      <c r="E575" s="670">
        <v>2156</v>
      </c>
      <c r="F575" s="670"/>
      <c r="G575" s="185">
        <v>0.5</v>
      </c>
      <c r="H575" s="186">
        <f>D575*E575*G575</f>
        <v>1078</v>
      </c>
    </row>
    <row r="576" spans="1:8">
      <c r="A576" s="54"/>
      <c r="B576" s="54"/>
      <c r="C576" s="54"/>
      <c r="D576" s="54"/>
      <c r="E576" s="54"/>
      <c r="F576" s="54"/>
      <c r="G576" s="54"/>
      <c r="H576" s="54"/>
    </row>
    <row r="577" spans="1:8">
      <c r="A577" s="33">
        <v>2</v>
      </c>
      <c r="B577" s="54" t="s">
        <v>305</v>
      </c>
      <c r="C577" s="54"/>
      <c r="D577" s="54"/>
      <c r="E577" s="54"/>
      <c r="F577" s="54"/>
      <c r="G577" s="54"/>
      <c r="H577" s="187">
        <f>H580</f>
        <v>1078</v>
      </c>
    </row>
    <row r="578" spans="1:8">
      <c r="A578" s="54"/>
      <c r="B578" s="54"/>
      <c r="C578" s="54"/>
      <c r="D578" s="54"/>
      <c r="E578" s="54"/>
      <c r="F578" s="54"/>
      <c r="G578" s="54"/>
      <c r="H578" s="54"/>
    </row>
    <row r="579" spans="1:8">
      <c r="A579" s="33">
        <v>3</v>
      </c>
      <c r="B579" s="54" t="s">
        <v>306</v>
      </c>
      <c r="C579" s="54"/>
      <c r="D579" s="54"/>
      <c r="E579" s="54"/>
      <c r="F579" s="54"/>
      <c r="G579" s="54"/>
      <c r="H579" s="54"/>
    </row>
    <row r="580" spans="1:8" ht="15">
      <c r="A580" s="54"/>
      <c r="B580" s="183" t="s">
        <v>303</v>
      </c>
      <c r="C580" s="184" t="s">
        <v>11</v>
      </c>
      <c r="D580" s="184">
        <v>1</v>
      </c>
      <c r="E580" s="670">
        <v>2156</v>
      </c>
      <c r="F580" s="670"/>
      <c r="G580" s="185">
        <v>0.5</v>
      </c>
      <c r="H580" s="186">
        <f>D580*E580*G580</f>
        <v>1078</v>
      </c>
    </row>
    <row r="581" spans="1:8">
      <c r="A581" s="54"/>
      <c r="B581" s="54"/>
      <c r="C581" s="54"/>
      <c r="D581" s="54"/>
      <c r="E581" s="54"/>
      <c r="F581" s="54"/>
      <c r="G581" s="54"/>
      <c r="H581" s="54"/>
    </row>
    <row r="582" spans="1:8">
      <c r="A582" s="33">
        <v>4</v>
      </c>
      <c r="B582" s="188" t="s">
        <v>307</v>
      </c>
      <c r="C582" s="54"/>
      <c r="D582" s="54"/>
      <c r="E582" s="54"/>
      <c r="F582" s="54"/>
      <c r="G582" s="54"/>
      <c r="H582" s="54"/>
    </row>
    <row r="583" spans="1:8" ht="15">
      <c r="A583" s="54"/>
      <c r="B583" s="183" t="s">
        <v>303</v>
      </c>
      <c r="C583" s="184" t="s">
        <v>11</v>
      </c>
      <c r="D583" s="184">
        <v>1</v>
      </c>
      <c r="E583" s="670">
        <v>2156</v>
      </c>
      <c r="F583" s="670"/>
      <c r="G583" s="185">
        <v>0.15</v>
      </c>
      <c r="H583" s="186">
        <f>D583*E583*G583</f>
        <v>323.39999999999998</v>
      </c>
    </row>
    <row r="584" spans="1:8">
      <c r="A584" s="54"/>
      <c r="B584" s="54"/>
      <c r="C584" s="54"/>
      <c r="D584" s="54"/>
      <c r="E584" s="54"/>
      <c r="F584" s="54"/>
      <c r="G584" s="54"/>
      <c r="H584" s="54"/>
    </row>
    <row r="585" spans="1:8">
      <c r="A585" s="33">
        <v>5</v>
      </c>
      <c r="B585" s="188" t="s">
        <v>308</v>
      </c>
      <c r="C585" s="54"/>
      <c r="D585" s="54"/>
      <c r="E585" s="54"/>
      <c r="F585" s="54"/>
      <c r="G585" s="54"/>
      <c r="H585" s="54"/>
    </row>
    <row r="586" spans="1:8" ht="15">
      <c r="A586" s="54"/>
      <c r="B586" s="183" t="s">
        <v>303</v>
      </c>
      <c r="C586" s="184" t="s">
        <v>11</v>
      </c>
      <c r="D586" s="184">
        <v>1</v>
      </c>
      <c r="E586" s="670">
        <v>2156</v>
      </c>
      <c r="F586" s="670"/>
      <c r="G586" s="185">
        <v>0.1</v>
      </c>
      <c r="H586" s="186">
        <f>D586*E586*G586</f>
        <v>215.60000000000002</v>
      </c>
    </row>
    <row r="587" spans="1:8">
      <c r="A587" s="54"/>
      <c r="B587" s="54"/>
      <c r="C587" s="54"/>
      <c r="D587" s="54"/>
      <c r="E587" s="54"/>
      <c r="F587" s="54"/>
      <c r="G587" s="54"/>
      <c r="H587" s="54"/>
    </row>
    <row r="588" spans="1:8">
      <c r="A588" s="33">
        <v>6</v>
      </c>
      <c r="B588" s="188" t="s">
        <v>309</v>
      </c>
      <c r="C588" s="54"/>
      <c r="D588" s="54"/>
      <c r="E588" s="54"/>
      <c r="F588" s="54"/>
      <c r="G588" s="54"/>
      <c r="H588" s="54"/>
    </row>
    <row r="589" spans="1:8" ht="15">
      <c r="A589" s="54"/>
      <c r="B589" s="183" t="s">
        <v>303</v>
      </c>
      <c r="C589" s="184" t="s">
        <v>11</v>
      </c>
      <c r="D589" s="184">
        <v>1</v>
      </c>
      <c r="E589" s="670">
        <v>2156</v>
      </c>
      <c r="F589" s="670"/>
      <c r="G589" s="185">
        <v>0.25</v>
      </c>
      <c r="H589" s="186">
        <f>ROUND(D589*E589*G589,0)</f>
        <v>539</v>
      </c>
    </row>
    <row r="590" spans="1:8">
      <c r="A590" s="56"/>
      <c r="B590" s="56"/>
      <c r="C590" s="56"/>
      <c r="D590" s="56"/>
      <c r="E590" s="56"/>
      <c r="F590" s="56"/>
      <c r="G590" s="56"/>
      <c r="H590" s="56"/>
    </row>
  </sheetData>
  <mergeCells count="80">
    <mergeCell ref="E575:F575"/>
    <mergeCell ref="E580:F580"/>
    <mergeCell ref="E583:F583"/>
    <mergeCell ref="E586:F586"/>
    <mergeCell ref="E589:F589"/>
    <mergeCell ref="A2:A4"/>
    <mergeCell ref="B2:E4"/>
    <mergeCell ref="F2:H5"/>
    <mergeCell ref="A5:E5"/>
    <mergeCell ref="A6:B6"/>
    <mergeCell ref="G6:H6"/>
    <mergeCell ref="A7:E8"/>
    <mergeCell ref="A9:H9"/>
    <mergeCell ref="A10:A11"/>
    <mergeCell ref="B10:B11"/>
    <mergeCell ref="C10:C11"/>
    <mergeCell ref="D10:D11"/>
    <mergeCell ref="E10:E11"/>
    <mergeCell ref="F10:F11"/>
    <mergeCell ref="G10:G11"/>
    <mergeCell ref="H10:H11"/>
    <mergeCell ref="F142:G142"/>
    <mergeCell ref="F24:G24"/>
    <mergeCell ref="F36:G36"/>
    <mergeCell ref="F59:G59"/>
    <mergeCell ref="F62:G62"/>
    <mergeCell ref="F79:G79"/>
    <mergeCell ref="F99:G99"/>
    <mergeCell ref="F112:G112"/>
    <mergeCell ref="F113:G113"/>
    <mergeCell ref="F123:G123"/>
    <mergeCell ref="F128:G128"/>
    <mergeCell ref="F132:G132"/>
    <mergeCell ref="F247:G247"/>
    <mergeCell ref="F148:G148"/>
    <mergeCell ref="F161:G161"/>
    <mergeCell ref="F173:G173"/>
    <mergeCell ref="F178:G178"/>
    <mergeCell ref="F182:G182"/>
    <mergeCell ref="F193:G193"/>
    <mergeCell ref="F199:G199"/>
    <mergeCell ref="F209:G209"/>
    <mergeCell ref="F223:G223"/>
    <mergeCell ref="F231:G231"/>
    <mergeCell ref="F239:G239"/>
    <mergeCell ref="F357:G357"/>
    <mergeCell ref="F265:G265"/>
    <mergeCell ref="F285:G285"/>
    <mergeCell ref="F286:G286"/>
    <mergeCell ref="E287:F287"/>
    <mergeCell ref="F295:G295"/>
    <mergeCell ref="E298:F298"/>
    <mergeCell ref="F315:G315"/>
    <mergeCell ref="F326:G326"/>
    <mergeCell ref="F335:G335"/>
    <mergeCell ref="F342:G342"/>
    <mergeCell ref="F353:G353"/>
    <mergeCell ref="F412:G412"/>
    <mergeCell ref="F366:G366"/>
    <mergeCell ref="F373:G373"/>
    <mergeCell ref="E383:F383"/>
    <mergeCell ref="E384:F384"/>
    <mergeCell ref="F386:G386"/>
    <mergeCell ref="F393:G393"/>
    <mergeCell ref="F398:G398"/>
    <mergeCell ref="F377:G377"/>
    <mergeCell ref="E403:F403"/>
    <mergeCell ref="E404:F404"/>
    <mergeCell ref="F406:G406"/>
    <mergeCell ref="E409:F409"/>
    <mergeCell ref="E410:F410"/>
    <mergeCell ref="F432:G432"/>
    <mergeCell ref="F440:G440"/>
    <mergeCell ref="F465:G465"/>
    <mergeCell ref="E416:F416"/>
    <mergeCell ref="E417:F417"/>
    <mergeCell ref="F419:G419"/>
    <mergeCell ref="E422:F422"/>
    <mergeCell ref="E423:F423"/>
    <mergeCell ref="F424:G424"/>
  </mergeCells>
  <pageMargins left="0.74803149606299213" right="0.74803149606299213" top="0.98425196850393704" bottom="0.98425196850393704" header="0.51181102362204722" footer="0.51181102362204722"/>
  <pageSetup paperSize="9" scale="87" orientation="portrait" r:id="rId1"/>
  <headerFooter alignWithMargins="0"/>
  <rowBreaks count="2" manualBreakCount="2">
    <brk id="63" max="7" man="1"/>
    <brk id="123"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Summary- B8A</vt:lpstr>
      <vt:lpstr>Civil-volume1, sec-3,  BA</vt:lpstr>
      <vt:lpstr>Measurement Sheet</vt:lpstr>
      <vt:lpstr>Measurement Sheet(B2)- old shee</vt:lpstr>
      <vt:lpstr>M. S. (B3)</vt:lpstr>
      <vt:lpstr>'Civil-volume1, sec-3,  BA'!Print_Area</vt:lpstr>
      <vt:lpstr>'M. S. (B3)'!Print_Area</vt:lpstr>
      <vt:lpstr>'Measurement Sheet'!Print_Area</vt:lpstr>
      <vt:lpstr>'Measurement Sheet(B2)- old shee'!Print_Area</vt:lpstr>
      <vt:lpstr>'Summary- B8A'!Print_Area</vt:lpstr>
      <vt:lpstr>'Civil-volume1, sec-3,  BA'!Print_Titles</vt:lpstr>
      <vt:lpstr>'M. S. (B3)'!Print_Titles</vt:lpstr>
      <vt:lpstr>'Measurement Sheet'!Print_Titles</vt:lpstr>
      <vt:lpstr>'Measurement Sheet(B2)- old shee'!Print_Titles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2016-05-24T10:58:28Z</dcterms:modified>
</cp:coreProperties>
</file>