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nthead_controller" sheetId="1" state="visible" r:id="rId2"/>
  </sheets>
  <definedNames>
    <definedName function="false" hidden="false" localSheetId="0" name="BoardQty" vbProcedure="false">printhead_controller!$G$1</definedName>
    <definedName function="false" hidden="false" localSheetId="0" name="PURCHASE_DESCRIPTION" vbProcedure="false">printhead_controller!$G$41</definedName>
    <definedName function="false" hidden="false" localSheetId="0" name="TotalCost" vbProcedure="false">printhead_controller!$G$3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Total number of each part needed.
Gray -&gt; No manf# provided.
Red -&gt; No parts available.
Orange -&gt; Not enough parts available.
Yellow -&gt; Parts available, but haven't purchased enough.</t>
        </r>
      </text>
    </comment>
    <comment ref="F3" authorId="0">
      <text>
        <r>
          <rPr>
            <sz val="11"/>
            <color rgb="FF000000"/>
            <rFont val="Calibri"/>
            <family val="2"/>
            <charset val="1"/>
          </rPr>
          <t xml:space="preserve">Use the minimum extend price across distributors not taking account available quantities.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Minimum unit price for each part across all distributors.</t>
        </r>
      </text>
    </comment>
    <comment ref="F40" authorId="0">
      <text>
        <r>
          <rPr>
            <sz val="11"/>
            <color rgb="FF000000"/>
            <rFont val="Calibri"/>
            <family val="2"/>
            <charset val="1"/>
          </rPr>
          <t xml:space="preserve">This is the total of your cart across all distributors.</t>
        </r>
      </text>
    </comment>
    <comment ref="F41" authorId="0">
      <text>
        <r>
          <rPr>
            <sz val="11"/>
            <color rgb="FF000000"/>
            <rFont val="Calibri"/>
            <family val="2"/>
            <charset val="1"/>
          </rPr>
          <t xml:space="preserve">This description will be added to all purchased parts label and may be used to distinguish the component of different projects.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 xml:space="preserve">Minimum extended price for each part across all distributors.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I6" authorId="0">
      <text>
        <r>
          <rPr>
            <sz val="11"/>
            <color rgb="FF000000"/>
            <rFont val="Calibri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I40" authorId="0">
      <text>
        <r>
          <rPr>
            <sz val="11"/>
            <color rgb="FF000000"/>
            <rFont val="Calibri"/>
            <family val="2"/>
            <charset val="1"/>
          </rPr>
          <t xml:space="preserve">Copy the information below to the BOM import page of the distributor web site.</t>
        </r>
      </text>
    </comment>
    <comment ref="J6" authorId="0">
      <text>
        <r>
          <rPr>
            <sz val="11"/>
            <color rgb="FF000000"/>
            <rFont val="Calibri"/>
            <family val="2"/>
            <charset val="1"/>
          </rPr>
          <t xml:space="preserve">Unit price of each part from this distributor.
Green -&gt; lowest price across distributors.</t>
        </r>
      </text>
    </comment>
    <comment ref="J9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$0.85      $0.85
    10   $0.62      $6.25
    50   $0.50     $24.99
   100   $0.43     $42.84
   500   $0.34    $169.58
  1000   $0.29    $285.60
  2000   $0.27    $535.50
  4000   $0.25    $999.60
 10000   $0.24  $2,409.80
 14000   $0.24  $3,323.74</t>
        </r>
      </text>
    </comment>
    <comment ref="J1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$0.10      $0.10
    10   $0.07      $0.71
    50   $0.04      $1.95
   100   $0.03      $3.18
   500   $0.02     $11.36
  1000   $0.02     $17.85
  2500   $0.02     $40.55
  5000   $0.01     $74.65
 10000   $0.01    $136.30
 20000   $0.01    $259.60
 30000   $0.01    $369.90
 50000   $0.01    $551.50
100000   $0.01    $892.00
250000   $0.01  $2,027.50</t>
        </r>
      </text>
    </comment>
    <comment ref="J11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$0.31      $0.31
    10   $0.22      $2.18
    50   $0.15      $7.64
   100   $0.13     $13.10
   500   $0.10     $49.14
  1000   $0.08     $82.99
  4000   $0.07    $297.04
  8000   $0.07    $559.12
 12000   $0.07    $812.40
 28000   $0.07  $1,834.56
100000   $0.06  $5,678.00</t>
        </r>
      </text>
    </comment>
    <comment ref="J14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$0.48      $0.48
    10   $0.41      $4.12
   100   $0.31     $30.80
   500   $0.24    $121.00
  1000   $0.19    $187.00
  3000   $0.17    $511.50
  6000   $0.16    $957.00
 15000   $0.15  $2,250.00</t>
        </r>
      </text>
    </comment>
    <comment ref="J15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$0.81      $0.81
     5   $0.78      $3.91
    10   $0.73      $7.32
    50   $0.61     $30.30
   100   $0.51     $50.50
   250   $0.49    $123.09
   500   $0.42    $208.31
  1000   $0.37    $366.12</t>
        </r>
      </text>
    </comment>
    <comment ref="J1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$1.59      $1.59
    10   $1.38     $13.84
    25   $1.33     $33.13
    50   $1.30     $64.79
   100   $1.24    $123.69
   250   $1.12    $279.78
   500   $1.03    $515.38
  1000   $0.88    $883.50
  2500   $0.82  $2,061.50</t>
        </r>
      </text>
    </comment>
    <comment ref="J22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$0.85      $0.85
    10   $0.75      $7.51
   100   $0.58     $57.55
   500   $0.45    $227.48
  1000   $0.36    $363.96
  2000   $0.33    $659.68
  5000   $0.31  $1,555.85</t>
        </r>
      </text>
    </comment>
    <comment ref="J24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$0.28      $0.28
    10   $0.23      $2.33
   100   $0.09      $9.12
  1000   $0.04     $38.17
  2500   $0.03     $87.47
  5000   $0.03    $159.05
 10000   $0.03    $296.90
 25000   $0.03    $705.25
 50000   $0.03  $1,381.50
125000   $0.03  $3,380.00</t>
        </r>
      </text>
    </comment>
    <comment ref="J25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$0.54      $0.54
    10   $0.39      $3.85
   100   $0.15     $15.41
  1000   $0.08     $75.93
  2500   $0.07    $175.88
  5000   $0.06    $318.25
 10000   $0.06    $607.50
 25000   $0.06  $1,455.00
 50000   $0.06  $2,847.50
125000   $0.06  $6,978.75</t>
        </r>
      </text>
    </comment>
    <comment ref="J26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$0.15      $0.15
    10   $0.13      $1.34
   100   $0.05      $5.17
  1000   $0.02     $22.75
  2500   $0.02     $49.12
  5000   $0.02     $87.90
 10000   $0.02    $157.70</t>
        </r>
      </text>
    </comment>
    <comment ref="J28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$0.10      $0.10
    10   $0.03      $0.27
   100   $0.01      $1.09
  1000   $0.00      $4.90
  2500   $0.00     $10.62
  5000   $0.00     $17.55
 10000   $0.00     $30.50
 25000   $0.00     $67.00
 50000   $0.00    $123.00
125000   $0.00    $301.25</t>
        </r>
      </text>
    </comment>
    <comment ref="J3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$3.07      $3.07
    10   $2.69     $26.95
    25   $2.42     $60.40
    50   $2.32    $116.15
   100   $2.23    $223.01
   250   $2.14    $534.29</t>
        </r>
      </text>
    </comment>
    <comment ref="J32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$7.19      $7.19
    10   $6.50     $64.95
    25   $6.19    $154.83
   100   $5.38    $537.74
   250   $5.14  $1,283.92
   500   $4.68  $2,341.28
  1000   $4.28  $4,275.00</t>
        </r>
      </text>
    </comment>
    <comment ref="J38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$10.77     $10.77
    10   $9.73     $97.31
    25   $9.28    $231.97
   100   $8.06    $805.66
   250   $7.69  $1,923.64
   500   $7.02  $3,507.80
  1000   $6.41  $6,405.00
  2500   $6.41 $16,012.50</t>
        </r>
      </text>
    </comment>
    <comment ref="K6" authorId="0">
      <text>
        <r>
          <rPr>
            <sz val="11"/>
            <color rgb="FF000000"/>
            <rFont val="Calibri"/>
            <family val="2"/>
            <charset val="1"/>
          </rPr>
          <t xml:space="preserve">Minimum Order Quantity. You must buy at least this ammount of components.</t>
        </r>
      </text>
    </comment>
    <comment ref="L6" authorId="0">
      <text>
        <r>
          <rPr>
            <sz val="11"/>
            <color rgb="FF000000"/>
            <rFont val="Calibri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M3" authorId="0">
      <text>
        <r>
          <rPr>
            <sz val="11"/>
            <color rgb="FF000000"/>
            <rFont val="Calibri"/>
            <family val="2"/>
            <charset val="1"/>
          </rPr>
          <t xml:space="preserve">Number of parts found at this distributor.</t>
        </r>
      </text>
    </comment>
    <comment ref="M6" authorId="0">
      <text>
        <r>
          <rPr>
            <sz val="11"/>
            <color rgb="FF000000"/>
            <rFont val="Calibri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N6" authorId="0">
      <text>
        <r>
          <rPr>
            <sz val="11"/>
            <color rgb="FF000000"/>
            <rFont val="Calibri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N33" authorId="0">
      <text>
        <r>
          <rPr>
            <sz val="11"/>
            <color rgb="FF000000"/>
            <rFont val="Calibri"/>
            <family val="2"/>
            <charset val="1"/>
          </rPr>
          <t xml:space="preserve">This part is listed but is not stocked.</t>
        </r>
      </text>
    </comment>
    <comment ref="O6" authorId="0">
      <text>
        <r>
          <rPr>
            <sz val="11"/>
            <color rgb="FF000000"/>
            <rFont val="Calibri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O40" authorId="0">
      <text>
        <r>
          <rPr>
            <sz val="11"/>
            <color rgb="FF000000"/>
            <rFont val="Calibri"/>
            <family val="2"/>
            <charset val="1"/>
          </rPr>
          <t xml:space="preserve">Copy the information below to the BOM import page of the distributor web site.</t>
        </r>
      </text>
    </comment>
    <comment ref="P6" authorId="0">
      <text>
        <r>
          <rPr>
            <sz val="11"/>
            <color rgb="FF000000"/>
            <rFont val="Calibri"/>
            <family val="2"/>
            <charset val="1"/>
          </rPr>
          <t xml:space="preserve">Unit price of each part from this distributor.
Green -&gt; lowest price across distributors.</t>
        </r>
      </text>
    </comment>
    <comment ref="P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$0.77      $0.77
    10   $0.53      $5.33
    50   $0.40     $20.20
   100   $0.35     $35.20
   500   $0.26    $130.50
   900   $0.22    $198.90
  1800   $0.21    $374.40
  4500   $0.20    $877.50
  9900   $0.18  $1,801.80</t>
        </r>
      </text>
    </comment>
    <comment ref="P8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$0.16      $0.16
    10   $0.11      $1.14
   100   $0.05      $5.40
   500   $0.04     $18.50
  1000   $0.03     $31.00
  2000   $0.03     $60.00
  4000   $0.03    $104.00
  8000   $0.02    $184.00</t>
        </r>
      </text>
    </comment>
    <comment ref="P9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$0.91      $0.91
    10   $0.63      $6.29
   100   $0.57     $57.50
  2000   $0.57  $1,150.00</t>
        </r>
      </text>
    </comment>
    <comment ref="P1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$0.10      $0.10
    10   $0.04      $0.39
   100   $0.03      $3.20
   500   $0.02     $11.50
  1000   $0.02     $18.00
  2500   $0.02     $42.50
  5000   $0.01     $75.00
 10000   $0.01    $110.00</t>
        </r>
      </text>
    </comment>
    <comment ref="P11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$0.33      $0.33
    10   $0.16      $1.61
   100   $0.14     $13.80
   500   $0.10     $51.50
  1000   $0.09     $87.00
  4000   $0.08    $308.00
  8000   $0.07    $576.00
 12000   $0.07    $840.00</t>
        </r>
      </text>
    </comment>
    <comment ref="P12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$0.16      $0.16
    10   $0.11      $1.14
   100   $0.05      $5.40
   500   $0.04     $18.50
  1000   $0.03     $31.00
  2000   $0.03     $60.00
  4000   $0.03    $104.00
  8000   $0.02    $184.00</t>
        </r>
      </text>
    </comment>
    <comment ref="P13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$0.11      $0.11
    10   $0.08      $0.81
   100   $0.04      $3.80
   500   $0.03     $13.50
  1000   $0.02     $22.00
  2500   $0.02     $50.00
  5000   $0.02     $95.00
 10000   $0.02    $170.00</t>
        </r>
      </text>
    </comment>
    <comment ref="P14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$0.48      $0.48
    10   $0.41      $4.12
   100   $0.31     $30.80
   500   $0.24    $121.00
  1000   $0.19    $187.00
  3000   $0.17    $510.00</t>
        </r>
      </text>
    </comment>
    <comment ref="P15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$0.80      $0.80
    10   $0.72      $7.24
    25   $0.70     $17.50
    50   $0.60     $29.95
   100   $0.50     $50.00
   250   $0.49    $121.75
   500   $0.42    $209.00
  1000   $0.36    $356.00
  3000   $0.34  $1,020.00</t>
        </r>
      </text>
    </comment>
    <comment ref="P1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$1.58      $1.58
    10   $1.30     $13.00
   100   $1.24    $124.00
   250   $1.12    $280.00
   500   $1.03    $515.00
  1000   $0.88    $883.00
  2500   $0.84  $2,105.00</t>
        </r>
      </text>
    </comment>
    <comment ref="P18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$1.38      $1.38
    10   $1.18     $11.80
   100   $1.05    $105.00
   500   $0.86    $428.50
  1000   $0.76    $762.00
  2500   $0.69  $1,725.00
  5000   $0.68  $3,405.00</t>
        </r>
      </text>
    </comment>
    <comment ref="P2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$1.44      $1.44
    10   $1.21     $12.10
   500   $0.94    $471.00
   750   $0.74    $555.00
  1500   $0.68  $1,021.50</t>
        </r>
      </text>
    </comment>
    <comment ref="P21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$0.58      $0.58
    10   $0.50      $4.98
   100   $0.37     $37.10
   500   $0.29    $146.00
  1000   $0.23    $226.00
  3000   $0.20    $615.00
  6000   $0.19  $1,152.00
  9000   $0.18  $1,629.00
 24000   $0.17  $4,200.00</t>
        </r>
      </text>
    </comment>
    <comment ref="P22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$0.89      $0.89
    10   $0.75      $7.51
    75   $0.57     $43.12
   525   $0.48    $250.42
  1050   $0.35    $366.45
  2700   $0.34    $912.60
  5400   $0.33  $1,787.40</t>
        </r>
      </text>
    </comment>
    <comment ref="P23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$0.97      $0.97
    10   $0.87      $8.71
   100   $0.68     $67.90
   500   $0.55    $275.00
  1000   $0.43    $434.00
  2500   $0.39    $972.50
  5000   $0.38  $1,910.00</t>
        </r>
      </text>
    </comment>
    <comment ref="P24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$0.28      $0.28
    10   $0.24      $2.44
   100   $0.10      $9.60
  1000   $0.04     $40.00
  2500   $0.04     $92.50
  5000   $0.03    $165.00</t>
        </r>
      </text>
    </comment>
    <comment ref="P25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$0.53      $0.53
    10   $0.39      $3.86
   100   $0.15     $15.40
  1000   $0.08     $76.00
  2500   $0.07    $177.50
  5000   $0.06    $315.00</t>
        </r>
      </text>
    </comment>
    <comment ref="P26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$0.16      $0.16
    10   $0.13      $1.29
   100   $0.05      $5.00
  1000   $0.02     $22.00
  2000   $0.02     $38.00
  5000   $0.02     $80.00
 10000   $0.01    $150.00
 25000   $0.01    $325.00</t>
        </r>
      </text>
    </comment>
    <comment ref="P2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$0.10      $0.10
    10   $0.03      $0.34
   100   $0.01      $1.40
  1000   $0.01      $7.00
  2500   $0.01     $15.00
  5000   $0.01     $25.00
 10000   $0.00     $40.00</t>
        </r>
      </text>
    </comment>
    <comment ref="P28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$0.10      $0.10
    10   $0.03      $0.31
   100   $0.01      $1.40
  1000   $0.01      $7.00
  2500   $0.01     $15.00
  5000   $0.01     $30.00</t>
        </r>
      </text>
    </comment>
    <comment ref="P29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$0.31      $0.31
    10   $0.26      $2.64
   100   $0.10     $10.40
   500   $0.07     $36.00
  1000   $0.06     $58.00
  2500   $0.06    $140.00
  5000   $0.05    $250.00
 10000   $0.05    $480.00</t>
        </r>
      </text>
    </comment>
    <comment ref="P3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$2.76      $2.76
    10   $2.33     $23.30
   100   $2.14    $214.00
   500   $1.76    $880.00
  1000   $1.44  $1,440.00</t>
        </r>
      </text>
    </comment>
    <comment ref="P32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$7.19      $7.19
    10   $6.50     $65.00
    25   $6.20    $155.00
    75   $5.37    $402.75
   300   $5.13  $1,539.00</t>
        </r>
      </text>
    </comment>
    <comment ref="P34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$3.71      $3.71
    10   $3.33     $33.30
    25   $3.15     $78.75
   100   $2.73    $273.00
   250   $2.59    $647.50
   500   $2.32  $1,160.00
  1000   $1.97  $1,970.00</t>
        </r>
      </text>
    </comment>
    <comment ref="P35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$3.71      $3.71
    10   $3.33     $33.30
    25   $3.15     $78.75
   100   $2.73    $273.00
   250   $2.59    $647.50
   500   $2.33  $1,165.00
  1000   $2.18  $2,180.00
  3000   $2.17  $6,510.00</t>
        </r>
      </text>
    </comment>
    <comment ref="P36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$1.43      $1.43
    10   $1.29     $12.90
    25   $1.22     $30.50
   100   $0.96     $96.30
   250   $0.87    $218.25
   500   $0.80    $400.50
  1000   $0.63    $631.00
  3000   $0.61  $1,824.00</t>
        </r>
      </text>
    </comment>
    <comment ref="P3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$3.17      $3.17
    10   $2.85     $28.50
    25   $2.69     $67.25
   100   $2.33    $233.00
   250   $2.21    $552.50
   500   $1.99    $995.00
  1000   $1.74  $1,740.00
  3000   $1.73  $5,190.00</t>
        </r>
      </text>
    </comment>
    <comment ref="P38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$10.78     $10.78
    10   $9.74     $97.40
    25   $9.28    $232.00
   100   $8.06    $806.00
   250   $7.70  $1,925.00
   500   $7.02  $3,510.00
  1000   $6.41  $6,410.00
  2500   $6.40 $16,000.00</t>
        </r>
      </text>
    </comment>
    <comment ref="Q6" authorId="0">
      <text>
        <r>
          <rPr>
            <sz val="11"/>
            <color rgb="FF000000"/>
            <rFont val="Calibri"/>
            <family val="2"/>
            <charset val="1"/>
          </rPr>
          <t xml:space="preserve">Minimum Order Quantity. You must buy at least this ammount of components.</t>
        </r>
      </text>
    </comment>
    <comment ref="R6" authorId="0">
      <text>
        <r>
          <rPr>
            <sz val="11"/>
            <color rgb="FF000000"/>
            <rFont val="Calibri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S3" authorId="0">
      <text>
        <r>
          <rPr>
            <sz val="11"/>
            <color rgb="FF000000"/>
            <rFont val="Calibri"/>
            <family val="2"/>
            <charset val="1"/>
          </rPr>
          <t xml:space="preserve">Number of parts found at this distributor.</t>
        </r>
      </text>
    </comment>
    <comment ref="S6" authorId="0">
      <text>
        <r>
          <rPr>
            <sz val="11"/>
            <color rgb="FF000000"/>
            <rFont val="Calibri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S7" authorId="0">
      <text>
        <r>
          <rPr>
            <sz val="11"/>
            <color rgb="FF000000"/>
            <rFont val="Calibri"/>
            <family val="2"/>
            <charset val="1"/>
          </rPr>
          <t xml:space="preserve">Desc: Aluminum Electrolytic Capacitors - SMD 63VDC 22uF 20% 120mA AEC-Q200</t>
        </r>
      </text>
    </comment>
    <comment ref="S8" authorId="0">
      <text>
        <r>
          <rPr>
            <sz val="11"/>
            <color rgb="FF000000"/>
            <rFont val="Calibri"/>
            <family val="2"/>
            <charset val="1"/>
          </rPr>
          <t xml:space="preserve">Desc: Multilayer Ceramic Capacitors MLCC - SMD/SMT 50 V 0.1uF X7R 0603 10%</t>
        </r>
      </text>
    </comment>
    <comment ref="S9" authorId="0">
      <text>
        <r>
          <rPr>
            <sz val="11"/>
            <color rgb="FF000000"/>
            <rFont val="Calibri"/>
            <family val="2"/>
            <charset val="1"/>
          </rPr>
          <t xml:space="preserve">Desc: Multilayer Ceramic Capacitors MLCC - SMD/SMT 4.7UF   100V   20%        1206</t>
        </r>
      </text>
    </comment>
    <comment ref="S10" authorId="0">
      <text>
        <r>
          <rPr>
            <sz val="11"/>
            <color rgb="FF000000"/>
            <rFont val="Calibri"/>
            <family val="2"/>
            <charset val="1"/>
          </rPr>
          <t xml:space="preserve">Desc: Multilayer Ceramic Capacitors MLCC - SMD/SMT PLEASE SEE MURATA'S SUGGESTED ALTERNATE GCM155R71H103KA55D</t>
        </r>
      </text>
    </comment>
    <comment ref="S11" authorId="0">
      <text>
        <r>
          <rPr>
            <sz val="11"/>
            <color rgb="FF000000"/>
            <rFont val="Calibri"/>
            <family val="2"/>
            <charset val="1"/>
          </rPr>
          <t xml:space="preserve">Desc: Multilayer Ceramic Capacitors MLCC - SMD/SMT 2.2UF    50V   10%        0603</t>
        </r>
      </text>
    </comment>
    <comment ref="S12" authorId="0">
      <text>
        <r>
          <rPr>
            <sz val="11"/>
            <color rgb="FF000000"/>
            <rFont val="Calibri"/>
            <family val="2"/>
            <charset val="1"/>
          </rPr>
          <t xml:space="preserve">Desc: Multilayer Ceramic Capacitors MLCC - SMD/SMT 50 V 0.1uF X7R 0603 10%</t>
        </r>
      </text>
    </comment>
    <comment ref="S13" authorId="0">
      <text>
        <r>
          <rPr>
            <sz val="11"/>
            <color rgb="FF000000"/>
            <rFont val="Calibri"/>
            <family val="2"/>
            <charset val="1"/>
          </rPr>
          <t xml:space="preserve">Desc: Multilayer Ceramic Capacitors MLCC - SMD/SMT PLEASE SEE MURATA'S SUGGESTED ALTERNATE GRM0335C1H200JA01D</t>
        </r>
      </text>
    </comment>
    <comment ref="S14" authorId="0">
      <text>
        <r>
          <rPr>
            <sz val="11"/>
            <color rgb="FF000000"/>
            <rFont val="Calibri"/>
            <family val="2"/>
            <charset val="1"/>
          </rPr>
          <t xml:space="preserve">Desc: Schottky Diodes &amp; Rectifiers CHIP DIODE</t>
        </r>
      </text>
    </comment>
    <comment ref="S15" authorId="0">
      <text>
        <r>
          <rPr>
            <sz val="11"/>
            <color rgb="FF000000"/>
            <rFont val="Calibri"/>
            <family val="2"/>
            <charset val="1"/>
          </rPr>
          <t xml:space="preserve">Desc: Surface Mount Fuses 4A     65V  FAST-ACTING</t>
        </r>
      </text>
    </comment>
    <comment ref="S17" authorId="0">
      <text>
        <r>
          <rPr>
            <sz val="11"/>
            <color rgb="FF000000"/>
            <rFont val="Calibri"/>
            <family val="2"/>
            <charset val="1"/>
          </rPr>
          <t xml:space="preserve">Desc: DC Power Connectors Power Jacks</t>
        </r>
      </text>
    </comment>
    <comment ref="S18" authorId="0">
      <text>
        <r>
          <rPr>
            <sz val="11"/>
            <color rgb="FF000000"/>
            <rFont val="Calibri"/>
            <family val="2"/>
            <charset val="1"/>
          </rPr>
          <t xml:space="preserve">Desc: Headers &amp; Wire Housings 12P 2R RA UNSHRD HDR THROUGH HOLE</t>
        </r>
      </text>
    </comment>
    <comment ref="S20" authorId="0">
      <text>
        <r>
          <rPr>
            <sz val="11"/>
            <color rgb="FF000000"/>
            <rFont val="Calibri"/>
            <family val="2"/>
            <charset val="1"/>
          </rPr>
          <t xml:space="preserve">Desc: Fixed Inductors 22uH Shld 20% 780mA 190mOhms</t>
        </r>
      </text>
    </comment>
    <comment ref="S21" authorId="0">
      <text>
        <r>
          <rPr>
            <sz val="11"/>
            <color rgb="FF000000"/>
            <rFont val="Calibri"/>
            <family val="2"/>
            <charset val="1"/>
          </rPr>
          <t xml:space="preserve">Desc: Bipolar Transistors - BJT NPN Enhanced</t>
        </r>
      </text>
    </comment>
    <comment ref="S22" authorId="0">
      <text>
        <r>
          <rPr>
            <sz val="11"/>
            <color rgb="FF000000"/>
            <rFont val="Calibri"/>
            <family val="2"/>
            <charset val="1"/>
          </rPr>
          <t xml:space="preserve">Desc: Darlington Transistors 8A 100V Bipolar Power NPN</t>
        </r>
      </text>
    </comment>
    <comment ref="S23" authorId="0">
      <text>
        <r>
          <rPr>
            <sz val="11"/>
            <color rgb="FF000000"/>
            <rFont val="Calibri"/>
            <family val="2"/>
            <charset val="1"/>
          </rPr>
          <t xml:space="preserve">Desc: Darlington Transistors BIP PNP 8A 120V TR</t>
        </r>
      </text>
    </comment>
    <comment ref="S24" authorId="0">
      <text>
        <r>
          <rPr>
            <sz val="11"/>
            <color rgb="FF000000"/>
            <rFont val="Calibri"/>
            <family val="2"/>
            <charset val="1"/>
          </rPr>
          <t xml:space="preserve">Desc: Thick Film Resistors - SMD ResHighPowerA 0603 10k 1% 1/4W TC100</t>
        </r>
      </text>
    </comment>
    <comment ref="S25" authorId="0">
      <text>
        <r>
          <rPr>
            <sz val="11"/>
            <color rgb="FF000000"/>
            <rFont val="Calibri"/>
            <family val="2"/>
            <charset val="1"/>
          </rPr>
          <t xml:space="preserve">Desc: Thick Film Resistors - SMD ResHV ST 0603 100k 1 % 0.1W TCR100</t>
        </r>
      </text>
    </comment>
    <comment ref="S26" authorId="0">
      <text>
        <r>
          <rPr>
            <sz val="11"/>
            <color rgb="FF000000"/>
            <rFont val="Calibri"/>
            <family val="2"/>
            <charset val="1"/>
          </rPr>
          <t xml:space="preserve">Desc: Thin Film Resistors - SMD 1/10W 2.8 Ohm 0.5% 50ppm</t>
        </r>
      </text>
    </comment>
    <comment ref="S27" authorId="0">
      <text>
        <r>
          <rPr>
            <sz val="11"/>
            <color rgb="FF000000"/>
            <rFont val="Calibri"/>
            <family val="2"/>
            <charset val="1"/>
          </rPr>
          <t xml:space="preserve">Desc: Thick Film Resistors - SMD 124K 1% 1/10W</t>
        </r>
      </text>
    </comment>
    <comment ref="S28" authorId="0">
      <text>
        <r>
          <rPr>
            <sz val="11"/>
            <color rgb="FF000000"/>
            <rFont val="Calibri"/>
            <family val="2"/>
            <charset val="1"/>
          </rPr>
          <t xml:space="preserve">Desc: Thick Film Resistors - SMD 125 mW 1Kohms 1%</t>
        </r>
      </text>
    </comment>
    <comment ref="S29" authorId="0">
      <text>
        <r>
          <rPr>
            <sz val="11"/>
            <color rgb="FF000000"/>
            <rFont val="Calibri"/>
            <family val="2"/>
            <charset val="1"/>
          </rPr>
          <t xml:space="preserve">Desc: Thin Film Resistors - SMD 0603 13K2 Ohms 0.5%</t>
        </r>
      </text>
    </comment>
    <comment ref="S30" authorId="0">
      <text>
        <r>
          <rPr>
            <sz val="11"/>
            <color rgb="FF000000"/>
            <rFont val="Calibri"/>
            <family val="2"/>
            <charset val="1"/>
          </rPr>
          <t xml:space="preserve">Desc: Trimmer Resistors - SMD 4MM SQ 10KOHMS 10% 5TURN</t>
        </r>
      </text>
    </comment>
    <comment ref="S32" authorId="0">
      <text>
        <r>
          <rPr>
            <sz val="11"/>
            <color rgb="FF000000"/>
            <rFont val="Calibri"/>
            <family val="2"/>
            <charset val="1"/>
          </rPr>
          <t xml:space="preserve">Desc: Digital to Analog Converters - DAC Dual 8-bit Parallel Iout DAC I.C.</t>
        </r>
      </text>
    </comment>
    <comment ref="S33" authorId="0">
      <text>
        <r>
          <rPr>
            <sz val="11"/>
            <color rgb="FF000000"/>
            <rFont val="Calibri"/>
            <family val="2"/>
            <charset val="1"/>
          </rPr>
          <t xml:space="preserve">Desc: FFC &amp; FPC Connectors</t>
        </r>
      </text>
    </comment>
    <comment ref="S34" authorId="0">
      <text>
        <r>
          <rPr>
            <sz val="11"/>
            <color rgb="FF000000"/>
            <rFont val="Calibri"/>
            <family val="2"/>
            <charset val="1"/>
          </rPr>
          <t xml:space="preserve">Desc: LDO Voltage Regulators 45V Vin, 100mA, Low Noise, Low Dropout, Micropower Linear Regulator</t>
        </r>
      </text>
    </comment>
    <comment ref="S35" authorId="0">
      <text>
        <r>
          <rPr>
            <sz val="11"/>
            <color rgb="FF000000"/>
            <rFont val="Calibri"/>
            <family val="2"/>
            <charset val="1"/>
          </rPr>
          <t xml:space="preserve">Desc: LDO Voltage Regulators 40V 200mA LDO 3.3Vo</t>
        </r>
      </text>
    </comment>
    <comment ref="S36" authorId="0">
      <text>
        <r>
          <rPr>
            <sz val="11"/>
            <color rgb="FF000000"/>
            <rFont val="Calibri"/>
            <family val="2"/>
            <charset val="1"/>
          </rPr>
          <t xml:space="preserve">Desc: Switching Voltage Regulators 500mA, 50V Non-sync Buck</t>
        </r>
      </text>
    </comment>
    <comment ref="S37" authorId="0">
      <text>
        <r>
          <rPr>
            <sz val="11"/>
            <color rgb="FF000000"/>
            <rFont val="Calibri"/>
            <family val="2"/>
            <charset val="1"/>
          </rPr>
          <t xml:space="preserve">Desc: Voltage References 0.05% 20-ppm/ C drift precision series voltage reference with shutdown enable 5-SOT-23 -40 to 125</t>
        </r>
      </text>
    </comment>
    <comment ref="S38" authorId="0">
      <text>
        <r>
          <rPr>
            <sz val="11"/>
            <color rgb="FF000000"/>
            <rFont val="Calibri"/>
            <family val="2"/>
            <charset val="1"/>
          </rPr>
          <t xml:space="preserve">Desc: High Speed Operational Amplifiers 45MHz,45V/us, Dual R2R I/O OA</t>
        </r>
      </text>
    </comment>
  </commentList>
</comments>
</file>

<file path=xl/sharedStrings.xml><?xml version="1.0" encoding="utf-8"?>
<sst xmlns="http://schemas.openxmlformats.org/spreadsheetml/2006/main" count="206" uniqueCount="182">
  <si>
    <t xml:space="preserve">Prj:</t>
  </si>
  <si>
    <t xml:space="preserve">printhead_controller.xml</t>
  </si>
  <si>
    <t xml:space="preserve">Board Qty:</t>
  </si>
  <si>
    <t xml:space="preserve">Co.:</t>
  </si>
  <si>
    <t xml:space="preserve">Unit Cost:</t>
  </si>
  <si>
    <t xml:space="preserve">Prj date:</t>
  </si>
  <si>
    <t xml:space="preserve">7/31/2022 6:24:15 PM</t>
  </si>
  <si>
    <t xml:space="preserve">Total Cost:</t>
  </si>
  <si>
    <t xml:space="preserve">$ date:</t>
  </si>
  <si>
    <t xml:space="preserve">2022-07-31 18:26:09</t>
  </si>
  <si>
    <t xml:space="preserve">Global Part Info</t>
  </si>
  <si>
    <t xml:space="preserve">Digi-Key</t>
  </si>
  <si>
    <t xml:space="preserve">Mouser</t>
  </si>
  <si>
    <t xml:space="preserve">Refs</t>
  </si>
  <si>
    <t xml:space="preserve">Value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</si>
  <si>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</si>
  <si>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</si>
  <si>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</si>
  <si>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</si>
  <si>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</si>
  <si>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</si>
  <si>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</si>
  <si>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MOQ</t>
  </si>
  <si>
    <t xml:space="preserve">Cat#</t>
  </si>
  <si>
    <t xml:space="preserve">C1,C2</t>
  </si>
  <si>
    <t xml:space="preserve">22uF</t>
  </si>
  <si>
    <t xml:space="preserve">CP_Elec_6.3x7.7</t>
  </si>
  <si>
    <t xml:space="preserve">EEE-FN1J220XP</t>
  </si>
  <si>
    <t xml:space="preserve">667-EEE-FN1J220XP</t>
  </si>
  <si>
    <t xml:space="preserve">C3,C4</t>
  </si>
  <si>
    <t xml:space="preserve">100nF</t>
  </si>
  <si>
    <t xml:space="preserve">C_0603_1608Metric_Pad1.08x0.95mm_HandSolder</t>
  </si>
  <si>
    <t xml:space="preserve">CS0603KRX7R9BB104</t>
  </si>
  <si>
    <t xml:space="preserve">603-CS0603KRX79BB104</t>
  </si>
  <si>
    <t xml:space="preserve">C5,C6,C10,C13,C14,C16,C20,C21</t>
  </si>
  <si>
    <t xml:space="preserve">4.7uF</t>
  </si>
  <si>
    <t xml:space="preserve">C_1206_3216Metric_Pad1.33x1.80mm_HandSolder</t>
  </si>
  <si>
    <t xml:space="preserve">GRM31CC72A475ME11L</t>
  </si>
  <si>
    <t xml:space="preserve">490-18621-1-ND</t>
  </si>
  <si>
    <t xml:space="preserve">81-GRM31CC72A475ME11</t>
  </si>
  <si>
    <t xml:space="preserve">C7,C8</t>
  </si>
  <si>
    <t xml:space="preserve">10nF</t>
  </si>
  <si>
    <t xml:space="preserve">GCM188R71H103KA37J</t>
  </si>
  <si>
    <t xml:space="preserve">490-11159-1-ND</t>
  </si>
  <si>
    <t xml:space="preserve">81-GCM188R71H103KA7J</t>
  </si>
  <si>
    <t xml:space="preserve">C9,C11,C15,C19</t>
  </si>
  <si>
    <t xml:space="preserve">2.2uF</t>
  </si>
  <si>
    <t xml:space="preserve">GRT188R61H225KE13D</t>
  </si>
  <si>
    <t xml:space="preserve">490-12332-1-ND</t>
  </si>
  <si>
    <t xml:space="preserve">81-GRT188R61H225KE3D</t>
  </si>
  <si>
    <t xml:space="preserve">C12</t>
  </si>
  <si>
    <t xml:space="preserve">100n</t>
  </si>
  <si>
    <t xml:space="preserve">C17,C18</t>
  </si>
  <si>
    <t xml:space="preserve">20pF</t>
  </si>
  <si>
    <t xml:space="preserve">CL10C200JB81PNC </t>
  </si>
  <si>
    <t xml:space="preserve">81-GRM185C1H200JA01J</t>
  </si>
  <si>
    <t xml:space="preserve">D1</t>
  </si>
  <si>
    <t xml:space="preserve">CD1206-B2100</t>
  </si>
  <si>
    <t xml:space="preserve">D_1206_3216Metric_Pad1.42x1.75mm_HandSolder</t>
  </si>
  <si>
    <t xml:space="preserve">CD1206-B2100CT-ND</t>
  </si>
  <si>
    <t xml:space="preserve">652-CD1206-B2100</t>
  </si>
  <si>
    <t xml:space="preserve">F1</t>
  </si>
  <si>
    <t xml:space="preserve">Fuse</t>
  </si>
  <si>
    <t xml:space="preserve">Fuse_1206_3216Metric_Pad1.42x1.75mm_HandSolder</t>
  </si>
  <si>
    <t xml:space="preserve">SF-1206F400M-2</t>
  </si>
  <si>
    <t xml:space="preserve">118-SF-1206F400M-2CT-ND</t>
  </si>
  <si>
    <t xml:space="preserve">652-SF-1206F400M-2</t>
  </si>
  <si>
    <t xml:space="preserve">H1,H2</t>
  </si>
  <si>
    <t xml:space="preserve">MountingHole_Pad</t>
  </si>
  <si>
    <t xml:space="preserve">MountingHole_3.2mm_M3_Pad_TopBottom</t>
  </si>
  <si>
    <t xml:space="preserve">J1</t>
  </si>
  <si>
    <t xml:space="preserve">Barrel_Jack</t>
  </si>
  <si>
    <t xml:space="preserve">BarrelJack_CUI_PJ-063AH_Horizontal</t>
  </si>
  <si>
    <t xml:space="preserve">PJ-063AH</t>
  </si>
  <si>
    <t xml:space="preserve">CP-063AH-ND</t>
  </si>
  <si>
    <t xml:space="preserve">490-PJ-063AH</t>
  </si>
  <si>
    <t xml:space="preserve">J2,J3</t>
  </si>
  <si>
    <t xml:space="preserve">PMOD</t>
  </si>
  <si>
    <t xml:space="preserve">PMOD-12-PERIPHERAL</t>
  </si>
  <si>
    <t xml:space="preserve">68021-212HLF</t>
  </si>
  <si>
    <t xml:space="preserve">649-68021-212HLF</t>
  </si>
  <si>
    <t xml:space="preserve">JP1</t>
  </si>
  <si>
    <t xml:space="preserve">SolderJumper_3_Open</t>
  </si>
  <si>
    <t xml:space="preserve">SolderJumper-3_P1.3mm_Open_Pad1.0x1.5mm</t>
  </si>
  <si>
    <t xml:space="preserve">L1</t>
  </si>
  <si>
    <t xml:space="preserve">LPS5030-223MRC</t>
  </si>
  <si>
    <t xml:space="preserve">L_Coilcraft_LPS5030</t>
  </si>
  <si>
    <t xml:space="preserve">994-LPS5030-223MRC</t>
  </si>
  <si>
    <t xml:space="preserve">Q1,Q2</t>
  </si>
  <si>
    <t xml:space="preserve">CMPT2222</t>
  </si>
  <si>
    <t xml:space="preserve">SOT-23</t>
  </si>
  <si>
    <t xml:space="preserve">CMPT2222AE TR PBFREE</t>
  </si>
  <si>
    <t xml:space="preserve">610-CMPT2222AE</t>
  </si>
  <si>
    <t xml:space="preserve">Q3,Q5</t>
  </si>
  <si>
    <t xml:space="preserve">MJD122</t>
  </si>
  <si>
    <t xml:space="preserve">TO-252-3_TabPin2</t>
  </si>
  <si>
    <t xml:space="preserve">MJD122G</t>
  </si>
  <si>
    <t xml:space="preserve">MJD122GOS-ND</t>
  </si>
  <si>
    <t xml:space="preserve">863-MJD122G</t>
  </si>
  <si>
    <t xml:space="preserve">Q4,Q6</t>
  </si>
  <si>
    <t xml:space="preserve">MJD128</t>
  </si>
  <si>
    <t xml:space="preserve">MJD128T4G</t>
  </si>
  <si>
    <t xml:space="preserve">863-MJD128T4G</t>
  </si>
  <si>
    <t xml:space="preserve">R1,R2,R4,R11,R12</t>
  </si>
  <si>
    <t xml:space="preserve">10k</t>
  </si>
  <si>
    <t xml:space="preserve">R_0603_1608Metric_Pad0.98x0.95mm_HandSolder</t>
  </si>
  <si>
    <t xml:space="preserve">CMP0603AFX-1002ELF</t>
  </si>
  <si>
    <t xml:space="preserve">118-CMP0603AFX-1002ELFCT-ND</t>
  </si>
  <si>
    <t xml:space="preserve">652-CMP0603AFX-1002L</t>
  </si>
  <si>
    <t xml:space="preserve">R3</t>
  </si>
  <si>
    <t xml:space="preserve">100k</t>
  </si>
  <si>
    <t xml:space="preserve">CHV0603-FX-1003EST</t>
  </si>
  <si>
    <t xml:space="preserve">118-CHV0603-FX-1003ESTCT-ND</t>
  </si>
  <si>
    <t xml:space="preserve">652-CHV0603FX1003EST</t>
  </si>
  <si>
    <t xml:space="preserve">R5</t>
  </si>
  <si>
    <t xml:space="preserve">2.8k</t>
  </si>
  <si>
    <t xml:space="preserve">RN73H1JTTD2801B25
</t>
  </si>
  <si>
    <t xml:space="preserve">13-RT0603DRE072R8LCT-ND</t>
  </si>
  <si>
    <t xml:space="preserve">603-RT0603DRE072R8L</t>
  </si>
  <si>
    <t xml:space="preserve">R6</t>
  </si>
  <si>
    <t xml:space="preserve">124k</t>
  </si>
  <si>
    <t xml:space="preserve">CR0603-FX-1243ELF</t>
  </si>
  <si>
    <t xml:space="preserve">652-CR0603FX-1243ELF</t>
  </si>
  <si>
    <t xml:space="preserve">R7,R8</t>
  </si>
  <si>
    <t xml:space="preserve">1k</t>
  </si>
  <si>
    <t xml:space="preserve">RK73H1JTTD1001F</t>
  </si>
  <si>
    <t xml:space="preserve">2019-RK73H1JTTD1001FCT-ND</t>
  </si>
  <si>
    <t xml:space="preserve">660-RK73H1JTTD1001F</t>
  </si>
  <si>
    <t xml:space="preserve">R9,R10</t>
  </si>
  <si>
    <t xml:space="preserve">13.2k</t>
  </si>
  <si>
    <t xml:space="preserve">RN731JTTD1322D25</t>
  </si>
  <si>
    <t xml:space="preserve">660-RN731JTTD1322D25</t>
  </si>
  <si>
    <t xml:space="preserve">RV1,RV2</t>
  </si>
  <si>
    <t xml:space="preserve">Potentiometer_Bourns_3214G_Horizontal</t>
  </si>
  <si>
    <t xml:space="preserve">3214G-1-103E</t>
  </si>
  <si>
    <t xml:space="preserve">3214G-1-103ECT-ND</t>
  </si>
  <si>
    <t xml:space="preserve">652-3214G-1-103E</t>
  </si>
  <si>
    <t xml:space="preserve">TP1,TP2</t>
  </si>
  <si>
    <t xml:space="preserve">TestPoint</t>
  </si>
  <si>
    <t xml:space="preserve">TestPoint_Pad_D1.0mm</t>
  </si>
  <si>
    <t xml:space="preserve">U1</t>
  </si>
  <si>
    <t xml:space="preserve">AD5428</t>
  </si>
  <si>
    <t xml:space="preserve">TSSOP-20_4.4x6.5mm_P0.65mm</t>
  </si>
  <si>
    <t xml:space="preserve">AD5428YRUZ</t>
  </si>
  <si>
    <t xml:space="preserve">505-AD5428YRUZ-ND</t>
  </si>
  <si>
    <t xml:space="preserve">584-AD5428YRUZ</t>
  </si>
  <si>
    <t xml:space="preserve">U2</t>
  </si>
  <si>
    <t xml:space="preserve">XP4105_Printhead</t>
  </si>
  <si>
    <t xml:space="preserve">Molex_200528-0210_1x21-1MP_P1.00mm_Horizontal</t>
  </si>
  <si>
    <t xml:space="preserve">200528-0210</t>
  </si>
  <si>
    <t xml:space="preserve">NonStk</t>
  </si>
  <si>
    <t xml:space="preserve">N/A</t>
  </si>
  <si>
    <t xml:space="preserve">U3</t>
  </si>
  <si>
    <t xml:space="preserve">LT3060</t>
  </si>
  <si>
    <t xml:space="preserve">SOT-23-8_Handsoldering</t>
  </si>
  <si>
    <t xml:space="preserve">LT3060ETS8-2.5#TRMPBF</t>
  </si>
  <si>
    <t xml:space="preserve">584-3060ETS8-2.5TMPF</t>
  </si>
  <si>
    <t xml:space="preserve">U4</t>
  </si>
  <si>
    <t xml:space="preserve">ADP7142AUJZ-3.3</t>
  </si>
  <si>
    <t xml:space="preserve">TSOT-23-5</t>
  </si>
  <si>
    <t xml:space="preserve">ADP7142AUJZ-3.3-R7</t>
  </si>
  <si>
    <t xml:space="preserve">584-ADP7142AUJZ3.3R7</t>
  </si>
  <si>
    <t xml:space="preserve">U5</t>
  </si>
  <si>
    <t xml:space="preserve">MP2459</t>
  </si>
  <si>
    <t xml:space="preserve">TSOT-23-6_HandSoldering</t>
  </si>
  <si>
    <t xml:space="preserve">MP2459GJ-Z</t>
  </si>
  <si>
    <t xml:space="preserve">946-MP2459GJZ</t>
  </si>
  <si>
    <t xml:space="preserve">U6</t>
  </si>
  <si>
    <t xml:space="preserve">LM4132xMF-2.5</t>
  </si>
  <si>
    <t xml:space="preserve">SOT-23-5</t>
  </si>
  <si>
    <t xml:space="preserve">LM4132CMFX-2.5/NOPB</t>
  </si>
  <si>
    <t xml:space="preserve">926-LM4132CMFX25NOPB</t>
  </si>
  <si>
    <t xml:space="preserve">U7</t>
  </si>
  <si>
    <t xml:space="preserve">LT1632</t>
  </si>
  <si>
    <t xml:space="preserve">SOIC-8_3.9x4.9mm_P1.27mm</t>
  </si>
  <si>
    <t xml:space="preserve">LT1632IS8#TRPBF</t>
  </si>
  <si>
    <t xml:space="preserve">LT1632IS8#TRPBFCT-ND</t>
  </si>
  <si>
    <t xml:space="preserve">584-LT1632IS8#TRPBF</t>
  </si>
  <si>
    <t xml:space="preserve">Total Purchase:</t>
  </si>
  <si>
    <t xml:space="preserve">Buy here</t>
  </si>
  <si>
    <t xml:space="preserve">KiCost® v1.1.11</t>
  </si>
  <si>
    <t xml:space="preserve">Purchase description: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</si>
</sst>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General"/>
    <numFmt numFmtId="167" formatCode="\$#,##0.0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90909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mouser.com/ProductDetail/Panasonic/EEE-FN1J220XP?qs=OlC7AqGiEDlUzF6cEuRRyQ%3D%3D" TargetMode="External"/><Relationship Id="rId3" Type="http://schemas.openxmlformats.org/officeDocument/2006/relationships/hyperlink" Target="https://www.mouser.com/ProductDetail/YAGEO/CS0603KRX7R9BB104?qs=tS%2FAHvPQ%2F54ugNwFbI0Low%3D%3D" TargetMode="External"/><Relationship Id="rId4" Type="http://schemas.openxmlformats.org/officeDocument/2006/relationships/hyperlink" Target="https://octopart.com/click/track?ai=8078&amp;sig=059bb32&amp;sid=459&amp;ppid=102281467&amp;vpid=549482197&amp;ct=offers" TargetMode="External"/><Relationship Id="rId5" Type="http://schemas.openxmlformats.org/officeDocument/2006/relationships/hyperlink" Target="https://www.mouser.com/ProductDetail/Murata-Electronics/GRM31CC72A475ME11L?qs=d0WKAl%252BL4KY%252B1uticXzKaw%3D%3D" TargetMode="External"/><Relationship Id="rId6" Type="http://schemas.openxmlformats.org/officeDocument/2006/relationships/hyperlink" Target="https://octopart.com/click/track?ai=8078&amp;sig=0faa127&amp;sid=459&amp;ppid=19777506&amp;vpid=216077861&amp;ct=offers" TargetMode="External"/><Relationship Id="rId7" Type="http://schemas.openxmlformats.org/officeDocument/2006/relationships/hyperlink" Target="https://www.mouser.com/ProductDetail/Murata-Electronics/GCM188R71H103KA37J?qs=N3Kl9KD794T3%2FxlXdF0Axg%3D%3D" TargetMode="External"/><Relationship Id="rId8" Type="http://schemas.openxmlformats.org/officeDocument/2006/relationships/hyperlink" Target="https://octopart.com/click/track?ai=8078&amp;sig=02d8b98&amp;sid=459&amp;ppid=62921612&amp;vpid=223635534&amp;ct=offers" TargetMode="External"/><Relationship Id="rId9" Type="http://schemas.openxmlformats.org/officeDocument/2006/relationships/hyperlink" Target="https://www.mouser.com/ProductDetail/Murata-Electronics/GRT188R61H225KE13D?qs=drgMNd%252BkGPOTrTm4FN7APg%3D%3D" TargetMode="External"/><Relationship Id="rId10" Type="http://schemas.openxmlformats.org/officeDocument/2006/relationships/hyperlink" Target="https://www.mouser.com/ProductDetail/YAGEO/CS0603KRX7R9BB104?qs=tS%2FAHvPQ%2F54ugNwFbI0Low%3D%3D" TargetMode="External"/><Relationship Id="rId11" Type="http://schemas.openxmlformats.org/officeDocument/2006/relationships/hyperlink" Target="https://www.mouser.com/ProductDetail/Murata-Electronics/GRM1885C1H200JA01J?qs=SSucg2PyLi5AT43tSDep3g%3D%3D" TargetMode="External"/><Relationship Id="rId12" Type="http://schemas.openxmlformats.org/officeDocument/2006/relationships/hyperlink" Target="https://octopart.com/click/track?ai=8078&amp;sig=08d7e77&amp;sid=459&amp;ppid=2021213&amp;vpid=241887145&amp;ct=offers" TargetMode="External"/><Relationship Id="rId13" Type="http://schemas.openxmlformats.org/officeDocument/2006/relationships/hyperlink" Target="https://www.mouser.com/ProductDetail/Bourns/CD1206-B2100?qs=VNGG2InBe5EQUAtP9HPU9g%3D%3D" TargetMode="External"/><Relationship Id="rId14" Type="http://schemas.openxmlformats.org/officeDocument/2006/relationships/hyperlink" Target="https://octopart.com/click/track?ai=8078&amp;sig=0ee56f3&amp;sid=459&amp;ppid=118747778&amp;vpid=734376597&amp;ct=offers" TargetMode="External"/><Relationship Id="rId15" Type="http://schemas.openxmlformats.org/officeDocument/2006/relationships/hyperlink" Target="https://www.mouser.com/ProductDetail/Bourns/SF-1206F400M-2?qs=QNEnbhJQKvZR8N5n9OuamA%3D%3D" TargetMode="External"/><Relationship Id="rId16" Type="http://schemas.openxmlformats.org/officeDocument/2006/relationships/hyperlink" Target="https://octopart.com/click/track?ai=8078&amp;sig=06ca8e5&amp;sid=459&amp;ppid=106234056&amp;vpid=612419883&amp;ct=offers" TargetMode="External"/><Relationship Id="rId17" Type="http://schemas.openxmlformats.org/officeDocument/2006/relationships/hyperlink" Target="https://www.mouser.com/ProductDetail/CUI-Devices/PJ-063AH?qs=WyjlAZoYn51bQfA53nMcVA%3D%3D" TargetMode="External"/><Relationship Id="rId18" Type="http://schemas.openxmlformats.org/officeDocument/2006/relationships/hyperlink" Target="https://www.digilentinc.com/Pmods/Digilent-Pmod_%20Interface_Specification.pdf" TargetMode="External"/><Relationship Id="rId19" Type="http://schemas.openxmlformats.org/officeDocument/2006/relationships/hyperlink" Target="https://www.mouser.com/ProductDetail/Amphenol-FCI/68021-212HLF?qs=KWzNV0LRuGB%252BcFlfC6ZyTw%3D%3D" TargetMode="External"/><Relationship Id="rId20" Type="http://schemas.openxmlformats.org/officeDocument/2006/relationships/hyperlink" Target="https://www.mouser.com/ProductDetail/Coilcraft/LPS5030-223MRC?qs=QQJxVsr8EGaw%252Bi6Jfb4hJQ%3D%3D" TargetMode="External"/><Relationship Id="rId21" Type="http://schemas.openxmlformats.org/officeDocument/2006/relationships/hyperlink" Target="https://www.onsemi.com/pub/Collateral/BC808-D.pdf" TargetMode="External"/><Relationship Id="rId22" Type="http://schemas.openxmlformats.org/officeDocument/2006/relationships/hyperlink" Target="https://www.mouser.com/ProductDetail/Central-Semiconductor/CMPT2222AE-TR-PBFREE?qs=u16ybLDytRY%252B7Z6%252BUE3BtA%3D%3D" TargetMode="External"/><Relationship Id="rId23" Type="http://schemas.openxmlformats.org/officeDocument/2006/relationships/hyperlink" Target="https://octopart.com/click/track?ai=8078&amp;sig=0a2e7f9&amp;sid=459&amp;ppid=1003846&amp;vpid=33529186&amp;ct=offers" TargetMode="External"/><Relationship Id="rId24" Type="http://schemas.openxmlformats.org/officeDocument/2006/relationships/hyperlink" Target="https://www.mouser.com/ProductDetail/onsemi/MJD122G?qs=HVbQlW5zcXU7nyhrpyySSg%3D%3D" TargetMode="External"/><Relationship Id="rId25" Type="http://schemas.openxmlformats.org/officeDocument/2006/relationships/hyperlink" Target="https://www.mouser.com/ProductDetail/onsemi/MJD128T4G?qs=R2UZ7gjkEjJ3iLJVIIxt5Q%3D%3D" TargetMode="External"/><Relationship Id="rId26" Type="http://schemas.openxmlformats.org/officeDocument/2006/relationships/hyperlink" Target="https://octopart.com/click/track?ai=8078&amp;sig=0564ef3&amp;sid=459&amp;ppid=107945381&amp;vpid=626855334&amp;ct=offers" TargetMode="External"/><Relationship Id="rId27" Type="http://schemas.openxmlformats.org/officeDocument/2006/relationships/hyperlink" Target="https://www.mouser.com/ProductDetail/Bourns/CMP0603AFX-1002ELF?qs=TiOZkKH1s2Q14lKL9rbzLg%3D%3D" TargetMode="External"/><Relationship Id="rId28" Type="http://schemas.openxmlformats.org/officeDocument/2006/relationships/hyperlink" Target="https://octopart.com/click/track?ai=8078&amp;sig=0018dc4&amp;sid=459&amp;ppid=119150998&amp;vpid=725062019&amp;ct=offers" TargetMode="External"/><Relationship Id="rId29" Type="http://schemas.openxmlformats.org/officeDocument/2006/relationships/hyperlink" Target="https://www.mouser.com/ProductDetail/Bourns/CHV0603-FX-1003EST?qs=QNEnbhJQKvYjZUOCb6w1iw%3D%3D" TargetMode="External"/><Relationship Id="rId30" Type="http://schemas.openxmlformats.org/officeDocument/2006/relationships/hyperlink" Target="https://octopart.com/click/track?ai=8078&amp;sig=0e7af4d&amp;sid=459&amp;ppid=88499069&amp;vpid=634400164&amp;ct=offers" TargetMode="External"/><Relationship Id="rId31" Type="http://schemas.openxmlformats.org/officeDocument/2006/relationships/hyperlink" Target="https://www.mouser.com/ProductDetail/YAGEO/RT0603DRE072R8L?qs=UG%2F8xqv%2F6WexsJAtHa5TmQ%3D%3D" TargetMode="External"/><Relationship Id="rId32" Type="http://schemas.openxmlformats.org/officeDocument/2006/relationships/hyperlink" Target="https://www.mouser.com/ProductDetail/Bourns/CR0603-FX-1243ELF?qs=e7cxVwPieup%252BZlccaQO2Sw%3D%3D" TargetMode="External"/><Relationship Id="rId33" Type="http://schemas.openxmlformats.org/officeDocument/2006/relationships/hyperlink" Target="https://octopart.com/click/track?ai=8078&amp;sig=0cfd3be&amp;sid=459&amp;ppid=2166374&amp;vpid=531266076&amp;ct=offers" TargetMode="External"/><Relationship Id="rId34" Type="http://schemas.openxmlformats.org/officeDocument/2006/relationships/hyperlink" Target="https://www.mouser.com/ProductDetail/KOA-Speer/RK73H1JTTD1001F?qs=LDe0C6QMEhjxBAtFZK22kg%3D%3D" TargetMode="External"/><Relationship Id="rId35" Type="http://schemas.openxmlformats.org/officeDocument/2006/relationships/hyperlink" Target="https://www.mouser.com/ProductDetail/KOA-Speer/RN731JTTD1322D25?qs=FP1Nkeq3mZ%252BTq1KDbgJMDg%3D%3D" TargetMode="External"/><Relationship Id="rId36" Type="http://schemas.openxmlformats.org/officeDocument/2006/relationships/hyperlink" Target="https://octopart.com/click/track?ai=8078&amp;sig=031dd45&amp;sid=459&amp;ppid=974184&amp;vpid=34262155&amp;ct=offers" TargetMode="External"/><Relationship Id="rId37" Type="http://schemas.openxmlformats.org/officeDocument/2006/relationships/hyperlink" Target="https://www.mouser.com/ProductDetail/Bourns/3214G-1-103E?qs=2EY8XwU7iu%2FCUewmLosCUg%3D%3D" TargetMode="External"/><Relationship Id="rId38" Type="http://schemas.openxmlformats.org/officeDocument/2006/relationships/hyperlink" Target="https://www.analog.com/media/en/technical-documentation/data-sheets/AD5428_5440_5447.pdf" TargetMode="External"/><Relationship Id="rId39" Type="http://schemas.openxmlformats.org/officeDocument/2006/relationships/hyperlink" Target="https://octopart.com/click/track?ai=8078&amp;sig=02304d4&amp;sid=459&amp;ppid=434837&amp;vpid=771422796&amp;ct=offers" TargetMode="External"/><Relationship Id="rId40" Type="http://schemas.openxmlformats.org/officeDocument/2006/relationships/hyperlink" Target="https://www.mouser.com/ProductDetail/Analog-Devices/AD5428YRUZ?qs=NmRFExCfTkE3wTpc%2Fxg%252Btw%3D%3D" TargetMode="External"/><Relationship Id="rId41" Type="http://schemas.openxmlformats.org/officeDocument/2006/relationships/hyperlink" Target="http://datasheet.octopart.com/2005280210-Molex-datasheet-147949751.pdf" TargetMode="External"/><Relationship Id="rId42" Type="http://schemas.openxmlformats.org/officeDocument/2006/relationships/hyperlink" Target="https://www.mouser.com/ProductDetail/Molex/2005280210?qs=doiCPypUmgGMhsUUsBtF7g%3D%3D" TargetMode="External"/><Relationship Id="rId43" Type="http://schemas.openxmlformats.org/officeDocument/2006/relationships/hyperlink" Target="https://www.mouser.com/datasheet/2/609/lt3060-2821776.pdf" TargetMode="External"/><Relationship Id="rId44" Type="http://schemas.openxmlformats.org/officeDocument/2006/relationships/hyperlink" Target="https://www.mouser.com/ProductDetail/Analog-Devices/LT3060ETS8-2.5TRMPBF?qs=hVkxg5c3xu%252Bgr%252BEJZd7ctA%3D%3D" TargetMode="External"/><Relationship Id="rId45" Type="http://schemas.openxmlformats.org/officeDocument/2006/relationships/hyperlink" Target="https://www.analog.com/media/en/technical-documentation/data-sheets/ADP7142.pdf" TargetMode="External"/><Relationship Id="rId46" Type="http://schemas.openxmlformats.org/officeDocument/2006/relationships/hyperlink" Target="https://www.mouser.com/ProductDetail/Analog-Devices/ADP7142AUJZ-3.3-R7?qs=hpwIUhX6lWzL3aTPGC3rIQ%3D%3D" TargetMode="External"/><Relationship Id="rId47" Type="http://schemas.openxmlformats.org/officeDocument/2006/relationships/hyperlink" Target="https://www.mouser.com/datasheet/2/277/MP2459GJ_Z-2945766.pdf" TargetMode="External"/><Relationship Id="rId48" Type="http://schemas.openxmlformats.org/officeDocument/2006/relationships/hyperlink" Target="https://www.mouser.com/ProductDetail/Monolithic-Power-Systems-MPS/MP2459GJ-Z?qs=QEkzKklKf2TCowgo8xAXMA%3D%3D" TargetMode="External"/><Relationship Id="rId49" Type="http://schemas.openxmlformats.org/officeDocument/2006/relationships/hyperlink" Target="http://www.ti.com/lit/ds/symlink/lm4132.pdf" TargetMode="External"/><Relationship Id="rId50" Type="http://schemas.openxmlformats.org/officeDocument/2006/relationships/hyperlink" Target="https://www.mouser.com/ProductDetail/Texas-Instruments/LM4132CMFX-2.5-NOPB?qs=QbsRYf82W3H50M9m7eepXQ%3D%3D" TargetMode="External"/><Relationship Id="rId51" Type="http://schemas.openxmlformats.org/officeDocument/2006/relationships/hyperlink" Target="http://datasheet.octopart.com/LT1632IS8%23TRPBF-Analog-Devices-datasheet-12698536.pdf" TargetMode="External"/><Relationship Id="rId52" Type="http://schemas.openxmlformats.org/officeDocument/2006/relationships/hyperlink" Target="https://octopart.com/click/track?ai=8078&amp;sig=0346e9e&amp;sid=459&amp;ppid=88938581&amp;vpid=650437325&amp;ct=offers" TargetMode="External"/><Relationship Id="rId53" Type="http://schemas.openxmlformats.org/officeDocument/2006/relationships/hyperlink" Target="https://www.mouser.com/ProductDetail/Analog-Devices/LT1632IS8TRPBF?qs=ytflclh7QUWs56oPf2mA9w%3D%3D" TargetMode="External"/><Relationship Id="rId54" Type="http://schemas.openxmlformats.org/officeDocument/2006/relationships/hyperlink" Target="https://www.digikey.com/ordering/shoppingcart" TargetMode="External"/><Relationship Id="rId55" Type="http://schemas.openxmlformats.org/officeDocument/2006/relationships/hyperlink" Target="https://mouser.com/bom/" TargetMode="External"/><Relationship Id="rId5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H7" activePane="bottomLeft" state="frozen"/>
      <selection pane="topLeft" activeCell="A1" activeCellId="0" sqref="A1"/>
      <selection pane="bottomLeft" activeCell="D14" activeCellId="0" sqref="D14"/>
    </sheetView>
  </sheetViews>
  <sheetFormatPr defaultColWidth="8.34375" defaultRowHeight="15" zeroHeight="false" outlineLevelRow="0" outlineLevelCol="3"/>
  <cols>
    <col collapsed="false" customWidth="true" hidden="false" outlineLevel="0" max="1" min="1" style="0" width="30.7"/>
    <col collapsed="false" customWidth="true" hidden="false" outlineLevel="0" max="2" min="2" style="0" width="20.71"/>
    <col collapsed="false" customWidth="true" hidden="false" outlineLevel="2" max="3" min="3" style="0" width="33.71"/>
    <col collapsed="false" customWidth="true" hidden="false" outlineLevel="1" max="4" min="4" style="0" width="22.7"/>
    <col collapsed="false" customWidth="true" hidden="false" outlineLevel="1" max="5" min="5" style="0" width="9.14"/>
    <col collapsed="false" customWidth="true" hidden="false" outlineLevel="0" max="6" min="6" style="0" width="22.7"/>
    <col collapsed="false" customWidth="true" hidden="false" outlineLevel="0" max="7" min="7" style="0" width="16.71"/>
    <col collapsed="false" customWidth="true" hidden="false" outlineLevel="1" max="8" min="8" style="0" width="9.71"/>
    <col collapsed="false" customWidth="true" hidden="false" outlineLevel="2" max="9" min="9" style="0" width="9.14"/>
    <col collapsed="false" customWidth="true" hidden="false" outlineLevel="2" max="10" min="10" style="0" width="10.71"/>
    <col collapsed="false" customWidth="true" hidden="true" outlineLevel="3" max="11" min="11" style="0" width="11.52"/>
    <col collapsed="false" customWidth="true" hidden="false" outlineLevel="0" max="12" min="12" style="0" width="16.71"/>
    <col collapsed="false" customWidth="true" hidden="false" outlineLevel="2" max="13" min="13" style="0" width="28.71"/>
    <col collapsed="false" customWidth="true" hidden="false" outlineLevel="1" max="14" min="14" style="0" width="9.71"/>
    <col collapsed="false" customWidth="true" hidden="false" outlineLevel="2" max="15" min="15" style="0" width="9.14"/>
    <col collapsed="false" customWidth="true" hidden="false" outlineLevel="2" max="16" min="16" style="0" width="10.71"/>
    <col collapsed="false" customWidth="true" hidden="true" outlineLevel="3" max="17" min="17" style="0" width="11.52"/>
    <col collapsed="false" customWidth="true" hidden="false" outlineLevel="0" max="18" min="18" style="0" width="16.71"/>
    <col collapsed="false" customWidth="true" hidden="false" outlineLevel="2" max="19" min="19" style="0" width="21.71"/>
  </cols>
  <sheetData>
    <row r="1" customFormat="false" ht="15" hidden="false" customHeight="false" outlineLevel="0" collapsed="false">
      <c r="A1" s="1" t="s">
        <v>0</v>
      </c>
      <c r="B1" s="2" t="s">
        <v>1</v>
      </c>
      <c r="F1" s="3" t="s">
        <v>2</v>
      </c>
      <c r="G1" s="3" t="n">
        <v>1</v>
      </c>
    </row>
    <row r="2" customFormat="false" ht="15" hidden="false" customHeight="false" outlineLevel="0" collapsed="false">
      <c r="A2" s="1" t="s">
        <v>3</v>
      </c>
      <c r="B2" s="2"/>
      <c r="F2" s="1" t="s">
        <v>4</v>
      </c>
      <c r="G2" s="4" t="n">
        <f aca="false">TotalCost/BoardQty</f>
        <v>60.84</v>
      </c>
    </row>
    <row r="3" customFormat="false" ht="15" hidden="false" customHeight="false" outlineLevel="0" collapsed="false">
      <c r="A3" s="1" t="s">
        <v>5</v>
      </c>
      <c r="B3" s="2" t="s">
        <v>6</v>
      </c>
      <c r="F3" s="1" t="s">
        <v>7</v>
      </c>
      <c r="G3" s="5" t="n">
        <f aca="false">SUM(G7:G38)</f>
        <v>60.84</v>
      </c>
      <c r="L3" s="5" t="n">
        <f aca="false">SUM(L7:L38)</f>
        <v>39.21</v>
      </c>
      <c r="M3" s="6" t="str">
        <f aca="false">(COUNTA(L7:L38)&amp;" of "&amp;ROWS(L7:L38)&amp;" parts found")</f>
        <v>14 of 32 parts found</v>
      </c>
      <c r="R3" s="5" t="n">
        <f aca="false">SUM(R7:R38)</f>
        <v>61.5</v>
      </c>
      <c r="S3" s="6" t="str">
        <f aca="false">(COUNTA(R7:R38)&amp;" of "&amp;ROWS(R7:R38)&amp;" parts found")</f>
        <v>28 of 32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8" t="s">
        <v>11</v>
      </c>
      <c r="I5" s="8"/>
      <c r="J5" s="8"/>
      <c r="K5" s="8"/>
      <c r="L5" s="8"/>
      <c r="M5" s="8"/>
      <c r="N5" s="9" t="s">
        <v>12</v>
      </c>
      <c r="O5" s="9"/>
      <c r="P5" s="9"/>
      <c r="Q5" s="9"/>
      <c r="R5" s="9"/>
      <c r="S5" s="9"/>
    </row>
    <row r="6" customFormat="false" ht="15" hidden="false" customHeight="false" outlineLevel="0" collapsed="false">
      <c r="A6" s="10" t="s">
        <v>13</v>
      </c>
      <c r="B6" s="10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10" t="s">
        <v>20</v>
      </c>
      <c r="I6" s="10" t="s">
        <v>21</v>
      </c>
      <c r="J6" s="10" t="s">
        <v>18</v>
      </c>
      <c r="K6" s="10" t="s">
        <v>22</v>
      </c>
      <c r="L6" s="10" t="s">
        <v>19</v>
      </c>
      <c r="M6" s="10" t="s">
        <v>23</v>
      </c>
      <c r="N6" s="10" t="s">
        <v>20</v>
      </c>
      <c r="O6" s="10" t="s">
        <v>21</v>
      </c>
      <c r="P6" s="10" t="s">
        <v>18</v>
      </c>
      <c r="Q6" s="10" t="s">
        <v>22</v>
      </c>
      <c r="R6" s="10" t="s">
        <v>19</v>
      </c>
      <c r="S6" s="10" t="s">
        <v>23</v>
      </c>
    </row>
    <row r="7" customFormat="false" ht="15" hidden="false" customHeight="false" outlineLevel="0" collapsed="false">
      <c r="A7" s="11" t="s">
        <v>24</v>
      </c>
      <c r="B7" s="11" t="s">
        <v>25</v>
      </c>
      <c r="C7" s="11" t="s">
        <v>26</v>
      </c>
      <c r="D7" s="11" t="s">
        <v>27</v>
      </c>
      <c r="E7" s="12" t="n">
        <f aca="false">CEILING(BoardQty*2,1)</f>
        <v>2</v>
      </c>
      <c r="F7" s="13" t="n">
        <f aca="false">IF(MIN(J7,P7)&lt;&gt;0,MIN(J7,P7),"")</f>
        <v>0.77</v>
      </c>
      <c r="G7" s="14" t="n">
        <f aca="false">IF(AND(ISNUMBER(E7),ISNUMBER(F7)),E7*F7,"")</f>
        <v>1.54</v>
      </c>
      <c r="N7" s="15" t="n">
        <v>9238</v>
      </c>
      <c r="O7" s="15"/>
      <c r="P7" s="13" t="n">
        <f aca="false">IFERROR(IF(OR(O7&gt;=Q7,E7&gt;=Q7),LOOKUP(IF(O7="",E7,O7),{0,1,10,50,100,500,900,1800,4500,9900},{0,0.77,0.533,0.404,0.352,0.261,0.221,0.208,0.195,0.182}),"MOQ="&amp;Q7),"")</f>
        <v>0.77</v>
      </c>
      <c r="Q7" s="11" t="n">
        <v>1</v>
      </c>
      <c r="R7" s="14" t="n">
        <f aca="false">IFERROR(IF(O7="",E7,O7)*P7,"")</f>
        <v>1.54</v>
      </c>
      <c r="S7" s="11" t="s">
        <v>28</v>
      </c>
    </row>
    <row r="8" customFormat="false" ht="30" hidden="false" customHeight="true" outlineLevel="0" collapsed="false">
      <c r="A8" s="11" t="s">
        <v>29</v>
      </c>
      <c r="B8" s="11" t="s">
        <v>30</v>
      </c>
      <c r="C8" s="11" t="s">
        <v>31</v>
      </c>
      <c r="D8" s="11" t="s">
        <v>32</v>
      </c>
      <c r="E8" s="12" t="n">
        <f aca="false">CEILING(BoardQty*2,1)</f>
        <v>2</v>
      </c>
      <c r="F8" s="13" t="n">
        <f aca="false">IF(MIN(J8,P8)&lt;&gt;0,MIN(J8,P8),"")</f>
        <v>0.16</v>
      </c>
      <c r="G8" s="14" t="n">
        <f aca="false">IF(AND(ISNUMBER(E8),ISNUMBER(F8)),E8*F8,"")</f>
        <v>0.32</v>
      </c>
      <c r="N8" s="15" t="n">
        <v>23727</v>
      </c>
      <c r="O8" s="15"/>
      <c r="P8" s="13" t="n">
        <f aca="false">IFERROR(IF(OR(O8&gt;=Q8,E8&gt;=Q8),LOOKUP(IF(O8="",E8,O8),{0,1,10,100,500,1000,2000,4000,8000},{0,0.16,0.114,0.054,0.037,0.031,0.03,0.026,0.023}),"MOQ="&amp;Q8),"")</f>
        <v>0.16</v>
      </c>
      <c r="Q8" s="11" t="n">
        <v>1</v>
      </c>
      <c r="R8" s="14" t="n">
        <f aca="false">IFERROR(IF(O8="",E8,O8)*P8,"")</f>
        <v>0.32</v>
      </c>
      <c r="S8" s="11" t="s">
        <v>33</v>
      </c>
    </row>
    <row r="9" customFormat="false" ht="30" hidden="false" customHeight="true" outlineLevel="0" collapsed="false">
      <c r="A9" s="11" t="s">
        <v>34</v>
      </c>
      <c r="B9" s="11" t="s">
        <v>35</v>
      </c>
      <c r="C9" s="11" t="s">
        <v>36</v>
      </c>
      <c r="D9" s="11" t="s">
        <v>37</v>
      </c>
      <c r="E9" s="12" t="n">
        <f aca="false">CEILING(BoardQty*8,1)</f>
        <v>8</v>
      </c>
      <c r="F9" s="13" t="n">
        <f aca="false">IF(MIN(J9,P9)&lt;&gt;0,MIN(J9,P9),"")</f>
        <v>0.85</v>
      </c>
      <c r="G9" s="14" t="n">
        <f aca="false">IF(AND(ISNUMBER(E9),ISNUMBER(F9)),E9*F9,"")</f>
        <v>6.8</v>
      </c>
      <c r="H9" s="15" t="n">
        <v>35548</v>
      </c>
      <c r="I9" s="15"/>
      <c r="J9" s="13" t="n">
        <f aca="false">IFERROR(IF(OR(I9&gt;=K9,E9&gt;=K9),LOOKUP(IF(I9="",E9,I9),{0,1,10,50,100,500,1000,2000,4000,10000,14000},{0,0.85,0.625,0.4998,0.4284,0.33916,0.2856,0.26775,0.2499,0.24098,0.23741}),"MOQ="&amp;K9),"")</f>
        <v>0.85</v>
      </c>
      <c r="K9" s="11" t="n">
        <v>1</v>
      </c>
      <c r="L9" s="14" t="n">
        <f aca="false">IFERROR(IF(I9="",E9,I9)*J9,"")</f>
        <v>6.8</v>
      </c>
      <c r="M9" s="11" t="s">
        <v>38</v>
      </c>
      <c r="N9" s="15" t="n">
        <v>59445</v>
      </c>
      <c r="O9" s="15"/>
      <c r="P9" s="13" t="n">
        <f aca="false">IFERROR(IF(OR(O9&gt;=Q9,E9&gt;=Q9),LOOKUP(IF(O9="",E9,O9),{0,1,10,100,2000},{0,0.91,0.629,0.575,0.575}),"MOQ="&amp;Q9),"")</f>
        <v>0.91</v>
      </c>
      <c r="Q9" s="11" t="n">
        <v>1</v>
      </c>
      <c r="R9" s="14" t="n">
        <f aca="false">IFERROR(IF(O9="",E9,O9)*P9,"")</f>
        <v>7.28</v>
      </c>
      <c r="S9" s="11" t="s">
        <v>39</v>
      </c>
    </row>
    <row r="10" customFormat="false" ht="30" hidden="false" customHeight="true" outlineLevel="0" collapsed="false">
      <c r="A10" s="11" t="s">
        <v>40</v>
      </c>
      <c r="B10" s="11" t="s">
        <v>41</v>
      </c>
      <c r="C10" s="11" t="s">
        <v>31</v>
      </c>
      <c r="D10" s="11" t="s">
        <v>42</v>
      </c>
      <c r="E10" s="12" t="n">
        <f aca="false">CEILING(BoardQty*2,1)</f>
        <v>2</v>
      </c>
      <c r="F10" s="13" t="n">
        <f aca="false">IF(MIN(J10,P10)&lt;&gt;0,MIN(J10,P10),"")</f>
        <v>0.1</v>
      </c>
      <c r="G10" s="14" t="n">
        <f aca="false">IF(AND(ISNUMBER(E10),ISNUMBER(F10)),E10*F10,"")</f>
        <v>0.2</v>
      </c>
      <c r="H10" s="15" t="n">
        <v>1087679</v>
      </c>
      <c r="I10" s="15"/>
      <c r="J10" s="13" t="n">
        <f aca="false">IFERROR(IF(OR(I10&gt;=K10,E10&gt;=K10),LOOKUP(IF(I10="",E10,I10),{0,1,10,50,100,500,1000,2500,5000,10000,20000,30000,50000,100000,250000},{0,0.1,0.071,0.039,0.0318,0.02272,0.01785,0.01622,0.01493,0.01363,0.01298,0.01233,0.01103,0.00892,0.00811}),"MOQ="&amp;K10),"")</f>
        <v>0.1</v>
      </c>
      <c r="K10" s="11" t="n">
        <v>1</v>
      </c>
      <c r="L10" s="14" t="n">
        <f aca="false">IFERROR(IF(I10="",E10,I10)*J10,"")</f>
        <v>0.2</v>
      </c>
      <c r="M10" s="11" t="s">
        <v>43</v>
      </c>
      <c r="N10" s="15" t="n">
        <v>4921081</v>
      </c>
      <c r="O10" s="15"/>
      <c r="P10" s="13" t="n">
        <f aca="false">IFERROR(IF(OR(O10&gt;=Q10,E10&gt;=Q10),LOOKUP(IF(O10="",E10,O10),{0,1,10,100,500,1000,2500,5000,10000},{0,0.1,0.039,0.032,0.023,0.018,0.017,0.015,0.011}),"MOQ="&amp;Q10),"")</f>
        <v>0.1</v>
      </c>
      <c r="Q10" s="11" t="n">
        <v>1</v>
      </c>
      <c r="R10" s="14" t="n">
        <f aca="false">IFERROR(IF(O10="",E10,O10)*P10,"")</f>
        <v>0.2</v>
      </c>
      <c r="S10" s="11" t="s">
        <v>44</v>
      </c>
    </row>
    <row r="11" customFormat="false" ht="30" hidden="false" customHeight="true" outlineLevel="0" collapsed="false">
      <c r="A11" s="11" t="s">
        <v>45</v>
      </c>
      <c r="B11" s="11" t="s">
        <v>46</v>
      </c>
      <c r="C11" s="11" t="s">
        <v>31</v>
      </c>
      <c r="D11" s="11" t="s">
        <v>47</v>
      </c>
      <c r="E11" s="12" t="n">
        <f aca="false">CEILING(BoardQty*4,1)</f>
        <v>4</v>
      </c>
      <c r="F11" s="13" t="n">
        <f aca="false">IF(MIN(J11,P11)&lt;&gt;0,MIN(J11,P11),"")</f>
        <v>0.31</v>
      </c>
      <c r="G11" s="14" t="n">
        <f aca="false">IF(AND(ISNUMBER(E11),ISNUMBER(F11)),E11*F11,"")</f>
        <v>1.24</v>
      </c>
      <c r="H11" s="15" t="n">
        <v>147813</v>
      </c>
      <c r="I11" s="15"/>
      <c r="J11" s="13" t="n">
        <f aca="false">IFERROR(IF(OR(I11&gt;=K11,E11&gt;=K11),LOOKUP(IF(I11="",E11,I11),{0,1,10,50,100,500,1000,4000,8000,12000,28000,100000},{0,0.31,0.218,0.1528,0.131,0.09828,0.08299,0.07426,0.06989,0.0677,0.06552,0.05678}),"MOQ="&amp;K11),"")</f>
        <v>0.31</v>
      </c>
      <c r="K11" s="11" t="n">
        <v>1</v>
      </c>
      <c r="L11" s="14" t="n">
        <f aca="false">IFERROR(IF(I11="",E11,I11)*J11,"")</f>
        <v>1.24</v>
      </c>
      <c r="M11" s="11" t="s">
        <v>48</v>
      </c>
      <c r="N11" s="15" t="n">
        <v>32011</v>
      </c>
      <c r="O11" s="15"/>
      <c r="P11" s="13" t="n">
        <f aca="false">IFERROR(IF(OR(O11&gt;=Q11,E11&gt;=Q11),LOOKUP(IF(O11="",E11,O11),{0,1,10,100,500,1000,4000,8000,12000},{0,0.33,0.161,0.138,0.103,0.087,0.077,0.072,0.07}),"MOQ="&amp;Q11),"")</f>
        <v>0.33</v>
      </c>
      <c r="Q11" s="11" t="n">
        <v>1</v>
      </c>
      <c r="R11" s="14" t="n">
        <f aca="false">IFERROR(IF(O11="",E11,O11)*P11,"")</f>
        <v>1.32</v>
      </c>
      <c r="S11" s="11" t="s">
        <v>49</v>
      </c>
    </row>
    <row r="12" customFormat="false" ht="30" hidden="false" customHeight="true" outlineLevel="0" collapsed="false">
      <c r="A12" s="11" t="s">
        <v>50</v>
      </c>
      <c r="B12" s="11" t="s">
        <v>51</v>
      </c>
      <c r="C12" s="11" t="s">
        <v>31</v>
      </c>
      <c r="D12" s="11" t="s">
        <v>32</v>
      </c>
      <c r="E12" s="12" t="n">
        <f aca="false">CEILING(BoardQty*1,1)</f>
        <v>1</v>
      </c>
      <c r="F12" s="13" t="n">
        <f aca="false">IF(MIN(J12,P12)&lt;&gt;0,MIN(J12,P12),"")</f>
        <v>0.16</v>
      </c>
      <c r="G12" s="14" t="n">
        <f aca="false">IF(AND(ISNUMBER(E12),ISNUMBER(F12)),E12*F12,"")</f>
        <v>0.16</v>
      </c>
      <c r="N12" s="15" t="n">
        <v>23727</v>
      </c>
      <c r="O12" s="15"/>
      <c r="P12" s="13" t="n">
        <f aca="false">IFERROR(IF(OR(O12&gt;=Q12,E12&gt;=Q12),LOOKUP(IF(O12="",E12,O12),{0,1,10,100,500,1000,2000,4000,8000},{0,0.16,0.114,0.054,0.037,0.031,0.03,0.026,0.023}),"MOQ="&amp;Q12),"")</f>
        <v>0.16</v>
      </c>
      <c r="Q12" s="11" t="n">
        <v>1</v>
      </c>
      <c r="R12" s="14" t="n">
        <f aca="false">IFERROR(IF(O12="",E12,O12)*P12,"")</f>
        <v>0.16</v>
      </c>
      <c r="S12" s="11" t="s">
        <v>33</v>
      </c>
    </row>
    <row r="13" customFormat="false" ht="30" hidden="false" customHeight="true" outlineLevel="0" collapsed="false">
      <c r="A13" s="11" t="s">
        <v>52</v>
      </c>
      <c r="B13" s="11" t="s">
        <v>53</v>
      </c>
      <c r="C13" s="11" t="s">
        <v>31</v>
      </c>
      <c r="D13" s="11" t="s">
        <v>54</v>
      </c>
      <c r="E13" s="12" t="n">
        <f aca="false">CEILING(BoardQty*2,1)</f>
        <v>2</v>
      </c>
      <c r="F13" s="13" t="n">
        <f aca="false">IF(MIN(J13,P13)&lt;&gt;0,MIN(J13,P13),"")</f>
        <v>0.11</v>
      </c>
      <c r="G13" s="14" t="n">
        <f aca="false">IF(AND(ISNUMBER(E13),ISNUMBER(F13)),E13*F13,"")</f>
        <v>0.22</v>
      </c>
      <c r="N13" s="15" t="n">
        <v>63811</v>
      </c>
      <c r="O13" s="15"/>
      <c r="P13" s="13" t="n">
        <f aca="false">IFERROR(IF(OR(O13&gt;=Q13,E13&gt;=Q13),LOOKUP(IF(O13="",E13,O13),{0,1,10,100,500,1000,2500,5000,10000},{0,0.11,0.081,0.038,0.027,0.022,0.02,0.019,0.017}),"MOQ="&amp;Q13),"")</f>
        <v>0.11</v>
      </c>
      <c r="Q13" s="11" t="n">
        <v>1</v>
      </c>
      <c r="R13" s="14" t="n">
        <f aca="false">IFERROR(IF(O13="",E13,O13)*P13,"")</f>
        <v>0.22</v>
      </c>
      <c r="S13" s="11" t="s">
        <v>55</v>
      </c>
    </row>
    <row r="14" customFormat="false" ht="30" hidden="false" customHeight="true" outlineLevel="0" collapsed="false">
      <c r="A14" s="11" t="s">
        <v>56</v>
      </c>
      <c r="B14" s="11" t="s">
        <v>57</v>
      </c>
      <c r="C14" s="11" t="s">
        <v>58</v>
      </c>
      <c r="D14" s="11" t="s">
        <v>57</v>
      </c>
      <c r="E14" s="12" t="n">
        <f aca="false">CEILING(BoardQty*1,1)</f>
        <v>1</v>
      </c>
      <c r="F14" s="13" t="n">
        <f aca="false">IF(MIN(J14,P14)&lt;&gt;0,MIN(J14,P14),"")</f>
        <v>0.48</v>
      </c>
      <c r="G14" s="14" t="n">
        <f aca="false">IF(AND(ISNUMBER(E14),ISNUMBER(F14)),E14*F14,"")</f>
        <v>0.48</v>
      </c>
      <c r="H14" s="15" t="n">
        <v>5916</v>
      </c>
      <c r="I14" s="15"/>
      <c r="J14" s="13" t="n">
        <f aca="false">IFERROR(IF(OR(I14&gt;=K14,E14&gt;=K14),LOOKUP(IF(I14="",E14,I14),{0,1,10,100,500,1000,3000,6000,15000},{0,0.48,0.412,0.308,0.242,0.187,0.1705,0.1595,0.15}),"MOQ="&amp;K14),"")</f>
        <v>0.48</v>
      </c>
      <c r="K14" s="11" t="n">
        <v>1</v>
      </c>
      <c r="L14" s="14" t="n">
        <f aca="false">IFERROR(IF(I14="",E14,I14)*J14,"")</f>
        <v>0.48</v>
      </c>
      <c r="M14" s="11" t="s">
        <v>59</v>
      </c>
      <c r="N14" s="15" t="n">
        <v>60953</v>
      </c>
      <c r="O14" s="15"/>
      <c r="P14" s="13" t="n">
        <f aca="false">IFERROR(IF(OR(O14&gt;=Q14,E14&gt;=Q14),LOOKUP(IF(O14="",E14,O14),{0,1,10,100,500,1000,3000},{0,0.48,0.412,0.308,0.242,0.187,0.17}),"MOQ="&amp;Q14),"")</f>
        <v>0.48</v>
      </c>
      <c r="Q14" s="11" t="n">
        <v>1</v>
      </c>
      <c r="R14" s="14" t="n">
        <f aca="false">IFERROR(IF(O14="",E14,O14)*P14,"")</f>
        <v>0.48</v>
      </c>
      <c r="S14" s="11" t="s">
        <v>60</v>
      </c>
    </row>
    <row r="15" customFormat="false" ht="30" hidden="false" customHeight="true" outlineLevel="0" collapsed="false">
      <c r="A15" s="11" t="s">
        <v>61</v>
      </c>
      <c r="B15" s="11" t="s">
        <v>62</v>
      </c>
      <c r="C15" s="11" t="s">
        <v>63</v>
      </c>
      <c r="D15" s="11" t="s">
        <v>64</v>
      </c>
      <c r="E15" s="12" t="n">
        <f aca="false">CEILING(BoardQty*1,1)</f>
        <v>1</v>
      </c>
      <c r="F15" s="13" t="n">
        <f aca="false">IF(MIN(J15,P15)&lt;&gt;0,MIN(J15,P15),"")</f>
        <v>0.8</v>
      </c>
      <c r="G15" s="14" t="n">
        <f aca="false">IF(AND(ISNUMBER(E15),ISNUMBER(F15)),E15*F15,"")</f>
        <v>0.8</v>
      </c>
      <c r="H15" s="15" t="n">
        <v>2972</v>
      </c>
      <c r="I15" s="15"/>
      <c r="J15" s="13" t="n">
        <f aca="false">IFERROR(IF(OR(I15&gt;=K15,E15&gt;=K15),LOOKUP(IF(I15="",E15,I15),{0,1,5,10,50,100,250,500,1000},{0,0.81,0.782,0.732,0.606,0.505,0.49236,0.41662,0.36612}),"MOQ="&amp;K15),"")</f>
        <v>0.81</v>
      </c>
      <c r="K15" s="11" t="n">
        <v>1</v>
      </c>
      <c r="L15" s="14" t="n">
        <f aca="false">IFERROR(IF(I15="",E15,I15)*J15,"")</f>
        <v>0.81</v>
      </c>
      <c r="M15" s="11" t="s">
        <v>65</v>
      </c>
      <c r="N15" s="15" t="n">
        <v>4396</v>
      </c>
      <c r="O15" s="15"/>
      <c r="P15" s="13" t="n">
        <f aca="false">IFERROR(IF(OR(O15&gt;=Q15,E15&gt;=Q15),LOOKUP(IF(O15="",E15,O15),{0,1,10,25,50,100,250,500,1000,3000},{0,0.8,0.724,0.7,0.599,0.5,0.487,0.418,0.356,0.34}),"MOQ="&amp;Q15),"")</f>
        <v>0.8</v>
      </c>
      <c r="Q15" s="11" t="n">
        <v>1</v>
      </c>
      <c r="R15" s="14" t="n">
        <f aca="false">IFERROR(IF(O15="",E15,O15)*P15,"")</f>
        <v>0.8</v>
      </c>
      <c r="S15" s="11" t="s">
        <v>66</v>
      </c>
    </row>
    <row r="16" customFormat="false" ht="30" hidden="false" customHeight="true" outlineLevel="0" collapsed="false">
      <c r="A16" s="11" t="s">
        <v>67</v>
      </c>
      <c r="B16" s="11" t="s">
        <v>68</v>
      </c>
      <c r="C16" s="11" t="s">
        <v>69</v>
      </c>
      <c r="E16" s="12" t="n">
        <f aca="false">CEILING(BoardQty*2,1)</f>
        <v>2</v>
      </c>
      <c r="F16" s="13" t="str">
        <f aca="false">IF(MIN(J16,P16)&lt;&gt;0,MIN(J16,P16),"")</f>
        <v/>
      </c>
      <c r="G16" s="14" t="str">
        <f aca="false">IF(AND(ISNUMBER(E16),ISNUMBER(F16)),E16*F16,"")</f>
        <v/>
      </c>
    </row>
    <row r="17" customFormat="false" ht="30" hidden="false" customHeight="true" outlineLevel="0" collapsed="false">
      <c r="A17" s="11" t="s">
        <v>70</v>
      </c>
      <c r="B17" s="11" t="s">
        <v>71</v>
      </c>
      <c r="C17" s="11" t="s">
        <v>72</v>
      </c>
      <c r="D17" s="11" t="s">
        <v>73</v>
      </c>
      <c r="E17" s="12" t="n">
        <f aca="false">CEILING(BoardQty*1,1)</f>
        <v>1</v>
      </c>
      <c r="F17" s="13" t="n">
        <f aca="false">IF(MIN(J17,P17)&lt;&gt;0,MIN(J17,P17),"")</f>
        <v>1.58</v>
      </c>
      <c r="G17" s="14" t="n">
        <f aca="false">IF(AND(ISNUMBER(E17),ISNUMBER(F17)),E17*F17,"")</f>
        <v>1.58</v>
      </c>
      <c r="H17" s="15" t="n">
        <v>9103</v>
      </c>
      <c r="I17" s="15"/>
      <c r="J17" s="13" t="n">
        <f aca="false">IFERROR(IF(OR(I17&gt;=K17,E17&gt;=K17),LOOKUP(IF(I17="",E17,I17),{0,1,10,25,50,100,250,500,1000,2500},{0,1.59,1.384,1.3252,1.2958,1.2369,1.11912,1.03076,0.8835,0.8246}),"MOQ="&amp;K17),"")</f>
        <v>1.59</v>
      </c>
      <c r="K17" s="11" t="n">
        <v>1</v>
      </c>
      <c r="L17" s="14" t="n">
        <f aca="false">IFERROR(IF(I17="",E17,I17)*J17,"")</f>
        <v>1.59</v>
      </c>
      <c r="M17" s="11" t="s">
        <v>74</v>
      </c>
      <c r="N17" s="15" t="n">
        <v>6973</v>
      </c>
      <c r="O17" s="15"/>
      <c r="P17" s="13" t="n">
        <f aca="false">IFERROR(IF(OR(O17&gt;=Q17,E17&gt;=Q17),LOOKUP(IF(O17="",E17,O17),{0,1,10,100,250,500,1000,2500},{0,1.58,1.3,1.24,1.12,1.03,0.883,0.842}),"MOQ="&amp;Q17),"")</f>
        <v>1.58</v>
      </c>
      <c r="Q17" s="11" t="n">
        <v>1</v>
      </c>
      <c r="R17" s="14" t="n">
        <f aca="false">IFERROR(IF(O17="",E17,O17)*P17,"")</f>
        <v>1.58</v>
      </c>
      <c r="S17" s="11" t="s">
        <v>75</v>
      </c>
    </row>
    <row r="18" customFormat="false" ht="15" hidden="false" customHeight="false" outlineLevel="0" collapsed="false">
      <c r="A18" s="11" t="s">
        <v>76</v>
      </c>
      <c r="B18" s="11" t="s">
        <v>77</v>
      </c>
      <c r="C18" s="11" t="s">
        <v>78</v>
      </c>
      <c r="D18" s="11" t="s">
        <v>79</v>
      </c>
      <c r="E18" s="12" t="n">
        <f aca="false">CEILING(BoardQty*2,1)</f>
        <v>2</v>
      </c>
      <c r="F18" s="13" t="n">
        <f aca="false">IF(MIN(J18,P18)&lt;&gt;0,MIN(J18,P18),"")</f>
        <v>1.38</v>
      </c>
      <c r="G18" s="14" t="n">
        <f aca="false">IF(AND(ISNUMBER(E18),ISNUMBER(F18)),E18*F18,"")</f>
        <v>2.76</v>
      </c>
      <c r="N18" s="15" t="n">
        <v>2209</v>
      </c>
      <c r="O18" s="15"/>
      <c r="P18" s="13" t="n">
        <f aca="false">IFERROR(IF(OR(O18&gt;=Q18,E18&gt;=Q18),LOOKUP(IF(O18="",E18,O18),{0,1,10,100,500,1000,2500,5000},{0,1.38,1.18,1.05,0.857,0.762,0.69,0.681}),"MOQ="&amp;Q18),"")</f>
        <v>1.38</v>
      </c>
      <c r="Q18" s="11" t="n">
        <v>1</v>
      </c>
      <c r="R18" s="14" t="n">
        <f aca="false">IFERROR(IF(O18="",E18,O18)*P18,"")</f>
        <v>2.76</v>
      </c>
      <c r="S18" s="11" t="s">
        <v>80</v>
      </c>
    </row>
    <row r="19" customFormat="false" ht="30" hidden="false" customHeight="true" outlineLevel="0" collapsed="false">
      <c r="A19" s="11" t="s">
        <v>81</v>
      </c>
      <c r="B19" s="11" t="s">
        <v>82</v>
      </c>
      <c r="C19" s="11" t="s">
        <v>83</v>
      </c>
      <c r="E19" s="12" t="n">
        <f aca="false">CEILING(BoardQty*1,1)</f>
        <v>1</v>
      </c>
      <c r="F19" s="13" t="str">
        <f aca="false">IF(MIN(J19,P19)&lt;&gt;0,MIN(J19,P19),"")</f>
        <v/>
      </c>
      <c r="G19" s="14" t="str">
        <f aca="false">IF(AND(ISNUMBER(E19),ISNUMBER(F19)),E19*F19,"")</f>
        <v/>
      </c>
    </row>
    <row r="20" customFormat="false" ht="15" hidden="false" customHeight="false" outlineLevel="0" collapsed="false">
      <c r="A20" s="11" t="s">
        <v>84</v>
      </c>
      <c r="B20" s="11" t="s">
        <v>85</v>
      </c>
      <c r="C20" s="11" t="s">
        <v>86</v>
      </c>
      <c r="D20" s="11" t="s">
        <v>85</v>
      </c>
      <c r="E20" s="12" t="n">
        <f aca="false">CEILING(BoardQty*1,1)</f>
        <v>1</v>
      </c>
      <c r="F20" s="13" t="n">
        <f aca="false">IF(MIN(J20,P20)&lt;&gt;0,MIN(J20,P20),"")</f>
        <v>1.44</v>
      </c>
      <c r="G20" s="14" t="n">
        <f aca="false">IF(AND(ISNUMBER(E20),ISNUMBER(F20)),E20*F20,"")</f>
        <v>1.44</v>
      </c>
      <c r="N20" s="15" t="n">
        <v>4993</v>
      </c>
      <c r="O20" s="15"/>
      <c r="P20" s="13" t="n">
        <f aca="false">IFERROR(IF(OR(O20&gt;=Q20,E20&gt;=Q20),LOOKUP(IF(O20="",E20,O20),{0,1,10,500,750,1500},{0,1.44,1.21,0.942,0.74,0.681}),"MOQ="&amp;Q20),"")</f>
        <v>1.44</v>
      </c>
      <c r="Q20" s="11" t="n">
        <v>1</v>
      </c>
      <c r="R20" s="14" t="n">
        <f aca="false">IFERROR(IF(O20="",E20,O20)*P20,"")</f>
        <v>1.44</v>
      </c>
      <c r="S20" s="11" t="s">
        <v>87</v>
      </c>
    </row>
    <row r="21" customFormat="false" ht="15" hidden="false" customHeight="false" outlineLevel="0" collapsed="false">
      <c r="A21" s="11" t="s">
        <v>88</v>
      </c>
      <c r="B21" s="11" t="s">
        <v>89</v>
      </c>
      <c r="C21" s="11" t="s">
        <v>90</v>
      </c>
      <c r="D21" s="11" t="s">
        <v>91</v>
      </c>
      <c r="E21" s="12" t="n">
        <f aca="false">CEILING(BoardQty*2,1)</f>
        <v>2</v>
      </c>
      <c r="F21" s="13" t="n">
        <f aca="false">IF(MIN(J21,P21)&lt;&gt;0,MIN(J21,P21),"")</f>
        <v>0.58</v>
      </c>
      <c r="G21" s="14" t="n">
        <f aca="false">IF(AND(ISNUMBER(E21),ISNUMBER(F21)),E21*F21,"")</f>
        <v>1.16</v>
      </c>
      <c r="N21" s="15" t="n">
        <v>10799</v>
      </c>
      <c r="O21" s="15"/>
      <c r="P21" s="13" t="n">
        <f aca="false">IFERROR(IF(OR(O21&gt;=Q21,E21&gt;=Q21),LOOKUP(IF(O21="",E21,O21),{0,1,10,100,500,1000,3000,6000,9000,24000},{0,0.58,0.498,0.371,0.292,0.226,0.205,0.192,0.181,0.175}),"MOQ="&amp;Q21),"")</f>
        <v>0.58</v>
      </c>
      <c r="Q21" s="11" t="n">
        <v>1</v>
      </c>
      <c r="R21" s="14" t="n">
        <f aca="false">IFERROR(IF(O21="",E21,O21)*P21,"")</f>
        <v>1.16</v>
      </c>
      <c r="S21" s="11" t="s">
        <v>92</v>
      </c>
    </row>
    <row r="22" customFormat="false" ht="15" hidden="false" customHeight="false" outlineLevel="0" collapsed="false">
      <c r="A22" s="11" t="s">
        <v>93</v>
      </c>
      <c r="B22" s="11" t="s">
        <v>94</v>
      </c>
      <c r="C22" s="11" t="s">
        <v>95</v>
      </c>
      <c r="D22" s="11" t="s">
        <v>96</v>
      </c>
      <c r="E22" s="12" t="n">
        <f aca="false">CEILING(BoardQty*2,1)</f>
        <v>2</v>
      </c>
      <c r="F22" s="13" t="n">
        <f aca="false">IF(MIN(J22,P22)&lt;&gt;0,MIN(J22,P22),"")</f>
        <v>0.85</v>
      </c>
      <c r="G22" s="14" t="n">
        <f aca="false">IF(AND(ISNUMBER(E22),ISNUMBER(F22)),E22*F22,"")</f>
        <v>1.7</v>
      </c>
      <c r="H22" s="15" t="n">
        <v>1310</v>
      </c>
      <c r="I22" s="15"/>
      <c r="J22" s="13" t="n">
        <f aca="false">IFERROR(IF(OR(I22&gt;=K22,E22&gt;=K22),LOOKUP(IF(I22="",E22,I22),{0,1,10,100,500,1000,2000,5000},{0,0.85,0.751,0.5755,0.45496,0.36396,0.32984,0.31117}),"MOQ="&amp;K22),"")</f>
        <v>0.85</v>
      </c>
      <c r="K22" s="11" t="n">
        <v>1</v>
      </c>
      <c r="L22" s="14" t="n">
        <f aca="false">IFERROR(IF(I22="",E22,I22)*J22,"")</f>
        <v>1.7</v>
      </c>
      <c r="M22" s="11" t="s">
        <v>97</v>
      </c>
      <c r="N22" s="15" t="n">
        <v>840</v>
      </c>
      <c r="O22" s="15"/>
      <c r="P22" s="13" t="n">
        <f aca="false">IFERROR(IF(OR(O22&gt;=Q22,E22&gt;=Q22),LOOKUP(IF(O22="",E22,O22),{0,1,10,75,525,1050,2700,5400},{0,0.89,0.751,0.575,0.477,0.349,0.338,0.331}),"MOQ="&amp;Q22),"")</f>
        <v>0.89</v>
      </c>
      <c r="Q22" s="11" t="n">
        <v>1</v>
      </c>
      <c r="R22" s="14" t="n">
        <f aca="false">IFERROR(IF(O22="",E22,O22)*P22,"")</f>
        <v>1.78</v>
      </c>
      <c r="S22" s="11" t="s">
        <v>98</v>
      </c>
    </row>
    <row r="23" customFormat="false" ht="15" hidden="false" customHeight="false" outlineLevel="0" collapsed="false">
      <c r="A23" s="11" t="s">
        <v>99</v>
      </c>
      <c r="B23" s="11" t="s">
        <v>100</v>
      </c>
      <c r="C23" s="11" t="s">
        <v>95</v>
      </c>
      <c r="D23" s="11" t="s">
        <v>101</v>
      </c>
      <c r="E23" s="12" t="n">
        <f aca="false">CEILING(BoardQty*2,1)</f>
        <v>2</v>
      </c>
      <c r="F23" s="13" t="n">
        <f aca="false">IF(MIN(J23,P23)&lt;&gt;0,MIN(J23,P23),"")</f>
        <v>0.97</v>
      </c>
      <c r="G23" s="14" t="n">
        <f aca="false">IF(AND(ISNUMBER(E23),ISNUMBER(F23)),E23*F23,"")</f>
        <v>1.94</v>
      </c>
      <c r="N23" s="15" t="n">
        <v>80</v>
      </c>
      <c r="O23" s="15"/>
      <c r="P23" s="13" t="n">
        <f aca="false">IFERROR(IF(OR(O23&gt;=Q23,E23&gt;=Q23),LOOKUP(IF(O23="",E23,O23),{0,1,10,100,500,1000,2500,5000},{0,0.97,0.871,0.679,0.55,0.434,0.389,0.382}),"MOQ="&amp;Q23),"")</f>
        <v>0.97</v>
      </c>
      <c r="Q23" s="11" t="n">
        <v>1</v>
      </c>
      <c r="R23" s="14" t="n">
        <f aca="false">IFERROR(IF(O23="",E23,O23)*P23,"")</f>
        <v>1.94</v>
      </c>
      <c r="S23" s="11" t="s">
        <v>102</v>
      </c>
    </row>
    <row r="24" customFormat="false" ht="30" hidden="false" customHeight="true" outlineLevel="0" collapsed="false">
      <c r="A24" s="11" t="s">
        <v>103</v>
      </c>
      <c r="B24" s="11" t="s">
        <v>104</v>
      </c>
      <c r="C24" s="11" t="s">
        <v>105</v>
      </c>
      <c r="D24" s="11" t="s">
        <v>106</v>
      </c>
      <c r="E24" s="12" t="n">
        <f aca="false">CEILING(BoardQty*5,1)</f>
        <v>5</v>
      </c>
      <c r="F24" s="13" t="n">
        <f aca="false">IF(MIN(J24,P24)&lt;&gt;0,MIN(J24,P24),"")</f>
        <v>0.28</v>
      </c>
      <c r="G24" s="14" t="n">
        <f aca="false">IF(AND(ISNUMBER(E24),ISNUMBER(F24)),E24*F24,"")</f>
        <v>1.4</v>
      </c>
      <c r="H24" s="15" t="n">
        <v>47739</v>
      </c>
      <c r="I24" s="15"/>
      <c r="J24" s="13" t="n">
        <f aca="false">IFERROR(IF(OR(I24&gt;=K24,E24&gt;=K24),LOOKUP(IF(I24="",E24,I24),{0,1,10,100,1000,2500,5000,10000,25000,50000,125000},{0,0.28,0.233,0.0912,0.03817,0.03499,0.03181,0.02969,0.02821,0.02763,0.02704}),"MOQ="&amp;K24),"")</f>
        <v>0.28</v>
      </c>
      <c r="K24" s="11" t="n">
        <v>1</v>
      </c>
      <c r="L24" s="14" t="n">
        <f aca="false">IFERROR(IF(I24="",E24,I24)*J24,"")</f>
        <v>1.4</v>
      </c>
      <c r="M24" s="11" t="s">
        <v>107</v>
      </c>
      <c r="N24" s="15" t="n">
        <v>18728</v>
      </c>
      <c r="O24" s="15"/>
      <c r="P24" s="13" t="n">
        <f aca="false">IFERROR(IF(OR(O24&gt;=Q24,E24&gt;=Q24),LOOKUP(IF(O24="",E24,O24),{0,1,10,100,1000,2500,5000},{0,0.28,0.244,0.096,0.04,0.037,0.033}),"MOQ="&amp;Q24),"")</f>
        <v>0.28</v>
      </c>
      <c r="Q24" s="11" t="n">
        <v>1</v>
      </c>
      <c r="R24" s="14" t="n">
        <f aca="false">IFERROR(IF(O24="",E24,O24)*P24,"")</f>
        <v>1.4</v>
      </c>
      <c r="S24" s="11" t="s">
        <v>108</v>
      </c>
    </row>
    <row r="25" customFormat="false" ht="30" hidden="false" customHeight="true" outlineLevel="0" collapsed="false">
      <c r="A25" s="11" t="s">
        <v>109</v>
      </c>
      <c r="B25" s="11" t="s">
        <v>110</v>
      </c>
      <c r="C25" s="11" t="s">
        <v>105</v>
      </c>
      <c r="D25" s="11" t="s">
        <v>111</v>
      </c>
      <c r="E25" s="12" t="n">
        <f aca="false">CEILING(BoardQty*1,1)</f>
        <v>1</v>
      </c>
      <c r="F25" s="13" t="n">
        <f aca="false">IF(MIN(J25,P25)&lt;&gt;0,MIN(J25,P25),"")</f>
        <v>0.53</v>
      </c>
      <c r="G25" s="14" t="n">
        <f aca="false">IF(AND(ISNUMBER(E25),ISNUMBER(F25)),E25*F25,"")</f>
        <v>0.53</v>
      </c>
      <c r="H25" s="15" t="n">
        <v>5000</v>
      </c>
      <c r="I25" s="15"/>
      <c r="J25" s="13" t="n">
        <f aca="false">IFERROR(IF(OR(I25&gt;=K25,E25&gt;=K25),LOOKUP(IF(I25="",E25,I25),{0,1,10,100,1000,2500,5000,10000,25000,50000,125000},{0,0.54,0.385,0.1541,0.07593,0.07035,0.06365,0.06075,0.0582,0.05695,0.05583}),"MOQ="&amp;K25),"")</f>
        <v>0.54</v>
      </c>
      <c r="K25" s="11" t="n">
        <v>1</v>
      </c>
      <c r="L25" s="14" t="n">
        <f aca="false">IFERROR(IF(I25="",E25,I25)*J25,"")</f>
        <v>0.54</v>
      </c>
      <c r="M25" s="11" t="s">
        <v>112</v>
      </c>
      <c r="N25" s="15" t="n">
        <v>31365</v>
      </c>
      <c r="O25" s="15"/>
      <c r="P25" s="13" t="n">
        <f aca="false">IFERROR(IF(OR(O25&gt;=Q25,E25&gt;=Q25),LOOKUP(IF(O25="",E25,O25),{0,1,10,100,1000,2500,5000},{0,0.53,0.386,0.154,0.076,0.071,0.063}),"MOQ="&amp;Q25),"")</f>
        <v>0.53</v>
      </c>
      <c r="Q25" s="11" t="n">
        <v>1</v>
      </c>
      <c r="R25" s="14" t="n">
        <f aca="false">IFERROR(IF(O25="",E25,O25)*P25,"")</f>
        <v>0.53</v>
      </c>
      <c r="S25" s="11" t="s">
        <v>113</v>
      </c>
    </row>
    <row r="26" customFormat="false" ht="30" hidden="false" customHeight="true" outlineLevel="0" collapsed="false">
      <c r="A26" s="11" t="s">
        <v>114</v>
      </c>
      <c r="B26" s="11" t="s">
        <v>115</v>
      </c>
      <c r="C26" s="11" t="s">
        <v>105</v>
      </c>
      <c r="D26" s="11" t="s">
        <v>116</v>
      </c>
      <c r="E26" s="12" t="n">
        <f aca="false">CEILING(BoardQty*1,1)</f>
        <v>1</v>
      </c>
      <c r="F26" s="13" t="n">
        <f aca="false">IF(MIN(J26,P26)&lt;&gt;0,MIN(J26,P26),"")</f>
        <v>0.15</v>
      </c>
      <c r="G26" s="14" t="n">
        <f aca="false">IF(AND(ISNUMBER(E26),ISNUMBER(F26)),E26*F26,"")</f>
        <v>0.15</v>
      </c>
      <c r="H26" s="15" t="n">
        <v>5943</v>
      </c>
      <c r="I26" s="15"/>
      <c r="J26" s="13" t="n">
        <f aca="false">IFERROR(IF(OR(I26&gt;=K26,E26&gt;=K26),LOOKUP(IF(I26="",E26,I26),{0,1,10,100,1000,2500,5000,10000},{0,0.15,0.134,0.0517,0.02275,0.01965,0.01758,0.01577}),"MOQ="&amp;K26),"")</f>
        <v>0.15</v>
      </c>
      <c r="K26" s="11" t="n">
        <v>1</v>
      </c>
      <c r="L26" s="14" t="n">
        <f aca="false">IFERROR(IF(I26="",E26,I26)*J26,"")</f>
        <v>0.15</v>
      </c>
      <c r="M26" s="11" t="s">
        <v>117</v>
      </c>
      <c r="N26" s="15" t="n">
        <v>7048</v>
      </c>
      <c r="O26" s="15"/>
      <c r="P26" s="13" t="n">
        <f aca="false">IFERROR(IF(OR(O26&gt;=Q26,E26&gt;=Q26),LOOKUP(IF(O26="",E26,O26),{0,1,10,100,1000,2000,5000,10000,25000},{0,0.16,0.129,0.05,0.022,0.019,0.016,0.015,0.013}),"MOQ="&amp;Q26),"")</f>
        <v>0.16</v>
      </c>
      <c r="Q26" s="11" t="n">
        <v>1</v>
      </c>
      <c r="R26" s="14" t="n">
        <f aca="false">IFERROR(IF(O26="",E26,O26)*P26,"")</f>
        <v>0.16</v>
      </c>
      <c r="S26" s="11" t="s">
        <v>118</v>
      </c>
    </row>
    <row r="27" customFormat="false" ht="30" hidden="false" customHeight="true" outlineLevel="0" collapsed="false">
      <c r="A27" s="11" t="s">
        <v>119</v>
      </c>
      <c r="B27" s="11" t="s">
        <v>120</v>
      </c>
      <c r="C27" s="11" t="s">
        <v>105</v>
      </c>
      <c r="D27" s="11" t="s">
        <v>121</v>
      </c>
      <c r="E27" s="12" t="n">
        <f aca="false">CEILING(BoardQty*1,1)</f>
        <v>1</v>
      </c>
      <c r="F27" s="13" t="n">
        <f aca="false">IF(MIN(J27,P27)&lt;&gt;0,MIN(J27,P27),"")</f>
        <v>0.1</v>
      </c>
      <c r="G27" s="14" t="n">
        <f aca="false">IF(AND(ISNUMBER(E27),ISNUMBER(F27)),E27*F27,"")</f>
        <v>0.1</v>
      </c>
      <c r="N27" s="15" t="n">
        <v>50378</v>
      </c>
      <c r="O27" s="15"/>
      <c r="P27" s="13" t="n">
        <f aca="false">IFERROR(IF(OR(O27&gt;=Q27,E27&gt;=Q27),LOOKUP(IF(O27="",E27,O27),{0,1,10,100,1000,2500,5000,10000},{0,0.1,0.034,0.014,0.007,0.006,0.005,0.004}),"MOQ="&amp;Q27),"")</f>
        <v>0.1</v>
      </c>
      <c r="Q27" s="11" t="n">
        <v>1</v>
      </c>
      <c r="R27" s="14" t="n">
        <f aca="false">IFERROR(IF(O27="",E27,O27)*P27,"")</f>
        <v>0.1</v>
      </c>
      <c r="S27" s="11" t="s">
        <v>122</v>
      </c>
    </row>
    <row r="28" customFormat="false" ht="30" hidden="false" customHeight="true" outlineLevel="0" collapsed="false">
      <c r="A28" s="11" t="s">
        <v>123</v>
      </c>
      <c r="B28" s="11" t="s">
        <v>124</v>
      </c>
      <c r="C28" s="11" t="s">
        <v>105</v>
      </c>
      <c r="D28" s="11" t="s">
        <v>125</v>
      </c>
      <c r="E28" s="12" t="n">
        <f aca="false">CEILING(BoardQty*2,1)</f>
        <v>2</v>
      </c>
      <c r="F28" s="13" t="n">
        <f aca="false">IF(MIN(J28,P28)&lt;&gt;0,MIN(J28,P28),"")</f>
        <v>0.1</v>
      </c>
      <c r="G28" s="14" t="n">
        <f aca="false">IF(AND(ISNUMBER(E28),ISNUMBER(F28)),E28*F28,"")</f>
        <v>0.2</v>
      </c>
      <c r="H28" s="15" t="n">
        <v>9057089</v>
      </c>
      <c r="I28" s="15"/>
      <c r="J28" s="13" t="n">
        <f aca="false">IFERROR(IF(OR(I28&gt;=K28,E28&gt;=K28),LOOKUP(IF(I28="",E28,I28),{0,1,10,100,1000,2500,5000,10000,25000,50000,125000},{0,0.1,0.027,0.0109,0.0049,0.00425,0.00351,0.00305,0.00268,0.00246,0.00241}),"MOQ="&amp;K28),"")</f>
        <v>0.1</v>
      </c>
      <c r="K28" s="11" t="n">
        <v>1</v>
      </c>
      <c r="L28" s="14" t="n">
        <f aca="false">IFERROR(IF(I28="",E28,I28)*J28,"")</f>
        <v>0.2</v>
      </c>
      <c r="M28" s="11" t="s">
        <v>126</v>
      </c>
      <c r="N28" s="15" t="n">
        <v>2939001</v>
      </c>
      <c r="O28" s="15"/>
      <c r="P28" s="13" t="n">
        <f aca="false">IFERROR(IF(OR(O28&gt;=Q28,E28&gt;=Q28),LOOKUP(IF(O28="",E28,O28),{0,1,10,100,1000,2500,5000},{0,0.1,0.031,0.014,0.007,0.006,0.006}),"MOQ="&amp;Q28),"")</f>
        <v>0.1</v>
      </c>
      <c r="Q28" s="11" t="n">
        <v>1</v>
      </c>
      <c r="R28" s="14" t="n">
        <f aca="false">IFERROR(IF(O28="",E28,O28)*P28,"")</f>
        <v>0.2</v>
      </c>
      <c r="S28" s="11" t="s">
        <v>127</v>
      </c>
    </row>
    <row r="29" customFormat="false" ht="30" hidden="false" customHeight="true" outlineLevel="0" collapsed="false">
      <c r="A29" s="11" t="s">
        <v>128</v>
      </c>
      <c r="B29" s="11" t="s">
        <v>129</v>
      </c>
      <c r="C29" s="11" t="s">
        <v>105</v>
      </c>
      <c r="D29" s="11" t="s">
        <v>130</v>
      </c>
      <c r="E29" s="12" t="n">
        <f aca="false">CEILING(BoardQty*2,1)</f>
        <v>2</v>
      </c>
      <c r="F29" s="13" t="n">
        <f aca="false">IF(MIN(J29,P29)&lt;&gt;0,MIN(J29,P29),"")</f>
        <v>0.31</v>
      </c>
      <c r="G29" s="14" t="n">
        <f aca="false">IF(AND(ISNUMBER(E29),ISNUMBER(F29)),E29*F29,"")</f>
        <v>0.62</v>
      </c>
      <c r="N29" s="15" t="n">
        <v>4178</v>
      </c>
      <c r="O29" s="15"/>
      <c r="P29" s="13" t="n">
        <f aca="false">IFERROR(IF(OR(O29&gt;=Q29,E29&gt;=Q29),LOOKUP(IF(O29="",E29,O29),{0,1,10,100,500,1000,2500,5000,10000},{0,0.31,0.264,0.104,0.072,0.058,0.056,0.05,0.048}),"MOQ="&amp;Q29),"")</f>
        <v>0.31</v>
      </c>
      <c r="Q29" s="11" t="n">
        <v>1</v>
      </c>
      <c r="R29" s="14" t="n">
        <f aca="false">IFERROR(IF(O29="",E29,O29)*P29,"")</f>
        <v>0.62</v>
      </c>
      <c r="S29" s="11" t="s">
        <v>131</v>
      </c>
    </row>
    <row r="30" customFormat="false" ht="30" hidden="false" customHeight="true" outlineLevel="0" collapsed="false">
      <c r="A30" s="11" t="s">
        <v>132</v>
      </c>
      <c r="B30" s="11" t="s">
        <v>104</v>
      </c>
      <c r="C30" s="11" t="s">
        <v>133</v>
      </c>
      <c r="D30" s="11" t="s">
        <v>134</v>
      </c>
      <c r="E30" s="12" t="n">
        <f aca="false">CEILING(BoardQty*2,1)</f>
        <v>2</v>
      </c>
      <c r="F30" s="13" t="n">
        <f aca="false">IF(MIN(J30,P30)&lt;&gt;0,MIN(J30,P30),"")</f>
        <v>2.76</v>
      </c>
      <c r="G30" s="14" t="n">
        <f aca="false">IF(AND(ISNUMBER(E30),ISNUMBER(F30)),E30*F30,"")</f>
        <v>5.52</v>
      </c>
      <c r="H30" s="15" t="n">
        <v>460</v>
      </c>
      <c r="I30" s="15"/>
      <c r="J30" s="13" t="n">
        <f aca="false">IFERROR(IF(OR(I30&gt;=K30,E30&gt;=K30),LOOKUP(IF(I30="",E30,I30),{0,1,10,25,50,100,250},{0,3.07,2.695,2.416,2.323,2.2301,2.13716}),"MOQ="&amp;K30),"")</f>
        <v>3.07</v>
      </c>
      <c r="K30" s="11" t="n">
        <v>1</v>
      </c>
      <c r="L30" s="14" t="n">
        <f aca="false">IFERROR(IF(I30="",E30,I30)*J30,"")</f>
        <v>6.14</v>
      </c>
      <c r="M30" s="11" t="s">
        <v>135</v>
      </c>
      <c r="N30" s="15" t="n">
        <v>1098</v>
      </c>
      <c r="O30" s="15"/>
      <c r="P30" s="13" t="n">
        <f aca="false">IFERROR(IF(OR(O30&gt;=Q30,E30&gt;=Q30),LOOKUP(IF(O30="",E30,O30),{0,1,10,100,500,1000},{0,2.76,2.33,2.14,1.76,1.44}),"MOQ="&amp;Q30),"")</f>
        <v>2.76</v>
      </c>
      <c r="Q30" s="11" t="n">
        <v>1</v>
      </c>
      <c r="R30" s="14" t="n">
        <f aca="false">IFERROR(IF(O30="",E30,O30)*P30,"")</f>
        <v>5.52</v>
      </c>
      <c r="S30" s="11" t="s">
        <v>136</v>
      </c>
    </row>
    <row r="31" customFormat="false" ht="15" hidden="false" customHeight="false" outlineLevel="0" collapsed="false">
      <c r="A31" s="11" t="s">
        <v>137</v>
      </c>
      <c r="B31" s="11" t="s">
        <v>138</v>
      </c>
      <c r="C31" s="11" t="s">
        <v>139</v>
      </c>
      <c r="E31" s="12" t="n">
        <f aca="false">CEILING(BoardQty*2,1)</f>
        <v>2</v>
      </c>
      <c r="F31" s="13" t="str">
        <f aca="false">IF(MIN(J31,P31)&lt;&gt;0,MIN(J31,P31),"")</f>
        <v/>
      </c>
      <c r="G31" s="14" t="str">
        <f aca="false">IF(AND(ISNUMBER(E31),ISNUMBER(F31)),E31*F31,"")</f>
        <v/>
      </c>
    </row>
    <row r="32" customFormat="false" ht="15" hidden="false" customHeight="false" outlineLevel="0" collapsed="false">
      <c r="A32" s="11" t="s">
        <v>140</v>
      </c>
      <c r="B32" s="11" t="s">
        <v>141</v>
      </c>
      <c r="C32" s="11" t="s">
        <v>142</v>
      </c>
      <c r="D32" s="11" t="s">
        <v>143</v>
      </c>
      <c r="E32" s="12" t="n">
        <f aca="false">CEILING(BoardQty*1,1)</f>
        <v>1</v>
      </c>
      <c r="F32" s="13" t="n">
        <f aca="false">IF(MIN(J32,P32)&lt;&gt;0,MIN(J32,P32),"")</f>
        <v>7.19</v>
      </c>
      <c r="G32" s="14" t="n">
        <f aca="false">IF(AND(ISNUMBER(E32),ISNUMBER(F32)),E32*F32,"")</f>
        <v>7.19</v>
      </c>
      <c r="H32" s="15" t="n">
        <v>28</v>
      </c>
      <c r="I32" s="15"/>
      <c r="J32" s="13" t="n">
        <f aca="false">IFERROR(IF(OR(I32&gt;=K32,E32&gt;=K32),LOOKUP(IF(I32="",E32,I32),{0,1,10,25,100,250,500,1000},{0,7.19,6.495,6.1932,5.3774,5.13568,4.68256,4.275}),"MOQ="&amp;K32),"")</f>
        <v>7.19</v>
      </c>
      <c r="K32" s="11" t="n">
        <v>1</v>
      </c>
      <c r="L32" s="14" t="n">
        <f aca="false">IFERROR(IF(I32="",E32,I32)*J32,"")</f>
        <v>7.19</v>
      </c>
      <c r="M32" s="11" t="s">
        <v>144</v>
      </c>
      <c r="N32" s="15" t="n">
        <v>115</v>
      </c>
      <c r="O32" s="15"/>
      <c r="P32" s="13" t="n">
        <f aca="false">IFERROR(IF(OR(O32&gt;=Q32,E32&gt;=Q32),LOOKUP(IF(O32="",E32,O32),{0,1,10,25,75,300},{0,7.19,6.5,6.2,5.37,5.13}),"MOQ="&amp;Q32),"")</f>
        <v>7.19</v>
      </c>
      <c r="Q32" s="11" t="n">
        <v>1</v>
      </c>
      <c r="R32" s="14" t="n">
        <f aca="false">IFERROR(IF(O32="",E32,O32)*P32,"")</f>
        <v>7.19</v>
      </c>
      <c r="S32" s="11" t="s">
        <v>145</v>
      </c>
    </row>
    <row r="33" customFormat="false" ht="30" hidden="false" customHeight="true" outlineLevel="0" collapsed="false">
      <c r="A33" s="11" t="s">
        <v>146</v>
      </c>
      <c r="B33" s="11" t="s">
        <v>147</v>
      </c>
      <c r="C33" s="11" t="s">
        <v>148</v>
      </c>
      <c r="D33" s="11" t="s">
        <v>149</v>
      </c>
      <c r="E33" s="12" t="n">
        <f aca="false">CEILING(BoardQty*1,1)</f>
        <v>1</v>
      </c>
      <c r="F33" s="13" t="str">
        <f aca="false">IF(MIN(J33,P33)&lt;&gt;0,MIN(J33,P33),"")</f>
        <v/>
      </c>
      <c r="G33" s="14" t="str">
        <f aca="false">IF(AND(ISNUMBER(E33),ISNUMBER(F33)),E33*F33,"")</f>
        <v/>
      </c>
      <c r="N33" s="16" t="s">
        <v>150</v>
      </c>
      <c r="O33" s="11"/>
      <c r="S33" s="11" t="s">
        <v>151</v>
      </c>
    </row>
    <row r="34" customFormat="false" ht="15" hidden="false" customHeight="false" outlineLevel="0" collapsed="false">
      <c r="A34" s="11" t="s">
        <v>152</v>
      </c>
      <c r="B34" s="11" t="s">
        <v>153</v>
      </c>
      <c r="C34" s="11" t="s">
        <v>154</v>
      </c>
      <c r="D34" s="11" t="s">
        <v>155</v>
      </c>
      <c r="E34" s="12" t="n">
        <f aca="false">CEILING(BoardQty*1,1)</f>
        <v>1</v>
      </c>
      <c r="F34" s="13" t="n">
        <f aca="false">IF(MIN(J34,P34)&lt;&gt;0,MIN(J34,P34),"")</f>
        <v>3.71</v>
      </c>
      <c r="G34" s="14" t="n">
        <f aca="false">IF(AND(ISNUMBER(E34),ISNUMBER(F34)),E34*F34,"")</f>
        <v>3.71</v>
      </c>
      <c r="N34" s="15" t="n">
        <v>498</v>
      </c>
      <c r="O34" s="15"/>
      <c r="P34" s="13" t="n">
        <f aca="false">IFERROR(IF(OR(O34&gt;=Q34,E34&gt;=Q34),LOOKUP(IF(O34="",E34,O34),{0,1,10,25,100,250,500,1000},{0,3.71,3.33,3.15,2.73,2.59,2.32,1.97}),"MOQ="&amp;Q34),"")</f>
        <v>3.71</v>
      </c>
      <c r="Q34" s="11" t="n">
        <v>1</v>
      </c>
      <c r="R34" s="14" t="n">
        <f aca="false">IFERROR(IF(O34="",E34,O34)*P34,"")</f>
        <v>3.71</v>
      </c>
      <c r="S34" s="11" t="s">
        <v>156</v>
      </c>
    </row>
    <row r="35" customFormat="false" ht="15" hidden="false" customHeight="false" outlineLevel="0" collapsed="false">
      <c r="A35" s="11" t="s">
        <v>157</v>
      </c>
      <c r="B35" s="11" t="s">
        <v>158</v>
      </c>
      <c r="C35" s="11" t="s">
        <v>159</v>
      </c>
      <c r="D35" s="11" t="s">
        <v>160</v>
      </c>
      <c r="E35" s="12" t="n">
        <f aca="false">CEILING(BoardQty*1,1)</f>
        <v>1</v>
      </c>
      <c r="F35" s="13" t="n">
        <f aca="false">IF(MIN(J35,P35)&lt;&gt;0,MIN(J35,P35),"")</f>
        <v>3.71</v>
      </c>
      <c r="G35" s="14" t="n">
        <f aca="false">IF(AND(ISNUMBER(E35),ISNUMBER(F35)),E35*F35,"")</f>
        <v>3.71</v>
      </c>
      <c r="N35" s="15" t="n">
        <v>3522</v>
      </c>
      <c r="O35" s="15"/>
      <c r="P35" s="13" t="n">
        <f aca="false">IFERROR(IF(OR(O35&gt;=Q35,E35&gt;=Q35),LOOKUP(IF(O35="",E35,O35),{0,1,10,25,100,250,500,1000,3000},{0,3.71,3.33,3.15,2.73,2.59,2.33,2.18,2.17}),"MOQ="&amp;Q35),"")</f>
        <v>3.71</v>
      </c>
      <c r="Q35" s="11" t="n">
        <v>1</v>
      </c>
      <c r="R35" s="14" t="n">
        <f aca="false">IFERROR(IF(O35="",E35,O35)*P35,"")</f>
        <v>3.71</v>
      </c>
      <c r="S35" s="11" t="s">
        <v>161</v>
      </c>
    </row>
    <row r="36" customFormat="false" ht="15" hidden="false" customHeight="false" outlineLevel="0" collapsed="false">
      <c r="A36" s="11" t="s">
        <v>162</v>
      </c>
      <c r="B36" s="11" t="s">
        <v>163</v>
      </c>
      <c r="C36" s="11" t="s">
        <v>164</v>
      </c>
      <c r="D36" s="11" t="s">
        <v>165</v>
      </c>
      <c r="E36" s="12" t="n">
        <f aca="false">CEILING(BoardQty*1,1)</f>
        <v>1</v>
      </c>
      <c r="F36" s="13" t="n">
        <f aca="false">IF(MIN(J36,P36)&lt;&gt;0,MIN(J36,P36),"")</f>
        <v>1.43</v>
      </c>
      <c r="G36" s="14" t="n">
        <f aca="false">IF(AND(ISNUMBER(E36),ISNUMBER(F36)),E36*F36,"")</f>
        <v>1.43</v>
      </c>
      <c r="N36" s="15" t="n">
        <v>23764</v>
      </c>
      <c r="O36" s="15"/>
      <c r="P36" s="13" t="n">
        <f aca="false">IFERROR(IF(OR(O36&gt;=Q36,E36&gt;=Q36),LOOKUP(IF(O36="",E36,O36),{0,1,10,25,100,250,500,1000,3000},{0,1.43,1.29,1.22,0.963,0.873,0.801,0.631,0.608}),"MOQ="&amp;Q36),"")</f>
        <v>1.43</v>
      </c>
      <c r="Q36" s="11" t="n">
        <v>1</v>
      </c>
      <c r="R36" s="14" t="n">
        <f aca="false">IFERROR(IF(O36="",E36,O36)*P36,"")</f>
        <v>1.43</v>
      </c>
      <c r="S36" s="11" t="s">
        <v>166</v>
      </c>
    </row>
    <row r="37" customFormat="false" ht="15" hidden="false" customHeight="false" outlineLevel="0" collapsed="false">
      <c r="A37" s="11" t="s">
        <v>167</v>
      </c>
      <c r="B37" s="11" t="s">
        <v>168</v>
      </c>
      <c r="C37" s="11" t="s">
        <v>169</v>
      </c>
      <c r="D37" s="11" t="s">
        <v>170</v>
      </c>
      <c r="E37" s="12" t="n">
        <f aca="false">CEILING(BoardQty*1,1)</f>
        <v>1</v>
      </c>
      <c r="F37" s="13" t="n">
        <f aca="false">IF(MIN(J37,P37)&lt;&gt;0,MIN(J37,P37),"")</f>
        <v>3.17</v>
      </c>
      <c r="G37" s="14" t="n">
        <f aca="false">IF(AND(ISNUMBER(E37),ISNUMBER(F37)),E37*F37,"")</f>
        <v>3.17</v>
      </c>
      <c r="N37" s="15" t="n">
        <v>2610</v>
      </c>
      <c r="O37" s="15"/>
      <c r="P37" s="13" t="n">
        <f aca="false">IFERROR(IF(OR(O37&gt;=Q37,E37&gt;=Q37),LOOKUP(IF(O37="",E37,O37),{0,1,10,25,100,250,500,1000,3000},{0,3.17,2.85,2.69,2.33,2.21,1.99,1.74,1.73}),"MOQ="&amp;Q37),"")</f>
        <v>3.17</v>
      </c>
      <c r="Q37" s="11" t="n">
        <v>1</v>
      </c>
      <c r="R37" s="14" t="n">
        <f aca="false">IFERROR(IF(O37="",E37,O37)*P37,"")</f>
        <v>3.17</v>
      </c>
      <c r="S37" s="11" t="s">
        <v>171</v>
      </c>
    </row>
    <row r="38" customFormat="false" ht="15" hidden="false" customHeight="false" outlineLevel="0" collapsed="false">
      <c r="A38" s="11" t="s">
        <v>172</v>
      </c>
      <c r="B38" s="11" t="s">
        <v>173</v>
      </c>
      <c r="C38" s="11" t="s">
        <v>174</v>
      </c>
      <c r="D38" s="11" t="s">
        <v>175</v>
      </c>
      <c r="E38" s="12" t="n">
        <f aca="false">CEILING(BoardQty*1,1)</f>
        <v>1</v>
      </c>
      <c r="F38" s="13" t="n">
        <f aca="false">IF(MIN(J38,P38)&lt;&gt;0,MIN(J38,P38),"")</f>
        <v>10.77</v>
      </c>
      <c r="G38" s="14" t="n">
        <f aca="false">IF(AND(ISNUMBER(E38),ISNUMBER(F38)),E38*F38,"")</f>
        <v>10.77</v>
      </c>
      <c r="H38" s="15" t="n">
        <v>13985</v>
      </c>
      <c r="I38" s="15"/>
      <c r="J38" s="13" t="n">
        <f aca="false">IFERROR(IF(OR(I38&gt;=K38,E38&gt;=K38),LOOKUP(IF(I38="",E38,I38),{0,1,10,25,100,250,500,1000,2500},{0,10.77,9.731,9.2788,8.0566,7.69456,7.0156,6.405,6.405}),"MOQ="&amp;K38),"")</f>
        <v>10.77</v>
      </c>
      <c r="K38" s="11" t="n">
        <v>1</v>
      </c>
      <c r="L38" s="14" t="n">
        <f aca="false">IFERROR(IF(I38="",E38,I38)*J38,"")</f>
        <v>10.77</v>
      </c>
      <c r="M38" s="11" t="s">
        <v>176</v>
      </c>
      <c r="N38" s="15" t="n">
        <v>2480</v>
      </c>
      <c r="O38" s="15"/>
      <c r="P38" s="13" t="n">
        <f aca="false">IFERROR(IF(OR(O38&gt;=Q38,E38&gt;=Q38),LOOKUP(IF(O38="",E38,O38),{0,1,10,25,100,250,500,1000,2500},{0,10.78,9.74,9.28,8.06,7.7,7.02,6.41,6.4}),"MOQ="&amp;Q38),"")</f>
        <v>10.78</v>
      </c>
      <c r="Q38" s="11" t="n">
        <v>1</v>
      </c>
      <c r="R38" s="14" t="n">
        <f aca="false">IFERROR(IF(O38="",E38,O38)*P38,"")</f>
        <v>10.78</v>
      </c>
      <c r="S38" s="11" t="s">
        <v>177</v>
      </c>
    </row>
    <row r="40" customFormat="false" ht="15" hidden="false" customHeight="false" outlineLevel="0" collapsed="false">
      <c r="F40" s="1" t="s">
        <v>178</v>
      </c>
      <c r="G40" s="5" t="n">
        <f aca="false">SUM(L40,R40)</f>
        <v>0</v>
      </c>
      <c r="H40" s="17" t="s">
        <v>179</v>
      </c>
      <c r="I40" s="6" t="str">
        <f aca="false">IFERROR(IF(COUNTIF(I7:I38,"&gt;0")&gt;0,COUNTIF(I7:I38,"&gt;0")&amp;" of "&amp;(ROWS(K7:K38)-COUNTBLANK(K7:K38))&amp;" parts purchased",""),"")</f>
        <v/>
      </c>
      <c r="L40" s="5" t="n">
        <f aca="false">SUMIF(I7:I38,"&gt;0",L7:L38)</f>
        <v>0</v>
      </c>
      <c r="N40" s="17" t="s">
        <v>179</v>
      </c>
      <c r="O40" s="6" t="str">
        <f aca="false">IFERROR(IF(COUNTIF(O7:O38,"&gt;0")&gt;0,COUNTIF(O7:O38,"&gt;0")&amp;" of "&amp;(ROWS(Q7:Q38)-COUNTBLANK(Q7:Q38))&amp;" parts purchased",""),"")</f>
        <v/>
      </c>
      <c r="R40" s="5" t="n">
        <f aca="false">SUMIF(O7:O38,"&gt;0",R7:R38)</f>
        <v>0</v>
      </c>
    </row>
    <row r="41" customFormat="false" ht="15" hidden="false" customHeight="false" outlineLevel="0" collapsed="false">
      <c r="A41" s="2" t="s">
        <v>180</v>
      </c>
      <c r="F41" s="18" t="s">
        <v>181</v>
      </c>
      <c r="I41" s="19" t="str">
        <f aca="false">CONCATENATE(I74,I75,I76,I77,I78,I79,I80,I81,I82,I83,I84,I85,I86,I87,I88,I89,I90,I91,I92,I93,I94,I95,I96,I97,I98,I99,I100,I101,I102,I103,I104,I105)</f>
        <v/>
      </c>
      <c r="J41" s="19"/>
      <c r="K41" s="19"/>
      <c r="L41" s="19"/>
      <c r="O41" s="19" t="str">
        <f aca="false">CONCATENATE(O74,O75,O76,O77,O78,O79,O80,O81,O82,O83,O84,O85,O86,O87,O88,O89,O90,O91,O92,O93,O94,O95,O96,O97,O98,O99,O100,O101,O102,O103,O104,O105)</f>
        <v/>
      </c>
      <c r="P41" s="19"/>
      <c r="Q41" s="19"/>
      <c r="R41" s="19"/>
    </row>
    <row r="42" customFormat="false" ht="15" hidden="false" customHeight="false" outlineLevel="0" collapsed="false">
      <c r="I42" s="19"/>
      <c r="J42" s="19"/>
      <c r="K42" s="19"/>
      <c r="L42" s="19"/>
      <c r="O42" s="19"/>
      <c r="P42" s="19"/>
      <c r="Q42" s="19"/>
      <c r="R42" s="19"/>
    </row>
    <row r="43" customFormat="false" ht="15" hidden="false" customHeight="false" outlineLevel="0" collapsed="false">
      <c r="I43" s="19"/>
      <c r="J43" s="19"/>
      <c r="K43" s="19"/>
      <c r="L43" s="19"/>
      <c r="O43" s="19"/>
      <c r="P43" s="19"/>
      <c r="Q43" s="19"/>
      <c r="R43" s="19"/>
    </row>
    <row r="44" customFormat="false" ht="15" hidden="false" customHeight="false" outlineLevel="0" collapsed="false">
      <c r="I44" s="19"/>
      <c r="J44" s="19"/>
      <c r="K44" s="19"/>
      <c r="L44" s="19"/>
      <c r="O44" s="19"/>
      <c r="P44" s="19"/>
      <c r="Q44" s="19"/>
      <c r="R44" s="19"/>
    </row>
    <row r="45" customFormat="false" ht="15" hidden="false" customHeight="false" outlineLevel="0" collapsed="false">
      <c r="I45" s="19"/>
      <c r="J45" s="19"/>
      <c r="K45" s="19"/>
      <c r="L45" s="19"/>
      <c r="O45" s="19"/>
      <c r="P45" s="19"/>
      <c r="Q45" s="19"/>
      <c r="R45" s="19"/>
    </row>
    <row r="46" customFormat="false" ht="15" hidden="false" customHeight="false" outlineLevel="0" collapsed="false">
      <c r="I46" s="19"/>
      <c r="J46" s="19"/>
      <c r="K46" s="19"/>
      <c r="L46" s="19"/>
      <c r="O46" s="19"/>
      <c r="P46" s="19"/>
      <c r="Q46" s="19"/>
      <c r="R46" s="19"/>
    </row>
    <row r="47" customFormat="false" ht="15" hidden="false" customHeight="false" outlineLevel="0" collapsed="false">
      <c r="I47" s="19"/>
      <c r="J47" s="19"/>
      <c r="K47" s="19"/>
      <c r="L47" s="19"/>
      <c r="O47" s="19"/>
      <c r="P47" s="19"/>
      <c r="Q47" s="19"/>
      <c r="R47" s="19"/>
    </row>
    <row r="48" customFormat="false" ht="15" hidden="false" customHeight="false" outlineLevel="0" collapsed="false">
      <c r="I48" s="19"/>
      <c r="J48" s="19"/>
      <c r="K48" s="19"/>
      <c r="L48" s="19"/>
      <c r="O48" s="19"/>
      <c r="P48" s="19"/>
      <c r="Q48" s="19"/>
      <c r="R48" s="19"/>
    </row>
    <row r="49" customFormat="false" ht="15" hidden="false" customHeight="false" outlineLevel="0" collapsed="false">
      <c r="I49" s="19"/>
      <c r="J49" s="19"/>
      <c r="K49" s="19"/>
      <c r="L49" s="19"/>
      <c r="O49" s="19"/>
      <c r="P49" s="19"/>
      <c r="Q49" s="19"/>
      <c r="R49" s="19"/>
    </row>
    <row r="50" customFormat="false" ht="15" hidden="false" customHeight="false" outlineLevel="0" collapsed="false">
      <c r="I50" s="19"/>
      <c r="J50" s="19"/>
      <c r="K50" s="19"/>
      <c r="L50" s="19"/>
      <c r="O50" s="19"/>
      <c r="P50" s="19"/>
      <c r="Q50" s="19"/>
      <c r="R50" s="19"/>
    </row>
    <row r="51" customFormat="false" ht="15" hidden="false" customHeight="false" outlineLevel="0" collapsed="false">
      <c r="I51" s="19"/>
      <c r="J51" s="19"/>
      <c r="K51" s="19"/>
      <c r="L51" s="19"/>
      <c r="O51" s="19"/>
      <c r="P51" s="19"/>
      <c r="Q51" s="19"/>
      <c r="R51" s="19"/>
    </row>
    <row r="52" customFormat="false" ht="15" hidden="false" customHeight="false" outlineLevel="0" collapsed="false">
      <c r="I52" s="19"/>
      <c r="J52" s="19"/>
      <c r="K52" s="19"/>
      <c r="L52" s="19"/>
      <c r="O52" s="19"/>
      <c r="P52" s="19"/>
      <c r="Q52" s="19"/>
      <c r="R52" s="19"/>
    </row>
    <row r="53" customFormat="false" ht="15" hidden="false" customHeight="false" outlineLevel="0" collapsed="false">
      <c r="I53" s="19"/>
      <c r="J53" s="19"/>
      <c r="K53" s="19"/>
      <c r="L53" s="19"/>
      <c r="O53" s="19"/>
      <c r="P53" s="19"/>
      <c r="Q53" s="19"/>
      <c r="R53" s="19"/>
    </row>
    <row r="54" customFormat="false" ht="15" hidden="false" customHeight="false" outlineLevel="0" collapsed="false">
      <c r="I54" s="19"/>
      <c r="J54" s="19"/>
      <c r="K54" s="19"/>
      <c r="L54" s="19"/>
      <c r="O54" s="19"/>
      <c r="P54" s="19"/>
      <c r="Q54" s="19"/>
      <c r="R54" s="19"/>
    </row>
    <row r="55" customFormat="false" ht="15" hidden="false" customHeight="false" outlineLevel="0" collapsed="false">
      <c r="I55" s="19"/>
      <c r="J55" s="19"/>
      <c r="K55" s="19"/>
      <c r="L55" s="19"/>
      <c r="O55" s="19"/>
      <c r="P55" s="19"/>
      <c r="Q55" s="19"/>
      <c r="R55" s="19"/>
    </row>
    <row r="56" customFormat="false" ht="15" hidden="false" customHeight="false" outlineLevel="0" collapsed="false">
      <c r="I56" s="19"/>
      <c r="J56" s="19"/>
      <c r="K56" s="19"/>
      <c r="L56" s="19"/>
      <c r="O56" s="19"/>
      <c r="P56" s="19"/>
      <c r="Q56" s="19"/>
      <c r="R56" s="19"/>
    </row>
    <row r="57" customFormat="false" ht="15" hidden="false" customHeight="false" outlineLevel="0" collapsed="false">
      <c r="I57" s="19"/>
      <c r="J57" s="19"/>
      <c r="K57" s="19"/>
      <c r="L57" s="19"/>
      <c r="O57" s="19"/>
      <c r="P57" s="19"/>
      <c r="Q57" s="19"/>
      <c r="R57" s="19"/>
    </row>
    <row r="58" customFormat="false" ht="15" hidden="false" customHeight="false" outlineLevel="0" collapsed="false">
      <c r="I58" s="19"/>
      <c r="J58" s="19"/>
      <c r="K58" s="19"/>
      <c r="L58" s="19"/>
      <c r="O58" s="19"/>
      <c r="P58" s="19"/>
      <c r="Q58" s="19"/>
      <c r="R58" s="19"/>
    </row>
    <row r="59" customFormat="false" ht="15" hidden="false" customHeight="false" outlineLevel="0" collapsed="false">
      <c r="I59" s="19"/>
      <c r="J59" s="19"/>
      <c r="K59" s="19"/>
      <c r="L59" s="19"/>
      <c r="O59" s="19"/>
      <c r="P59" s="19"/>
      <c r="Q59" s="19"/>
      <c r="R59" s="19"/>
    </row>
    <row r="60" customFormat="false" ht="15" hidden="false" customHeight="false" outlineLevel="0" collapsed="false">
      <c r="I60" s="19"/>
      <c r="J60" s="19"/>
      <c r="K60" s="19"/>
      <c r="L60" s="19"/>
      <c r="O60" s="19"/>
      <c r="P60" s="19"/>
      <c r="Q60" s="19"/>
      <c r="R60" s="19"/>
    </row>
    <row r="61" customFormat="false" ht="15" hidden="false" customHeight="false" outlineLevel="0" collapsed="false">
      <c r="I61" s="19"/>
      <c r="J61" s="19"/>
      <c r="K61" s="19"/>
      <c r="L61" s="19"/>
      <c r="O61" s="19"/>
      <c r="P61" s="19"/>
      <c r="Q61" s="19"/>
      <c r="R61" s="19"/>
    </row>
    <row r="62" customFormat="false" ht="15" hidden="false" customHeight="false" outlineLevel="0" collapsed="false">
      <c r="I62" s="19"/>
      <c r="J62" s="19"/>
      <c r="K62" s="19"/>
      <c r="L62" s="19"/>
      <c r="O62" s="19"/>
      <c r="P62" s="19"/>
      <c r="Q62" s="19"/>
      <c r="R62" s="19"/>
    </row>
    <row r="63" customFormat="false" ht="15" hidden="false" customHeight="false" outlineLevel="0" collapsed="false">
      <c r="I63" s="19"/>
      <c r="J63" s="19"/>
      <c r="K63" s="19"/>
      <c r="L63" s="19"/>
      <c r="O63" s="19"/>
      <c r="P63" s="19"/>
      <c r="Q63" s="19"/>
      <c r="R63" s="19"/>
    </row>
    <row r="64" customFormat="false" ht="15" hidden="false" customHeight="false" outlineLevel="0" collapsed="false">
      <c r="I64" s="19"/>
      <c r="J64" s="19"/>
      <c r="K64" s="19"/>
      <c r="L64" s="19"/>
      <c r="O64" s="19"/>
      <c r="P64" s="19"/>
      <c r="Q64" s="19"/>
      <c r="R64" s="19"/>
    </row>
    <row r="65" customFormat="false" ht="15" hidden="false" customHeight="false" outlineLevel="0" collapsed="false">
      <c r="I65" s="19"/>
      <c r="J65" s="19"/>
      <c r="K65" s="19"/>
      <c r="L65" s="19"/>
      <c r="O65" s="19"/>
      <c r="P65" s="19"/>
      <c r="Q65" s="19"/>
      <c r="R65" s="19"/>
    </row>
    <row r="66" customFormat="false" ht="15" hidden="false" customHeight="false" outlineLevel="0" collapsed="false">
      <c r="I66" s="19"/>
      <c r="J66" s="19"/>
      <c r="K66" s="19"/>
      <c r="L66" s="19"/>
      <c r="O66" s="19"/>
      <c r="P66" s="19"/>
      <c r="Q66" s="19"/>
      <c r="R66" s="19"/>
    </row>
    <row r="67" customFormat="false" ht="15" hidden="false" customHeight="false" outlineLevel="0" collapsed="false">
      <c r="I67" s="19"/>
      <c r="J67" s="19"/>
      <c r="K67" s="19"/>
      <c r="L67" s="19"/>
      <c r="O67" s="19"/>
      <c r="P67" s="19"/>
      <c r="Q67" s="19"/>
      <c r="R67" s="19"/>
    </row>
    <row r="68" customFormat="false" ht="15" hidden="false" customHeight="false" outlineLevel="0" collapsed="false">
      <c r="I68" s="19"/>
      <c r="J68" s="19"/>
      <c r="K68" s="19"/>
      <c r="L68" s="19"/>
      <c r="O68" s="19"/>
      <c r="P68" s="19"/>
      <c r="Q68" s="19"/>
      <c r="R68" s="19"/>
    </row>
    <row r="69" customFormat="false" ht="15" hidden="false" customHeight="false" outlineLevel="0" collapsed="false">
      <c r="I69" s="19"/>
      <c r="J69" s="19"/>
      <c r="K69" s="19"/>
      <c r="L69" s="19"/>
      <c r="O69" s="19"/>
      <c r="P69" s="19"/>
      <c r="Q69" s="19"/>
      <c r="R69" s="19"/>
    </row>
    <row r="70" customFormat="false" ht="15" hidden="false" customHeight="false" outlineLevel="0" collapsed="false">
      <c r="I70" s="19"/>
      <c r="J70" s="19"/>
      <c r="K70" s="19"/>
      <c r="L70" s="19"/>
      <c r="O70" s="19"/>
      <c r="P70" s="19"/>
      <c r="Q70" s="19"/>
      <c r="R70" s="19"/>
    </row>
    <row r="71" customFormat="false" ht="15" hidden="false" customHeight="false" outlineLevel="0" collapsed="false">
      <c r="I71" s="19"/>
      <c r="J71" s="19"/>
      <c r="K71" s="19"/>
      <c r="L71" s="19"/>
      <c r="O71" s="19"/>
      <c r="P71" s="19"/>
      <c r="Q71" s="19"/>
      <c r="R71" s="19"/>
    </row>
    <row r="72" customFormat="false" ht="15" hidden="false" customHeight="false" outlineLevel="0" collapsed="false">
      <c r="I72" s="19"/>
      <c r="J72" s="19"/>
      <c r="K72" s="19"/>
      <c r="L72" s="19"/>
      <c r="O72" s="19"/>
      <c r="P72" s="19"/>
      <c r="Q72" s="19"/>
      <c r="R72" s="19"/>
    </row>
    <row r="73" customFormat="false" ht="15" hidden="false" customHeight="false" outlineLevel="0" collapsed="false">
      <c r="I73" s="19"/>
      <c r="J73" s="19"/>
      <c r="K73" s="19"/>
      <c r="L73" s="19"/>
      <c r="O73" s="19"/>
      <c r="P73" s="19"/>
      <c r="Q73" s="19"/>
      <c r="R73" s="19"/>
    </row>
    <row r="74" customFormat="false" ht="30" hidden="true" customHeight="true" outlineLevel="0" collapsed="false">
      <c r="I74" s="0" t="str">
        <f aca="false" t="array" ref="I74:I105">IF(ISNUMBER(I7:I38)*(I7:I38&gt;=K7:K38)*(M7:M38&lt;&gt;""),TEXT(ROUNDUP(I7:I38/IF(ISNUMBER(K7:K38),K7:K38,1),0)*K7:K38,"##0")&amp;","&amp;M7:M38&amp;","&amp;SUBSTITUTE(SUBSTITUTE(IF(PURCHASE_DESCRIPTION&lt;&gt;"",PURCHASE_DESCRIPTION&amp;":","")&amp;A7:A38,",",";"),"
"," ")&amp;CHAR(10),"")</f>
        <v/>
      </c>
      <c r="O74" s="0" t="str">
        <f aca="false" t="array" ref="O74:O105">IF(ISNUMBER(O7:O38)*(O7:O38&gt;=Q7:Q38)*(S7:S38&lt;&gt;""),S7:S38&amp;"|"&amp;TEXT(ROUNDUP(O7:O38/IF(ISNUMBER(Q7:Q38),Q7:Q38,1),0)*Q7:Q38,"##0")&amp;"|"&amp;SUBSTITUTE(SUBSTITUTE(SUBSTITUTE(IF(PURCHASE_DESCRIPTION&lt;&gt;"",PURCHASE_DESCRIPTION&amp;":","")&amp;A7:A38,"|",";")," ","_"),"
","_")&amp;CHAR(10),"")</f>
        <v/>
      </c>
    </row>
    <row r="75" customFormat="false" ht="30" hidden="true" customHeight="true" outlineLevel="0" collapsed="false">
      <c r="I75" s="0" t="str">
        <v/>
      </c>
      <c r="O75" s="0" t="str">
        <v/>
      </c>
    </row>
    <row r="76" customFormat="false" ht="30" hidden="true" customHeight="true" outlineLevel="0" collapsed="false">
      <c r="I76" s="0" t="str">
        <v/>
      </c>
      <c r="O76" s="0" t="str">
        <v/>
      </c>
    </row>
    <row r="77" customFormat="false" ht="30" hidden="true" customHeight="true" outlineLevel="0" collapsed="false">
      <c r="I77" s="0" t="str">
        <v/>
      </c>
      <c r="O77" s="0" t="str">
        <v/>
      </c>
    </row>
    <row r="78" customFormat="false" ht="30" hidden="true" customHeight="true" outlineLevel="0" collapsed="false">
      <c r="I78" s="0" t="str">
        <v/>
      </c>
      <c r="O78" s="0" t="str">
        <v/>
      </c>
    </row>
    <row r="79" customFormat="false" ht="30" hidden="true" customHeight="true" outlineLevel="0" collapsed="false">
      <c r="I79" s="0" t="str">
        <v/>
      </c>
      <c r="O79" s="0" t="str">
        <v/>
      </c>
    </row>
    <row r="80" customFormat="false" ht="30" hidden="true" customHeight="true" outlineLevel="0" collapsed="false">
      <c r="I80" s="0" t="str">
        <v/>
      </c>
      <c r="O80" s="0" t="str">
        <v/>
      </c>
    </row>
    <row r="81" customFormat="false" ht="30" hidden="true" customHeight="true" outlineLevel="0" collapsed="false">
      <c r="I81" s="0" t="str">
        <v/>
      </c>
      <c r="O81" s="0" t="str">
        <v/>
      </c>
    </row>
    <row r="82" customFormat="false" ht="30" hidden="true" customHeight="true" outlineLevel="0" collapsed="false">
      <c r="I82" s="0" t="str">
        <v/>
      </c>
      <c r="O82" s="0" t="str">
        <v/>
      </c>
    </row>
    <row r="83" customFormat="false" ht="30" hidden="true" customHeight="true" outlineLevel="0" collapsed="false">
      <c r="I83" s="0" t="str">
        <v/>
      </c>
      <c r="O83" s="0" t="str">
        <v/>
      </c>
    </row>
    <row r="84" customFormat="false" ht="30" hidden="true" customHeight="true" outlineLevel="0" collapsed="false">
      <c r="I84" s="0" t="str">
        <v/>
      </c>
      <c r="O84" s="0" t="str">
        <v/>
      </c>
    </row>
    <row r="85" customFormat="false" ht="30" hidden="true" customHeight="true" outlineLevel="0" collapsed="false">
      <c r="I85" s="0" t="str">
        <v/>
      </c>
      <c r="O85" s="0" t="str">
        <v/>
      </c>
    </row>
    <row r="86" customFormat="false" ht="30" hidden="true" customHeight="true" outlineLevel="0" collapsed="false">
      <c r="I86" s="0" t="str">
        <v/>
      </c>
      <c r="O86" s="0" t="str">
        <v/>
      </c>
    </row>
    <row r="87" customFormat="false" ht="30" hidden="true" customHeight="true" outlineLevel="0" collapsed="false">
      <c r="I87" s="0" t="str">
        <v/>
      </c>
      <c r="O87" s="0" t="str">
        <v/>
      </c>
    </row>
    <row r="88" customFormat="false" ht="30" hidden="true" customHeight="true" outlineLevel="0" collapsed="false">
      <c r="I88" s="0" t="str">
        <v/>
      </c>
      <c r="O88" s="0" t="str">
        <v/>
      </c>
    </row>
    <row r="89" customFormat="false" ht="30" hidden="true" customHeight="true" outlineLevel="0" collapsed="false">
      <c r="I89" s="0" t="str">
        <v/>
      </c>
      <c r="O89" s="0" t="str">
        <v/>
      </c>
    </row>
    <row r="90" customFormat="false" ht="30" hidden="true" customHeight="true" outlineLevel="0" collapsed="false">
      <c r="I90" s="0" t="str">
        <v/>
      </c>
      <c r="O90" s="0" t="str">
        <v/>
      </c>
    </row>
    <row r="91" customFormat="false" ht="30" hidden="true" customHeight="true" outlineLevel="0" collapsed="false">
      <c r="I91" s="0" t="str">
        <v/>
      </c>
      <c r="O91" s="0" t="str">
        <v/>
      </c>
    </row>
    <row r="92" customFormat="false" ht="30" hidden="true" customHeight="true" outlineLevel="0" collapsed="false">
      <c r="I92" s="0" t="str">
        <v/>
      </c>
      <c r="O92" s="0" t="str">
        <v/>
      </c>
    </row>
    <row r="93" customFormat="false" ht="30" hidden="true" customHeight="true" outlineLevel="0" collapsed="false">
      <c r="I93" s="0" t="str">
        <v/>
      </c>
      <c r="O93" s="0" t="str">
        <v/>
      </c>
    </row>
    <row r="94" customFormat="false" ht="30" hidden="true" customHeight="true" outlineLevel="0" collapsed="false">
      <c r="I94" s="0" t="str">
        <v/>
      </c>
      <c r="O94" s="0" t="str">
        <v/>
      </c>
    </row>
    <row r="95" customFormat="false" ht="30" hidden="true" customHeight="true" outlineLevel="0" collapsed="false">
      <c r="I95" s="0" t="str">
        <v/>
      </c>
      <c r="O95" s="0" t="str">
        <v/>
      </c>
    </row>
    <row r="96" customFormat="false" ht="30" hidden="true" customHeight="true" outlineLevel="0" collapsed="false">
      <c r="I96" s="0" t="str">
        <v/>
      </c>
      <c r="O96" s="0" t="str">
        <v/>
      </c>
    </row>
    <row r="97" customFormat="false" ht="30" hidden="true" customHeight="true" outlineLevel="0" collapsed="false">
      <c r="I97" s="0" t="str">
        <v/>
      </c>
      <c r="O97" s="0" t="str">
        <v/>
      </c>
    </row>
    <row r="98" customFormat="false" ht="30" hidden="true" customHeight="true" outlineLevel="0" collapsed="false">
      <c r="I98" s="0" t="str">
        <v/>
      </c>
      <c r="O98" s="0" t="str">
        <v/>
      </c>
    </row>
    <row r="99" customFormat="false" ht="30" hidden="true" customHeight="true" outlineLevel="0" collapsed="false">
      <c r="I99" s="0" t="str">
        <v/>
      </c>
      <c r="O99" s="0" t="str">
        <v/>
      </c>
    </row>
    <row r="100" customFormat="false" ht="30" hidden="true" customHeight="true" outlineLevel="0" collapsed="false">
      <c r="I100" s="0" t="str">
        <v/>
      </c>
      <c r="O100" s="0" t="str">
        <v/>
      </c>
    </row>
    <row r="101" customFormat="false" ht="30" hidden="true" customHeight="true" outlineLevel="0" collapsed="false">
      <c r="I101" s="0" t="str">
        <v/>
      </c>
      <c r="O101" s="0" t="str">
        <v/>
      </c>
    </row>
    <row r="102" customFormat="false" ht="30" hidden="true" customHeight="true" outlineLevel="0" collapsed="false">
      <c r="I102" s="0" t="str">
        <v/>
      </c>
      <c r="O102" s="0" t="str">
        <v/>
      </c>
    </row>
    <row r="103" customFormat="false" ht="30" hidden="true" customHeight="true" outlineLevel="0" collapsed="false">
      <c r="I103" s="0" t="str">
        <v/>
      </c>
      <c r="O103" s="0" t="str">
        <v/>
      </c>
    </row>
    <row r="104" customFormat="false" ht="30" hidden="true" customHeight="true" outlineLevel="0" collapsed="false">
      <c r="I104" s="0" t="str">
        <v/>
      </c>
      <c r="O104" s="0" t="str">
        <v/>
      </c>
    </row>
    <row r="105" customFormat="false" ht="30" hidden="true" customHeight="true" outlineLevel="0" collapsed="false">
      <c r="I105" s="0" t="str">
        <v/>
      </c>
      <c r="O105" s="0" t="str">
        <v/>
      </c>
    </row>
  </sheetData>
  <mergeCells count="5">
    <mergeCell ref="A5:G5"/>
    <mergeCell ref="H5:M5"/>
    <mergeCell ref="N5:S5"/>
    <mergeCell ref="I41:L73"/>
    <mergeCell ref="O41:R73"/>
  </mergeCells>
  <conditionalFormatting sqref="E10">
    <cfRule type="expression" priority="2" aboveAverage="0" equalAverage="0" bottom="0" percent="0" rank="0" text="" dxfId="0">
      <formula>AND(ISBLANK(D10),ISBLANK(L10),ISBLANK(R10))</formula>
    </cfRule>
    <cfRule type="expression" priority="3" aboveAverage="0" equalAverage="0" bottom="0" percent="0" rank="0" text="" dxfId="1">
      <formula>IF(SUM(H10,N10)=0,1,0)</formula>
    </cfRule>
    <cfRule type="cellIs" priority="4" operator="greaterThan" aboveAverage="0" equalAverage="0" bottom="0" percent="0" rank="0" text="" dxfId="2">
      <formula>SUM(H10,N10)</formula>
    </cfRule>
    <cfRule type="cellIs" priority="5" operator="greaterThan" aboveAverage="0" equalAverage="0" bottom="0" percent="0" rank="0" text="" dxfId="3">
      <formula>SUM(IF(ISNUMBER(J10),I10,0),IF(ISNUMBER(P10),O10,0))</formula>
    </cfRule>
  </conditionalFormatting>
  <conditionalFormatting sqref="E11">
    <cfRule type="expression" priority="6" aboveAverage="0" equalAverage="0" bottom="0" percent="0" rank="0" text="" dxfId="0">
      <formula>AND(ISBLANK(D11),ISBLANK(L11),ISBLANK(R11))</formula>
    </cfRule>
    <cfRule type="expression" priority="7" aboveAverage="0" equalAverage="0" bottom="0" percent="0" rank="0" text="" dxfId="1">
      <formula>IF(SUM(H11,N11)=0,1,0)</formula>
    </cfRule>
    <cfRule type="cellIs" priority="8" operator="greaterThan" aboveAverage="0" equalAverage="0" bottom="0" percent="0" rank="0" text="" dxfId="2">
      <formula>SUM(H11,N11)</formula>
    </cfRule>
    <cfRule type="cellIs" priority="9" operator="greaterThan" aboveAverage="0" equalAverage="0" bottom="0" percent="0" rank="0" text="" dxfId="3">
      <formula>SUM(IF(ISNUMBER(J11),I11,0),IF(ISNUMBER(P11),O11,0))</formula>
    </cfRule>
  </conditionalFormatting>
  <conditionalFormatting sqref="E12">
    <cfRule type="expression" priority="10" aboveAverage="0" equalAverage="0" bottom="0" percent="0" rank="0" text="" dxfId="0">
      <formula>AND(ISBLANK(D12),ISBLANK(L12),ISBLANK(R12))</formula>
    </cfRule>
    <cfRule type="expression" priority="11" aboveAverage="0" equalAverage="0" bottom="0" percent="0" rank="0" text="" dxfId="1">
      <formula>IF(SUM(H12,N12)=0,1,0)</formula>
    </cfRule>
    <cfRule type="cellIs" priority="12" operator="greaterThan" aboveAverage="0" equalAverage="0" bottom="0" percent="0" rank="0" text="" dxfId="2">
      <formula>SUM(H12,N12)</formula>
    </cfRule>
    <cfRule type="cellIs" priority="13" operator="greaterThan" aboveAverage="0" equalAverage="0" bottom="0" percent="0" rank="0" text="" dxfId="3">
      <formula>SUM(IF(ISNUMBER(J12),I12,0),IF(ISNUMBER(P12),O12,0))</formula>
    </cfRule>
  </conditionalFormatting>
  <conditionalFormatting sqref="E13">
    <cfRule type="expression" priority="14" aboveAverage="0" equalAverage="0" bottom="0" percent="0" rank="0" text="" dxfId="0">
      <formula>AND(ISBLANK(D13),ISBLANK(L13),ISBLANK(R13))</formula>
    </cfRule>
    <cfRule type="expression" priority="15" aboveAverage="0" equalAverage="0" bottom="0" percent="0" rank="0" text="" dxfId="1">
      <formula>IF(SUM(H13,N13)=0,1,0)</formula>
    </cfRule>
    <cfRule type="cellIs" priority="16" operator="greaterThan" aboveAverage="0" equalAverage="0" bottom="0" percent="0" rank="0" text="" dxfId="2">
      <formula>SUM(H13,N13)</formula>
    </cfRule>
    <cfRule type="cellIs" priority="17" operator="greaterThan" aboveAverage="0" equalAverage="0" bottom="0" percent="0" rank="0" text="" dxfId="3">
      <formula>SUM(IF(ISNUMBER(J13),I13,0),IF(ISNUMBER(P13),O13,0))</formula>
    </cfRule>
  </conditionalFormatting>
  <conditionalFormatting sqref="E14">
    <cfRule type="expression" priority="18" aboveAverage="0" equalAverage="0" bottom="0" percent="0" rank="0" text="" dxfId="0">
      <formula>AND(ISBLANK(D14),ISBLANK(L14),ISBLANK(R14))</formula>
    </cfRule>
    <cfRule type="expression" priority="19" aboveAverage="0" equalAverage="0" bottom="0" percent="0" rank="0" text="" dxfId="1">
      <formula>IF(SUM(H14,N14)=0,1,0)</formula>
    </cfRule>
    <cfRule type="cellIs" priority="20" operator="greaterThan" aboveAverage="0" equalAverage="0" bottom="0" percent="0" rank="0" text="" dxfId="2">
      <formula>SUM(H14,N14)</formula>
    </cfRule>
    <cfRule type="cellIs" priority="21" operator="greaterThan" aboveAverage="0" equalAverage="0" bottom="0" percent="0" rank="0" text="" dxfId="3">
      <formula>SUM(IF(ISNUMBER(J14),I14,0),IF(ISNUMBER(P14),O14,0))</formula>
    </cfRule>
  </conditionalFormatting>
  <conditionalFormatting sqref="E15">
    <cfRule type="expression" priority="22" aboveAverage="0" equalAverage="0" bottom="0" percent="0" rank="0" text="" dxfId="0">
      <formula>AND(ISBLANK(D15),ISBLANK(L15),ISBLANK(R15))</formula>
    </cfRule>
    <cfRule type="expression" priority="23" aboveAverage="0" equalAverage="0" bottom="0" percent="0" rank="0" text="" dxfId="1">
      <formula>IF(SUM(H15,N15)=0,1,0)</formula>
    </cfRule>
    <cfRule type="cellIs" priority="24" operator="greaterThan" aboveAverage="0" equalAverage="0" bottom="0" percent="0" rank="0" text="" dxfId="2">
      <formula>SUM(H15,N15)</formula>
    </cfRule>
    <cfRule type="cellIs" priority="25" operator="greaterThan" aboveAverage="0" equalAverage="0" bottom="0" percent="0" rank="0" text="" dxfId="3">
      <formula>SUM(IF(ISNUMBER(J15),I15,0),IF(ISNUMBER(P15),O15,0))</formula>
    </cfRule>
  </conditionalFormatting>
  <conditionalFormatting sqref="E16">
    <cfRule type="expression" priority="26" aboveAverage="0" equalAverage="0" bottom="0" percent="0" rank="0" text="" dxfId="0">
      <formula>AND(ISBLANK(D16),ISBLANK(L16),ISBLANK(R16))</formula>
    </cfRule>
    <cfRule type="expression" priority="27" aboveAverage="0" equalAverage="0" bottom="0" percent="0" rank="0" text="" dxfId="1">
      <formula>IF(SUM(H16,N16)=0,1,0)</formula>
    </cfRule>
    <cfRule type="cellIs" priority="28" operator="greaterThan" aboveAverage="0" equalAverage="0" bottom="0" percent="0" rank="0" text="" dxfId="2">
      <formula>SUM(H16,N16)</formula>
    </cfRule>
    <cfRule type="cellIs" priority="29" operator="greaterThan" aboveAverage="0" equalAverage="0" bottom="0" percent="0" rank="0" text="" dxfId="3">
      <formula>SUM(IF(ISNUMBER(J16),I16,0),IF(ISNUMBER(P16),O16,0))</formula>
    </cfRule>
  </conditionalFormatting>
  <conditionalFormatting sqref="E17">
    <cfRule type="expression" priority="30" aboveAverage="0" equalAverage="0" bottom="0" percent="0" rank="0" text="" dxfId="0">
      <formula>AND(ISBLANK(D17),ISBLANK(L17),ISBLANK(R17))</formula>
    </cfRule>
    <cfRule type="expression" priority="31" aboveAverage="0" equalAverage="0" bottom="0" percent="0" rank="0" text="" dxfId="1">
      <formula>IF(SUM(H17,N17)=0,1,0)</formula>
    </cfRule>
    <cfRule type="cellIs" priority="32" operator="greaterThan" aboveAverage="0" equalAverage="0" bottom="0" percent="0" rank="0" text="" dxfId="2">
      <formula>SUM(H17,N17)</formula>
    </cfRule>
    <cfRule type="cellIs" priority="33" operator="greaterThan" aboveAverage="0" equalAverage="0" bottom="0" percent="0" rank="0" text="" dxfId="3">
      <formula>SUM(IF(ISNUMBER(J17),I17,0),IF(ISNUMBER(P17),O17,0))</formula>
    </cfRule>
  </conditionalFormatting>
  <conditionalFormatting sqref="E18">
    <cfRule type="expression" priority="34" aboveAverage="0" equalAverage="0" bottom="0" percent="0" rank="0" text="" dxfId="0">
      <formula>AND(ISBLANK(D18),ISBLANK(L18),ISBLANK(R18))</formula>
    </cfRule>
    <cfRule type="expression" priority="35" aboveAverage="0" equalAverage="0" bottom="0" percent="0" rank="0" text="" dxfId="1">
      <formula>IF(SUM(H18,N18)=0,1,0)</formula>
    </cfRule>
    <cfRule type="cellIs" priority="36" operator="greaterThan" aboveAverage="0" equalAverage="0" bottom="0" percent="0" rank="0" text="" dxfId="2">
      <formula>SUM(H18,N18)</formula>
    </cfRule>
    <cfRule type="cellIs" priority="37" operator="greaterThan" aboveAverage="0" equalAverage="0" bottom="0" percent="0" rank="0" text="" dxfId="3">
      <formula>SUM(IF(ISNUMBER(J18),I18,0),IF(ISNUMBER(P18),O18,0))</formula>
    </cfRule>
  </conditionalFormatting>
  <conditionalFormatting sqref="E19">
    <cfRule type="expression" priority="38" aboveAverage="0" equalAverage="0" bottom="0" percent="0" rank="0" text="" dxfId="0">
      <formula>AND(ISBLANK(D19),ISBLANK(L19),ISBLANK(R19))</formula>
    </cfRule>
    <cfRule type="expression" priority="39" aboveAverage="0" equalAverage="0" bottom="0" percent="0" rank="0" text="" dxfId="1">
      <formula>IF(SUM(H19,N19)=0,1,0)</formula>
    </cfRule>
    <cfRule type="cellIs" priority="40" operator="greaterThan" aboveAverage="0" equalAverage="0" bottom="0" percent="0" rank="0" text="" dxfId="2">
      <formula>SUM(H19,N19)</formula>
    </cfRule>
    <cfRule type="cellIs" priority="41" operator="greaterThan" aboveAverage="0" equalAverage="0" bottom="0" percent="0" rank="0" text="" dxfId="3">
      <formula>SUM(IF(ISNUMBER(J19),I19,0),IF(ISNUMBER(P19),O19,0))</formula>
    </cfRule>
  </conditionalFormatting>
  <conditionalFormatting sqref="E20">
    <cfRule type="expression" priority="42" aboveAverage="0" equalAverage="0" bottom="0" percent="0" rank="0" text="" dxfId="0">
      <formula>AND(ISBLANK(D20),ISBLANK(L20),ISBLANK(R20))</formula>
    </cfRule>
    <cfRule type="expression" priority="43" aboveAverage="0" equalAverage="0" bottom="0" percent="0" rank="0" text="" dxfId="1">
      <formula>IF(SUM(H20,N20)=0,1,0)</formula>
    </cfRule>
    <cfRule type="cellIs" priority="44" operator="greaterThan" aboveAverage="0" equalAverage="0" bottom="0" percent="0" rank="0" text="" dxfId="2">
      <formula>SUM(H20,N20)</formula>
    </cfRule>
    <cfRule type="cellIs" priority="45" operator="greaterThan" aboveAverage="0" equalAverage="0" bottom="0" percent="0" rank="0" text="" dxfId="3">
      <formula>SUM(IF(ISNUMBER(J20),I20,0),IF(ISNUMBER(P20),O20,0))</formula>
    </cfRule>
  </conditionalFormatting>
  <conditionalFormatting sqref="E21">
    <cfRule type="expression" priority="46" aboveAverage="0" equalAverage="0" bottom="0" percent="0" rank="0" text="" dxfId="0">
      <formula>AND(ISBLANK(D21),ISBLANK(L21),ISBLANK(R21))</formula>
    </cfRule>
    <cfRule type="expression" priority="47" aboveAverage="0" equalAverage="0" bottom="0" percent="0" rank="0" text="" dxfId="1">
      <formula>IF(SUM(H21,N21)=0,1,0)</formula>
    </cfRule>
    <cfRule type="cellIs" priority="48" operator="greaterThan" aboveAverage="0" equalAverage="0" bottom="0" percent="0" rank="0" text="" dxfId="2">
      <formula>SUM(H21,N21)</formula>
    </cfRule>
    <cfRule type="cellIs" priority="49" operator="greaterThan" aboveAverage="0" equalAverage="0" bottom="0" percent="0" rank="0" text="" dxfId="3">
      <formula>SUM(IF(ISNUMBER(J21),I21,0),IF(ISNUMBER(P21),O21,0))</formula>
    </cfRule>
  </conditionalFormatting>
  <conditionalFormatting sqref="E22">
    <cfRule type="expression" priority="50" aboveAverage="0" equalAverage="0" bottom="0" percent="0" rank="0" text="" dxfId="0">
      <formula>AND(ISBLANK(D22),ISBLANK(L22),ISBLANK(R22))</formula>
    </cfRule>
    <cfRule type="expression" priority="51" aboveAverage="0" equalAverage="0" bottom="0" percent="0" rank="0" text="" dxfId="1">
      <formula>IF(SUM(H22,N22)=0,1,0)</formula>
    </cfRule>
    <cfRule type="cellIs" priority="52" operator="greaterThan" aboveAverage="0" equalAverage="0" bottom="0" percent="0" rank="0" text="" dxfId="2">
      <formula>SUM(H22,N22)</formula>
    </cfRule>
    <cfRule type="cellIs" priority="53" operator="greaterThan" aboveAverage="0" equalAverage="0" bottom="0" percent="0" rank="0" text="" dxfId="3">
      <formula>SUM(IF(ISNUMBER(J22),I22,0),IF(ISNUMBER(P22),O22,0))</formula>
    </cfRule>
  </conditionalFormatting>
  <conditionalFormatting sqref="E23">
    <cfRule type="expression" priority="54" aboveAverage="0" equalAverage="0" bottom="0" percent="0" rank="0" text="" dxfId="0">
      <formula>AND(ISBLANK(D23),ISBLANK(L23),ISBLANK(R23))</formula>
    </cfRule>
    <cfRule type="expression" priority="55" aboveAverage="0" equalAverage="0" bottom="0" percent="0" rank="0" text="" dxfId="1">
      <formula>IF(SUM(H23,N23)=0,1,0)</formula>
    </cfRule>
    <cfRule type="cellIs" priority="56" operator="greaterThan" aboveAverage="0" equalAverage="0" bottom="0" percent="0" rank="0" text="" dxfId="2">
      <formula>SUM(H23,N23)</formula>
    </cfRule>
    <cfRule type="cellIs" priority="57" operator="greaterThan" aboveAverage="0" equalAverage="0" bottom="0" percent="0" rank="0" text="" dxfId="3">
      <formula>SUM(IF(ISNUMBER(J23),I23,0),IF(ISNUMBER(P23),O23,0))</formula>
    </cfRule>
  </conditionalFormatting>
  <conditionalFormatting sqref="E24">
    <cfRule type="expression" priority="58" aboveAverage="0" equalAverage="0" bottom="0" percent="0" rank="0" text="" dxfId="0">
      <formula>AND(ISBLANK(D24),ISBLANK(L24),ISBLANK(R24))</formula>
    </cfRule>
    <cfRule type="expression" priority="59" aboveAverage="0" equalAverage="0" bottom="0" percent="0" rank="0" text="" dxfId="1">
      <formula>IF(SUM(H24,N24)=0,1,0)</formula>
    </cfRule>
    <cfRule type="cellIs" priority="60" operator="greaterThan" aboveAverage="0" equalAverage="0" bottom="0" percent="0" rank="0" text="" dxfId="2">
      <formula>SUM(H24,N24)</formula>
    </cfRule>
    <cfRule type="cellIs" priority="61" operator="greaterThan" aboveAverage="0" equalAverage="0" bottom="0" percent="0" rank="0" text="" dxfId="3">
      <formula>SUM(IF(ISNUMBER(J24),I24,0),IF(ISNUMBER(P24),O24,0))</formula>
    </cfRule>
  </conditionalFormatting>
  <conditionalFormatting sqref="E25">
    <cfRule type="expression" priority="62" aboveAverage="0" equalAverage="0" bottom="0" percent="0" rank="0" text="" dxfId="0">
      <formula>AND(ISBLANK(D25),ISBLANK(L25),ISBLANK(R25))</formula>
    </cfRule>
    <cfRule type="expression" priority="63" aboveAverage="0" equalAverage="0" bottom="0" percent="0" rank="0" text="" dxfId="1">
      <formula>IF(SUM(H25,N25)=0,1,0)</formula>
    </cfRule>
    <cfRule type="cellIs" priority="64" operator="greaterThan" aboveAverage="0" equalAverage="0" bottom="0" percent="0" rank="0" text="" dxfId="2">
      <formula>SUM(H25,N25)</formula>
    </cfRule>
    <cfRule type="cellIs" priority="65" operator="greaterThan" aboveAverage="0" equalAverage="0" bottom="0" percent="0" rank="0" text="" dxfId="3">
      <formula>SUM(IF(ISNUMBER(J25),I25,0),IF(ISNUMBER(P25),O25,0))</formula>
    </cfRule>
  </conditionalFormatting>
  <conditionalFormatting sqref="E26">
    <cfRule type="expression" priority="66" aboveAverage="0" equalAverage="0" bottom="0" percent="0" rank="0" text="" dxfId="0">
      <formula>AND(ISBLANK(D26),ISBLANK(L26),ISBLANK(R26))</formula>
    </cfRule>
    <cfRule type="expression" priority="67" aboveAverage="0" equalAverage="0" bottom="0" percent="0" rank="0" text="" dxfId="1">
      <formula>IF(SUM(H26,N26)=0,1,0)</formula>
    </cfRule>
    <cfRule type="cellIs" priority="68" operator="greaterThan" aboveAverage="0" equalAverage="0" bottom="0" percent="0" rank="0" text="" dxfId="2">
      <formula>SUM(H26,N26)</formula>
    </cfRule>
    <cfRule type="cellIs" priority="69" operator="greaterThan" aboveAverage="0" equalAverage="0" bottom="0" percent="0" rank="0" text="" dxfId="3">
      <formula>SUM(IF(ISNUMBER(J26),I26,0),IF(ISNUMBER(P26),O26,0))</formula>
    </cfRule>
  </conditionalFormatting>
  <conditionalFormatting sqref="E27">
    <cfRule type="expression" priority="70" aboveAverage="0" equalAverage="0" bottom="0" percent="0" rank="0" text="" dxfId="0">
      <formula>AND(ISBLANK(D27),ISBLANK(L27),ISBLANK(R27))</formula>
    </cfRule>
    <cfRule type="expression" priority="71" aboveAverage="0" equalAverage="0" bottom="0" percent="0" rank="0" text="" dxfId="1">
      <formula>IF(SUM(H27,N27)=0,1,0)</formula>
    </cfRule>
    <cfRule type="cellIs" priority="72" operator="greaterThan" aboveAverage="0" equalAverage="0" bottom="0" percent="0" rank="0" text="" dxfId="2">
      <formula>SUM(H27,N27)</formula>
    </cfRule>
    <cfRule type="cellIs" priority="73" operator="greaterThan" aboveAverage="0" equalAverage="0" bottom="0" percent="0" rank="0" text="" dxfId="3">
      <formula>SUM(IF(ISNUMBER(J27),I27,0),IF(ISNUMBER(P27),O27,0))</formula>
    </cfRule>
  </conditionalFormatting>
  <conditionalFormatting sqref="E28">
    <cfRule type="expression" priority="74" aboveAverage="0" equalAverage="0" bottom="0" percent="0" rank="0" text="" dxfId="0">
      <formula>AND(ISBLANK(D28),ISBLANK(L28),ISBLANK(R28))</formula>
    </cfRule>
    <cfRule type="expression" priority="75" aboveAverage="0" equalAverage="0" bottom="0" percent="0" rank="0" text="" dxfId="1">
      <formula>IF(SUM(H28,N28)=0,1,0)</formula>
    </cfRule>
    <cfRule type="cellIs" priority="76" operator="greaterThan" aboveAverage="0" equalAverage="0" bottom="0" percent="0" rank="0" text="" dxfId="2">
      <formula>SUM(H28,N28)</formula>
    </cfRule>
    <cfRule type="cellIs" priority="77" operator="greaterThan" aboveAverage="0" equalAverage="0" bottom="0" percent="0" rank="0" text="" dxfId="3">
      <formula>SUM(IF(ISNUMBER(J28),I28,0),IF(ISNUMBER(P28),O28,0))</formula>
    </cfRule>
  </conditionalFormatting>
  <conditionalFormatting sqref="E29">
    <cfRule type="expression" priority="78" aboveAverage="0" equalAverage="0" bottom="0" percent="0" rank="0" text="" dxfId="0">
      <formula>AND(ISBLANK(D29),ISBLANK(L29),ISBLANK(R29))</formula>
    </cfRule>
    <cfRule type="expression" priority="79" aboveAverage="0" equalAverage="0" bottom="0" percent="0" rank="0" text="" dxfId="1">
      <formula>IF(SUM(H29,N29)=0,1,0)</formula>
    </cfRule>
    <cfRule type="cellIs" priority="80" operator="greaterThan" aboveAverage="0" equalAverage="0" bottom="0" percent="0" rank="0" text="" dxfId="2">
      <formula>SUM(H29,N29)</formula>
    </cfRule>
    <cfRule type="cellIs" priority="81" operator="greaterThan" aboveAverage="0" equalAverage="0" bottom="0" percent="0" rank="0" text="" dxfId="3">
      <formula>SUM(IF(ISNUMBER(J29),I29,0),IF(ISNUMBER(P29),O29,0))</formula>
    </cfRule>
  </conditionalFormatting>
  <conditionalFormatting sqref="E30">
    <cfRule type="expression" priority="82" aboveAverage="0" equalAverage="0" bottom="0" percent="0" rank="0" text="" dxfId="0">
      <formula>AND(ISBLANK(D30),ISBLANK(L30),ISBLANK(R30))</formula>
    </cfRule>
    <cfRule type="expression" priority="83" aboveAverage="0" equalAverage="0" bottom="0" percent="0" rank="0" text="" dxfId="1">
      <formula>IF(SUM(H30,N30)=0,1,0)</formula>
    </cfRule>
    <cfRule type="cellIs" priority="84" operator="greaterThan" aboveAverage="0" equalAverage="0" bottom="0" percent="0" rank="0" text="" dxfId="2">
      <formula>SUM(H30,N30)</formula>
    </cfRule>
    <cfRule type="cellIs" priority="85" operator="greaterThan" aboveAverage="0" equalAverage="0" bottom="0" percent="0" rank="0" text="" dxfId="3">
      <formula>SUM(IF(ISNUMBER(J30),I30,0),IF(ISNUMBER(P30),O30,0))</formula>
    </cfRule>
  </conditionalFormatting>
  <conditionalFormatting sqref="E31">
    <cfRule type="expression" priority="86" aboveAverage="0" equalAverage="0" bottom="0" percent="0" rank="0" text="" dxfId="0">
      <formula>AND(ISBLANK(D31),ISBLANK(L31),ISBLANK(R31))</formula>
    </cfRule>
    <cfRule type="expression" priority="87" aboveAverage="0" equalAverage="0" bottom="0" percent="0" rank="0" text="" dxfId="1">
      <formula>IF(SUM(H31,N31)=0,1,0)</formula>
    </cfRule>
    <cfRule type="cellIs" priority="88" operator="greaterThan" aboveAverage="0" equalAverage="0" bottom="0" percent="0" rank="0" text="" dxfId="2">
      <formula>SUM(H31,N31)</formula>
    </cfRule>
    <cfRule type="cellIs" priority="89" operator="greaterThan" aboveAverage="0" equalAverage="0" bottom="0" percent="0" rank="0" text="" dxfId="3">
      <formula>SUM(IF(ISNUMBER(J31),I31,0),IF(ISNUMBER(P31),O31,0))</formula>
    </cfRule>
  </conditionalFormatting>
  <conditionalFormatting sqref="E32">
    <cfRule type="expression" priority="90" aboveAverage="0" equalAverage="0" bottom="0" percent="0" rank="0" text="" dxfId="0">
      <formula>AND(ISBLANK(D32),ISBLANK(L32),ISBLANK(R32))</formula>
    </cfRule>
    <cfRule type="expression" priority="91" aboveAverage="0" equalAverage="0" bottom="0" percent="0" rank="0" text="" dxfId="1">
      <formula>IF(SUM(H32,N32)=0,1,0)</formula>
    </cfRule>
    <cfRule type="cellIs" priority="92" operator="greaterThan" aboveAverage="0" equalAverage="0" bottom="0" percent="0" rank="0" text="" dxfId="2">
      <formula>SUM(H32,N32)</formula>
    </cfRule>
    <cfRule type="cellIs" priority="93" operator="greaterThan" aboveAverage="0" equalAverage="0" bottom="0" percent="0" rank="0" text="" dxfId="3">
      <formula>SUM(IF(ISNUMBER(J32),I32,0),IF(ISNUMBER(P32),O32,0))</formula>
    </cfRule>
  </conditionalFormatting>
  <conditionalFormatting sqref="E33">
    <cfRule type="expression" priority="94" aboveAverage="0" equalAverage="0" bottom="0" percent="0" rank="0" text="" dxfId="0">
      <formula>AND(ISBLANK(D33),ISBLANK(L33),ISBLANK(R33))</formula>
    </cfRule>
    <cfRule type="expression" priority="95" aboveAverage="0" equalAverage="0" bottom="0" percent="0" rank="0" text="" dxfId="1">
      <formula>IF(SUM(H33,N33)=0,1,0)</formula>
    </cfRule>
    <cfRule type="cellIs" priority="96" operator="greaterThan" aboveAverage="0" equalAverage="0" bottom="0" percent="0" rank="0" text="" dxfId="2">
      <formula>SUM(H33,N33)</formula>
    </cfRule>
    <cfRule type="cellIs" priority="97" operator="greaterThan" aboveAverage="0" equalAverage="0" bottom="0" percent="0" rank="0" text="" dxfId="3">
      <formula>SUM(IF(ISNUMBER(J33),I33,0),IF(ISNUMBER(P33),O33,0))</formula>
    </cfRule>
  </conditionalFormatting>
  <conditionalFormatting sqref="E34">
    <cfRule type="expression" priority="98" aboveAverage="0" equalAverage="0" bottom="0" percent="0" rank="0" text="" dxfId="0">
      <formula>AND(ISBLANK(D34),ISBLANK(L34),ISBLANK(R34))</formula>
    </cfRule>
    <cfRule type="expression" priority="99" aboveAverage="0" equalAverage="0" bottom="0" percent="0" rank="0" text="" dxfId="1">
      <formula>IF(SUM(H34,N34)=0,1,0)</formula>
    </cfRule>
    <cfRule type="cellIs" priority="100" operator="greaterThan" aboveAverage="0" equalAverage="0" bottom="0" percent="0" rank="0" text="" dxfId="2">
      <formula>SUM(H34,N34)</formula>
    </cfRule>
    <cfRule type="cellIs" priority="101" operator="greaterThan" aboveAverage="0" equalAverage="0" bottom="0" percent="0" rank="0" text="" dxfId="3">
      <formula>SUM(IF(ISNUMBER(J34),I34,0),IF(ISNUMBER(P34),O34,0))</formula>
    </cfRule>
  </conditionalFormatting>
  <conditionalFormatting sqref="E35">
    <cfRule type="expression" priority="102" aboveAverage="0" equalAverage="0" bottom="0" percent="0" rank="0" text="" dxfId="0">
      <formula>AND(ISBLANK(D35),ISBLANK(L35),ISBLANK(R35))</formula>
    </cfRule>
    <cfRule type="expression" priority="103" aboveAverage="0" equalAverage="0" bottom="0" percent="0" rank="0" text="" dxfId="1">
      <formula>IF(SUM(H35,N35)=0,1,0)</formula>
    </cfRule>
    <cfRule type="cellIs" priority="104" operator="greaterThan" aboveAverage="0" equalAverage="0" bottom="0" percent="0" rank="0" text="" dxfId="2">
      <formula>SUM(H35,N35)</formula>
    </cfRule>
    <cfRule type="cellIs" priority="105" operator="greaterThan" aboveAverage="0" equalAverage="0" bottom="0" percent="0" rank="0" text="" dxfId="3">
      <formula>SUM(IF(ISNUMBER(J35),I35,0),IF(ISNUMBER(P35),O35,0))</formula>
    </cfRule>
  </conditionalFormatting>
  <conditionalFormatting sqref="E36">
    <cfRule type="expression" priority="106" aboveAverage="0" equalAverage="0" bottom="0" percent="0" rank="0" text="" dxfId="0">
      <formula>AND(ISBLANK(D36),ISBLANK(L36),ISBLANK(R36))</formula>
    </cfRule>
    <cfRule type="expression" priority="107" aboveAverage="0" equalAverage="0" bottom="0" percent="0" rank="0" text="" dxfId="1">
      <formula>IF(SUM(H36,N36)=0,1,0)</formula>
    </cfRule>
    <cfRule type="cellIs" priority="108" operator="greaterThan" aboveAverage="0" equalAverage="0" bottom="0" percent="0" rank="0" text="" dxfId="2">
      <formula>SUM(H36,N36)</formula>
    </cfRule>
    <cfRule type="cellIs" priority="109" operator="greaterThan" aboveAverage="0" equalAverage="0" bottom="0" percent="0" rank="0" text="" dxfId="3">
      <formula>SUM(IF(ISNUMBER(J36),I36,0),IF(ISNUMBER(P36),O36,0))</formula>
    </cfRule>
  </conditionalFormatting>
  <conditionalFormatting sqref="E37">
    <cfRule type="expression" priority="110" aboveAverage="0" equalAverage="0" bottom="0" percent="0" rank="0" text="" dxfId="0">
      <formula>AND(ISBLANK(D37),ISBLANK(L37),ISBLANK(R37))</formula>
    </cfRule>
    <cfRule type="expression" priority="111" aboveAverage="0" equalAverage="0" bottom="0" percent="0" rank="0" text="" dxfId="1">
      <formula>IF(SUM(H37,N37)=0,1,0)</formula>
    </cfRule>
    <cfRule type="cellIs" priority="112" operator="greaterThan" aboveAverage="0" equalAverage="0" bottom="0" percent="0" rank="0" text="" dxfId="2">
      <formula>SUM(H37,N37)</formula>
    </cfRule>
    <cfRule type="cellIs" priority="113" operator="greaterThan" aboveAverage="0" equalAverage="0" bottom="0" percent="0" rank="0" text="" dxfId="3">
      <formula>SUM(IF(ISNUMBER(J37),I37,0),IF(ISNUMBER(P37),O37,0))</formula>
    </cfRule>
  </conditionalFormatting>
  <conditionalFormatting sqref="E38">
    <cfRule type="expression" priority="114" aboveAverage="0" equalAverage="0" bottom="0" percent="0" rank="0" text="" dxfId="0">
      <formula>AND(ISBLANK(D38),ISBLANK(L38),ISBLANK(R38))</formula>
    </cfRule>
    <cfRule type="expression" priority="115" aboveAverage="0" equalAverage="0" bottom="0" percent="0" rank="0" text="" dxfId="1">
      <formula>IF(SUM(H38,N38)=0,1,0)</formula>
    </cfRule>
    <cfRule type="cellIs" priority="116" operator="greaterThan" aboveAverage="0" equalAverage="0" bottom="0" percent="0" rank="0" text="" dxfId="2">
      <formula>SUM(H38,N38)</formula>
    </cfRule>
    <cfRule type="cellIs" priority="117" operator="greaterThan" aboveAverage="0" equalAverage="0" bottom="0" percent="0" rank="0" text="" dxfId="3">
      <formula>SUM(IF(ISNUMBER(J38),I38,0),IF(ISNUMBER(P38),O38,0))</formula>
    </cfRule>
  </conditionalFormatting>
  <conditionalFormatting sqref="E7">
    <cfRule type="expression" priority="118" aboveAverage="0" equalAverage="0" bottom="0" percent="0" rank="0" text="" dxfId="0">
      <formula>AND(ISBLANK(D7),ISBLANK(L7),ISBLANK(R7))</formula>
    </cfRule>
    <cfRule type="expression" priority="119" aboveAverage="0" equalAverage="0" bottom="0" percent="0" rank="0" text="" dxfId="1">
      <formula>IF(SUM(H7,N7)=0,1,0)</formula>
    </cfRule>
    <cfRule type="cellIs" priority="120" operator="greaterThan" aboveAverage="0" equalAverage="0" bottom="0" percent="0" rank="0" text="" dxfId="2">
      <formula>SUM(H7,N7)</formula>
    </cfRule>
    <cfRule type="cellIs" priority="121" operator="greaterThan" aboveAverage="0" equalAverage="0" bottom="0" percent="0" rank="0" text="" dxfId="3">
      <formula>SUM(IF(ISNUMBER(J7),I7,0),IF(ISNUMBER(P7),O7,0))</formula>
    </cfRule>
  </conditionalFormatting>
  <conditionalFormatting sqref="E8">
    <cfRule type="expression" priority="122" aboveAverage="0" equalAverage="0" bottom="0" percent="0" rank="0" text="" dxfId="0">
      <formula>AND(ISBLANK(D8),ISBLANK(L8),ISBLANK(R8))</formula>
    </cfRule>
    <cfRule type="expression" priority="123" aboveAverage="0" equalAverage="0" bottom="0" percent="0" rank="0" text="" dxfId="1">
      <formula>IF(SUM(H8,N8)=0,1,0)</formula>
    </cfRule>
    <cfRule type="cellIs" priority="124" operator="greaterThan" aboveAverage="0" equalAverage="0" bottom="0" percent="0" rank="0" text="" dxfId="2">
      <formula>SUM(H8,N8)</formula>
    </cfRule>
    <cfRule type="cellIs" priority="125" operator="greaterThan" aboveAverage="0" equalAverage="0" bottom="0" percent="0" rank="0" text="" dxfId="3">
      <formula>SUM(IF(ISNUMBER(J8),I8,0),IF(ISNUMBER(P8),O8,0))</formula>
    </cfRule>
  </conditionalFormatting>
  <conditionalFormatting sqref="E9">
    <cfRule type="expression" priority="126" aboveAverage="0" equalAverage="0" bottom="0" percent="0" rank="0" text="" dxfId="0">
      <formula>AND(ISBLANK(D9),ISBLANK(L9),ISBLANK(R9))</formula>
    </cfRule>
    <cfRule type="expression" priority="127" aboveAverage="0" equalAverage="0" bottom="0" percent="0" rank="0" text="" dxfId="1">
      <formula>IF(SUM(H9,N9)=0,1,0)</formula>
    </cfRule>
    <cfRule type="cellIs" priority="128" operator="greaterThan" aboveAverage="0" equalAverage="0" bottom="0" percent="0" rank="0" text="" dxfId="2">
      <formula>SUM(H9,N9)</formula>
    </cfRule>
    <cfRule type="cellIs" priority="129" operator="greaterThan" aboveAverage="0" equalAverage="0" bottom="0" percent="0" rank="0" text="" dxfId="3">
      <formula>SUM(IF(ISNUMBER(J9),I9,0),IF(ISNUMBER(P9),O9,0))</formula>
    </cfRule>
  </conditionalFormatting>
  <conditionalFormatting sqref="H10">
    <cfRule type="cellIs" priority="130" operator="lessThan" aboveAverage="0" equalAverage="0" bottom="0" percent="0" rank="0" text="" dxfId="2">
      <formula>E10</formula>
    </cfRule>
  </conditionalFormatting>
  <conditionalFormatting sqref="H11">
    <cfRule type="cellIs" priority="131" operator="lessThan" aboveAverage="0" equalAverage="0" bottom="0" percent="0" rank="0" text="" dxfId="2">
      <formula>E11</formula>
    </cfRule>
  </conditionalFormatting>
  <conditionalFormatting sqref="H14">
    <cfRule type="cellIs" priority="132" operator="lessThan" aboveAverage="0" equalAverage="0" bottom="0" percent="0" rank="0" text="" dxfId="2">
      <formula>E14</formula>
    </cfRule>
  </conditionalFormatting>
  <conditionalFormatting sqref="H15">
    <cfRule type="cellIs" priority="133" operator="lessThan" aboveAverage="0" equalAverage="0" bottom="0" percent="0" rank="0" text="" dxfId="2">
      <formula>E15</formula>
    </cfRule>
  </conditionalFormatting>
  <conditionalFormatting sqref="H17">
    <cfRule type="cellIs" priority="134" operator="lessThan" aboveAverage="0" equalAverage="0" bottom="0" percent="0" rank="0" text="" dxfId="2">
      <formula>E17</formula>
    </cfRule>
  </conditionalFormatting>
  <conditionalFormatting sqref="H22">
    <cfRule type="cellIs" priority="135" operator="lessThan" aboveAverage="0" equalAverage="0" bottom="0" percent="0" rank="0" text="" dxfId="2">
      <formula>E22</formula>
    </cfRule>
  </conditionalFormatting>
  <conditionalFormatting sqref="H24">
    <cfRule type="cellIs" priority="136" operator="lessThan" aboveAverage="0" equalAverage="0" bottom="0" percent="0" rank="0" text="" dxfId="2">
      <formula>E24</formula>
    </cfRule>
  </conditionalFormatting>
  <conditionalFormatting sqref="H25">
    <cfRule type="cellIs" priority="137" operator="lessThan" aboveAverage="0" equalAverage="0" bottom="0" percent="0" rank="0" text="" dxfId="2">
      <formula>E25</formula>
    </cfRule>
  </conditionalFormatting>
  <conditionalFormatting sqref="H26">
    <cfRule type="cellIs" priority="138" operator="lessThan" aboveAverage="0" equalAverage="0" bottom="0" percent="0" rank="0" text="" dxfId="2">
      <formula>E26</formula>
    </cfRule>
  </conditionalFormatting>
  <conditionalFormatting sqref="H28">
    <cfRule type="cellIs" priority="139" operator="lessThan" aboveAverage="0" equalAverage="0" bottom="0" percent="0" rank="0" text="" dxfId="2">
      <formula>E28</formula>
    </cfRule>
  </conditionalFormatting>
  <conditionalFormatting sqref="H30">
    <cfRule type="cellIs" priority="140" operator="lessThan" aboveAverage="0" equalAverage="0" bottom="0" percent="0" rank="0" text="" dxfId="2">
      <formula>E30</formula>
    </cfRule>
  </conditionalFormatting>
  <conditionalFormatting sqref="H32">
    <cfRule type="cellIs" priority="141" operator="lessThan" aboveAverage="0" equalAverage="0" bottom="0" percent="0" rank="0" text="" dxfId="2">
      <formula>E32</formula>
    </cfRule>
  </conditionalFormatting>
  <conditionalFormatting sqref="H38">
    <cfRule type="cellIs" priority="142" operator="lessThan" aboveAverage="0" equalAverage="0" bottom="0" percent="0" rank="0" text="" dxfId="2">
      <formula>E38</formula>
    </cfRule>
  </conditionalFormatting>
  <conditionalFormatting sqref="H9">
    <cfRule type="cellIs" priority="143" operator="lessThan" aboveAverage="0" equalAverage="0" bottom="0" percent="0" rank="0" text="" dxfId="2">
      <formula>E9</formula>
    </cfRule>
  </conditionalFormatting>
  <conditionalFormatting sqref="I10">
    <cfRule type="expression" priority="144" aboveAverage="0" equalAverage="0" bottom="0" percent="0" rank="0" text="" dxfId="1">
      <formula>AND(NOT(ISBLANK(I10)),OR(H10="NonStk",I10&gt;H10))</formula>
    </cfRule>
  </conditionalFormatting>
  <conditionalFormatting sqref="I11">
    <cfRule type="expression" priority="145" aboveAverage="0" equalAverage="0" bottom="0" percent="0" rank="0" text="" dxfId="1">
      <formula>AND(NOT(ISBLANK(I11)),OR(H11="NonStk",I11&gt;H11))</formula>
    </cfRule>
  </conditionalFormatting>
  <conditionalFormatting sqref="I14">
    <cfRule type="expression" priority="146" aboveAverage="0" equalAverage="0" bottom="0" percent="0" rank="0" text="" dxfId="1">
      <formula>AND(NOT(ISBLANK(I14)),OR(H14="NonStk",I14&gt;H14))</formula>
    </cfRule>
  </conditionalFormatting>
  <conditionalFormatting sqref="I15">
    <cfRule type="expression" priority="147" aboveAverage="0" equalAverage="0" bottom="0" percent="0" rank="0" text="" dxfId="1">
      <formula>AND(NOT(ISBLANK(I15)),OR(H15="NonStk",I15&gt;H15))</formula>
    </cfRule>
  </conditionalFormatting>
  <conditionalFormatting sqref="I17">
    <cfRule type="expression" priority="148" aboveAverage="0" equalAverage="0" bottom="0" percent="0" rank="0" text="" dxfId="1">
      <formula>AND(NOT(ISBLANK(I17)),OR(H17="NonStk",I17&gt;H17))</formula>
    </cfRule>
  </conditionalFormatting>
  <conditionalFormatting sqref="I22">
    <cfRule type="expression" priority="149" aboveAverage="0" equalAverage="0" bottom="0" percent="0" rank="0" text="" dxfId="1">
      <formula>AND(NOT(ISBLANK(I22)),OR(H22="NonStk",I22&gt;H22))</formula>
    </cfRule>
  </conditionalFormatting>
  <conditionalFormatting sqref="I24">
    <cfRule type="expression" priority="150" aboveAverage="0" equalAverage="0" bottom="0" percent="0" rank="0" text="" dxfId="1">
      <formula>AND(NOT(ISBLANK(I24)),OR(H24="NonStk",I24&gt;H24))</formula>
    </cfRule>
  </conditionalFormatting>
  <conditionalFormatting sqref="I25">
    <cfRule type="expression" priority="151" aboveAverage="0" equalAverage="0" bottom="0" percent="0" rank="0" text="" dxfId="1">
      <formula>AND(NOT(ISBLANK(I25)),OR(H25="NonStk",I25&gt;H25))</formula>
    </cfRule>
  </conditionalFormatting>
  <conditionalFormatting sqref="I26">
    <cfRule type="expression" priority="152" aboveAverage="0" equalAverage="0" bottom="0" percent="0" rank="0" text="" dxfId="1">
      <formula>AND(NOT(ISBLANK(I26)),OR(H26="NonStk",I26&gt;H26))</formula>
    </cfRule>
  </conditionalFormatting>
  <conditionalFormatting sqref="I28">
    <cfRule type="expression" priority="153" aboveAverage="0" equalAverage="0" bottom="0" percent="0" rank="0" text="" dxfId="1">
      <formula>AND(NOT(ISBLANK(I28)),OR(H28="NonStk",I28&gt;H28))</formula>
    </cfRule>
  </conditionalFormatting>
  <conditionalFormatting sqref="I30">
    <cfRule type="expression" priority="154" aboveAverage="0" equalAverage="0" bottom="0" percent="0" rank="0" text="" dxfId="1">
      <formula>AND(NOT(ISBLANK(I30)),OR(H30="NonStk",I30&gt;H30))</formula>
    </cfRule>
  </conditionalFormatting>
  <conditionalFormatting sqref="I32">
    <cfRule type="expression" priority="155" aboveAverage="0" equalAverage="0" bottom="0" percent="0" rank="0" text="" dxfId="1">
      <formula>AND(NOT(ISBLANK(I32)),OR(H32="NonStk",I32&gt;H32))</formula>
    </cfRule>
  </conditionalFormatting>
  <conditionalFormatting sqref="I38">
    <cfRule type="expression" priority="156" aboveAverage="0" equalAverage="0" bottom="0" percent="0" rank="0" text="" dxfId="1">
      <formula>AND(NOT(ISBLANK(I38)),OR(H38="NonStk",I38&gt;H38))</formula>
    </cfRule>
  </conditionalFormatting>
  <conditionalFormatting sqref="I9">
    <cfRule type="expression" priority="157" aboveAverage="0" equalAverage="0" bottom="0" percent="0" rank="0" text="" dxfId="1">
      <formula>AND(NOT(ISBLANK(I9)),OR(H9="NonStk",I9&gt;H9))</formula>
    </cfRule>
  </conditionalFormatting>
  <conditionalFormatting sqref="J10">
    <cfRule type="cellIs" priority="158" operator="lessThanOrEqual" aboveAverage="0" equalAverage="0" bottom="0" percent="0" rank="0" text="" dxfId="4">
      <formula>F10</formula>
    </cfRule>
  </conditionalFormatting>
  <conditionalFormatting sqref="J11">
    <cfRule type="cellIs" priority="159" operator="lessThanOrEqual" aboveAverage="0" equalAverage="0" bottom="0" percent="0" rank="0" text="" dxfId="4">
      <formula>F11</formula>
    </cfRule>
  </conditionalFormatting>
  <conditionalFormatting sqref="J14">
    <cfRule type="cellIs" priority="160" operator="lessThanOrEqual" aboveAverage="0" equalAverage="0" bottom="0" percent="0" rank="0" text="" dxfId="4">
      <formula>F14</formula>
    </cfRule>
  </conditionalFormatting>
  <conditionalFormatting sqref="J15">
    <cfRule type="cellIs" priority="161" operator="lessThanOrEqual" aboveAverage="0" equalAverage="0" bottom="0" percent="0" rank="0" text="" dxfId="4">
      <formula>F15</formula>
    </cfRule>
  </conditionalFormatting>
  <conditionalFormatting sqref="J17">
    <cfRule type="cellIs" priority="162" operator="lessThanOrEqual" aboveAverage="0" equalAverage="0" bottom="0" percent="0" rank="0" text="" dxfId="4">
      <formula>F17</formula>
    </cfRule>
  </conditionalFormatting>
  <conditionalFormatting sqref="J22">
    <cfRule type="cellIs" priority="163" operator="lessThanOrEqual" aboveAverage="0" equalAverage="0" bottom="0" percent="0" rank="0" text="" dxfId="4">
      <formula>F22</formula>
    </cfRule>
  </conditionalFormatting>
  <conditionalFormatting sqref="J24">
    <cfRule type="cellIs" priority="164" operator="lessThanOrEqual" aboveAverage="0" equalAverage="0" bottom="0" percent="0" rank="0" text="" dxfId="4">
      <formula>F24</formula>
    </cfRule>
  </conditionalFormatting>
  <conditionalFormatting sqref="J25">
    <cfRule type="cellIs" priority="165" operator="lessThanOrEqual" aboveAverage="0" equalAverage="0" bottom="0" percent="0" rank="0" text="" dxfId="4">
      <formula>F25</formula>
    </cfRule>
  </conditionalFormatting>
  <conditionalFormatting sqref="J26">
    <cfRule type="cellIs" priority="166" operator="lessThanOrEqual" aboveAverage="0" equalAverage="0" bottom="0" percent="0" rank="0" text="" dxfId="4">
      <formula>F26</formula>
    </cfRule>
  </conditionalFormatting>
  <conditionalFormatting sqref="J28">
    <cfRule type="cellIs" priority="167" operator="lessThanOrEqual" aboveAverage="0" equalAverage="0" bottom="0" percent="0" rank="0" text="" dxfId="4">
      <formula>F28</formula>
    </cfRule>
  </conditionalFormatting>
  <conditionalFormatting sqref="J30">
    <cfRule type="cellIs" priority="168" operator="lessThanOrEqual" aboveAverage="0" equalAverage="0" bottom="0" percent="0" rank="0" text="" dxfId="4">
      <formula>F30</formula>
    </cfRule>
  </conditionalFormatting>
  <conditionalFormatting sqref="J32">
    <cfRule type="cellIs" priority="169" operator="lessThanOrEqual" aboveAverage="0" equalAverage="0" bottom="0" percent="0" rank="0" text="" dxfId="4">
      <formula>F32</formula>
    </cfRule>
  </conditionalFormatting>
  <conditionalFormatting sqref="J38">
    <cfRule type="cellIs" priority="170" operator="lessThanOrEqual" aboveAverage="0" equalAverage="0" bottom="0" percent="0" rank="0" text="" dxfId="4">
      <formula>F38</formula>
    </cfRule>
  </conditionalFormatting>
  <conditionalFormatting sqref="J9">
    <cfRule type="cellIs" priority="171" operator="lessThanOrEqual" aboveAverage="0" equalAverage="0" bottom="0" percent="0" rank="0" text="" dxfId="4">
      <formula>F9</formula>
    </cfRule>
  </conditionalFormatting>
  <conditionalFormatting sqref="L10">
    <cfRule type="cellIs" priority="172" operator="lessThanOrEqual" aboveAverage="0" equalAverage="0" bottom="0" percent="0" rank="0" text="" dxfId="4">
      <formula>G10</formula>
    </cfRule>
  </conditionalFormatting>
  <conditionalFormatting sqref="L11">
    <cfRule type="cellIs" priority="173" operator="lessThanOrEqual" aboveAverage="0" equalAverage="0" bottom="0" percent="0" rank="0" text="" dxfId="4">
      <formula>G11</formula>
    </cfRule>
  </conditionalFormatting>
  <conditionalFormatting sqref="L14">
    <cfRule type="cellIs" priority="174" operator="lessThanOrEqual" aboveAverage="0" equalAverage="0" bottom="0" percent="0" rank="0" text="" dxfId="4">
      <formula>G14</formula>
    </cfRule>
  </conditionalFormatting>
  <conditionalFormatting sqref="L15">
    <cfRule type="cellIs" priority="175" operator="lessThanOrEqual" aboveAverage="0" equalAverage="0" bottom="0" percent="0" rank="0" text="" dxfId="4">
      <formula>G15</formula>
    </cfRule>
  </conditionalFormatting>
  <conditionalFormatting sqref="L17">
    <cfRule type="cellIs" priority="176" operator="lessThanOrEqual" aboveAverage="0" equalAverage="0" bottom="0" percent="0" rank="0" text="" dxfId="4">
      <formula>G17</formula>
    </cfRule>
  </conditionalFormatting>
  <conditionalFormatting sqref="L22">
    <cfRule type="cellIs" priority="177" operator="lessThanOrEqual" aboveAverage="0" equalAverage="0" bottom="0" percent="0" rank="0" text="" dxfId="4">
      <formula>G22</formula>
    </cfRule>
  </conditionalFormatting>
  <conditionalFormatting sqref="L24">
    <cfRule type="cellIs" priority="178" operator="lessThanOrEqual" aboveAverage="0" equalAverage="0" bottom="0" percent="0" rank="0" text="" dxfId="4">
      <formula>G24</formula>
    </cfRule>
  </conditionalFormatting>
  <conditionalFormatting sqref="L25">
    <cfRule type="cellIs" priority="179" operator="lessThanOrEqual" aboveAverage="0" equalAverage="0" bottom="0" percent="0" rank="0" text="" dxfId="4">
      <formula>G25</formula>
    </cfRule>
  </conditionalFormatting>
  <conditionalFormatting sqref="L26">
    <cfRule type="cellIs" priority="180" operator="lessThanOrEqual" aboveAverage="0" equalAverage="0" bottom="0" percent="0" rank="0" text="" dxfId="4">
      <formula>G26</formula>
    </cfRule>
  </conditionalFormatting>
  <conditionalFormatting sqref="L28">
    <cfRule type="cellIs" priority="181" operator="lessThanOrEqual" aboveAverage="0" equalAverage="0" bottom="0" percent="0" rank="0" text="" dxfId="4">
      <formula>G28</formula>
    </cfRule>
  </conditionalFormatting>
  <conditionalFormatting sqref="L30">
    <cfRule type="cellIs" priority="182" operator="lessThanOrEqual" aboveAverage="0" equalAverage="0" bottom="0" percent="0" rank="0" text="" dxfId="4">
      <formula>G30</formula>
    </cfRule>
  </conditionalFormatting>
  <conditionalFormatting sqref="L32">
    <cfRule type="cellIs" priority="183" operator="lessThanOrEqual" aboveAverage="0" equalAverage="0" bottom="0" percent="0" rank="0" text="" dxfId="4">
      <formula>G32</formula>
    </cfRule>
  </conditionalFormatting>
  <conditionalFormatting sqref="L38">
    <cfRule type="cellIs" priority="184" operator="lessThanOrEqual" aboveAverage="0" equalAverage="0" bottom="0" percent="0" rank="0" text="" dxfId="4">
      <formula>G38</formula>
    </cfRule>
  </conditionalFormatting>
  <conditionalFormatting sqref="L9">
    <cfRule type="cellIs" priority="185" operator="lessThanOrEqual" aboveAverage="0" equalAverage="0" bottom="0" percent="0" rank="0" text="" dxfId="4">
      <formula>G9</formula>
    </cfRule>
  </conditionalFormatting>
  <conditionalFormatting sqref="N10">
    <cfRule type="cellIs" priority="186" operator="lessThan" aboveAverage="0" equalAverage="0" bottom="0" percent="0" rank="0" text="" dxfId="2">
      <formula>E10</formula>
    </cfRule>
  </conditionalFormatting>
  <conditionalFormatting sqref="N11">
    <cfRule type="cellIs" priority="187" operator="lessThan" aboveAverage="0" equalAverage="0" bottom="0" percent="0" rank="0" text="" dxfId="2">
      <formula>E11</formula>
    </cfRule>
  </conditionalFormatting>
  <conditionalFormatting sqref="N12">
    <cfRule type="cellIs" priority="188" operator="lessThan" aboveAverage="0" equalAverage="0" bottom="0" percent="0" rank="0" text="" dxfId="2">
      <formula>E12</formula>
    </cfRule>
  </conditionalFormatting>
  <conditionalFormatting sqref="N13">
    <cfRule type="cellIs" priority="189" operator="lessThan" aboveAverage="0" equalAverage="0" bottom="0" percent="0" rank="0" text="" dxfId="2">
      <formula>E13</formula>
    </cfRule>
  </conditionalFormatting>
  <conditionalFormatting sqref="N14">
    <cfRule type="cellIs" priority="190" operator="lessThan" aboveAverage="0" equalAverage="0" bottom="0" percent="0" rank="0" text="" dxfId="2">
      <formula>E14</formula>
    </cfRule>
  </conditionalFormatting>
  <conditionalFormatting sqref="N15">
    <cfRule type="cellIs" priority="191" operator="lessThan" aboveAverage="0" equalAverage="0" bottom="0" percent="0" rank="0" text="" dxfId="2">
      <formula>E15</formula>
    </cfRule>
  </conditionalFormatting>
  <conditionalFormatting sqref="N17">
    <cfRule type="cellIs" priority="192" operator="lessThan" aboveAverage="0" equalAverage="0" bottom="0" percent="0" rank="0" text="" dxfId="2">
      <formula>E17</formula>
    </cfRule>
  </conditionalFormatting>
  <conditionalFormatting sqref="N18">
    <cfRule type="cellIs" priority="193" operator="lessThan" aboveAverage="0" equalAverage="0" bottom="0" percent="0" rank="0" text="" dxfId="2">
      <formula>E18</formula>
    </cfRule>
  </conditionalFormatting>
  <conditionalFormatting sqref="N20">
    <cfRule type="cellIs" priority="194" operator="lessThan" aboveAverage="0" equalAverage="0" bottom="0" percent="0" rank="0" text="" dxfId="2">
      <formula>E20</formula>
    </cfRule>
  </conditionalFormatting>
  <conditionalFormatting sqref="N21">
    <cfRule type="cellIs" priority="195" operator="lessThan" aboveAverage="0" equalAverage="0" bottom="0" percent="0" rank="0" text="" dxfId="2">
      <formula>E21</formula>
    </cfRule>
  </conditionalFormatting>
  <conditionalFormatting sqref="N22">
    <cfRule type="cellIs" priority="196" operator="lessThan" aboveAverage="0" equalAverage="0" bottom="0" percent="0" rank="0" text="" dxfId="2">
      <formula>E22</formula>
    </cfRule>
  </conditionalFormatting>
  <conditionalFormatting sqref="N23">
    <cfRule type="cellIs" priority="197" operator="lessThan" aboveAverage="0" equalAverage="0" bottom="0" percent="0" rank="0" text="" dxfId="2">
      <formula>E23</formula>
    </cfRule>
  </conditionalFormatting>
  <conditionalFormatting sqref="N24">
    <cfRule type="cellIs" priority="198" operator="lessThan" aboveAverage="0" equalAverage="0" bottom="0" percent="0" rank="0" text="" dxfId="2">
      <formula>E24</formula>
    </cfRule>
  </conditionalFormatting>
  <conditionalFormatting sqref="N25">
    <cfRule type="cellIs" priority="199" operator="lessThan" aboveAverage="0" equalAverage="0" bottom="0" percent="0" rank="0" text="" dxfId="2">
      <formula>E25</formula>
    </cfRule>
  </conditionalFormatting>
  <conditionalFormatting sqref="N26">
    <cfRule type="cellIs" priority="200" operator="lessThan" aboveAverage="0" equalAverage="0" bottom="0" percent="0" rank="0" text="" dxfId="2">
      <formula>E26</formula>
    </cfRule>
  </conditionalFormatting>
  <conditionalFormatting sqref="N27">
    <cfRule type="cellIs" priority="201" operator="lessThan" aboveAverage="0" equalAverage="0" bottom="0" percent="0" rank="0" text="" dxfId="2">
      <formula>E27</formula>
    </cfRule>
  </conditionalFormatting>
  <conditionalFormatting sqref="N28">
    <cfRule type="cellIs" priority="202" operator="lessThan" aboveAverage="0" equalAverage="0" bottom="0" percent="0" rank="0" text="" dxfId="2">
      <formula>E28</formula>
    </cfRule>
  </conditionalFormatting>
  <conditionalFormatting sqref="N29">
    <cfRule type="cellIs" priority="203" operator="lessThan" aboveAverage="0" equalAverage="0" bottom="0" percent="0" rank="0" text="" dxfId="2">
      <formula>E29</formula>
    </cfRule>
  </conditionalFormatting>
  <conditionalFormatting sqref="N30">
    <cfRule type="cellIs" priority="204" operator="lessThan" aboveAverage="0" equalAverage="0" bottom="0" percent="0" rank="0" text="" dxfId="2">
      <formula>E30</formula>
    </cfRule>
  </conditionalFormatting>
  <conditionalFormatting sqref="N32">
    <cfRule type="cellIs" priority="205" operator="lessThan" aboveAverage="0" equalAverage="0" bottom="0" percent="0" rank="0" text="" dxfId="2">
      <formula>E32</formula>
    </cfRule>
  </conditionalFormatting>
  <conditionalFormatting sqref="N34">
    <cfRule type="cellIs" priority="206" operator="lessThan" aboveAverage="0" equalAverage="0" bottom="0" percent="0" rank="0" text="" dxfId="2">
      <formula>E34</formula>
    </cfRule>
  </conditionalFormatting>
  <conditionalFormatting sqref="N35">
    <cfRule type="cellIs" priority="207" operator="lessThan" aboveAverage="0" equalAverage="0" bottom="0" percent="0" rank="0" text="" dxfId="2">
      <formula>E35</formula>
    </cfRule>
  </conditionalFormatting>
  <conditionalFormatting sqref="N36">
    <cfRule type="cellIs" priority="208" operator="lessThan" aboveAverage="0" equalAverage="0" bottom="0" percent="0" rank="0" text="" dxfId="2">
      <formula>E36</formula>
    </cfRule>
  </conditionalFormatting>
  <conditionalFormatting sqref="N37">
    <cfRule type="cellIs" priority="209" operator="lessThan" aboveAverage="0" equalAverage="0" bottom="0" percent="0" rank="0" text="" dxfId="2">
      <formula>E37</formula>
    </cfRule>
  </conditionalFormatting>
  <conditionalFormatting sqref="N38">
    <cfRule type="cellIs" priority="210" operator="lessThan" aboveAverage="0" equalAverage="0" bottom="0" percent="0" rank="0" text="" dxfId="2">
      <formula>E38</formula>
    </cfRule>
  </conditionalFormatting>
  <conditionalFormatting sqref="N7">
    <cfRule type="cellIs" priority="211" operator="lessThan" aboveAverage="0" equalAverage="0" bottom="0" percent="0" rank="0" text="" dxfId="2">
      <formula>E7</formula>
    </cfRule>
  </conditionalFormatting>
  <conditionalFormatting sqref="N8">
    <cfRule type="cellIs" priority="212" operator="lessThan" aboveAverage="0" equalAverage="0" bottom="0" percent="0" rank="0" text="" dxfId="2">
      <formula>E8</formula>
    </cfRule>
  </conditionalFormatting>
  <conditionalFormatting sqref="N9">
    <cfRule type="cellIs" priority="213" operator="lessThan" aboveAverage="0" equalAverage="0" bottom="0" percent="0" rank="0" text="" dxfId="2">
      <formula>E9</formula>
    </cfRule>
  </conditionalFormatting>
  <conditionalFormatting sqref="O10">
    <cfRule type="expression" priority="214" aboveAverage="0" equalAverage="0" bottom="0" percent="0" rank="0" text="" dxfId="1">
      <formula>AND(NOT(ISBLANK(O10)),OR(N10="NonStk",O10&gt;N10))</formula>
    </cfRule>
  </conditionalFormatting>
  <conditionalFormatting sqref="O11">
    <cfRule type="expression" priority="215" aboveAverage="0" equalAverage="0" bottom="0" percent="0" rank="0" text="" dxfId="1">
      <formula>AND(NOT(ISBLANK(O11)),OR(N11="NonStk",O11&gt;N11))</formula>
    </cfRule>
  </conditionalFormatting>
  <conditionalFormatting sqref="O12">
    <cfRule type="expression" priority="216" aboveAverage="0" equalAverage="0" bottom="0" percent="0" rank="0" text="" dxfId="1">
      <formula>AND(NOT(ISBLANK(O12)),OR(N12="NonStk",O12&gt;N12))</formula>
    </cfRule>
  </conditionalFormatting>
  <conditionalFormatting sqref="O13">
    <cfRule type="expression" priority="217" aboveAverage="0" equalAverage="0" bottom="0" percent="0" rank="0" text="" dxfId="1">
      <formula>AND(NOT(ISBLANK(O13)),OR(N13="NonStk",O13&gt;N13))</formula>
    </cfRule>
  </conditionalFormatting>
  <conditionalFormatting sqref="O14">
    <cfRule type="expression" priority="218" aboveAverage="0" equalAverage="0" bottom="0" percent="0" rank="0" text="" dxfId="1">
      <formula>AND(NOT(ISBLANK(O14)),OR(N14="NonStk",O14&gt;N14))</formula>
    </cfRule>
  </conditionalFormatting>
  <conditionalFormatting sqref="O15">
    <cfRule type="expression" priority="219" aboveAverage="0" equalAverage="0" bottom="0" percent="0" rank="0" text="" dxfId="1">
      <formula>AND(NOT(ISBLANK(O15)),OR(N15="NonStk",O15&gt;N15))</formula>
    </cfRule>
  </conditionalFormatting>
  <conditionalFormatting sqref="O17">
    <cfRule type="expression" priority="220" aboveAverage="0" equalAverage="0" bottom="0" percent="0" rank="0" text="" dxfId="1">
      <formula>AND(NOT(ISBLANK(O17)),OR(N17="NonStk",O17&gt;N17))</formula>
    </cfRule>
  </conditionalFormatting>
  <conditionalFormatting sqref="O18">
    <cfRule type="expression" priority="221" aboveAverage="0" equalAverage="0" bottom="0" percent="0" rank="0" text="" dxfId="1">
      <formula>AND(NOT(ISBLANK(O18)),OR(N18="NonStk",O18&gt;N18))</formula>
    </cfRule>
  </conditionalFormatting>
  <conditionalFormatting sqref="O20">
    <cfRule type="expression" priority="222" aboveAverage="0" equalAverage="0" bottom="0" percent="0" rank="0" text="" dxfId="1">
      <formula>AND(NOT(ISBLANK(O20)),OR(N20="NonStk",O20&gt;N20))</formula>
    </cfRule>
  </conditionalFormatting>
  <conditionalFormatting sqref="O21">
    <cfRule type="expression" priority="223" aboveAverage="0" equalAverage="0" bottom="0" percent="0" rank="0" text="" dxfId="1">
      <formula>AND(NOT(ISBLANK(O21)),OR(N21="NonStk",O21&gt;N21))</formula>
    </cfRule>
  </conditionalFormatting>
  <conditionalFormatting sqref="O22">
    <cfRule type="expression" priority="224" aboveAverage="0" equalAverage="0" bottom="0" percent="0" rank="0" text="" dxfId="1">
      <formula>AND(NOT(ISBLANK(O22)),OR(N22="NonStk",O22&gt;N22))</formula>
    </cfRule>
  </conditionalFormatting>
  <conditionalFormatting sqref="O23">
    <cfRule type="expression" priority="225" aboveAverage="0" equalAverage="0" bottom="0" percent="0" rank="0" text="" dxfId="1">
      <formula>AND(NOT(ISBLANK(O23)),OR(N23="NonStk",O23&gt;N23))</formula>
    </cfRule>
  </conditionalFormatting>
  <conditionalFormatting sqref="O24">
    <cfRule type="expression" priority="226" aboveAverage="0" equalAverage="0" bottom="0" percent="0" rank="0" text="" dxfId="1">
      <formula>AND(NOT(ISBLANK(O24)),OR(N24="NonStk",O24&gt;N24))</formula>
    </cfRule>
  </conditionalFormatting>
  <conditionalFormatting sqref="O25">
    <cfRule type="expression" priority="227" aboveAverage="0" equalAverage="0" bottom="0" percent="0" rank="0" text="" dxfId="1">
      <formula>AND(NOT(ISBLANK(O25)),OR(N25="NonStk",O25&gt;N25))</formula>
    </cfRule>
  </conditionalFormatting>
  <conditionalFormatting sqref="O26">
    <cfRule type="expression" priority="228" aboveAverage="0" equalAverage="0" bottom="0" percent="0" rank="0" text="" dxfId="1">
      <formula>AND(NOT(ISBLANK(O26)),OR(N26="NonStk",O26&gt;N26))</formula>
    </cfRule>
  </conditionalFormatting>
  <conditionalFormatting sqref="O27">
    <cfRule type="expression" priority="229" aboveAverage="0" equalAverage="0" bottom="0" percent="0" rank="0" text="" dxfId="1">
      <formula>AND(NOT(ISBLANK(O27)),OR(N27="NonStk",O27&gt;N27))</formula>
    </cfRule>
  </conditionalFormatting>
  <conditionalFormatting sqref="O28">
    <cfRule type="expression" priority="230" aboveAverage="0" equalAverage="0" bottom="0" percent="0" rank="0" text="" dxfId="1">
      <formula>AND(NOT(ISBLANK(O28)),OR(N28="NonStk",O28&gt;N28))</formula>
    </cfRule>
  </conditionalFormatting>
  <conditionalFormatting sqref="O29">
    <cfRule type="expression" priority="231" aboveAverage="0" equalAverage="0" bottom="0" percent="0" rank="0" text="" dxfId="1">
      <formula>AND(NOT(ISBLANK(O29)),OR(N29="NonStk",O29&gt;N29))</formula>
    </cfRule>
  </conditionalFormatting>
  <conditionalFormatting sqref="O30">
    <cfRule type="expression" priority="232" aboveAverage="0" equalAverage="0" bottom="0" percent="0" rank="0" text="" dxfId="1">
      <formula>AND(NOT(ISBLANK(O30)),OR(N30="NonStk",O30&gt;N30))</formula>
    </cfRule>
  </conditionalFormatting>
  <conditionalFormatting sqref="O32">
    <cfRule type="expression" priority="233" aboveAverage="0" equalAverage="0" bottom="0" percent="0" rank="0" text="" dxfId="1">
      <formula>AND(NOT(ISBLANK(O32)),OR(N32="NonStk",O32&gt;N32))</formula>
    </cfRule>
  </conditionalFormatting>
  <conditionalFormatting sqref="O34">
    <cfRule type="expression" priority="234" aboveAverage="0" equalAverage="0" bottom="0" percent="0" rank="0" text="" dxfId="1">
      <formula>AND(NOT(ISBLANK(O34)),OR(N34="NonStk",O34&gt;N34))</formula>
    </cfRule>
  </conditionalFormatting>
  <conditionalFormatting sqref="O35">
    <cfRule type="expression" priority="235" aboveAverage="0" equalAverage="0" bottom="0" percent="0" rank="0" text="" dxfId="1">
      <formula>AND(NOT(ISBLANK(O35)),OR(N35="NonStk",O35&gt;N35))</formula>
    </cfRule>
  </conditionalFormatting>
  <conditionalFormatting sqref="O36">
    <cfRule type="expression" priority="236" aboveAverage="0" equalAverage="0" bottom="0" percent="0" rank="0" text="" dxfId="1">
      <formula>AND(NOT(ISBLANK(O36)),OR(N36="NonStk",O36&gt;N36))</formula>
    </cfRule>
  </conditionalFormatting>
  <conditionalFormatting sqref="O37">
    <cfRule type="expression" priority="237" aboveAverage="0" equalAverage="0" bottom="0" percent="0" rank="0" text="" dxfId="1">
      <formula>AND(NOT(ISBLANK(O37)),OR(N37="NonStk",O37&gt;N37))</formula>
    </cfRule>
  </conditionalFormatting>
  <conditionalFormatting sqref="O38">
    <cfRule type="expression" priority="238" aboveAverage="0" equalAverage="0" bottom="0" percent="0" rank="0" text="" dxfId="1">
      <formula>AND(NOT(ISBLANK(O38)),OR(N38="NonStk",O38&gt;N38))</formula>
    </cfRule>
  </conditionalFormatting>
  <conditionalFormatting sqref="O7">
    <cfRule type="expression" priority="239" aboveAverage="0" equalAverage="0" bottom="0" percent="0" rank="0" text="" dxfId="1">
      <formula>AND(NOT(ISBLANK(O7)),OR(N7="NonStk",O7&gt;N7))</formula>
    </cfRule>
  </conditionalFormatting>
  <conditionalFormatting sqref="O8">
    <cfRule type="expression" priority="240" aboveAverage="0" equalAverage="0" bottom="0" percent="0" rank="0" text="" dxfId="1">
      <formula>AND(NOT(ISBLANK(O8)),OR(N8="NonStk",O8&gt;N8))</formula>
    </cfRule>
  </conditionalFormatting>
  <conditionalFormatting sqref="O9">
    <cfRule type="expression" priority="241" aboveAverage="0" equalAverage="0" bottom="0" percent="0" rank="0" text="" dxfId="1">
      <formula>AND(NOT(ISBLANK(O9)),OR(N9="NonStk",O9&gt;N9))</formula>
    </cfRule>
  </conditionalFormatting>
  <conditionalFormatting sqref="P10">
    <cfRule type="cellIs" priority="242" operator="lessThanOrEqual" aboveAverage="0" equalAverage="0" bottom="0" percent="0" rank="0" text="" dxfId="4">
      <formula>F10</formula>
    </cfRule>
  </conditionalFormatting>
  <conditionalFormatting sqref="P11">
    <cfRule type="cellIs" priority="243" operator="lessThanOrEqual" aboveAverage="0" equalAverage="0" bottom="0" percent="0" rank="0" text="" dxfId="4">
      <formula>F11</formula>
    </cfRule>
  </conditionalFormatting>
  <conditionalFormatting sqref="P12">
    <cfRule type="cellIs" priority="244" operator="lessThanOrEqual" aboveAverage="0" equalAverage="0" bottom="0" percent="0" rank="0" text="" dxfId="4">
      <formula>F12</formula>
    </cfRule>
  </conditionalFormatting>
  <conditionalFormatting sqref="P13">
    <cfRule type="cellIs" priority="245" operator="lessThanOrEqual" aboveAverage="0" equalAverage="0" bottom="0" percent="0" rank="0" text="" dxfId="4">
      <formula>F13</formula>
    </cfRule>
  </conditionalFormatting>
  <conditionalFormatting sqref="P14">
    <cfRule type="cellIs" priority="246" operator="lessThanOrEqual" aboveAverage="0" equalAverage="0" bottom="0" percent="0" rank="0" text="" dxfId="4">
      <formula>F14</formula>
    </cfRule>
  </conditionalFormatting>
  <conditionalFormatting sqref="P15">
    <cfRule type="cellIs" priority="247" operator="lessThanOrEqual" aboveAverage="0" equalAverage="0" bottom="0" percent="0" rank="0" text="" dxfId="4">
      <formula>F15</formula>
    </cfRule>
  </conditionalFormatting>
  <conditionalFormatting sqref="P17">
    <cfRule type="cellIs" priority="248" operator="lessThanOrEqual" aboveAverage="0" equalAverage="0" bottom="0" percent="0" rank="0" text="" dxfId="4">
      <formula>F17</formula>
    </cfRule>
  </conditionalFormatting>
  <conditionalFormatting sqref="P18">
    <cfRule type="cellIs" priority="249" operator="lessThanOrEqual" aboveAverage="0" equalAverage="0" bottom="0" percent="0" rank="0" text="" dxfId="4">
      <formula>F18</formula>
    </cfRule>
  </conditionalFormatting>
  <conditionalFormatting sqref="P20">
    <cfRule type="cellIs" priority="250" operator="lessThanOrEqual" aboveAverage="0" equalAverage="0" bottom="0" percent="0" rank="0" text="" dxfId="4">
      <formula>F20</formula>
    </cfRule>
  </conditionalFormatting>
  <conditionalFormatting sqref="P21">
    <cfRule type="cellIs" priority="251" operator="lessThanOrEqual" aboveAverage="0" equalAverage="0" bottom="0" percent="0" rank="0" text="" dxfId="4">
      <formula>F21</formula>
    </cfRule>
  </conditionalFormatting>
  <conditionalFormatting sqref="P22">
    <cfRule type="cellIs" priority="252" operator="lessThanOrEqual" aboveAverage="0" equalAverage="0" bottom="0" percent="0" rank="0" text="" dxfId="4">
      <formula>F22</formula>
    </cfRule>
  </conditionalFormatting>
  <conditionalFormatting sqref="P23">
    <cfRule type="cellIs" priority="253" operator="lessThanOrEqual" aboveAverage="0" equalAverage="0" bottom="0" percent="0" rank="0" text="" dxfId="4">
      <formula>F23</formula>
    </cfRule>
  </conditionalFormatting>
  <conditionalFormatting sqref="P24">
    <cfRule type="cellIs" priority="254" operator="lessThanOrEqual" aboveAverage="0" equalAverage="0" bottom="0" percent="0" rank="0" text="" dxfId="4">
      <formula>F24</formula>
    </cfRule>
  </conditionalFormatting>
  <conditionalFormatting sqref="P25">
    <cfRule type="cellIs" priority="255" operator="lessThanOrEqual" aboveAverage="0" equalAverage="0" bottom="0" percent="0" rank="0" text="" dxfId="4">
      <formula>F25</formula>
    </cfRule>
  </conditionalFormatting>
  <conditionalFormatting sqref="P26">
    <cfRule type="cellIs" priority="256" operator="lessThanOrEqual" aboveAverage="0" equalAverage="0" bottom="0" percent="0" rank="0" text="" dxfId="4">
      <formula>F26</formula>
    </cfRule>
  </conditionalFormatting>
  <conditionalFormatting sqref="P27">
    <cfRule type="cellIs" priority="257" operator="lessThanOrEqual" aboveAverage="0" equalAverage="0" bottom="0" percent="0" rank="0" text="" dxfId="4">
      <formula>F27</formula>
    </cfRule>
  </conditionalFormatting>
  <conditionalFormatting sqref="P28">
    <cfRule type="cellIs" priority="258" operator="lessThanOrEqual" aboveAverage="0" equalAverage="0" bottom="0" percent="0" rank="0" text="" dxfId="4">
      <formula>F28</formula>
    </cfRule>
  </conditionalFormatting>
  <conditionalFormatting sqref="P29">
    <cfRule type="cellIs" priority="259" operator="lessThanOrEqual" aboveAverage="0" equalAverage="0" bottom="0" percent="0" rank="0" text="" dxfId="4">
      <formula>F29</formula>
    </cfRule>
  </conditionalFormatting>
  <conditionalFormatting sqref="P30">
    <cfRule type="cellIs" priority="260" operator="lessThanOrEqual" aboveAverage="0" equalAverage="0" bottom="0" percent="0" rank="0" text="" dxfId="4">
      <formula>F30</formula>
    </cfRule>
  </conditionalFormatting>
  <conditionalFormatting sqref="P32">
    <cfRule type="cellIs" priority="261" operator="lessThanOrEqual" aboveAverage="0" equalAverage="0" bottom="0" percent="0" rank="0" text="" dxfId="4">
      <formula>F32</formula>
    </cfRule>
  </conditionalFormatting>
  <conditionalFormatting sqref="P34">
    <cfRule type="cellIs" priority="262" operator="lessThanOrEqual" aboveAverage="0" equalAverage="0" bottom="0" percent="0" rank="0" text="" dxfId="4">
      <formula>F34</formula>
    </cfRule>
  </conditionalFormatting>
  <conditionalFormatting sqref="P35">
    <cfRule type="cellIs" priority="263" operator="lessThanOrEqual" aboveAverage="0" equalAverage="0" bottom="0" percent="0" rank="0" text="" dxfId="4">
      <formula>F35</formula>
    </cfRule>
  </conditionalFormatting>
  <conditionalFormatting sqref="P36">
    <cfRule type="cellIs" priority="264" operator="lessThanOrEqual" aboveAverage="0" equalAverage="0" bottom="0" percent="0" rank="0" text="" dxfId="4">
      <formula>F36</formula>
    </cfRule>
  </conditionalFormatting>
  <conditionalFormatting sqref="P37">
    <cfRule type="cellIs" priority="265" operator="lessThanOrEqual" aboveAverage="0" equalAverage="0" bottom="0" percent="0" rank="0" text="" dxfId="4">
      <formula>F37</formula>
    </cfRule>
  </conditionalFormatting>
  <conditionalFormatting sqref="P38">
    <cfRule type="cellIs" priority="266" operator="lessThanOrEqual" aboveAverage="0" equalAverage="0" bottom="0" percent="0" rank="0" text="" dxfId="4">
      <formula>F38</formula>
    </cfRule>
  </conditionalFormatting>
  <conditionalFormatting sqref="P7">
    <cfRule type="cellIs" priority="267" operator="lessThanOrEqual" aboveAverage="0" equalAverage="0" bottom="0" percent="0" rank="0" text="" dxfId="4">
      <formula>F7</formula>
    </cfRule>
  </conditionalFormatting>
  <conditionalFormatting sqref="P8">
    <cfRule type="cellIs" priority="268" operator="lessThanOrEqual" aboveAverage="0" equalAverage="0" bottom="0" percent="0" rank="0" text="" dxfId="4">
      <formula>F8</formula>
    </cfRule>
  </conditionalFormatting>
  <conditionalFormatting sqref="P9">
    <cfRule type="cellIs" priority="269" operator="lessThanOrEqual" aboveAverage="0" equalAverage="0" bottom="0" percent="0" rank="0" text="" dxfId="4">
      <formula>F9</formula>
    </cfRule>
  </conditionalFormatting>
  <conditionalFormatting sqref="R10">
    <cfRule type="cellIs" priority="270" operator="lessThanOrEqual" aboveAverage="0" equalAverage="0" bottom="0" percent="0" rank="0" text="" dxfId="4">
      <formula>G10</formula>
    </cfRule>
  </conditionalFormatting>
  <conditionalFormatting sqref="R11">
    <cfRule type="cellIs" priority="271" operator="lessThanOrEqual" aboveAverage="0" equalAverage="0" bottom="0" percent="0" rank="0" text="" dxfId="4">
      <formula>G11</formula>
    </cfRule>
  </conditionalFormatting>
  <conditionalFormatting sqref="R12">
    <cfRule type="cellIs" priority="272" operator="lessThanOrEqual" aboveAverage="0" equalAverage="0" bottom="0" percent="0" rank="0" text="" dxfId="4">
      <formula>G12</formula>
    </cfRule>
  </conditionalFormatting>
  <conditionalFormatting sqref="R13">
    <cfRule type="cellIs" priority="273" operator="lessThanOrEqual" aboveAverage="0" equalAverage="0" bottom="0" percent="0" rank="0" text="" dxfId="4">
      <formula>G13</formula>
    </cfRule>
  </conditionalFormatting>
  <conditionalFormatting sqref="R14">
    <cfRule type="cellIs" priority="274" operator="lessThanOrEqual" aboveAverage="0" equalAverage="0" bottom="0" percent="0" rank="0" text="" dxfId="4">
      <formula>G14</formula>
    </cfRule>
  </conditionalFormatting>
  <conditionalFormatting sqref="R15">
    <cfRule type="cellIs" priority="275" operator="lessThanOrEqual" aboveAverage="0" equalAverage="0" bottom="0" percent="0" rank="0" text="" dxfId="4">
      <formula>G15</formula>
    </cfRule>
  </conditionalFormatting>
  <conditionalFormatting sqref="R17">
    <cfRule type="cellIs" priority="276" operator="lessThanOrEqual" aboveAverage="0" equalAverage="0" bottom="0" percent="0" rank="0" text="" dxfId="4">
      <formula>G17</formula>
    </cfRule>
  </conditionalFormatting>
  <conditionalFormatting sqref="R18">
    <cfRule type="cellIs" priority="277" operator="lessThanOrEqual" aboveAverage="0" equalAverage="0" bottom="0" percent="0" rank="0" text="" dxfId="4">
      <formula>G18</formula>
    </cfRule>
  </conditionalFormatting>
  <conditionalFormatting sqref="R20">
    <cfRule type="cellIs" priority="278" operator="lessThanOrEqual" aboveAverage="0" equalAverage="0" bottom="0" percent="0" rank="0" text="" dxfId="4">
      <formula>G20</formula>
    </cfRule>
  </conditionalFormatting>
  <conditionalFormatting sqref="R21">
    <cfRule type="cellIs" priority="279" operator="lessThanOrEqual" aboveAverage="0" equalAverage="0" bottom="0" percent="0" rank="0" text="" dxfId="4">
      <formula>G21</formula>
    </cfRule>
  </conditionalFormatting>
  <conditionalFormatting sqref="R22">
    <cfRule type="cellIs" priority="280" operator="lessThanOrEqual" aboveAverage="0" equalAverage="0" bottom="0" percent="0" rank="0" text="" dxfId="4">
      <formula>G22</formula>
    </cfRule>
  </conditionalFormatting>
  <conditionalFormatting sqref="R23">
    <cfRule type="cellIs" priority="281" operator="lessThanOrEqual" aboveAverage="0" equalAverage="0" bottom="0" percent="0" rank="0" text="" dxfId="4">
      <formula>G23</formula>
    </cfRule>
  </conditionalFormatting>
  <conditionalFormatting sqref="R24">
    <cfRule type="cellIs" priority="282" operator="lessThanOrEqual" aboveAverage="0" equalAverage="0" bottom="0" percent="0" rank="0" text="" dxfId="4">
      <formula>G24</formula>
    </cfRule>
  </conditionalFormatting>
  <conditionalFormatting sqref="R25">
    <cfRule type="cellIs" priority="283" operator="lessThanOrEqual" aboveAverage="0" equalAverage="0" bottom="0" percent="0" rank="0" text="" dxfId="4">
      <formula>G25</formula>
    </cfRule>
  </conditionalFormatting>
  <conditionalFormatting sqref="R26">
    <cfRule type="cellIs" priority="284" operator="lessThanOrEqual" aboveAverage="0" equalAverage="0" bottom="0" percent="0" rank="0" text="" dxfId="4">
      <formula>G26</formula>
    </cfRule>
  </conditionalFormatting>
  <conditionalFormatting sqref="R27">
    <cfRule type="cellIs" priority="285" operator="lessThanOrEqual" aboveAverage="0" equalAverage="0" bottom="0" percent="0" rank="0" text="" dxfId="4">
      <formula>G27</formula>
    </cfRule>
  </conditionalFormatting>
  <conditionalFormatting sqref="R28">
    <cfRule type="cellIs" priority="286" operator="lessThanOrEqual" aboveAverage="0" equalAverage="0" bottom="0" percent="0" rank="0" text="" dxfId="4">
      <formula>G28</formula>
    </cfRule>
  </conditionalFormatting>
  <conditionalFormatting sqref="R29">
    <cfRule type="cellIs" priority="287" operator="lessThanOrEqual" aboveAverage="0" equalAverage="0" bottom="0" percent="0" rank="0" text="" dxfId="4">
      <formula>G29</formula>
    </cfRule>
  </conditionalFormatting>
  <conditionalFormatting sqref="R30">
    <cfRule type="cellIs" priority="288" operator="lessThanOrEqual" aboveAverage="0" equalAverage="0" bottom="0" percent="0" rank="0" text="" dxfId="4">
      <formula>G30</formula>
    </cfRule>
  </conditionalFormatting>
  <conditionalFormatting sqref="R32">
    <cfRule type="cellIs" priority="289" operator="lessThanOrEqual" aboveAverage="0" equalAverage="0" bottom="0" percent="0" rank="0" text="" dxfId="4">
      <formula>G32</formula>
    </cfRule>
  </conditionalFormatting>
  <conditionalFormatting sqref="R34">
    <cfRule type="cellIs" priority="290" operator="lessThanOrEqual" aboveAverage="0" equalAverage="0" bottom="0" percent="0" rank="0" text="" dxfId="4">
      <formula>G34</formula>
    </cfRule>
  </conditionalFormatting>
  <conditionalFormatting sqref="R35">
    <cfRule type="cellIs" priority="291" operator="lessThanOrEqual" aboveAverage="0" equalAverage="0" bottom="0" percent="0" rank="0" text="" dxfId="4">
      <formula>G35</formula>
    </cfRule>
  </conditionalFormatting>
  <conditionalFormatting sqref="R36">
    <cfRule type="cellIs" priority="292" operator="lessThanOrEqual" aboveAverage="0" equalAverage="0" bottom="0" percent="0" rank="0" text="" dxfId="4">
      <formula>G36</formula>
    </cfRule>
  </conditionalFormatting>
  <conditionalFormatting sqref="R37">
    <cfRule type="cellIs" priority="293" operator="lessThanOrEqual" aboveAverage="0" equalAverage="0" bottom="0" percent="0" rank="0" text="" dxfId="4">
      <formula>G37</formula>
    </cfRule>
  </conditionalFormatting>
  <conditionalFormatting sqref="R38">
    <cfRule type="cellIs" priority="294" operator="lessThanOrEqual" aboveAverage="0" equalAverage="0" bottom="0" percent="0" rank="0" text="" dxfId="4">
      <formula>G38</formula>
    </cfRule>
  </conditionalFormatting>
  <conditionalFormatting sqref="R7">
    <cfRule type="cellIs" priority="295" operator="lessThanOrEqual" aboveAverage="0" equalAverage="0" bottom="0" percent="0" rank="0" text="" dxfId="4">
      <formula>G7</formula>
    </cfRule>
  </conditionalFormatting>
  <conditionalFormatting sqref="R8">
    <cfRule type="cellIs" priority="296" operator="lessThanOrEqual" aboveAverage="0" equalAverage="0" bottom="0" percent="0" rank="0" text="" dxfId="4">
      <formula>G8</formula>
    </cfRule>
  </conditionalFormatting>
  <conditionalFormatting sqref="R9">
    <cfRule type="cellIs" priority="297" operator="lessThanOrEqual" aboveAverage="0" equalAverage="0" bottom="0" percent="0" rank="0" text="" dxfId="4">
      <formula>G9</formula>
    </cfRule>
  </conditionalFormatting>
  <hyperlinks>
    <hyperlink ref="S7" r:id="rId2" display="667-EEE-FN1J220XP"/>
    <hyperlink ref="S8" r:id="rId3" display="603-CS0603KRX79BB104"/>
    <hyperlink ref="M9" r:id="rId4" display="490-18621-1-ND"/>
    <hyperlink ref="S9" r:id="rId5" display="81-GRM31CC72A475ME11"/>
    <hyperlink ref="M10" r:id="rId6" display="490-11159-1-ND"/>
    <hyperlink ref="S10" r:id="rId7" display="81-GCM188R71H103KA7J"/>
    <hyperlink ref="M11" r:id="rId8" display="490-12332-1-ND"/>
    <hyperlink ref="S11" r:id="rId9" display="81-GRT188R61H225KE3D"/>
    <hyperlink ref="S12" r:id="rId10" display="603-CS0603KRX79BB104"/>
    <hyperlink ref="S13" r:id="rId11" display="81-GRM185C1H200JA01J"/>
    <hyperlink ref="M14" r:id="rId12" display="CD1206-B2100CT-ND"/>
    <hyperlink ref="S14" r:id="rId13" display="652-CD1206-B2100"/>
    <hyperlink ref="M15" r:id="rId14" display="118-SF-1206F400M-2CT-ND"/>
    <hyperlink ref="S15" r:id="rId15" display="652-SF-1206F400M-2"/>
    <hyperlink ref="M17" r:id="rId16" display="CP-063AH-ND"/>
    <hyperlink ref="S17" r:id="rId17" display="490-PJ-063AH"/>
    <hyperlink ref="D18" r:id="rId18" display="68021-212HLF"/>
    <hyperlink ref="S18" r:id="rId19" display="649-68021-212HLF"/>
    <hyperlink ref="S20" r:id="rId20" display="994-LPS5030-223MRC"/>
    <hyperlink ref="D21" r:id="rId21" display="CMPT2222AE TR PBFREE"/>
    <hyperlink ref="S21" r:id="rId22" display="610-CMPT2222AE"/>
    <hyperlink ref="M22" r:id="rId23" display="MJD122GOS-ND"/>
    <hyperlink ref="S22" r:id="rId24" display="863-MJD122G"/>
    <hyperlink ref="S23" r:id="rId25" display="863-MJD128T4G"/>
    <hyperlink ref="M24" r:id="rId26" display="118-CMP0603AFX-1002ELFCT-ND"/>
    <hyperlink ref="S24" r:id="rId27" display="652-CMP0603AFX-1002L"/>
    <hyperlink ref="M25" r:id="rId28" display="118-CHV0603-FX-1003ESTCT-ND"/>
    <hyperlink ref="S25" r:id="rId29" display="652-CHV0603FX1003EST"/>
    <hyperlink ref="M26" r:id="rId30" display="13-RT0603DRE072R8LCT-ND"/>
    <hyperlink ref="S26" r:id="rId31" display="603-RT0603DRE072R8L"/>
    <hyperlink ref="S27" r:id="rId32" display="652-CR0603FX-1243ELF"/>
    <hyperlink ref="M28" r:id="rId33" display="2019-RK73H1JTTD1001FCT-ND"/>
    <hyperlink ref="S28" r:id="rId34" display="660-RK73H1JTTD1001F"/>
    <hyperlink ref="S29" r:id="rId35" display="660-RN731JTTD1322D25"/>
    <hyperlink ref="M30" r:id="rId36" display="3214G-1-103ECT-ND"/>
    <hyperlink ref="S30" r:id="rId37" display="652-3214G-1-103E"/>
    <hyperlink ref="D32" r:id="rId38" display="AD5428YRUZ"/>
    <hyperlink ref="M32" r:id="rId39" display="505-AD5428YRUZ-ND"/>
    <hyperlink ref="S32" r:id="rId40" display="584-AD5428YRUZ"/>
    <hyperlink ref="D33" r:id="rId41" display="200528-0210"/>
    <hyperlink ref="S33" r:id="rId42" display="N/A"/>
    <hyperlink ref="D34" r:id="rId43" display="LT3060ETS8-2.5#TRMPBF"/>
    <hyperlink ref="S34" r:id="rId44" display="584-3060ETS8-2.5TMPF"/>
    <hyperlink ref="D35" r:id="rId45" display="ADP7142AUJZ-3.3-R7"/>
    <hyperlink ref="S35" r:id="rId46" display="584-ADP7142AUJZ3.3R7"/>
    <hyperlink ref="D36" r:id="rId47" display="MP2459GJ-Z"/>
    <hyperlink ref="S36" r:id="rId48" display="946-MP2459GJZ"/>
    <hyperlink ref="D37" r:id="rId49" display="LM4132CMFX-2.5/NOPB"/>
    <hyperlink ref="S37" r:id="rId50" display="926-LM4132CMFX25NOPB"/>
    <hyperlink ref="D38" r:id="rId51" display="LT1632IS8#TRPBF"/>
    <hyperlink ref="M38" r:id="rId52" display="LT1632IS8#TRPBFCT-ND"/>
    <hyperlink ref="S38" r:id="rId53" display="584-LT1632IS8#TRPBF"/>
    <hyperlink ref="H40" r:id="rId54" display="Buy here"/>
    <hyperlink ref="N40" r:id="rId55" display="Buy her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2022-08-01T01:26:09Z</dcterms:created>
  <dc:creator/>
  <dc:description/>
  <dc:language>en-US</dc:language>
  <cp:lastModifiedBy/>
  <dcterms:modified xsi:type="dcterms:W3CDTF">2022-07-31T18:47:57Z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