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8_{574B95C0-6419-4AD3-BFE1-17159BEC1587}" xr6:coauthVersionLast="47" xr6:coauthVersionMax="47" xr10:uidLastSave="{00000000-0000-0000-0000-000000000000}"/>
  <bookViews>
    <workbookView xWindow="-24075" yWindow="570" windowWidth="24480" windowHeight="18405" firstSheet="1" activeTab="1" xr2:uid="{00000000-000D-0000-FFFF-FFFF00000000}"/>
  </bookViews>
  <sheets>
    <sheet name="Main" sheetId="1" r:id="rId1"/>
    <sheet name="Model" sheetId="2" r:id="rId2"/>
    <sheet name="Manufacturing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0" i="2" l="1"/>
  <c r="AC20" i="2"/>
  <c r="AB20" i="2"/>
  <c r="AE40" i="2"/>
  <c r="AD40" i="2"/>
  <c r="AC40" i="2"/>
  <c r="AG40" i="2"/>
  <c r="AF40" i="2"/>
  <c r="AK29" i="2"/>
  <c r="W57" i="2"/>
  <c r="W60" i="2" s="1"/>
  <c r="V57" i="2"/>
  <c r="V60" i="2" s="1"/>
  <c r="W84" i="2"/>
  <c r="V85" i="2"/>
  <c r="W81" i="2"/>
  <c r="X81" i="2" s="1"/>
  <c r="Y81" i="2" s="1"/>
  <c r="Z81" i="2" s="1"/>
  <c r="V75" i="2"/>
  <c r="W64" i="2"/>
  <c r="U49" i="2"/>
  <c r="W33" i="2"/>
  <c r="AL33" i="2" s="1"/>
  <c r="V33" i="2"/>
  <c r="W31" i="2"/>
  <c r="W22" i="2"/>
  <c r="W44" i="2" s="1"/>
  <c r="W17" i="2"/>
  <c r="W25" i="2" s="1"/>
  <c r="W10" i="2"/>
  <c r="W5" i="2"/>
  <c r="W6" i="2" s="1"/>
  <c r="W43" i="2"/>
  <c r="Y15" i="2"/>
  <c r="Y14" i="2"/>
  <c r="Y21" i="2" s="1"/>
  <c r="X14" i="2"/>
  <c r="X21" i="2" s="1"/>
  <c r="X15" i="2"/>
  <c r="V10" i="2"/>
  <c r="O43" i="2"/>
  <c r="M43" i="2"/>
  <c r="L43" i="2"/>
  <c r="K43" i="2"/>
  <c r="AH19" i="2"/>
  <c r="AH18" i="2"/>
  <c r="AH16" i="2"/>
  <c r="AH15" i="2"/>
  <c r="AH14" i="2"/>
  <c r="AI19" i="2"/>
  <c r="AI18" i="2"/>
  <c r="AI16" i="2"/>
  <c r="AI15" i="2"/>
  <c r="AI9" i="2"/>
  <c r="AI8" i="2"/>
  <c r="AI4" i="2"/>
  <c r="AI3" i="2"/>
  <c r="AH9" i="2"/>
  <c r="AH8" i="2"/>
  <c r="AH4" i="2"/>
  <c r="AH3" i="2"/>
  <c r="AH5" i="2" s="1"/>
  <c r="K35" i="2"/>
  <c r="J35" i="2"/>
  <c r="G35" i="2"/>
  <c r="G38" i="2"/>
  <c r="H38" i="2"/>
  <c r="L38" i="2"/>
  <c r="K38" i="2"/>
  <c r="J38" i="2"/>
  <c r="K33" i="2"/>
  <c r="J33" i="2"/>
  <c r="G33" i="2"/>
  <c r="L31" i="2"/>
  <c r="K31" i="2"/>
  <c r="J31" i="2"/>
  <c r="G31" i="2"/>
  <c r="K22" i="2"/>
  <c r="K44" i="2" s="1"/>
  <c r="J22" i="2"/>
  <c r="J44" i="2" s="1"/>
  <c r="G22" i="2"/>
  <c r="G44" i="2" s="1"/>
  <c r="J17" i="2"/>
  <c r="J25" i="2" s="1"/>
  <c r="J28" i="2" s="1"/>
  <c r="K17" i="2"/>
  <c r="K25" i="2" s="1"/>
  <c r="K28" i="2" s="1"/>
  <c r="G17" i="2"/>
  <c r="G25" i="2" s="1"/>
  <c r="G28" i="2" s="1"/>
  <c r="AJ4" i="2"/>
  <c r="AJ3" i="2"/>
  <c r="AJ18" i="2"/>
  <c r="AJ9" i="2"/>
  <c r="AJ8" i="2"/>
  <c r="AK9" i="2"/>
  <c r="AK8" i="2"/>
  <c r="AK4" i="2"/>
  <c r="AK3" i="2"/>
  <c r="AK5" i="2" s="1"/>
  <c r="V5" i="2"/>
  <c r="H35" i="2"/>
  <c r="H33" i="2"/>
  <c r="H31" i="2"/>
  <c r="H22" i="2"/>
  <c r="H44" i="2" s="1"/>
  <c r="H17" i="2"/>
  <c r="H25" i="2" s="1"/>
  <c r="H28" i="2" s="1"/>
  <c r="L35" i="2"/>
  <c r="L33" i="2"/>
  <c r="L22" i="2"/>
  <c r="L44" i="2" s="1"/>
  <c r="L17" i="2"/>
  <c r="L25" i="2" s="1"/>
  <c r="L28" i="2" s="1"/>
  <c r="I35" i="2"/>
  <c r="I33" i="2"/>
  <c r="I31" i="2"/>
  <c r="I22" i="2"/>
  <c r="I44" i="2" s="1"/>
  <c r="I17" i="2"/>
  <c r="I25" i="2" s="1"/>
  <c r="I28" i="2" s="1"/>
  <c r="M35" i="2"/>
  <c r="M33" i="2"/>
  <c r="M31" i="2"/>
  <c r="M22" i="2"/>
  <c r="M44" i="2" s="1"/>
  <c r="M17" i="2"/>
  <c r="M20" i="2" s="1"/>
  <c r="AJ19" i="2"/>
  <c r="AJ16" i="2"/>
  <c r="AJ15" i="2"/>
  <c r="Y27" i="2"/>
  <c r="X27" i="2"/>
  <c r="Z27" i="2"/>
  <c r="Y26" i="2"/>
  <c r="X26" i="2"/>
  <c r="AK26" i="2"/>
  <c r="Y24" i="2"/>
  <c r="X24" i="2"/>
  <c r="Z24" i="2"/>
  <c r="Y19" i="2"/>
  <c r="X19" i="2"/>
  <c r="V19" i="2"/>
  <c r="Z19" i="2" s="1"/>
  <c r="Y18" i="2"/>
  <c r="X18" i="2"/>
  <c r="V18" i="2"/>
  <c r="Z18" i="2" s="1"/>
  <c r="Y16" i="2"/>
  <c r="X16" i="2"/>
  <c r="V16" i="2"/>
  <c r="Z16" i="2" s="1"/>
  <c r="V15" i="2"/>
  <c r="Z15" i="2" s="1"/>
  <c r="AJ12" i="2"/>
  <c r="AK12" i="2" s="1"/>
  <c r="AL12" i="2" s="1"/>
  <c r="AM12" i="2" s="1"/>
  <c r="AN12" i="2" s="1"/>
  <c r="AO12" i="2" s="1"/>
  <c r="AP12" i="2" s="1"/>
  <c r="AQ12" i="2" s="1"/>
  <c r="AR12" i="2" s="1"/>
  <c r="AS12" i="2" s="1"/>
  <c r="Y30" i="2"/>
  <c r="X30" i="2"/>
  <c r="V30" i="2"/>
  <c r="Z30" i="2" s="1"/>
  <c r="Y29" i="2"/>
  <c r="X29" i="2"/>
  <c r="S43" i="2"/>
  <c r="X38" i="2"/>
  <c r="Y38" i="2" s="1"/>
  <c r="Z38" i="2" s="1"/>
  <c r="U5" i="2"/>
  <c r="U6" i="2" s="1"/>
  <c r="U10" i="2"/>
  <c r="U84" i="2"/>
  <c r="U81" i="2"/>
  <c r="U73" i="2"/>
  <c r="U64" i="2"/>
  <c r="U55" i="2"/>
  <c r="U54" i="2"/>
  <c r="U53" i="2"/>
  <c r="U52" i="2"/>
  <c r="U51" i="2"/>
  <c r="U50" i="2"/>
  <c r="U33" i="2"/>
  <c r="U31" i="2"/>
  <c r="U22" i="2"/>
  <c r="U44" i="2" s="1"/>
  <c r="U17" i="2"/>
  <c r="U20" i="2" s="1"/>
  <c r="K6" i="1"/>
  <c r="K5" i="1"/>
  <c r="T59" i="2"/>
  <c r="U59" i="2" s="1"/>
  <c r="T84" i="2"/>
  <c r="T81" i="2"/>
  <c r="T73" i="2"/>
  <c r="T64" i="2"/>
  <c r="T57" i="2"/>
  <c r="K4" i="1"/>
  <c r="K7" i="1" s="1"/>
  <c r="T35" i="2"/>
  <c r="T33" i="2"/>
  <c r="T31" i="2"/>
  <c r="T22" i="2"/>
  <c r="T44" i="2" s="1"/>
  <c r="T5" i="2"/>
  <c r="T6" i="2" s="1"/>
  <c r="T10" i="2"/>
  <c r="T17" i="2"/>
  <c r="T25" i="2" s="1"/>
  <c r="T28" i="2" s="1"/>
  <c r="R57" i="2"/>
  <c r="R60" i="2" s="1"/>
  <c r="Q57" i="2"/>
  <c r="Q60" i="2" s="1"/>
  <c r="P57" i="2"/>
  <c r="P60" i="2" s="1"/>
  <c r="O57" i="2"/>
  <c r="O60" i="2" s="1"/>
  <c r="N57" i="2"/>
  <c r="N60" i="2" s="1"/>
  <c r="S84" i="2"/>
  <c r="S81" i="2"/>
  <c r="S64" i="2"/>
  <c r="S75" i="2" s="1"/>
  <c r="R35" i="2"/>
  <c r="R33" i="2"/>
  <c r="Q35" i="2"/>
  <c r="Q33" i="2"/>
  <c r="P35" i="2"/>
  <c r="N35" i="2"/>
  <c r="P33" i="2"/>
  <c r="N33" i="2"/>
  <c r="N31" i="2"/>
  <c r="R14" i="2"/>
  <c r="R22" i="2" s="1"/>
  <c r="R44" i="2" s="1"/>
  <c r="Q14" i="2"/>
  <c r="Q17" i="2" s="1"/>
  <c r="P14" i="2"/>
  <c r="P17" i="2" s="1"/>
  <c r="N14" i="2"/>
  <c r="N22" i="2" s="1"/>
  <c r="N44" i="2" s="1"/>
  <c r="S56" i="2"/>
  <c r="S57" i="2" s="1"/>
  <c r="S60" i="2" s="1"/>
  <c r="O35" i="2"/>
  <c r="O33" i="2"/>
  <c r="R31" i="2"/>
  <c r="Q31" i="2"/>
  <c r="P31" i="2"/>
  <c r="O31" i="2"/>
  <c r="O22" i="2"/>
  <c r="O44" i="2" s="1"/>
  <c r="O17" i="2"/>
  <c r="O25" i="2" s="1"/>
  <c r="O28" i="2" s="1"/>
  <c r="S35" i="2"/>
  <c r="S33" i="2"/>
  <c r="S31" i="2"/>
  <c r="S22" i="2"/>
  <c r="S44" i="2" s="1"/>
  <c r="S17" i="2"/>
  <c r="S25" i="2" s="1"/>
  <c r="S28" i="2" s="1"/>
  <c r="R5" i="2"/>
  <c r="Q5" i="2"/>
  <c r="P5" i="2"/>
  <c r="O5" i="2"/>
  <c r="N5" i="2"/>
  <c r="M5" i="2"/>
  <c r="L5" i="2"/>
  <c r="K5" i="2"/>
  <c r="J5" i="2"/>
  <c r="I5" i="2"/>
  <c r="H5" i="2"/>
  <c r="G5" i="2"/>
  <c r="S5" i="2"/>
  <c r="S6" i="2" s="1"/>
  <c r="R10" i="2"/>
  <c r="Q10" i="2"/>
  <c r="P10" i="2"/>
  <c r="O10" i="2"/>
  <c r="N10" i="2"/>
  <c r="M10" i="2"/>
  <c r="L10" i="2"/>
  <c r="K10" i="2"/>
  <c r="J10" i="2"/>
  <c r="I10" i="2"/>
  <c r="H10" i="2"/>
  <c r="G10" i="2"/>
  <c r="S10" i="2"/>
  <c r="K42" i="2" l="1"/>
  <c r="W63" i="2"/>
  <c r="AH17" i="2"/>
  <c r="AH20" i="2" s="1"/>
  <c r="AH40" i="2" s="1"/>
  <c r="AL27" i="2"/>
  <c r="V31" i="2"/>
  <c r="W85" i="2"/>
  <c r="AK30" i="2"/>
  <c r="AK31" i="2" s="1"/>
  <c r="T42" i="2"/>
  <c r="W28" i="2"/>
  <c r="W32" i="2" s="1"/>
  <c r="AL24" i="2"/>
  <c r="W75" i="2"/>
  <c r="P42" i="2"/>
  <c r="AJ10" i="2"/>
  <c r="AH6" i="2"/>
  <c r="O42" i="2"/>
  <c r="R42" i="2"/>
  <c r="AK10" i="2"/>
  <c r="AI5" i="2"/>
  <c r="AI41" i="2" s="1"/>
  <c r="AI10" i="2"/>
  <c r="AJ42" i="2" s="1"/>
  <c r="Q42" i="2"/>
  <c r="M41" i="2"/>
  <c r="S42" i="2"/>
  <c r="L41" i="2"/>
  <c r="P41" i="2"/>
  <c r="L32" i="2"/>
  <c r="L34" i="2" s="1"/>
  <c r="L36" i="2" s="1"/>
  <c r="L37" i="2" s="1"/>
  <c r="X31" i="2"/>
  <c r="U42" i="2"/>
  <c r="M42" i="2"/>
  <c r="Y31" i="2"/>
  <c r="K41" i="2"/>
  <c r="V42" i="2"/>
  <c r="Q41" i="2"/>
  <c r="R41" i="2"/>
  <c r="N42" i="2"/>
  <c r="AI14" i="2"/>
  <c r="N41" i="2"/>
  <c r="S41" i="2"/>
  <c r="L42" i="2"/>
  <c r="AL5" i="2"/>
  <c r="AL41" i="2" s="1"/>
  <c r="J20" i="2"/>
  <c r="J45" i="2" s="1"/>
  <c r="P43" i="2"/>
  <c r="AJ5" i="2"/>
  <c r="J32" i="2"/>
  <c r="J34" i="2" s="1"/>
  <c r="J36" i="2" s="1"/>
  <c r="J37" i="2" s="1"/>
  <c r="AH10" i="2"/>
  <c r="K32" i="2"/>
  <c r="K34" i="2" s="1"/>
  <c r="K36" i="2" s="1"/>
  <c r="K37" i="2" s="1"/>
  <c r="AL38" i="2"/>
  <c r="AM38" i="2" s="1"/>
  <c r="AN38" i="2" s="1"/>
  <c r="AO38" i="2" s="1"/>
  <c r="AP38" i="2" s="1"/>
  <c r="AQ38" i="2" s="1"/>
  <c r="AR38" i="2" s="1"/>
  <c r="AS38" i="2" s="1"/>
  <c r="N43" i="2"/>
  <c r="G20" i="2"/>
  <c r="G45" i="2" s="1"/>
  <c r="K20" i="2"/>
  <c r="O41" i="2"/>
  <c r="AK27" i="2"/>
  <c r="T41" i="2"/>
  <c r="W42" i="2"/>
  <c r="V41" i="2"/>
  <c r="U41" i="2"/>
  <c r="W41" i="2"/>
  <c r="G32" i="2"/>
  <c r="G34" i="2" s="1"/>
  <c r="G36" i="2" s="1"/>
  <c r="G37" i="2" s="1"/>
  <c r="AK19" i="2"/>
  <c r="AL16" i="2"/>
  <c r="R43" i="2"/>
  <c r="Z26" i="2"/>
  <c r="AL26" i="2" s="1"/>
  <c r="T43" i="2"/>
  <c r="U43" i="2"/>
  <c r="AJ14" i="2"/>
  <c r="X22" i="2"/>
  <c r="X44" i="2" s="1"/>
  <c r="X17" i="2"/>
  <c r="Y17" i="2"/>
  <c r="Y25" i="2" s="1"/>
  <c r="AL19" i="2"/>
  <c r="M25" i="2"/>
  <c r="M28" i="2" s="1"/>
  <c r="M32" i="2" s="1"/>
  <c r="M34" i="2" s="1"/>
  <c r="M36" i="2" s="1"/>
  <c r="W20" i="2"/>
  <c r="W45" i="2" s="1"/>
  <c r="X25" i="2"/>
  <c r="X20" i="2"/>
  <c r="X28" i="2" s="1"/>
  <c r="X45" i="2" s="1"/>
  <c r="AL30" i="2"/>
  <c r="AM30" i="2" s="1"/>
  <c r="AN30" i="2" s="1"/>
  <c r="AO30" i="2" s="1"/>
  <c r="AP30" i="2" s="1"/>
  <c r="AK24" i="2"/>
  <c r="V14" i="2"/>
  <c r="Z14" i="2" s="1"/>
  <c r="AL14" i="2" s="1"/>
  <c r="Z29" i="2"/>
  <c r="AL29" i="2" s="1"/>
  <c r="AM29" i="2" s="1"/>
  <c r="N17" i="2"/>
  <c r="N25" i="2" s="1"/>
  <c r="N28" i="2" s="1"/>
  <c r="N32" i="2" s="1"/>
  <c r="N34" i="2" s="1"/>
  <c r="N36" i="2" s="1"/>
  <c r="X43" i="2"/>
  <c r="AL15" i="2"/>
  <c r="Y43" i="2"/>
  <c r="Y22" i="2"/>
  <c r="Y44" i="2" s="1"/>
  <c r="T32" i="2"/>
  <c r="T34" i="2" s="1"/>
  <c r="T36" i="2" s="1"/>
  <c r="AL18" i="2"/>
  <c r="Q43" i="2"/>
  <c r="AK18" i="2"/>
  <c r="H32" i="2"/>
  <c r="H34" i="2" s="1"/>
  <c r="H36" i="2" s="1"/>
  <c r="H37" i="2" s="1"/>
  <c r="H20" i="2"/>
  <c r="H45" i="2" s="1"/>
  <c r="L20" i="2"/>
  <c r="I32" i="2"/>
  <c r="I34" i="2" s="1"/>
  <c r="I36" i="2" s="1"/>
  <c r="I37" i="2" s="1"/>
  <c r="I20" i="2"/>
  <c r="I45" i="2" s="1"/>
  <c r="AK15" i="2"/>
  <c r="AK16" i="2"/>
  <c r="U75" i="2"/>
  <c r="R61" i="2"/>
  <c r="U85" i="2"/>
  <c r="T60" i="2"/>
  <c r="T61" i="2" s="1"/>
  <c r="U56" i="2"/>
  <c r="U57" i="2" s="1"/>
  <c r="U60" i="2" s="1"/>
  <c r="U25" i="2"/>
  <c r="U28" i="2" s="1"/>
  <c r="T20" i="2"/>
  <c r="T75" i="2"/>
  <c r="Q61" i="2"/>
  <c r="S61" i="2"/>
  <c r="T85" i="2"/>
  <c r="P22" i="2"/>
  <c r="P44" i="2" s="1"/>
  <c r="S85" i="2"/>
  <c r="Q22" i="2"/>
  <c r="Q44" i="2" s="1"/>
  <c r="R17" i="2"/>
  <c r="Q20" i="2"/>
  <c r="Q25" i="2"/>
  <c r="Q28" i="2" s="1"/>
  <c r="P20" i="2"/>
  <c r="P25" i="2"/>
  <c r="P28" i="2" s="1"/>
  <c r="R25" i="2"/>
  <c r="R28" i="2" s="1"/>
  <c r="O20" i="2"/>
  <c r="O32" i="2"/>
  <c r="O34" i="2" s="1"/>
  <c r="O36" i="2" s="1"/>
  <c r="S32" i="2"/>
  <c r="S34" i="2" s="1"/>
  <c r="S36" i="2" s="1"/>
  <c r="S20" i="2"/>
  <c r="K40" i="2" l="1"/>
  <c r="AI42" i="2"/>
  <c r="AJ41" i="2"/>
  <c r="AK42" i="2"/>
  <c r="AL10" i="2"/>
  <c r="AL6" i="2"/>
  <c r="AM6" i="2" s="1"/>
  <c r="AL17" i="2"/>
  <c r="W61" i="2"/>
  <c r="V61" i="2"/>
  <c r="AJ17" i="2"/>
  <c r="AJ20" i="2" s="1"/>
  <c r="AJ45" i="2" s="1"/>
  <c r="AJ44" i="2"/>
  <c r="AJ6" i="2"/>
  <c r="AN29" i="2"/>
  <c r="AM31" i="2"/>
  <c r="AI17" i="2"/>
  <c r="AI20" i="2" s="1"/>
  <c r="AI40" i="2" s="1"/>
  <c r="AI6" i="2"/>
  <c r="AI44" i="2"/>
  <c r="AQ30" i="2"/>
  <c r="M45" i="2"/>
  <c r="O40" i="2"/>
  <c r="X32" i="2"/>
  <c r="X34" i="2" s="1"/>
  <c r="X35" i="2" s="1"/>
  <c r="X36" i="2" s="1"/>
  <c r="X64" i="2" s="1"/>
  <c r="X63" i="2" s="1"/>
  <c r="L45" i="2"/>
  <c r="L40" i="2"/>
  <c r="O45" i="2"/>
  <c r="AK41" i="2"/>
  <c r="M40" i="2"/>
  <c r="K45" i="2"/>
  <c r="Y20" i="2"/>
  <c r="Y40" i="2" s="1"/>
  <c r="W34" i="2"/>
  <c r="W36" i="2" s="1"/>
  <c r="W37" i="2" s="1"/>
  <c r="X40" i="2"/>
  <c r="AL31" i="2"/>
  <c r="AK14" i="2"/>
  <c r="V17" i="2"/>
  <c r="V43" i="2"/>
  <c r="N20" i="2"/>
  <c r="Z31" i="2"/>
  <c r="W40" i="2"/>
  <c r="S45" i="2"/>
  <c r="R32" i="2"/>
  <c r="R34" i="2" s="1"/>
  <c r="R36" i="2" s="1"/>
  <c r="R48" i="2" s="1"/>
  <c r="P32" i="2"/>
  <c r="P34" i="2" s="1"/>
  <c r="P36" i="2" s="1"/>
  <c r="P37" i="2" s="1"/>
  <c r="P45" i="2"/>
  <c r="P40" i="2"/>
  <c r="Q32" i="2"/>
  <c r="Q34" i="2" s="1"/>
  <c r="Q36" i="2" s="1"/>
  <c r="Q48" i="2" s="1"/>
  <c r="Q45" i="2"/>
  <c r="T45" i="2"/>
  <c r="U40" i="2"/>
  <c r="Q40" i="2"/>
  <c r="R20" i="2"/>
  <c r="M37" i="2"/>
  <c r="M48" i="2"/>
  <c r="V6" i="2"/>
  <c r="U61" i="2"/>
  <c r="T40" i="2"/>
  <c r="S40" i="2"/>
  <c r="T48" i="2"/>
  <c r="T37" i="2"/>
  <c r="N37" i="2"/>
  <c r="N48" i="2"/>
  <c r="O37" i="2"/>
  <c r="O48" i="2"/>
  <c r="S48" i="2"/>
  <c r="S37" i="2"/>
  <c r="Y28" i="2" l="1"/>
  <c r="X37" i="2"/>
  <c r="X48" i="2"/>
  <c r="AK6" i="2"/>
  <c r="AK17" i="2"/>
  <c r="AK20" i="2" s="1"/>
  <c r="AR30" i="2"/>
  <c r="AS30" i="2" s="1"/>
  <c r="AM10" i="2"/>
  <c r="AL42" i="2"/>
  <c r="AJ40" i="2"/>
  <c r="AI45" i="2"/>
  <c r="AN31" i="2"/>
  <c r="AO29" i="2"/>
  <c r="AN6" i="2"/>
  <c r="AM14" i="2"/>
  <c r="R37" i="2"/>
  <c r="Q37" i="2"/>
  <c r="N45" i="2"/>
  <c r="N40" i="2"/>
  <c r="R40" i="2"/>
  <c r="W48" i="2"/>
  <c r="R45" i="2"/>
  <c r="Z17" i="2"/>
  <c r="Z43" i="2"/>
  <c r="Z21" i="2"/>
  <c r="AL21" i="2" s="1"/>
  <c r="P48" i="2"/>
  <c r="AK21" i="2"/>
  <c r="V22" i="2"/>
  <c r="V20" i="2"/>
  <c r="V40" i="2" s="1"/>
  <c r="V25" i="2"/>
  <c r="Y45" i="2"/>
  <c r="Y32" i="2"/>
  <c r="Y34" i="2" s="1"/>
  <c r="Y35" i="2" s="1"/>
  <c r="U32" i="2"/>
  <c r="U34" i="2" s="1"/>
  <c r="U36" i="2" s="1"/>
  <c r="U45" i="2"/>
  <c r="Z22" i="2" l="1"/>
  <c r="AK40" i="2"/>
  <c r="AK28" i="2"/>
  <c r="AM5" i="2"/>
  <c r="AN10" i="2"/>
  <c r="AM42" i="2"/>
  <c r="AK25" i="2"/>
  <c r="V28" i="2"/>
  <c r="AM44" i="2"/>
  <c r="AM17" i="2"/>
  <c r="AM20" i="2" s="1"/>
  <c r="AN14" i="2"/>
  <c r="AN17" i="2" s="1"/>
  <c r="AN20" i="2" s="1"/>
  <c r="AO6" i="2"/>
  <c r="AP29" i="2"/>
  <c r="AO31" i="2"/>
  <c r="AK22" i="2"/>
  <c r="AK44" i="2" s="1"/>
  <c r="V44" i="2"/>
  <c r="AL22" i="2"/>
  <c r="AL44" i="2" s="1"/>
  <c r="Z44" i="2"/>
  <c r="Z20" i="2"/>
  <c r="AL20" i="2"/>
  <c r="Z25" i="2"/>
  <c r="AL25" i="2" s="1"/>
  <c r="Y36" i="2"/>
  <c r="Y64" i="2" s="1"/>
  <c r="Y63" i="2" s="1"/>
  <c r="U37" i="2"/>
  <c r="U48" i="2"/>
  <c r="AM41" i="2" l="1"/>
  <c r="AM13" i="2"/>
  <c r="AM23" i="2" s="1"/>
  <c r="AP6" i="2"/>
  <c r="AN21" i="2"/>
  <c r="AN25" i="2"/>
  <c r="AN40" i="2"/>
  <c r="AQ29" i="2"/>
  <c r="AP31" i="2"/>
  <c r="AM21" i="2"/>
  <c r="AM25" i="2"/>
  <c r="AM28" i="2" s="1"/>
  <c r="AN5" i="2"/>
  <c r="AO10" i="2"/>
  <c r="AN42" i="2"/>
  <c r="AK45" i="2"/>
  <c r="AK32" i="2"/>
  <c r="AL40" i="2"/>
  <c r="AM40" i="2"/>
  <c r="Z28" i="2"/>
  <c r="Z40" i="2"/>
  <c r="V45" i="2"/>
  <c r="V32" i="2"/>
  <c r="V34" i="2" s="1"/>
  <c r="V36" i="2" s="1"/>
  <c r="Y37" i="2"/>
  <c r="Y48" i="2"/>
  <c r="AN41" i="2" l="1"/>
  <c r="AN13" i="2"/>
  <c r="AN23" i="2" s="1"/>
  <c r="AM45" i="2"/>
  <c r="AM32" i="2"/>
  <c r="AR29" i="2"/>
  <c r="AQ31" i="2"/>
  <c r="AO5" i="2"/>
  <c r="AO42" i="2"/>
  <c r="AP10" i="2"/>
  <c r="AQ6" i="2"/>
  <c r="AP14" i="2"/>
  <c r="AP17" i="2" s="1"/>
  <c r="AP20" i="2" s="1"/>
  <c r="AO14" i="2"/>
  <c r="AO17" i="2" s="1"/>
  <c r="AO20" i="2" s="1"/>
  <c r="V37" i="2"/>
  <c r="V48" i="2"/>
  <c r="Z45" i="2"/>
  <c r="Z32" i="2"/>
  <c r="Z34" i="2" s="1"/>
  <c r="Z35" i="2" s="1"/>
  <c r="AL28" i="2"/>
  <c r="AN28" i="2" l="1"/>
  <c r="AN32" i="2" s="1"/>
  <c r="AO41" i="2"/>
  <c r="AO13" i="2"/>
  <c r="AO23" i="2" s="1"/>
  <c r="AL32" i="2"/>
  <c r="AL34" i="2" s="1"/>
  <c r="AL45" i="2"/>
  <c r="AO40" i="2"/>
  <c r="AO21" i="2"/>
  <c r="AO25" i="2"/>
  <c r="AR6" i="2"/>
  <c r="AQ10" i="2"/>
  <c r="AQ14" i="2" s="1"/>
  <c r="AQ17" i="2" s="1"/>
  <c r="AQ20" i="2" s="1"/>
  <c r="AP42" i="2"/>
  <c r="AP5" i="2"/>
  <c r="AP40" i="2"/>
  <c r="AP21" i="2"/>
  <c r="AP25" i="2" s="1"/>
  <c r="AS29" i="2"/>
  <c r="AS31" i="2" s="1"/>
  <c r="AR31" i="2"/>
  <c r="Z36" i="2"/>
  <c r="Z64" i="2" s="1"/>
  <c r="Z63" i="2" s="1"/>
  <c r="AL63" i="2" s="1"/>
  <c r="AM33" i="2" s="1"/>
  <c r="AM34" i="2" s="1"/>
  <c r="AM35" i="2" s="1"/>
  <c r="AM36" i="2" s="1"/>
  <c r="AL35" i="2"/>
  <c r="AL36" i="2" s="1"/>
  <c r="AL37" i="2" s="1"/>
  <c r="AO28" i="2" l="1"/>
  <c r="AO32" i="2" s="1"/>
  <c r="AP41" i="2"/>
  <c r="AP13" i="2"/>
  <c r="AP23" i="2" s="1"/>
  <c r="AM63" i="2"/>
  <c r="AN33" i="2" s="1"/>
  <c r="AN34" i="2" s="1"/>
  <c r="AN35" i="2" s="1"/>
  <c r="AN36" i="2" s="1"/>
  <c r="AN37" i="2" s="1"/>
  <c r="AM37" i="2"/>
  <c r="AQ40" i="2"/>
  <c r="AQ21" i="2"/>
  <c r="AQ25" i="2" s="1"/>
  <c r="AS6" i="2"/>
  <c r="AR10" i="2"/>
  <c r="AQ5" i="2"/>
  <c r="AQ42" i="2"/>
  <c r="Z48" i="2"/>
  <c r="Z37" i="2"/>
  <c r="AN63" i="2" l="1"/>
  <c r="AP28" i="2"/>
  <c r="AP32" i="2" s="1"/>
  <c r="AQ41" i="2"/>
  <c r="AQ13" i="2"/>
  <c r="AQ23" i="2" s="1"/>
  <c r="AO33" i="2"/>
  <c r="AO34" i="2" s="1"/>
  <c r="AO35" i="2" s="1"/>
  <c r="AO36" i="2" s="1"/>
  <c r="AO37" i="2" s="1"/>
  <c r="AR5" i="2"/>
  <c r="AS10" i="2"/>
  <c r="AR42" i="2"/>
  <c r="AR14" i="2"/>
  <c r="AR17" i="2" s="1"/>
  <c r="AR20" i="2" s="1"/>
  <c r="AQ28" i="2" l="1"/>
  <c r="AQ32" i="2" s="1"/>
  <c r="AR41" i="2"/>
  <c r="AR13" i="2"/>
  <c r="AR23" i="2" s="1"/>
  <c r="AO63" i="2"/>
  <c r="AR21" i="2"/>
  <c r="AR40" i="2"/>
  <c r="AR25" i="2"/>
  <c r="AS5" i="2"/>
  <c r="AS42" i="2"/>
  <c r="AS14" i="2"/>
  <c r="AS17" i="2" s="1"/>
  <c r="AS20" i="2" s="1"/>
  <c r="AR28" i="2" l="1"/>
  <c r="AR32" i="2" s="1"/>
  <c r="AS41" i="2"/>
  <c r="AS13" i="2"/>
  <c r="AS23" i="2" s="1"/>
  <c r="AP33" i="2"/>
  <c r="AP34" i="2" s="1"/>
  <c r="AP35" i="2" s="1"/>
  <c r="AP36" i="2" s="1"/>
  <c r="AP37" i="2" s="1"/>
  <c r="AS40" i="2"/>
  <c r="AS21" i="2"/>
  <c r="AS25" i="2" s="1"/>
  <c r="AS28" i="2" l="1"/>
  <c r="AS32" i="2" s="1"/>
  <c r="AP63" i="2"/>
  <c r="AQ33" i="2" l="1"/>
  <c r="AQ34" i="2" s="1"/>
  <c r="AQ35" i="2" s="1"/>
  <c r="AQ36" i="2" s="1"/>
  <c r="AQ37" i="2" s="1"/>
  <c r="AQ63" i="2" l="1"/>
  <c r="AR33" i="2" l="1"/>
  <c r="AR34" i="2" s="1"/>
  <c r="AR35" i="2" s="1"/>
  <c r="AR36" i="2" s="1"/>
  <c r="AR37" i="2" l="1"/>
  <c r="AR63" i="2"/>
  <c r="AS33" i="2" l="1"/>
  <c r="AS34" i="2" s="1"/>
  <c r="AS35" i="2" s="1"/>
  <c r="AS36" i="2" s="1"/>
  <c r="AS63" i="2" s="1"/>
  <c r="AS37" i="2" l="1"/>
  <c r="AT36" i="2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BN36" i="2" s="1"/>
  <c r="BO36" i="2" s="1"/>
  <c r="BP36" i="2" s="1"/>
  <c r="BQ36" i="2" s="1"/>
  <c r="BR36" i="2" s="1"/>
  <c r="BS36" i="2" s="1"/>
  <c r="BT36" i="2" s="1"/>
  <c r="BU36" i="2" s="1"/>
  <c r="BV36" i="2" s="1"/>
  <c r="BW36" i="2" s="1"/>
  <c r="BX36" i="2" s="1"/>
  <c r="BY36" i="2" s="1"/>
  <c r="BZ36" i="2" s="1"/>
  <c r="CA36" i="2" s="1"/>
  <c r="CB36" i="2" s="1"/>
  <c r="CC36" i="2" s="1"/>
  <c r="CD36" i="2" s="1"/>
  <c r="CE36" i="2" s="1"/>
  <c r="CF36" i="2" s="1"/>
  <c r="CG36" i="2" s="1"/>
  <c r="CH36" i="2" s="1"/>
  <c r="CI36" i="2" s="1"/>
  <c r="CJ36" i="2" s="1"/>
  <c r="CK36" i="2" s="1"/>
  <c r="CL36" i="2" s="1"/>
  <c r="CM36" i="2" s="1"/>
  <c r="CN36" i="2" s="1"/>
  <c r="CO36" i="2" s="1"/>
  <c r="CP36" i="2" s="1"/>
  <c r="CQ36" i="2" s="1"/>
  <c r="CR36" i="2" s="1"/>
  <c r="CS36" i="2" s="1"/>
  <c r="CT36" i="2" s="1"/>
  <c r="CU36" i="2" s="1"/>
  <c r="CV36" i="2" s="1"/>
  <c r="CW36" i="2" s="1"/>
  <c r="AV45" i="2" l="1"/>
  <c r="AV47" i="2" s="1"/>
  <c r="AV4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tc={7D7449AA-B6F8-4EBC-88EB-E7879CDB3FAB}</author>
  </authors>
  <commentList>
    <comment ref="AL10" authorId="0" shapeId="0" xr:uid="{7D7449AA-B6F8-4EBC-88EB-E7879CDB3FAB}">
      <text>
        <t>[Threaded comment]
Your version of Excel allows you to read this threaded comment; however, any edits to it will get removed if the file is opened in a newer version of Excel. Learn more: https://go.microsoft.com/fwlink/?linkid=870924
Comment:
    Q123: 1.8m/year</t>
      </text>
    </comment>
  </commentList>
</comments>
</file>

<file path=xl/sharedStrings.xml><?xml version="1.0" encoding="utf-8"?>
<sst xmlns="http://schemas.openxmlformats.org/spreadsheetml/2006/main" count="131" uniqueCount="118">
  <si>
    <t>Price</t>
  </si>
  <si>
    <t>Shares</t>
  </si>
  <si>
    <t>Q322</t>
  </si>
  <si>
    <t>MC</t>
  </si>
  <si>
    <t>Cash</t>
  </si>
  <si>
    <t>Debt</t>
  </si>
  <si>
    <t>EV</t>
  </si>
  <si>
    <t>4/2/22: Q1 deliveries number.</t>
  </si>
  <si>
    <t>teslarati.com</t>
  </si>
  <si>
    <t>Main</t>
  </si>
  <si>
    <t>FSD Beta</t>
  </si>
  <si>
    <t>Model S/X Deliveries</t>
  </si>
  <si>
    <t>Model 3/Y Deliveries</t>
  </si>
  <si>
    <t>Deliveries</t>
  </si>
  <si>
    <t>Deliveries ASP</t>
  </si>
  <si>
    <t>Model S/X Production</t>
  </si>
  <si>
    <t>Model 3/Y Production</t>
  </si>
  <si>
    <t>Production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</si>
  <si>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</si>
  <si>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</si>
  <si>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</si>
  <si>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</si>
  <si>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</si>
  <si>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</si>
  <si>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</si>
  <si>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</si>
  <si>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</si>
  <si>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</si>
  <si>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</si>
  <si>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</si>
  <si>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</si>
  <si>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</si>
  <si>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</si>
  <si>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</si>
  <si>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</si>
  <si>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</si>
  <si>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Q422</t>
  </si>
  <si>
    <t>Q123</t>
  </si>
  <si>
    <t>Q223</t>
  </si>
  <si>
    <t>Q323</t>
  </si>
  <si>
    <t>Q423</t>
  </si>
  <si>
    <t>Software</t>
  </si>
  <si>
    <t>Automotive Product</t>
  </si>
  <si>
    <t>Automative Credits</t>
  </si>
  <si>
    <t>Automative Licensing</t>
  </si>
  <si>
    <t>Automotive Revenue</t>
  </si>
  <si>
    <t>Energy</t>
  </si>
  <si>
    <t>Services</t>
  </si>
  <si>
    <t>Revenue</t>
  </si>
  <si>
    <t>Automotive Product COGS</t>
  </si>
  <si>
    <t>Car Gross Margin</t>
  </si>
  <si>
    <t>Software COGS</t>
  </si>
  <si>
    <t>Automotive Leasing COGS</t>
  </si>
  <si>
    <t>Automotive Revenue GM</t>
  </si>
  <si>
    <t>Energy COGS</t>
  </si>
  <si>
    <t>Services COGS</t>
  </si>
  <si>
    <t>Gross Margin</t>
  </si>
  <si>
    <t>R&amp;D</t>
  </si>
  <si>
    <t>SG&amp;A</t>
  </si>
  <si>
    <t>Operating Expenses</t>
  </si>
  <si>
    <t>Operating Income</t>
  </si>
  <si>
    <t>Interest Expense</t>
  </si>
  <si>
    <t>Pretax Income</t>
  </si>
  <si>
    <t>Taxes</t>
  </si>
  <si>
    <t>Net Income</t>
  </si>
  <si>
    <t>EPS</t>
  </si>
  <si>
    <t>Revenue y/y</t>
  </si>
  <si>
    <t>Deliveries y/y</t>
  </si>
  <si>
    <t>Production y/y</t>
  </si>
  <si>
    <t>Auto Product y/y</t>
  </si>
  <si>
    <t>Maturity</t>
  </si>
  <si>
    <t>Auto GM</t>
  </si>
  <si>
    <t>Discount</t>
  </si>
  <si>
    <t>NPV</t>
  </si>
  <si>
    <t>ROIC</t>
  </si>
  <si>
    <t>Share</t>
  </si>
  <si>
    <t>Model NI</t>
  </si>
  <si>
    <t>Reported NI</t>
  </si>
  <si>
    <t>D&amp;A</t>
  </si>
  <si>
    <t>SBC</t>
  </si>
  <si>
    <t>Inventory</t>
  </si>
  <si>
    <t>FX/Other</t>
  </si>
  <si>
    <t>Non-Cash Interest</t>
  </si>
  <si>
    <t>Digital Assets</t>
  </si>
  <si>
    <t>WC</t>
  </si>
  <si>
    <t>CFFO</t>
  </si>
  <si>
    <t>CapEx</t>
  </si>
  <si>
    <t>FCF</t>
  </si>
  <si>
    <t>TTM FCF</t>
  </si>
  <si>
    <t>Net Cash</t>
  </si>
  <si>
    <t>AR</t>
  </si>
  <si>
    <t>Prepaids</t>
  </si>
  <si>
    <t>Operating Lease</t>
  </si>
  <si>
    <t>Energy Systems</t>
  </si>
  <si>
    <t>PP&amp;E</t>
  </si>
  <si>
    <t>Operating Lease ROU</t>
  </si>
  <si>
    <t>Goodwill</t>
  </si>
  <si>
    <t>ONCA</t>
  </si>
  <si>
    <t>Assets</t>
  </si>
  <si>
    <t>AP</t>
  </si>
  <si>
    <t>AL</t>
  </si>
  <si>
    <t>DR</t>
  </si>
  <si>
    <t>Customer Deposits</t>
  </si>
  <si>
    <t>OLTL</t>
  </si>
  <si>
    <t>SE</t>
  </si>
  <si>
    <t>L+SE</t>
  </si>
  <si>
    <t>California</t>
  </si>
  <si>
    <t>Model S/X</t>
  </si>
  <si>
    <t>Model 3/Y</t>
  </si>
  <si>
    <t>Shanghai</t>
  </si>
  <si>
    <t>Berlin</t>
  </si>
  <si>
    <t>Model Y</t>
  </si>
  <si>
    <t>Texas</t>
  </si>
  <si>
    <t>Cybertruck</t>
  </si>
  <si>
    <t>Nevada</t>
  </si>
  <si>
    <t>Semi</t>
  </si>
  <si>
    <t>Roadaster</t>
  </si>
  <si>
    <t>Robotaxi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</si>
</sst>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3" fontId="3" fillId="0" borderId="0" xfId="0" applyNumberFormat="1" applyFont="1"/>
    <xf numFmtId="3" fontId="4" fillId="0" borderId="0" xfId="0" applyNumberFormat="1" applyFont="1"/>
    <xf numFmtId="3" fontId="4" fillId="0" borderId="0" xfId="0" applyNumberFormat="1" applyFont="1" applyAlignment="1">
      <alignment horizontal="right"/>
    </xf>
    <xf numFmtId="0" fontId="2" fillId="0" borderId="0" xfId="0" applyFont="1"/>
    <xf numFmtId="0" fontId="6" fillId="0" borderId="0" xfId="1" applyFont="1"/>
    <xf numFmtId="9" fontId="4" fillId="0" borderId="0" xfId="0" applyNumberFormat="1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9" fontId="4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/>
    <xf numFmtId="3" fontId="1" fillId="0" borderId="0" xfId="0" applyNumberFormat="1" applyFont="1"/>
    <xf numFmtId="2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1" fillId="0" borderId="0" xfId="0" applyNumberFormat="1" applyFont="1"/>
    <xf numFmtId="2" fontId="1" fillId="0" borderId="0" xfId="0" applyNumberFormat="1" applyFont="1" applyAlignment="1">
      <alignment horizontal="right"/>
    </xf>
    <xf numFmtId="4" fontId="1" fillId="0" borderId="0" xfId="0" applyNumberFormat="1" applyFont="1"/>
    <xf numFmtId="9" fontId="1" fillId="0" borderId="0" xfId="0" applyNumberFormat="1" applyFont="1" applyAlignment="1">
      <alignment horizontal="right"/>
    </xf>
    <xf numFmtId="16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Medium9">
    <tableStyle name="Invisible" pivot="0" table="0" count="0" xr9:uid="{9A85FFF9-FF3A-40EE-9B1C-0C6B1C4AC5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35031</xdr:colOff>
      <xdr:row>0</xdr:row>
      <xdr:rowOff>155705</xdr:rowOff>
    </xdr:from>
    <xdr:to>
      <xdr:col>23</xdr:col>
      <xdr:colOff>50486</xdr:colOff>
      <xdr:row>103</xdr:row>
      <xdr:rowOff>59758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C9F4EFC-85A1-B100-118E-835840BA6272}"/>
            </a:ext>
          </a:extLst>
        </xdr:cNvPr>
        <xdr:cNvCxnSpPr>
          <a:cxnSpLocks/>
        </xdr:cNvCxnSpPr>
      </xdr:nvCxnSpPr>
      <xdr:spPr>
        <a:xfrm>
          <a:off x="14740702" y="155705"/>
          <a:ext cx="15455" cy="1616624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39414</xdr:colOff>
      <xdr:row>0</xdr:row>
      <xdr:rowOff>78828</xdr:rowOff>
    </xdr:from>
    <xdr:to>
      <xdr:col>36</xdr:col>
      <xdr:colOff>39414</xdr:colOff>
      <xdr:row>74</xdr:row>
      <xdr:rowOff>131379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7A9A93D-510F-23C5-BB9A-3A7D0D7364B0}"/>
            </a:ext>
          </a:extLst>
        </xdr:cNvPr>
        <xdr:cNvCxnSpPr/>
      </xdr:nvCxnSpPr>
      <xdr:spPr>
        <a:xfrm>
          <a:off x="21546207" y="78828"/>
          <a:ext cx="0" cy="1187668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DB2BD1D3-B51E-4CED-BC74-064ACA9A1F13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L10" dT="2023-04-23T20:32:30.18" personId="{DB2BD1D3-B51E-4CED-BC74-064ACA9A1F13}" id="{7D7449AA-B6F8-4EBC-88EB-E7879CDB3FAB}">
    <text>Q123: 1.8m/year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zoomScale="160" zoomScaleNormal="160" workbookViewId="0">
      <selection activeCell="K2" sqref="K2"/>
    </sheetView>
  </sheetViews>
  <sheetFormatPr defaultRowHeight="12.75"/>
  <cols>
    <col min="1" max="16384" width="9.140625" style="6"/>
  </cols>
  <sheetData>
    <row r="2" spans="2:12">
      <c r="B2" s="13"/>
      <c r="C2" s="13"/>
      <c r="D2" s="13"/>
      <c r="E2" s="13"/>
      <c r="F2" s="13"/>
      <c r="G2" s="13"/>
      <c r="H2" s="13"/>
      <c r="I2" s="13"/>
      <c r="J2" s="13" t="s">
        <v>0</v>
      </c>
      <c r="K2" s="15">
        <v>165</v>
      </c>
      <c r="L2" s="13"/>
    </row>
    <row r="3" spans="2:12">
      <c r="B3" s="13"/>
      <c r="C3" s="13"/>
      <c r="D3" s="13"/>
      <c r="E3" s="13"/>
      <c r="F3" s="13"/>
      <c r="G3" s="13"/>
      <c r="H3" s="13"/>
      <c r="I3" s="13"/>
      <c r="J3" s="13" t="s">
        <v>1</v>
      </c>
      <c r="K3" s="14">
        <v>3157.7524490000001</v>
      </c>
      <c r="L3" s="12" t="s">
        <v>2</v>
      </c>
    </row>
    <row r="4" spans="2:12">
      <c r="B4" s="13"/>
      <c r="C4" s="13"/>
      <c r="D4" s="13"/>
      <c r="E4" s="13"/>
      <c r="F4" s="13"/>
      <c r="G4" s="13"/>
      <c r="H4" s="13"/>
      <c r="I4" s="13"/>
      <c r="J4" s="13" t="s">
        <v>3</v>
      </c>
      <c r="K4" s="14">
        <f>K2*K3</f>
        <v>521029.15408499999</v>
      </c>
      <c r="L4" s="13"/>
    </row>
    <row r="5" spans="2:12">
      <c r="B5" s="13"/>
      <c r="C5" s="13"/>
      <c r="D5" s="13"/>
      <c r="E5" s="13"/>
      <c r="F5" s="13"/>
      <c r="G5" s="13"/>
      <c r="H5" s="13"/>
      <c r="I5" s="13"/>
      <c r="J5" s="13" t="s">
        <v>4</v>
      </c>
      <c r="K5" s="14">
        <f>19532+1575</f>
        <v>21107</v>
      </c>
      <c r="L5" s="12" t="s">
        <v>2</v>
      </c>
    </row>
    <row r="6" spans="2:12">
      <c r="B6" s="13"/>
      <c r="C6" s="13"/>
      <c r="D6" s="13"/>
      <c r="E6" s="13"/>
      <c r="F6" s="13"/>
      <c r="G6" s="13"/>
      <c r="H6" s="13"/>
      <c r="I6" s="13"/>
      <c r="J6" s="13" t="s">
        <v>5</v>
      </c>
      <c r="K6" s="14">
        <f>2096+1457</f>
        <v>3553</v>
      </c>
      <c r="L6" s="12" t="s">
        <v>2</v>
      </c>
    </row>
    <row r="7" spans="2:12">
      <c r="B7" s="13"/>
      <c r="C7" s="13"/>
      <c r="D7" s="13"/>
      <c r="E7" s="13"/>
      <c r="F7" s="13"/>
      <c r="G7" s="13"/>
      <c r="H7" s="13"/>
      <c r="I7" s="13"/>
      <c r="J7" s="13" t="s">
        <v>6</v>
      </c>
      <c r="K7" s="14">
        <f>K4-K5+K6</f>
        <v>503475.15408499999</v>
      </c>
      <c r="L7" s="13"/>
    </row>
    <row r="10" spans="2:12">
      <c r="B10" s="13" t="s">
        <v>7</v>
      </c>
      <c r="C10" s="13"/>
      <c r="D10" s="13"/>
      <c r="E10" s="13"/>
      <c r="F10" s="13"/>
      <c r="G10" s="13"/>
      <c r="H10" s="13"/>
      <c r="I10" s="13"/>
      <c r="J10" s="13" t="s">
        <v>8</v>
      </c>
      <c r="K10" s="13"/>
      <c r="L1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10252-7C49-48D8-9A64-7380C8DB275B}">
  <dimension ref="A1:CW89"/>
  <sheetViews>
    <sheetView tabSelected="1" zoomScale="115" zoomScaleNormal="115" workbookViewId="0">
      <pane xSplit="2" ySplit="12" topLeftCell="Z13" activePane="bottomRight" state="frozen"/>
      <selection pane="bottomRight" activeCell="AB22" sqref="AB22"/>
      <selection pane="bottomLeft"/>
      <selection pane="topRight"/>
    </sheetView>
  </sheetViews>
  <sheetFormatPr defaultRowHeight="12.75"/>
  <cols>
    <col min="1" max="1" width="5.140625" style="1" bestFit="1" customWidth="1"/>
    <col min="2" max="2" width="24.140625" style="1" customWidth="1"/>
    <col min="3" max="18" width="9.140625" style="2"/>
    <col min="19" max="19" width="8.7109375" style="2" customWidth="1"/>
    <col min="20" max="26" width="9.140625" style="2"/>
    <col min="27" max="35" width="9.140625" style="1"/>
    <col min="36" max="38" width="9.7109375" style="1" customWidth="1"/>
    <col min="39" max="39" width="10.85546875" style="1" customWidth="1"/>
    <col min="40" max="40" width="10.28515625" style="1" customWidth="1"/>
    <col min="41" max="41" width="10.85546875" style="1" customWidth="1"/>
    <col min="42" max="42" width="11.140625" style="1" customWidth="1"/>
    <col min="43" max="46" width="10.85546875" style="1" customWidth="1"/>
    <col min="47" max="47" width="9.140625" style="1"/>
    <col min="48" max="48" width="12.28515625" style="1" bestFit="1" customWidth="1"/>
    <col min="49" max="16384" width="9.140625" style="1"/>
  </cols>
  <sheetData>
    <row r="1" spans="1:45">
      <c r="A1" s="7" t="s">
        <v>9</v>
      </c>
      <c r="B1" s="13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</row>
    <row r="2" spans="1:45" s="3" customFormat="1">
      <c r="A2" s="14"/>
      <c r="B2" s="14" t="s">
        <v>10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>
        <v>100000</v>
      </c>
      <c r="T2" s="16"/>
      <c r="U2" s="16"/>
      <c r="V2" s="16"/>
      <c r="W2" s="16"/>
      <c r="X2" s="16"/>
      <c r="Y2" s="16"/>
      <c r="Z2" s="16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</row>
    <row r="3" spans="1:45" s="3" customFormat="1">
      <c r="A3" s="14"/>
      <c r="B3" s="14" t="s">
        <v>11</v>
      </c>
      <c r="C3" s="16"/>
      <c r="D3" s="16"/>
      <c r="E3" s="16"/>
      <c r="F3" s="16"/>
      <c r="G3" s="16">
        <v>12091</v>
      </c>
      <c r="H3" s="16">
        <v>17722</v>
      </c>
      <c r="I3" s="16">
        <v>17483</v>
      </c>
      <c r="J3" s="16">
        <v>19475</v>
      </c>
      <c r="K3" s="16">
        <v>12230</v>
      </c>
      <c r="L3" s="16">
        <v>10600</v>
      </c>
      <c r="M3" s="16">
        <v>15200</v>
      </c>
      <c r="N3" s="16">
        <v>18920</v>
      </c>
      <c r="O3" s="16">
        <v>2020</v>
      </c>
      <c r="P3" s="16">
        <v>1890</v>
      </c>
      <c r="Q3" s="16">
        <v>9275</v>
      </c>
      <c r="R3" s="16">
        <v>11750</v>
      </c>
      <c r="S3" s="16">
        <v>14724</v>
      </c>
      <c r="T3" s="16">
        <v>16162</v>
      </c>
      <c r="U3" s="16">
        <v>18672</v>
      </c>
      <c r="V3" s="16">
        <v>17147</v>
      </c>
      <c r="W3" s="16">
        <v>10695</v>
      </c>
      <c r="X3" s="16"/>
      <c r="Y3" s="16"/>
      <c r="Z3" s="16"/>
      <c r="AA3" s="14"/>
      <c r="AB3" s="14"/>
      <c r="AC3" s="14"/>
      <c r="AD3" s="14"/>
      <c r="AE3" s="14"/>
      <c r="AF3" s="14"/>
      <c r="AG3" s="14"/>
      <c r="AH3" s="14">
        <f>SUM(G3:J3)</f>
        <v>66771</v>
      </c>
      <c r="AI3" s="14">
        <f>SUM(K3:N3)</f>
        <v>56950</v>
      </c>
      <c r="AJ3" s="14">
        <f>SUM(O3:R3)</f>
        <v>24935</v>
      </c>
      <c r="AK3" s="14">
        <f>SUM(S3:V3)</f>
        <v>66705</v>
      </c>
      <c r="AL3" s="14"/>
      <c r="AM3" s="14"/>
      <c r="AN3" s="14"/>
      <c r="AO3" s="14"/>
      <c r="AP3" s="14"/>
      <c r="AQ3" s="14"/>
      <c r="AR3" s="14"/>
      <c r="AS3" s="14"/>
    </row>
    <row r="4" spans="1:45" s="3" customFormat="1">
      <c r="A4" s="14"/>
      <c r="B4" s="14" t="s">
        <v>12</v>
      </c>
      <c r="C4" s="16"/>
      <c r="D4" s="16"/>
      <c r="E4" s="16"/>
      <c r="F4" s="16"/>
      <c r="G4" s="16">
        <v>50928</v>
      </c>
      <c r="H4" s="16">
        <v>77634</v>
      </c>
      <c r="I4" s="16">
        <v>79703</v>
      </c>
      <c r="J4" s="16">
        <v>92620</v>
      </c>
      <c r="K4" s="16">
        <v>76266</v>
      </c>
      <c r="L4" s="16">
        <v>80050</v>
      </c>
      <c r="M4" s="16">
        <v>124100</v>
      </c>
      <c r="N4" s="16">
        <v>161650</v>
      </c>
      <c r="O4" s="16">
        <v>182780</v>
      </c>
      <c r="P4" s="16">
        <v>199360</v>
      </c>
      <c r="Q4" s="16">
        <v>232025</v>
      </c>
      <c r="R4" s="16">
        <v>296850</v>
      </c>
      <c r="S4" s="16">
        <v>295324</v>
      </c>
      <c r="T4" s="16">
        <v>238533</v>
      </c>
      <c r="U4" s="16">
        <v>325158</v>
      </c>
      <c r="V4" s="16">
        <v>388131</v>
      </c>
      <c r="W4" s="16">
        <v>412180</v>
      </c>
      <c r="X4" s="16"/>
      <c r="Y4" s="16"/>
      <c r="Z4" s="16"/>
      <c r="AA4" s="14"/>
      <c r="AB4" s="14"/>
      <c r="AC4" s="14"/>
      <c r="AD4" s="14"/>
      <c r="AE4" s="14"/>
      <c r="AF4" s="14"/>
      <c r="AG4" s="14"/>
      <c r="AH4" s="14">
        <f>SUM(G4:J4)</f>
        <v>300885</v>
      </c>
      <c r="AI4" s="14">
        <f>SUM(K4:N4)</f>
        <v>442066</v>
      </c>
      <c r="AJ4" s="14">
        <f>SUM(O4:R4)</f>
        <v>911015</v>
      </c>
      <c r="AK4" s="14">
        <f>SUM(S4:V4)</f>
        <v>1247146</v>
      </c>
      <c r="AL4" s="14"/>
      <c r="AM4" s="14"/>
      <c r="AN4" s="14"/>
      <c r="AO4" s="14"/>
      <c r="AP4" s="14"/>
      <c r="AQ4" s="14"/>
      <c r="AR4" s="14"/>
      <c r="AS4" s="14"/>
    </row>
    <row r="5" spans="1:45" s="4" customFormat="1">
      <c r="B5" s="4" t="s">
        <v>13</v>
      </c>
      <c r="C5" s="5"/>
      <c r="D5" s="5"/>
      <c r="E5" s="5"/>
      <c r="F5" s="5"/>
      <c r="G5" s="5">
        <f t="shared" ref="G5:R5" si="0">G4+G3</f>
        <v>63019</v>
      </c>
      <c r="H5" s="5">
        <f t="shared" si="0"/>
        <v>95356</v>
      </c>
      <c r="I5" s="5">
        <f t="shared" si="0"/>
        <v>97186</v>
      </c>
      <c r="J5" s="5">
        <f t="shared" si="0"/>
        <v>112095</v>
      </c>
      <c r="K5" s="5">
        <f t="shared" si="0"/>
        <v>88496</v>
      </c>
      <c r="L5" s="5">
        <f t="shared" si="0"/>
        <v>90650</v>
      </c>
      <c r="M5" s="5">
        <f t="shared" si="0"/>
        <v>139300</v>
      </c>
      <c r="N5" s="5">
        <f t="shared" si="0"/>
        <v>180570</v>
      </c>
      <c r="O5" s="5">
        <f t="shared" si="0"/>
        <v>184800</v>
      </c>
      <c r="P5" s="5">
        <f t="shared" si="0"/>
        <v>201250</v>
      </c>
      <c r="Q5" s="5">
        <f t="shared" si="0"/>
        <v>241300</v>
      </c>
      <c r="R5" s="5">
        <f t="shared" si="0"/>
        <v>308600</v>
      </c>
      <c r="S5" s="5">
        <f>S4+S3</f>
        <v>310048</v>
      </c>
      <c r="T5" s="5">
        <f>T4+T3</f>
        <v>254695</v>
      </c>
      <c r="U5" s="5">
        <f>U4+U3</f>
        <v>343830</v>
      </c>
      <c r="V5" s="5">
        <f>V4+V3</f>
        <v>405278</v>
      </c>
      <c r="W5" s="5">
        <f>W4+W3</f>
        <v>422875</v>
      </c>
      <c r="X5" s="5"/>
      <c r="Y5" s="5"/>
      <c r="Z5" s="5"/>
      <c r="AH5" s="4">
        <f>+AH3+AH4</f>
        <v>367656</v>
      </c>
      <c r="AI5" s="4">
        <f>+AI3+AI4</f>
        <v>499016</v>
      </c>
      <c r="AJ5" s="4">
        <f>+AJ3+AJ4</f>
        <v>935950</v>
      </c>
      <c r="AK5" s="4">
        <f>+AK3+AK4</f>
        <v>1313851</v>
      </c>
      <c r="AL5" s="4">
        <f>+AK5*1.35</f>
        <v>1773698.85</v>
      </c>
      <c r="AM5" s="4">
        <f>AM10</f>
        <v>2403667.3050000002</v>
      </c>
      <c r="AN5" s="4">
        <f t="shared" ref="AN5:AQ5" si="1">AN10</f>
        <v>3124767.4965000004</v>
      </c>
      <c r="AO5" s="4">
        <f t="shared" si="1"/>
        <v>3905959.3706250004</v>
      </c>
      <c r="AP5" s="4">
        <f t="shared" si="1"/>
        <v>4687151.2447500005</v>
      </c>
      <c r="AQ5" s="4">
        <f t="shared" si="1"/>
        <v>5624581.4937000005</v>
      </c>
      <c r="AR5" s="4">
        <f t="shared" ref="AR5:AS5" si="2">AR10</f>
        <v>6468268.7177550001</v>
      </c>
      <c r="AS5" s="4">
        <f t="shared" si="2"/>
        <v>7115095.5895305006</v>
      </c>
    </row>
    <row r="6" spans="1:45" s="3" customFormat="1">
      <c r="A6" s="14"/>
      <c r="B6" s="14" t="s">
        <v>14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>
        <f>S5/S14*1000</f>
        <v>19985.045765115381</v>
      </c>
      <c r="T6" s="16">
        <f>T5/T14*1000</f>
        <v>18631.675201170445</v>
      </c>
      <c r="U6" s="16">
        <f>U5/U14*1000</f>
        <v>19332.583637897107</v>
      </c>
      <c r="V6" s="16">
        <f>V5/V14*1000</f>
        <v>19266.840979320179</v>
      </c>
      <c r="W6" s="16">
        <f>W5/W14*1000</f>
        <v>22400.413179362222</v>
      </c>
      <c r="X6" s="16"/>
      <c r="Y6" s="16"/>
      <c r="Z6" s="16"/>
      <c r="AA6" s="14"/>
      <c r="AB6" s="14"/>
      <c r="AC6" s="14"/>
      <c r="AD6" s="14"/>
      <c r="AE6" s="14"/>
      <c r="AF6" s="14"/>
      <c r="AG6" s="14"/>
      <c r="AH6" s="16">
        <f>AH14/AH5*1000000</f>
        <v>54268.120199316756</v>
      </c>
      <c r="AI6" s="16">
        <f>AI14/AI5*1000000</f>
        <v>51667.681998172404</v>
      </c>
      <c r="AJ6" s="16">
        <f>AJ14/AJ5*1000000</f>
        <v>47144.612425877451</v>
      </c>
      <c r="AK6" s="16">
        <f>AK14/AK5*1000000</f>
        <v>51759.293862089384</v>
      </c>
      <c r="AL6" s="16">
        <f>AL14/AL5*1000000</f>
        <v>52074.228948166703</v>
      </c>
      <c r="AM6" s="14">
        <f>AL6*1.1</f>
        <v>57281.651842983381</v>
      </c>
      <c r="AN6" s="14">
        <f>AM6*1.03</f>
        <v>59000.101398272884</v>
      </c>
      <c r="AO6" s="14">
        <f>AN6*1.03</f>
        <v>60770.104440221068</v>
      </c>
      <c r="AP6" s="14">
        <f>AO6*1.03</f>
        <v>62593.207573427702</v>
      </c>
      <c r="AQ6" s="14">
        <f>AP6*1.03</f>
        <v>64471.003800630533</v>
      </c>
      <c r="AR6" s="14">
        <f t="shared" ref="AR6:AS6" si="3">AQ6*1.03</f>
        <v>66405.133914649457</v>
      </c>
      <c r="AS6" s="14">
        <f t="shared" si="3"/>
        <v>68397.287932088948</v>
      </c>
    </row>
    <row r="7" spans="1:45" s="3" customFormat="1">
      <c r="A7" s="14"/>
      <c r="B7" s="14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</row>
    <row r="8" spans="1:45" s="3" customFormat="1">
      <c r="A8" s="14"/>
      <c r="B8" s="14" t="s">
        <v>15</v>
      </c>
      <c r="C8" s="16"/>
      <c r="D8" s="16"/>
      <c r="E8" s="16"/>
      <c r="F8" s="16"/>
      <c r="G8" s="16">
        <v>14163</v>
      </c>
      <c r="H8" s="16">
        <v>14517</v>
      </c>
      <c r="I8" s="16">
        <v>16318</v>
      </c>
      <c r="J8" s="16">
        <v>17933</v>
      </c>
      <c r="K8" s="16">
        <v>15390</v>
      </c>
      <c r="L8" s="16">
        <v>6326</v>
      </c>
      <c r="M8" s="16">
        <v>16992</v>
      </c>
      <c r="N8" s="16">
        <v>16097</v>
      </c>
      <c r="O8" s="16">
        <v>0</v>
      </c>
      <c r="P8" s="16">
        <v>2340</v>
      </c>
      <c r="Q8" s="16">
        <v>8941</v>
      </c>
      <c r="R8" s="16">
        <v>13109</v>
      </c>
      <c r="S8" s="16">
        <v>14218</v>
      </c>
      <c r="T8" s="16">
        <v>16411</v>
      </c>
      <c r="U8" s="16">
        <v>19935</v>
      </c>
      <c r="V8" s="16">
        <v>20613</v>
      </c>
      <c r="W8" s="16">
        <v>19437</v>
      </c>
      <c r="X8" s="16"/>
      <c r="Y8" s="16"/>
      <c r="Z8" s="16"/>
      <c r="AA8" s="14"/>
      <c r="AB8" s="14"/>
      <c r="AC8" s="14"/>
      <c r="AD8" s="14"/>
      <c r="AE8" s="14"/>
      <c r="AF8" s="14"/>
      <c r="AG8" s="14"/>
      <c r="AH8" s="14">
        <f>SUM(G8:J8)</f>
        <v>62931</v>
      </c>
      <c r="AI8" s="14">
        <f>SUM(K8:N8)</f>
        <v>54805</v>
      </c>
      <c r="AJ8" s="14">
        <f>SUM(O8:R8)</f>
        <v>24390</v>
      </c>
      <c r="AK8" s="14">
        <f>SUM(S8:V8)</f>
        <v>71177</v>
      </c>
      <c r="AL8" s="14"/>
      <c r="AM8" s="14"/>
      <c r="AN8" s="14"/>
      <c r="AO8" s="14"/>
      <c r="AP8" s="14"/>
      <c r="AQ8" s="14"/>
      <c r="AR8" s="14"/>
      <c r="AS8" s="14"/>
    </row>
    <row r="9" spans="1:45" s="3" customFormat="1">
      <c r="A9" s="14"/>
      <c r="B9" s="14" t="s">
        <v>16</v>
      </c>
      <c r="C9" s="16"/>
      <c r="D9" s="16"/>
      <c r="E9" s="16"/>
      <c r="F9" s="16"/>
      <c r="G9" s="16">
        <v>62975</v>
      </c>
      <c r="H9" s="16">
        <v>72531</v>
      </c>
      <c r="I9" s="16">
        <v>79837</v>
      </c>
      <c r="J9" s="16">
        <v>86958</v>
      </c>
      <c r="K9" s="16">
        <v>87282</v>
      </c>
      <c r="L9" s="16">
        <v>75946</v>
      </c>
      <c r="M9" s="16">
        <v>128044</v>
      </c>
      <c r="N9" s="16">
        <v>163660</v>
      </c>
      <c r="O9" s="16">
        <v>180338</v>
      </c>
      <c r="P9" s="16">
        <v>204081</v>
      </c>
      <c r="Q9" s="16">
        <v>228882</v>
      </c>
      <c r="R9" s="16">
        <v>292731</v>
      </c>
      <c r="S9" s="16">
        <v>291189</v>
      </c>
      <c r="T9" s="16">
        <v>242169</v>
      </c>
      <c r="U9" s="16">
        <v>345988</v>
      </c>
      <c r="V9" s="16">
        <v>419088</v>
      </c>
      <c r="W9" s="16">
        <v>421371</v>
      </c>
      <c r="X9" s="16"/>
      <c r="Y9" s="16"/>
      <c r="Z9" s="16"/>
      <c r="AA9" s="14"/>
      <c r="AB9" s="14"/>
      <c r="AC9" s="14"/>
      <c r="AD9" s="14"/>
      <c r="AE9" s="14"/>
      <c r="AF9" s="14"/>
      <c r="AG9" s="14"/>
      <c r="AH9" s="14">
        <f>SUM(G9:J9)</f>
        <v>302301</v>
      </c>
      <c r="AI9" s="14">
        <f>SUM(K9:N9)</f>
        <v>454932</v>
      </c>
      <c r="AJ9" s="14">
        <f>SUM(O9:R9)</f>
        <v>906032</v>
      </c>
      <c r="AK9" s="14">
        <f>SUM(S9:V9)</f>
        <v>1298434</v>
      </c>
      <c r="AL9" s="14"/>
      <c r="AM9" s="14"/>
      <c r="AN9" s="14"/>
      <c r="AO9" s="14"/>
      <c r="AP9" s="14"/>
      <c r="AQ9" s="14"/>
      <c r="AR9" s="14"/>
      <c r="AS9" s="14"/>
    </row>
    <row r="10" spans="1:45" s="4" customFormat="1">
      <c r="B10" s="4" t="s">
        <v>17</v>
      </c>
      <c r="C10" s="5"/>
      <c r="D10" s="5"/>
      <c r="E10" s="5"/>
      <c r="F10" s="5"/>
      <c r="G10" s="5">
        <f t="shared" ref="G10:R10" si="4">G9+G8</f>
        <v>77138</v>
      </c>
      <c r="H10" s="5">
        <f t="shared" si="4"/>
        <v>87048</v>
      </c>
      <c r="I10" s="5">
        <f t="shared" si="4"/>
        <v>96155</v>
      </c>
      <c r="J10" s="5">
        <f t="shared" si="4"/>
        <v>104891</v>
      </c>
      <c r="K10" s="5">
        <f t="shared" si="4"/>
        <v>102672</v>
      </c>
      <c r="L10" s="5">
        <f t="shared" si="4"/>
        <v>82272</v>
      </c>
      <c r="M10" s="5">
        <f t="shared" si="4"/>
        <v>145036</v>
      </c>
      <c r="N10" s="5">
        <f t="shared" si="4"/>
        <v>179757</v>
      </c>
      <c r="O10" s="5">
        <f t="shared" si="4"/>
        <v>180338</v>
      </c>
      <c r="P10" s="5">
        <f t="shared" si="4"/>
        <v>206421</v>
      </c>
      <c r="Q10" s="5">
        <f t="shared" si="4"/>
        <v>237823</v>
      </c>
      <c r="R10" s="5">
        <f t="shared" si="4"/>
        <v>305840</v>
      </c>
      <c r="S10" s="5">
        <f>S9+S8</f>
        <v>305407</v>
      </c>
      <c r="T10" s="5">
        <f>T9+T8</f>
        <v>258580</v>
      </c>
      <c r="U10" s="5">
        <f>+U8+U9</f>
        <v>365923</v>
      </c>
      <c r="V10" s="5">
        <f>+V8+V9</f>
        <v>439701</v>
      </c>
      <c r="W10" s="5">
        <f>+W8+W9</f>
        <v>440808</v>
      </c>
      <c r="X10" s="5"/>
      <c r="Y10" s="5"/>
      <c r="Z10" s="5"/>
      <c r="AH10" s="4">
        <f>+AH8+AH9</f>
        <v>365232</v>
      </c>
      <c r="AI10" s="4">
        <f>+AI8+AI9</f>
        <v>509737</v>
      </c>
      <c r="AJ10" s="4">
        <f>+AJ8+AJ9</f>
        <v>930422</v>
      </c>
      <c r="AK10" s="4">
        <f>+AK8+AK9</f>
        <v>1369611</v>
      </c>
      <c r="AL10" s="4">
        <f>+AK10*1.35</f>
        <v>1848974.85</v>
      </c>
      <c r="AM10" s="4">
        <f>AL10*1.3</f>
        <v>2403667.3050000002</v>
      </c>
      <c r="AN10" s="4">
        <f>AM10*1.3</f>
        <v>3124767.4965000004</v>
      </c>
      <c r="AO10" s="4">
        <f>AN10*1.25</f>
        <v>3905959.3706250004</v>
      </c>
      <c r="AP10" s="4">
        <f>AO10*1.2</f>
        <v>4687151.2447500005</v>
      </c>
      <c r="AQ10" s="4">
        <f>AP10*1.2</f>
        <v>5624581.4937000005</v>
      </c>
      <c r="AR10" s="4">
        <f>AQ10*1.15</f>
        <v>6468268.7177550001</v>
      </c>
      <c r="AS10" s="4">
        <f>AR10*1.1</f>
        <v>7115095.5895305006</v>
      </c>
    </row>
    <row r="11" spans="1:45" s="3" customFormat="1">
      <c r="A11" s="14"/>
      <c r="B11" s="14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7"/>
      <c r="AM11" s="14"/>
      <c r="AN11" s="14"/>
      <c r="AO11" s="14"/>
      <c r="AP11" s="14"/>
      <c r="AQ11" s="14"/>
      <c r="AR11" s="14"/>
      <c r="AS11" s="14"/>
    </row>
    <row r="12" spans="1:45">
      <c r="A12" s="13"/>
      <c r="B12" s="13"/>
      <c r="C12" s="12" t="s">
        <v>18</v>
      </c>
      <c r="D12" s="12" t="s">
        <v>19</v>
      </c>
      <c r="E12" s="12" t="s">
        <v>20</v>
      </c>
      <c r="F12" s="12" t="s">
        <v>21</v>
      </c>
      <c r="G12" s="12" t="s">
        <v>22</v>
      </c>
      <c r="H12" s="12" t="s">
        <v>23</v>
      </c>
      <c r="I12" s="12" t="s">
        <v>24</v>
      </c>
      <c r="J12" s="12" t="s">
        <v>25</v>
      </c>
      <c r="K12" s="12" t="s">
        <v>26</v>
      </c>
      <c r="L12" s="12" t="s">
        <v>27</v>
      </c>
      <c r="M12" s="12" t="s">
        <v>28</v>
      </c>
      <c r="N12" s="12" t="s">
        <v>29</v>
      </c>
      <c r="O12" s="12" t="s">
        <v>30</v>
      </c>
      <c r="P12" s="12" t="s">
        <v>31</v>
      </c>
      <c r="Q12" s="12" t="s">
        <v>32</v>
      </c>
      <c r="R12" s="12" t="s">
        <v>33</v>
      </c>
      <c r="S12" s="12" t="s">
        <v>34</v>
      </c>
      <c r="T12" s="12" t="s">
        <v>35</v>
      </c>
      <c r="U12" s="12" t="s">
        <v>2</v>
      </c>
      <c r="V12" s="12" t="s">
        <v>36</v>
      </c>
      <c r="W12" s="12" t="s">
        <v>37</v>
      </c>
      <c r="X12" s="12" t="s">
        <v>38</v>
      </c>
      <c r="Y12" s="12" t="s">
        <v>39</v>
      </c>
      <c r="Z12" s="12" t="s">
        <v>40</v>
      </c>
      <c r="AA12" s="13"/>
      <c r="AB12" s="13">
        <v>2013</v>
      </c>
      <c r="AC12" s="13">
        <v>2014</v>
      </c>
      <c r="AD12" s="13">
        <v>2015</v>
      </c>
      <c r="AE12" s="13">
        <v>2016</v>
      </c>
      <c r="AF12" s="13">
        <v>2017</v>
      </c>
      <c r="AG12" s="13">
        <v>2018</v>
      </c>
      <c r="AH12" s="13">
        <v>2019</v>
      </c>
      <c r="AI12" s="13">
        <v>2020</v>
      </c>
      <c r="AJ12" s="13">
        <f>+AI12+1</f>
        <v>2021</v>
      </c>
      <c r="AK12" s="13">
        <f t="shared" ref="AK12:AQ12" si="5">+AJ12+1</f>
        <v>2022</v>
      </c>
      <c r="AL12" s="13">
        <f t="shared" si="5"/>
        <v>2023</v>
      </c>
      <c r="AM12" s="13">
        <f t="shared" si="5"/>
        <v>2024</v>
      </c>
      <c r="AN12" s="13">
        <f t="shared" si="5"/>
        <v>2025</v>
      </c>
      <c r="AO12" s="13">
        <f t="shared" si="5"/>
        <v>2026</v>
      </c>
      <c r="AP12" s="13">
        <f t="shared" si="5"/>
        <v>2027</v>
      </c>
      <c r="AQ12" s="13">
        <f t="shared" si="5"/>
        <v>2028</v>
      </c>
      <c r="AR12" s="13">
        <f t="shared" ref="AR12" si="6">+AQ12+1</f>
        <v>2029</v>
      </c>
      <c r="AS12" s="13">
        <f t="shared" ref="AS12" si="7">+AR12+1</f>
        <v>2030</v>
      </c>
    </row>
    <row r="13" spans="1:45">
      <c r="A13" s="13"/>
      <c r="B13" s="13" t="s">
        <v>41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4">
        <f>15*AM5/1000*0.1</f>
        <v>3605.5009575000004</v>
      </c>
      <c r="AN13" s="14">
        <f>15*AN5/1000*0.2</f>
        <v>9374.3024895000017</v>
      </c>
      <c r="AO13" s="14">
        <f>15*AO5/1000*0.3</f>
        <v>17576.8171678125</v>
      </c>
      <c r="AP13" s="14">
        <f>15*AP5/1000*0.4</f>
        <v>28122.907468500009</v>
      </c>
      <c r="AQ13" s="14">
        <f>15*AQ5/1000*0.5</f>
        <v>42184.361202750006</v>
      </c>
      <c r="AR13" s="14">
        <f>15*AR5/1000*0.6</f>
        <v>58214.418459795001</v>
      </c>
      <c r="AS13" s="14">
        <f>15*AS5/1000*0.7</f>
        <v>74708.503690070254</v>
      </c>
    </row>
    <row r="14" spans="1:45" s="3" customFormat="1">
      <c r="A14" s="14"/>
      <c r="B14" s="14" t="s">
        <v>42</v>
      </c>
      <c r="C14" s="16"/>
      <c r="D14" s="16"/>
      <c r="E14" s="16"/>
      <c r="F14" s="16"/>
      <c r="G14" s="16">
        <v>3509</v>
      </c>
      <c r="H14" s="16">
        <v>5168</v>
      </c>
      <c r="I14" s="16">
        <v>5132</v>
      </c>
      <c r="J14" s="16">
        <v>6143</v>
      </c>
      <c r="K14" s="16">
        <v>4893</v>
      </c>
      <c r="L14" s="16">
        <v>4911</v>
      </c>
      <c r="M14" s="16">
        <v>7346</v>
      </c>
      <c r="N14" s="16">
        <f>9034-N15</f>
        <v>8633</v>
      </c>
      <c r="O14" s="16">
        <v>8187</v>
      </c>
      <c r="P14" s="16">
        <f>9874-354</f>
        <v>9520</v>
      </c>
      <c r="Q14" s="16">
        <f>11672-279</f>
        <v>11393</v>
      </c>
      <c r="R14" s="16">
        <f>15339-314</f>
        <v>15025</v>
      </c>
      <c r="S14" s="16">
        <v>15514</v>
      </c>
      <c r="T14" s="16">
        <v>13670</v>
      </c>
      <c r="U14" s="16">
        <v>17785</v>
      </c>
      <c r="V14" s="16">
        <f>+R14*1.4</f>
        <v>21035</v>
      </c>
      <c r="W14" s="16">
        <v>18878</v>
      </c>
      <c r="X14" s="16">
        <f t="shared" ref="X14:Z15" si="8">+T14*1.4</f>
        <v>19138</v>
      </c>
      <c r="Y14" s="16">
        <f t="shared" si="8"/>
        <v>24899</v>
      </c>
      <c r="Z14" s="16">
        <f t="shared" si="8"/>
        <v>29448.999999999996</v>
      </c>
      <c r="AA14" s="14"/>
      <c r="AB14" s="14"/>
      <c r="AC14" s="14"/>
      <c r="AD14" s="14"/>
      <c r="AE14" s="14"/>
      <c r="AF14" s="14"/>
      <c r="AG14" s="14"/>
      <c r="AH14" s="14">
        <f t="shared" ref="AH14:AH19" si="9">SUM(G14:J14)</f>
        <v>19952</v>
      </c>
      <c r="AI14" s="14">
        <f>SUM(K14:N14)</f>
        <v>25783</v>
      </c>
      <c r="AJ14" s="14">
        <f>SUM(O14:R14)</f>
        <v>44125</v>
      </c>
      <c r="AK14" s="14">
        <f>SUM(S14:V14)</f>
        <v>68004</v>
      </c>
      <c r="AL14" s="14">
        <f>SUM(W14:Z14)</f>
        <v>92364</v>
      </c>
      <c r="AM14" s="14">
        <f>AM6*AM10/1000000</f>
        <v>137686.03371137218</v>
      </c>
      <c r="AN14" s="14">
        <f t="shared" ref="AN14:AS14" si="10">AN6*AN10/1000000</f>
        <v>184361.59913952733</v>
      </c>
      <c r="AO14" s="14">
        <f t="shared" si="10"/>
        <v>237365.55889214142</v>
      </c>
      <c r="AP14" s="14">
        <f t="shared" si="10"/>
        <v>293383.83079068683</v>
      </c>
      <c r="AQ14" s="14">
        <f t="shared" si="10"/>
        <v>362622.41485728888</v>
      </c>
      <c r="AR14" s="14">
        <f t="shared" si="10"/>
        <v>429526.25039845874</v>
      </c>
      <c r="AS14" s="14">
        <f t="shared" si="10"/>
        <v>486653.24170145381</v>
      </c>
    </row>
    <row r="15" spans="1:45" s="3" customFormat="1">
      <c r="A15" s="14"/>
      <c r="B15" s="14" t="s">
        <v>43</v>
      </c>
      <c r="C15" s="16"/>
      <c r="D15" s="16"/>
      <c r="E15" s="16"/>
      <c r="F15" s="16"/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401</v>
      </c>
      <c r="O15" s="16">
        <v>518</v>
      </c>
      <c r="P15" s="16">
        <v>354</v>
      </c>
      <c r="Q15" s="16">
        <v>279</v>
      </c>
      <c r="R15" s="16">
        <v>314</v>
      </c>
      <c r="S15" s="16">
        <v>679</v>
      </c>
      <c r="T15" s="16">
        <v>344</v>
      </c>
      <c r="U15" s="16">
        <v>286</v>
      </c>
      <c r="V15" s="16">
        <f t="shared" ref="V15:V16" si="11">+R15*1.4</f>
        <v>439.59999999999997</v>
      </c>
      <c r="W15" s="16">
        <v>521</v>
      </c>
      <c r="X15" s="16">
        <f t="shared" si="8"/>
        <v>481.59999999999997</v>
      </c>
      <c r="Y15" s="16">
        <f t="shared" si="8"/>
        <v>400.4</v>
      </c>
      <c r="Z15" s="16">
        <f t="shared" si="8"/>
        <v>615.43999999999994</v>
      </c>
      <c r="AA15" s="14"/>
      <c r="AB15" s="14"/>
      <c r="AC15" s="14"/>
      <c r="AD15" s="14"/>
      <c r="AE15" s="14"/>
      <c r="AF15" s="14"/>
      <c r="AG15" s="14"/>
      <c r="AH15" s="14">
        <f t="shared" si="9"/>
        <v>0</v>
      </c>
      <c r="AI15" s="14">
        <f>SUM(K15:N15)</f>
        <v>401</v>
      </c>
      <c r="AJ15" s="14">
        <f t="shared" ref="AJ15:AJ19" si="12">SUM(O15:R15)</f>
        <v>1465</v>
      </c>
      <c r="AK15" s="14">
        <f t="shared" ref="AK15:AK30" si="13">SUM(S15:V15)</f>
        <v>1748.6</v>
      </c>
      <c r="AL15" s="14">
        <f t="shared" ref="AL15:AL35" si="14">SUM(W15:Z15)</f>
        <v>2018.44</v>
      </c>
      <c r="AM15" s="14"/>
      <c r="AN15" s="14"/>
      <c r="AO15" s="14"/>
      <c r="AP15" s="14"/>
      <c r="AQ15" s="14"/>
      <c r="AR15" s="14"/>
      <c r="AS15" s="14"/>
    </row>
    <row r="16" spans="1:45" s="3" customFormat="1">
      <c r="A16" s="14"/>
      <c r="B16" s="14" t="s">
        <v>44</v>
      </c>
      <c r="C16" s="16"/>
      <c r="D16" s="16"/>
      <c r="E16" s="16"/>
      <c r="F16" s="16"/>
      <c r="G16" s="16">
        <v>215</v>
      </c>
      <c r="H16" s="16">
        <v>208</v>
      </c>
      <c r="I16" s="16">
        <v>221</v>
      </c>
      <c r="J16" s="16">
        <v>225</v>
      </c>
      <c r="K16" s="16">
        <v>239</v>
      </c>
      <c r="L16" s="16">
        <v>268</v>
      </c>
      <c r="M16" s="16">
        <v>265</v>
      </c>
      <c r="N16" s="16">
        <v>280</v>
      </c>
      <c r="O16" s="16">
        <v>297</v>
      </c>
      <c r="P16" s="16">
        <v>332</v>
      </c>
      <c r="Q16" s="16">
        <v>385</v>
      </c>
      <c r="R16" s="16">
        <v>628</v>
      </c>
      <c r="S16" s="16">
        <v>668</v>
      </c>
      <c r="T16" s="16">
        <v>588</v>
      </c>
      <c r="U16" s="16">
        <v>621</v>
      </c>
      <c r="V16" s="16">
        <f t="shared" si="11"/>
        <v>879.19999999999993</v>
      </c>
      <c r="W16" s="16">
        <v>564</v>
      </c>
      <c r="X16" s="16">
        <f t="shared" ref="X16" si="15">+T16*1.4</f>
        <v>823.19999999999993</v>
      </c>
      <c r="Y16" s="16">
        <f t="shared" ref="Y16" si="16">+U16*1.4</f>
        <v>869.4</v>
      </c>
      <c r="Z16" s="16">
        <f t="shared" ref="Z16" si="17">+V16*1.4</f>
        <v>1230.8799999999999</v>
      </c>
      <c r="AA16" s="14"/>
      <c r="AB16" s="14"/>
      <c r="AC16" s="14"/>
      <c r="AD16" s="14"/>
      <c r="AE16" s="14"/>
      <c r="AF16" s="14"/>
      <c r="AG16" s="14"/>
      <c r="AH16" s="14">
        <f t="shared" si="9"/>
        <v>869</v>
      </c>
      <c r="AI16" s="14">
        <f>SUM(K16:N16)</f>
        <v>1052</v>
      </c>
      <c r="AJ16" s="14">
        <f t="shared" si="12"/>
        <v>1642</v>
      </c>
      <c r="AK16" s="14">
        <f t="shared" si="13"/>
        <v>2756.2</v>
      </c>
      <c r="AL16" s="14">
        <f t="shared" si="14"/>
        <v>3487.4799999999996</v>
      </c>
      <c r="AM16" s="14"/>
      <c r="AN16" s="14"/>
      <c r="AO16" s="14"/>
      <c r="AP16" s="14"/>
      <c r="AQ16" s="14"/>
      <c r="AR16" s="14"/>
      <c r="AS16" s="14"/>
    </row>
    <row r="17" spans="2:45" s="4" customFormat="1">
      <c r="B17" s="4" t="s">
        <v>45</v>
      </c>
      <c r="C17" s="5"/>
      <c r="D17" s="5"/>
      <c r="E17" s="5"/>
      <c r="F17" s="5"/>
      <c r="G17" s="5">
        <f t="shared" ref="G17:K17" si="18">SUM(G14:G16)</f>
        <v>3724</v>
      </c>
      <c r="H17" s="5">
        <f t="shared" si="18"/>
        <v>5376</v>
      </c>
      <c r="I17" s="5">
        <f t="shared" si="18"/>
        <v>5353</v>
      </c>
      <c r="J17" s="5">
        <f t="shared" si="18"/>
        <v>6368</v>
      </c>
      <c r="K17" s="5">
        <f t="shared" si="18"/>
        <v>5132</v>
      </c>
      <c r="L17" s="5">
        <f t="shared" ref="L17" si="19">SUM(L14:L16)</f>
        <v>5179</v>
      </c>
      <c r="M17" s="5">
        <f t="shared" ref="M17:R17" si="20">SUM(M14:M16)</f>
        <v>7611</v>
      </c>
      <c r="N17" s="5">
        <f t="shared" si="20"/>
        <v>9314</v>
      </c>
      <c r="O17" s="5">
        <f t="shared" si="20"/>
        <v>9002</v>
      </c>
      <c r="P17" s="5">
        <f t="shared" si="20"/>
        <v>10206</v>
      </c>
      <c r="Q17" s="5">
        <f t="shared" si="20"/>
        <v>12057</v>
      </c>
      <c r="R17" s="5">
        <f t="shared" si="20"/>
        <v>15967</v>
      </c>
      <c r="S17" s="5">
        <f>SUM(S14:S16)</f>
        <v>16861</v>
      </c>
      <c r="T17" s="5">
        <f>SUM(T14:T16)</f>
        <v>14602</v>
      </c>
      <c r="U17" s="5">
        <f>SUM(U14:U16)</f>
        <v>18692</v>
      </c>
      <c r="V17" s="5">
        <f t="shared" ref="V17:Z17" si="21">SUM(V14:V16)</f>
        <v>22353.8</v>
      </c>
      <c r="W17" s="5">
        <f t="shared" si="21"/>
        <v>19963</v>
      </c>
      <c r="X17" s="5">
        <f t="shared" si="21"/>
        <v>20442.8</v>
      </c>
      <c r="Y17" s="5">
        <f t="shared" si="21"/>
        <v>26168.800000000003</v>
      </c>
      <c r="Z17" s="5">
        <f t="shared" si="21"/>
        <v>31295.319999999996</v>
      </c>
      <c r="AH17" s="4">
        <f>SUM(AH14:AH16)</f>
        <v>20821</v>
      </c>
      <c r="AI17" s="4">
        <f>SUM(AI14:AI16)</f>
        <v>27236</v>
      </c>
      <c r="AJ17" s="4">
        <f>SUM(AJ14:AJ16)</f>
        <v>47232</v>
      </c>
      <c r="AK17" s="4">
        <f>SUM(AK14:AK16)</f>
        <v>72508.800000000003</v>
      </c>
      <c r="AL17" s="4">
        <f>SUM(AL14:AL16)</f>
        <v>97869.92</v>
      </c>
      <c r="AM17" s="4">
        <f>AM14+AM15+AM16</f>
        <v>137686.03371137218</v>
      </c>
      <c r="AN17" s="4">
        <f>AN14+AN15+AN16</f>
        <v>184361.59913952733</v>
      </c>
      <c r="AO17" s="4">
        <f>AO14+AO15+AO16</f>
        <v>237365.55889214142</v>
      </c>
      <c r="AP17" s="4">
        <f>AP14+AP15+AP16</f>
        <v>293383.83079068683</v>
      </c>
      <c r="AQ17" s="4">
        <f>AQ14+AQ15+AQ16</f>
        <v>362622.41485728888</v>
      </c>
      <c r="AR17" s="4">
        <f t="shared" ref="AR17:AS17" si="22">AR14+AR15+AR16</f>
        <v>429526.25039845874</v>
      </c>
      <c r="AS17" s="4">
        <f t="shared" si="22"/>
        <v>486653.24170145381</v>
      </c>
    </row>
    <row r="18" spans="2:45" s="3" customFormat="1">
      <c r="B18" s="14" t="s">
        <v>46</v>
      </c>
      <c r="C18" s="16"/>
      <c r="D18" s="16"/>
      <c r="E18" s="16"/>
      <c r="F18" s="16"/>
      <c r="G18" s="16">
        <v>324</v>
      </c>
      <c r="H18" s="16">
        <v>369</v>
      </c>
      <c r="I18" s="16">
        <v>402</v>
      </c>
      <c r="J18" s="16">
        <v>436</v>
      </c>
      <c r="K18" s="16">
        <v>293</v>
      </c>
      <c r="L18" s="16">
        <v>370</v>
      </c>
      <c r="M18" s="16">
        <v>579</v>
      </c>
      <c r="N18" s="16">
        <v>752</v>
      </c>
      <c r="O18" s="16">
        <v>494</v>
      </c>
      <c r="P18" s="16">
        <v>801</v>
      </c>
      <c r="Q18" s="16">
        <v>806</v>
      </c>
      <c r="R18" s="16">
        <v>688</v>
      </c>
      <c r="S18" s="16">
        <v>616</v>
      </c>
      <c r="T18" s="16">
        <v>866</v>
      </c>
      <c r="U18" s="16">
        <v>1117</v>
      </c>
      <c r="V18" s="16">
        <f t="shared" ref="V18:V19" si="23">+R18*1.4</f>
        <v>963.19999999999993</v>
      </c>
      <c r="W18" s="16">
        <v>1529</v>
      </c>
      <c r="X18" s="16">
        <f t="shared" ref="X18:X19" si="24">+T18*1.4</f>
        <v>1212.3999999999999</v>
      </c>
      <c r="Y18" s="16">
        <f t="shared" ref="Y18:Y19" si="25">+U18*1.4</f>
        <v>1563.8</v>
      </c>
      <c r="Z18" s="16">
        <f t="shared" ref="Z18:Z19" si="26">+V18*1.4</f>
        <v>1348.4799999999998</v>
      </c>
      <c r="AA18" s="14"/>
      <c r="AB18" s="14">
        <v>1921.877</v>
      </c>
      <c r="AC18" s="14">
        <v>3007.0120000000002</v>
      </c>
      <c r="AD18" s="14">
        <v>3740.973</v>
      </c>
      <c r="AE18" s="14"/>
      <c r="AF18" s="14"/>
      <c r="AG18" s="14"/>
      <c r="AH18" s="14">
        <f t="shared" si="9"/>
        <v>1531</v>
      </c>
      <c r="AI18" s="14">
        <f>SUM(K18:N18)</f>
        <v>1994</v>
      </c>
      <c r="AJ18" s="14">
        <f>SUM(O18:R18)</f>
        <v>2789</v>
      </c>
      <c r="AK18" s="14">
        <f t="shared" si="13"/>
        <v>3562.2</v>
      </c>
      <c r="AL18" s="14">
        <f t="shared" si="14"/>
        <v>5653.6799999999994</v>
      </c>
      <c r="AM18" s="14"/>
      <c r="AN18" s="14"/>
      <c r="AO18" s="14"/>
      <c r="AP18" s="14"/>
      <c r="AQ18" s="14"/>
      <c r="AR18" s="14"/>
      <c r="AS18" s="14"/>
    </row>
    <row r="19" spans="2:45" s="3" customFormat="1">
      <c r="B19" s="14" t="s">
        <v>47</v>
      </c>
      <c r="C19" s="16"/>
      <c r="D19" s="16"/>
      <c r="E19" s="16"/>
      <c r="F19" s="16"/>
      <c r="G19" s="16">
        <v>493</v>
      </c>
      <c r="H19" s="16">
        <v>605</v>
      </c>
      <c r="I19" s="16">
        <v>548</v>
      </c>
      <c r="J19" s="16">
        <v>580</v>
      </c>
      <c r="K19" s="16">
        <v>560</v>
      </c>
      <c r="L19" s="16">
        <v>487</v>
      </c>
      <c r="M19" s="16">
        <v>581</v>
      </c>
      <c r="N19" s="16">
        <v>678</v>
      </c>
      <c r="O19" s="16">
        <v>893</v>
      </c>
      <c r="P19" s="16">
        <v>951</v>
      </c>
      <c r="Q19" s="16">
        <v>894</v>
      </c>
      <c r="R19" s="16">
        <v>1064</v>
      </c>
      <c r="S19" s="16">
        <v>1279</v>
      </c>
      <c r="T19" s="16">
        <v>1466</v>
      </c>
      <c r="U19" s="16">
        <v>1645</v>
      </c>
      <c r="V19" s="16">
        <f t="shared" si="23"/>
        <v>1489.6</v>
      </c>
      <c r="W19" s="16">
        <v>1837</v>
      </c>
      <c r="X19" s="16">
        <f t="shared" si="24"/>
        <v>2052.4</v>
      </c>
      <c r="Y19" s="16">
        <f t="shared" si="25"/>
        <v>2303</v>
      </c>
      <c r="Z19" s="16">
        <f t="shared" si="26"/>
        <v>2085.4399999999996</v>
      </c>
      <c r="AA19" s="14"/>
      <c r="AB19" s="14">
        <v>91.619</v>
      </c>
      <c r="AC19" s="14">
        <v>191.34399999999999</v>
      </c>
      <c r="AD19" s="14">
        <v>305.05200000000002</v>
      </c>
      <c r="AE19" s="14"/>
      <c r="AF19" s="14"/>
      <c r="AG19" s="14"/>
      <c r="AH19" s="14">
        <f t="shared" si="9"/>
        <v>2226</v>
      </c>
      <c r="AI19" s="14">
        <f>SUM(K19:N19)</f>
        <v>2306</v>
      </c>
      <c r="AJ19" s="14">
        <f t="shared" si="12"/>
        <v>3802</v>
      </c>
      <c r="AK19" s="14">
        <f t="shared" si="13"/>
        <v>5879.6</v>
      </c>
      <c r="AL19" s="14">
        <f t="shared" si="14"/>
        <v>8277.84</v>
      </c>
      <c r="AM19" s="14"/>
      <c r="AN19" s="14"/>
      <c r="AO19" s="14"/>
      <c r="AP19" s="14"/>
      <c r="AQ19" s="14"/>
      <c r="AR19" s="14"/>
      <c r="AS19" s="14"/>
    </row>
    <row r="20" spans="2:45" s="4" customFormat="1">
      <c r="B20" s="4" t="s">
        <v>48</v>
      </c>
      <c r="C20" s="5"/>
      <c r="D20" s="5"/>
      <c r="E20" s="5"/>
      <c r="F20" s="5"/>
      <c r="G20" s="5">
        <f t="shared" ref="G20:K20" si="27">SUM(G17:G19)</f>
        <v>4541</v>
      </c>
      <c r="H20" s="5">
        <f t="shared" si="27"/>
        <v>6350</v>
      </c>
      <c r="I20" s="5">
        <f t="shared" si="27"/>
        <v>6303</v>
      </c>
      <c r="J20" s="5">
        <f t="shared" si="27"/>
        <v>7384</v>
      </c>
      <c r="K20" s="5">
        <f t="shared" si="27"/>
        <v>5985</v>
      </c>
      <c r="L20" s="5">
        <f t="shared" ref="L20" si="28">SUM(L17:L19)</f>
        <v>6036</v>
      </c>
      <c r="M20" s="5">
        <f t="shared" ref="M20:R20" si="29">SUM(M17:M19)</f>
        <v>8771</v>
      </c>
      <c r="N20" s="5">
        <f t="shared" si="29"/>
        <v>10744</v>
      </c>
      <c r="O20" s="5">
        <f t="shared" si="29"/>
        <v>10389</v>
      </c>
      <c r="P20" s="5">
        <f t="shared" si="29"/>
        <v>11958</v>
      </c>
      <c r="Q20" s="5">
        <f t="shared" si="29"/>
        <v>13757</v>
      </c>
      <c r="R20" s="5">
        <f t="shared" si="29"/>
        <v>17719</v>
      </c>
      <c r="S20" s="5">
        <f>SUM(S17:S19)</f>
        <v>18756</v>
      </c>
      <c r="T20" s="5">
        <f>SUM(T17:T19)</f>
        <v>16934</v>
      </c>
      <c r="U20" s="5">
        <f>SUM(U17:U19)</f>
        <v>21454</v>
      </c>
      <c r="V20" s="5">
        <f t="shared" ref="V20:Z20" si="30">SUM(V17:V19)</f>
        <v>24806.6</v>
      </c>
      <c r="W20" s="5">
        <f t="shared" si="30"/>
        <v>23329</v>
      </c>
      <c r="X20" s="5">
        <f t="shared" si="30"/>
        <v>23707.600000000002</v>
      </c>
      <c r="Y20" s="5">
        <f t="shared" si="30"/>
        <v>30035.600000000002</v>
      </c>
      <c r="Z20" s="5">
        <f t="shared" si="30"/>
        <v>34729.24</v>
      </c>
      <c r="AB20" s="4">
        <f>AB18+AB19</f>
        <v>2013.4959999999999</v>
      </c>
      <c r="AC20" s="4">
        <f>AC18+AC19</f>
        <v>3198.3560000000002</v>
      </c>
      <c r="AD20" s="4">
        <f>AD18+AD19</f>
        <v>4046.0250000000001</v>
      </c>
      <c r="AE20" s="4">
        <v>7000.1319999999996</v>
      </c>
      <c r="AF20" s="4">
        <v>11758.751</v>
      </c>
      <c r="AG20" s="4">
        <v>21461.268</v>
      </c>
      <c r="AH20" s="4">
        <f t="shared" ref="AH20:AQ20" si="31">SUM(AH17:AH19)</f>
        <v>24578</v>
      </c>
      <c r="AI20" s="4">
        <f t="shared" si="31"/>
        <v>31536</v>
      </c>
      <c r="AJ20" s="4">
        <f t="shared" si="31"/>
        <v>53823</v>
      </c>
      <c r="AK20" s="4">
        <f t="shared" si="31"/>
        <v>81950.600000000006</v>
      </c>
      <c r="AL20" s="4">
        <f t="shared" si="31"/>
        <v>111801.43999999999</v>
      </c>
      <c r="AM20" s="4">
        <f t="shared" si="31"/>
        <v>137686.03371137218</v>
      </c>
      <c r="AN20" s="4">
        <f t="shared" si="31"/>
        <v>184361.59913952733</v>
      </c>
      <c r="AO20" s="4">
        <f t="shared" si="31"/>
        <v>237365.55889214142</v>
      </c>
      <c r="AP20" s="4">
        <f t="shared" si="31"/>
        <v>293383.83079068683</v>
      </c>
      <c r="AQ20" s="4">
        <f t="shared" si="31"/>
        <v>362622.41485728888</v>
      </c>
      <c r="AR20" s="4">
        <f t="shared" ref="AR20:AS20" si="32">SUM(AR17:AR19)</f>
        <v>429526.25039845874</v>
      </c>
      <c r="AS20" s="4">
        <f t="shared" si="32"/>
        <v>486653.24170145381</v>
      </c>
    </row>
    <row r="21" spans="2:45" s="3" customFormat="1">
      <c r="B21" s="14" t="s">
        <v>49</v>
      </c>
      <c r="C21" s="16"/>
      <c r="D21" s="16"/>
      <c r="E21" s="16"/>
      <c r="F21" s="16"/>
      <c r="G21" s="16">
        <v>2856</v>
      </c>
      <c r="H21" s="16">
        <v>4254</v>
      </c>
      <c r="I21" s="16">
        <v>4014</v>
      </c>
      <c r="J21" s="16">
        <v>4815</v>
      </c>
      <c r="K21" s="16">
        <v>3699</v>
      </c>
      <c r="L21" s="16">
        <v>3714</v>
      </c>
      <c r="M21" s="16">
        <v>5361</v>
      </c>
      <c r="N21" s="16">
        <v>6922</v>
      </c>
      <c r="O21" s="16">
        <v>6457</v>
      </c>
      <c r="P21" s="16">
        <v>7119</v>
      </c>
      <c r="Q21" s="16">
        <v>8150</v>
      </c>
      <c r="R21" s="16">
        <v>10689</v>
      </c>
      <c r="S21" s="16">
        <v>10914</v>
      </c>
      <c r="T21" s="16">
        <v>10153</v>
      </c>
      <c r="U21" s="16">
        <v>13099</v>
      </c>
      <c r="V21" s="16">
        <v>15433</v>
      </c>
      <c r="W21" s="16">
        <v>15422</v>
      </c>
      <c r="X21" s="16">
        <f t="shared" ref="X21:Z21" si="33">+X14*0.75</f>
        <v>14353.5</v>
      </c>
      <c r="Y21" s="16">
        <f t="shared" si="33"/>
        <v>18674.25</v>
      </c>
      <c r="Z21" s="16">
        <f t="shared" si="33"/>
        <v>22086.749999999996</v>
      </c>
      <c r="AA21" s="14"/>
      <c r="AB21" s="14">
        <v>1483.3209999999999</v>
      </c>
      <c r="AC21" s="14"/>
      <c r="AD21" s="14"/>
      <c r="AE21" s="14"/>
      <c r="AF21" s="14"/>
      <c r="AG21" s="14"/>
      <c r="AH21" s="14"/>
      <c r="AI21" s="14"/>
      <c r="AJ21" s="14"/>
      <c r="AK21" s="14">
        <f t="shared" si="13"/>
        <v>49599</v>
      </c>
      <c r="AL21" s="14">
        <f t="shared" si="14"/>
        <v>70536.5</v>
      </c>
      <c r="AM21" s="14">
        <f>AM20*0.81</f>
        <v>111525.68730621148</v>
      </c>
      <c r="AN21" s="14">
        <f>AN20*0.8</f>
        <v>147489.27931162188</v>
      </c>
      <c r="AO21" s="14">
        <f>AO20*0.8</f>
        <v>189892.44711371313</v>
      </c>
      <c r="AP21" s="14">
        <f>AP20*0.8</f>
        <v>234707.06463254947</v>
      </c>
      <c r="AQ21" s="14">
        <f>AQ20*0.8</f>
        <v>290097.93188583112</v>
      </c>
      <c r="AR21" s="14">
        <f t="shared" ref="AR21:AS21" si="34">AR20*0.8</f>
        <v>343621.00031876704</v>
      </c>
      <c r="AS21" s="14">
        <f t="shared" si="34"/>
        <v>389322.59336116305</v>
      </c>
    </row>
    <row r="22" spans="2:45" s="3" customFormat="1">
      <c r="B22" s="14" t="s">
        <v>50</v>
      </c>
      <c r="C22" s="16"/>
      <c r="D22" s="16"/>
      <c r="E22" s="16"/>
      <c r="F22" s="16"/>
      <c r="G22" s="16">
        <f t="shared" ref="G22:N22" si="35">G14-G21</f>
        <v>653</v>
      </c>
      <c r="H22" s="16">
        <f t="shared" si="35"/>
        <v>914</v>
      </c>
      <c r="I22" s="16">
        <f t="shared" si="35"/>
        <v>1118</v>
      </c>
      <c r="J22" s="16">
        <f t="shared" si="35"/>
        <v>1328</v>
      </c>
      <c r="K22" s="16">
        <f t="shared" si="35"/>
        <v>1194</v>
      </c>
      <c r="L22" s="16">
        <f t="shared" si="35"/>
        <v>1197</v>
      </c>
      <c r="M22" s="16">
        <f t="shared" si="35"/>
        <v>1985</v>
      </c>
      <c r="N22" s="16">
        <f t="shared" si="35"/>
        <v>1711</v>
      </c>
      <c r="O22" s="16">
        <f t="shared" ref="O22:R22" si="36">O14-O21</f>
        <v>1730</v>
      </c>
      <c r="P22" s="16">
        <f t="shared" si="36"/>
        <v>2401</v>
      </c>
      <c r="Q22" s="16">
        <f t="shared" si="36"/>
        <v>3243</v>
      </c>
      <c r="R22" s="16">
        <f t="shared" si="36"/>
        <v>4336</v>
      </c>
      <c r="S22" s="16">
        <f>S14-S21</f>
        <v>4600</v>
      </c>
      <c r="T22" s="16">
        <f>T14-T21</f>
        <v>3517</v>
      </c>
      <c r="U22" s="16">
        <f>U14-U21</f>
        <v>4686</v>
      </c>
      <c r="V22" s="16">
        <f t="shared" ref="V22:Z22" si="37">V14-V21</f>
        <v>5602</v>
      </c>
      <c r="W22" s="16">
        <f>W14-W21</f>
        <v>3456</v>
      </c>
      <c r="X22" s="16">
        <f t="shared" si="37"/>
        <v>4784.5</v>
      </c>
      <c r="Y22" s="16">
        <f t="shared" si="37"/>
        <v>6224.75</v>
      </c>
      <c r="Z22" s="16">
        <f t="shared" si="37"/>
        <v>7362.25</v>
      </c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>
        <f t="shared" si="13"/>
        <v>18405</v>
      </c>
      <c r="AL22" s="14">
        <f t="shared" si="14"/>
        <v>21827.5</v>
      </c>
      <c r="AM22" s="14"/>
      <c r="AN22" s="14"/>
      <c r="AO22" s="14"/>
      <c r="AP22" s="14"/>
      <c r="AQ22" s="14"/>
      <c r="AR22" s="14"/>
      <c r="AS22" s="14"/>
    </row>
    <row r="23" spans="2:45" s="3" customFormat="1">
      <c r="B23" s="14" t="s">
        <v>51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>
        <f>AM13*0.2</f>
        <v>721.10019150000016</v>
      </c>
      <c r="AN23" s="14">
        <f t="shared" ref="AN23:AS23" si="38">AN13*0.2</f>
        <v>1874.8604979000004</v>
      </c>
      <c r="AO23" s="14">
        <f t="shared" si="38"/>
        <v>3515.3634335625002</v>
      </c>
      <c r="AP23" s="14">
        <f t="shared" si="38"/>
        <v>5624.5814937000023</v>
      </c>
      <c r="AQ23" s="14">
        <f t="shared" si="38"/>
        <v>8436.8722405500012</v>
      </c>
      <c r="AR23" s="14">
        <f t="shared" si="38"/>
        <v>11642.883691959001</v>
      </c>
      <c r="AS23" s="14">
        <f t="shared" si="38"/>
        <v>14941.700738014051</v>
      </c>
    </row>
    <row r="24" spans="2:45" s="3" customFormat="1">
      <c r="B24" s="14" t="s">
        <v>52</v>
      </c>
      <c r="C24" s="16"/>
      <c r="D24" s="16"/>
      <c r="E24" s="16"/>
      <c r="F24" s="16"/>
      <c r="G24" s="16">
        <v>117</v>
      </c>
      <c r="H24" s="16">
        <v>106</v>
      </c>
      <c r="I24" s="16">
        <v>117</v>
      </c>
      <c r="J24" s="16">
        <v>119</v>
      </c>
      <c r="K24" s="16">
        <v>122</v>
      </c>
      <c r="L24" s="16">
        <v>148</v>
      </c>
      <c r="M24" s="16">
        <v>145</v>
      </c>
      <c r="N24" s="16">
        <v>148</v>
      </c>
      <c r="O24" s="16">
        <v>160</v>
      </c>
      <c r="P24" s="16">
        <v>188</v>
      </c>
      <c r="Q24" s="16">
        <v>234</v>
      </c>
      <c r="R24" s="16">
        <v>396</v>
      </c>
      <c r="S24" s="16">
        <v>408</v>
      </c>
      <c r="T24" s="16">
        <v>369</v>
      </c>
      <c r="U24" s="16">
        <v>381</v>
      </c>
      <c r="V24" s="16">
        <v>352</v>
      </c>
      <c r="W24" s="16">
        <v>333</v>
      </c>
      <c r="X24" s="16">
        <f t="shared" ref="X24:Z24" si="39">+T24*1.4</f>
        <v>516.6</v>
      </c>
      <c r="Y24" s="16">
        <f t="shared" si="39"/>
        <v>533.4</v>
      </c>
      <c r="Z24" s="16">
        <f t="shared" si="39"/>
        <v>492.79999999999995</v>
      </c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>
        <f t="shared" si="13"/>
        <v>1510</v>
      </c>
      <c r="AL24" s="14">
        <f t="shared" si="14"/>
        <v>1875.8</v>
      </c>
      <c r="AM24" s="14"/>
      <c r="AN24" s="14"/>
      <c r="AO24" s="14"/>
      <c r="AP24" s="14"/>
      <c r="AQ24" s="14"/>
      <c r="AR24" s="14"/>
      <c r="AS24" s="14"/>
    </row>
    <row r="25" spans="2:45" s="3" customFormat="1">
      <c r="B25" s="14" t="s">
        <v>53</v>
      </c>
      <c r="C25" s="16"/>
      <c r="D25" s="16"/>
      <c r="E25" s="16"/>
      <c r="F25" s="16"/>
      <c r="G25" s="16">
        <f t="shared" ref="G25:K25" si="40">G17-G24-G21</f>
        <v>751</v>
      </c>
      <c r="H25" s="16">
        <f t="shared" si="40"/>
        <v>1016</v>
      </c>
      <c r="I25" s="16">
        <f t="shared" si="40"/>
        <v>1222</v>
      </c>
      <c r="J25" s="16">
        <f t="shared" si="40"/>
        <v>1434</v>
      </c>
      <c r="K25" s="16">
        <f t="shared" si="40"/>
        <v>1311</v>
      </c>
      <c r="L25" s="16">
        <f t="shared" ref="L25" si="41">L17-L24-L21</f>
        <v>1317</v>
      </c>
      <c r="M25" s="16">
        <f t="shared" ref="M25:N25" si="42">M17-M24-M21</f>
        <v>2105</v>
      </c>
      <c r="N25" s="16">
        <f t="shared" si="42"/>
        <v>2244</v>
      </c>
      <c r="O25" s="16">
        <f>O17-O24-O21</f>
        <v>2385</v>
      </c>
      <c r="P25" s="16">
        <f t="shared" ref="P25:S25" si="43">P17-P24-P21</f>
        <v>2899</v>
      </c>
      <c r="Q25" s="16">
        <f t="shared" si="43"/>
        <v>3673</v>
      </c>
      <c r="R25" s="16">
        <f t="shared" si="43"/>
        <v>4882</v>
      </c>
      <c r="S25" s="16">
        <f t="shared" si="43"/>
        <v>5539</v>
      </c>
      <c r="T25" s="16">
        <f>T17-T24-T21</f>
        <v>4080</v>
      </c>
      <c r="U25" s="16">
        <f>U17-U24-U21</f>
        <v>5212</v>
      </c>
      <c r="V25" s="16">
        <f t="shared" ref="V25:Z25" si="44">V17-V24-V21</f>
        <v>6568.7999999999993</v>
      </c>
      <c r="W25" s="16">
        <f>W17-W24-W21</f>
        <v>4208</v>
      </c>
      <c r="X25" s="16">
        <f t="shared" si="44"/>
        <v>5572.7000000000007</v>
      </c>
      <c r="Y25" s="16">
        <f t="shared" si="44"/>
        <v>6961.1500000000015</v>
      </c>
      <c r="Z25" s="16">
        <f t="shared" si="44"/>
        <v>8715.77</v>
      </c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>
        <f t="shared" si="13"/>
        <v>21399.8</v>
      </c>
      <c r="AL25" s="14">
        <f>SUM(W25:Z25)</f>
        <v>25457.620000000003</v>
      </c>
      <c r="AM25" s="14">
        <f t="shared" ref="AM25:AS25" si="45">AM20-AM21</f>
        <v>26160.346405160701</v>
      </c>
      <c r="AN25" s="14">
        <f t="shared" si="45"/>
        <v>36872.319827905449</v>
      </c>
      <c r="AO25" s="14">
        <f t="shared" si="45"/>
        <v>47473.111778428283</v>
      </c>
      <c r="AP25" s="14">
        <f t="shared" si="45"/>
        <v>58676.766158137354</v>
      </c>
      <c r="AQ25" s="14">
        <f t="shared" si="45"/>
        <v>72524.482971457765</v>
      </c>
      <c r="AR25" s="14">
        <f t="shared" si="45"/>
        <v>85905.250079691701</v>
      </c>
      <c r="AS25" s="14">
        <f t="shared" si="45"/>
        <v>97330.648340290762</v>
      </c>
    </row>
    <row r="26" spans="2:45" s="3" customFormat="1">
      <c r="B26" s="14" t="s">
        <v>54</v>
      </c>
      <c r="C26" s="16"/>
      <c r="D26" s="16"/>
      <c r="E26" s="16"/>
      <c r="F26" s="16"/>
      <c r="G26" s="16">
        <v>316</v>
      </c>
      <c r="H26" s="16">
        <v>326</v>
      </c>
      <c r="I26" s="16">
        <v>314</v>
      </c>
      <c r="J26" s="16">
        <v>385</v>
      </c>
      <c r="K26" s="16">
        <v>282</v>
      </c>
      <c r="L26" s="16">
        <v>349</v>
      </c>
      <c r="M26" s="16">
        <v>558</v>
      </c>
      <c r="N26" s="16">
        <v>787</v>
      </c>
      <c r="O26" s="16">
        <v>595</v>
      </c>
      <c r="P26" s="16">
        <v>781</v>
      </c>
      <c r="Q26" s="16">
        <v>803</v>
      </c>
      <c r="R26" s="16">
        <v>739</v>
      </c>
      <c r="S26" s="16">
        <v>688</v>
      </c>
      <c r="T26" s="16">
        <v>769</v>
      </c>
      <c r="U26" s="16">
        <v>1013</v>
      </c>
      <c r="V26" s="16">
        <v>1151</v>
      </c>
      <c r="W26" s="16">
        <v>1361</v>
      </c>
      <c r="X26" s="16">
        <f t="shared" ref="X26:X27" si="46">+T26*1.4</f>
        <v>1076.5999999999999</v>
      </c>
      <c r="Y26" s="16">
        <f t="shared" ref="Y26:Y27" si="47">+U26*1.4</f>
        <v>1418.1999999999998</v>
      </c>
      <c r="Z26" s="16">
        <f t="shared" ref="Z26:Z27" si="48">+V26*1.4</f>
        <v>1611.3999999999999</v>
      </c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>
        <f t="shared" si="13"/>
        <v>3621</v>
      </c>
      <c r="AL26" s="14">
        <f t="shared" si="14"/>
        <v>5467.2</v>
      </c>
      <c r="AM26" s="14"/>
      <c r="AN26" s="14"/>
      <c r="AO26" s="14"/>
      <c r="AP26" s="14"/>
      <c r="AQ26" s="14"/>
      <c r="AR26" s="14"/>
      <c r="AS26" s="14"/>
    </row>
    <row r="27" spans="2:45" s="3" customFormat="1">
      <c r="B27" s="14" t="s">
        <v>55</v>
      </c>
      <c r="C27" s="16"/>
      <c r="D27" s="16"/>
      <c r="E27" s="16"/>
      <c r="F27" s="16"/>
      <c r="G27" s="16">
        <v>686</v>
      </c>
      <c r="H27" s="16">
        <v>743</v>
      </c>
      <c r="I27" s="16">
        <v>667</v>
      </c>
      <c r="J27" s="16">
        <v>674</v>
      </c>
      <c r="K27" s="16">
        <v>648</v>
      </c>
      <c r="L27" s="16">
        <v>558</v>
      </c>
      <c r="M27" s="16">
        <v>644</v>
      </c>
      <c r="N27" s="16">
        <v>821</v>
      </c>
      <c r="O27" s="16">
        <v>962</v>
      </c>
      <c r="P27" s="16">
        <v>986</v>
      </c>
      <c r="Q27" s="16">
        <v>910</v>
      </c>
      <c r="R27" s="16">
        <v>1048</v>
      </c>
      <c r="S27" s="16">
        <v>1286</v>
      </c>
      <c r="T27" s="16">
        <v>1410</v>
      </c>
      <c r="U27" s="16">
        <v>1579</v>
      </c>
      <c r="V27" s="16">
        <v>1605</v>
      </c>
      <c r="W27" s="16">
        <v>1702</v>
      </c>
      <c r="X27" s="16">
        <f t="shared" si="46"/>
        <v>1973.9999999999998</v>
      </c>
      <c r="Y27" s="16">
        <f t="shared" si="47"/>
        <v>2210.6</v>
      </c>
      <c r="Z27" s="16">
        <f t="shared" si="48"/>
        <v>2247</v>
      </c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>
        <f t="shared" si="13"/>
        <v>5880</v>
      </c>
      <c r="AL27" s="14">
        <f t="shared" si="14"/>
        <v>8133.6</v>
      </c>
      <c r="AM27" s="14"/>
      <c r="AN27" s="14"/>
      <c r="AO27" s="14"/>
      <c r="AP27" s="14"/>
      <c r="AQ27" s="14"/>
      <c r="AR27" s="14"/>
      <c r="AS27" s="14"/>
    </row>
    <row r="28" spans="2:45" s="3" customFormat="1">
      <c r="B28" s="14" t="s">
        <v>56</v>
      </c>
      <c r="C28" s="16"/>
      <c r="D28" s="16"/>
      <c r="E28" s="16"/>
      <c r="F28" s="16"/>
      <c r="G28" s="16">
        <f t="shared" ref="G28:K28" si="49">G25+G18+G19-G26-G27</f>
        <v>566</v>
      </c>
      <c r="H28" s="16">
        <f t="shared" si="49"/>
        <v>921</v>
      </c>
      <c r="I28" s="16">
        <f t="shared" si="49"/>
        <v>1191</v>
      </c>
      <c r="J28" s="16">
        <f t="shared" si="49"/>
        <v>1391</v>
      </c>
      <c r="K28" s="16">
        <f t="shared" si="49"/>
        <v>1234</v>
      </c>
      <c r="L28" s="16">
        <f t="shared" ref="L28" si="50">L25+L18+L19-L26-L27</f>
        <v>1267</v>
      </c>
      <c r="M28" s="16">
        <f t="shared" ref="M28:T28" si="51">M25+M18+M19-M26-M27</f>
        <v>2063</v>
      </c>
      <c r="N28" s="16">
        <f t="shared" si="51"/>
        <v>2066</v>
      </c>
      <c r="O28" s="16">
        <f t="shared" si="51"/>
        <v>2215</v>
      </c>
      <c r="P28" s="16">
        <f t="shared" si="51"/>
        <v>2884</v>
      </c>
      <c r="Q28" s="16">
        <f t="shared" si="51"/>
        <v>3660</v>
      </c>
      <c r="R28" s="16">
        <f t="shared" si="51"/>
        <v>4847</v>
      </c>
      <c r="S28" s="16">
        <f t="shared" si="51"/>
        <v>5460</v>
      </c>
      <c r="T28" s="16">
        <f t="shared" si="51"/>
        <v>4233</v>
      </c>
      <c r="U28" s="16">
        <f>U25+U18+U19-U26-U27</f>
        <v>5382</v>
      </c>
      <c r="V28" s="16">
        <f>V25+V18+V19-V26-V27</f>
        <v>6265.5999999999985</v>
      </c>
      <c r="W28" s="16">
        <f>W25+W18+W19-W26-W27</f>
        <v>4511</v>
      </c>
      <c r="X28" s="16">
        <f t="shared" ref="X28:Z28" si="52">+X20*0.25</f>
        <v>5926.9000000000005</v>
      </c>
      <c r="Y28" s="16">
        <f t="shared" si="52"/>
        <v>7508.9000000000005</v>
      </c>
      <c r="Z28" s="16">
        <f t="shared" si="52"/>
        <v>8682.31</v>
      </c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6">
        <f t="shared" ref="AK28" si="53">+AK20*0.25</f>
        <v>20487.650000000001</v>
      </c>
      <c r="AL28" s="14">
        <f t="shared" si="14"/>
        <v>26629.11</v>
      </c>
      <c r="AM28" s="14">
        <f>AM25+AM13-AM23</f>
        <v>29044.7471711607</v>
      </c>
      <c r="AN28" s="14">
        <f t="shared" ref="AN28:AS28" si="54">AN25+AN13-AN23</f>
        <v>44371.761819505446</v>
      </c>
      <c r="AO28" s="14">
        <f t="shared" si="54"/>
        <v>61534.56551267828</v>
      </c>
      <c r="AP28" s="14">
        <f t="shared" si="54"/>
        <v>81175.092132937367</v>
      </c>
      <c r="AQ28" s="14">
        <f t="shared" si="54"/>
        <v>106271.97193365777</v>
      </c>
      <c r="AR28" s="14">
        <f t="shared" si="54"/>
        <v>132476.78484752771</v>
      </c>
      <c r="AS28" s="14">
        <f t="shared" si="54"/>
        <v>157097.45129234696</v>
      </c>
    </row>
    <row r="29" spans="2:45" s="3" customFormat="1">
      <c r="B29" s="14" t="s">
        <v>57</v>
      </c>
      <c r="C29" s="16"/>
      <c r="D29" s="16"/>
      <c r="E29" s="16"/>
      <c r="F29" s="16"/>
      <c r="G29" s="16">
        <v>340</v>
      </c>
      <c r="H29" s="16">
        <v>324</v>
      </c>
      <c r="I29" s="16">
        <v>334</v>
      </c>
      <c r="J29" s="16">
        <v>345</v>
      </c>
      <c r="K29" s="16">
        <v>324</v>
      </c>
      <c r="L29" s="16">
        <v>279</v>
      </c>
      <c r="M29" s="16">
        <v>366</v>
      </c>
      <c r="N29" s="16">
        <v>522</v>
      </c>
      <c r="O29" s="16">
        <v>666</v>
      </c>
      <c r="P29" s="16">
        <v>576</v>
      </c>
      <c r="Q29" s="16">
        <v>611</v>
      </c>
      <c r="R29" s="16">
        <v>740</v>
      </c>
      <c r="S29" s="16">
        <v>865</v>
      </c>
      <c r="T29" s="16">
        <v>667</v>
      </c>
      <c r="U29" s="16">
        <v>733</v>
      </c>
      <c r="V29" s="16">
        <v>810</v>
      </c>
      <c r="W29" s="16">
        <v>771</v>
      </c>
      <c r="X29" s="16">
        <f t="shared" ref="X29" si="55">+T29*1.3</f>
        <v>867.1</v>
      </c>
      <c r="Y29" s="16">
        <f t="shared" ref="Y29" si="56">+U29*1.3</f>
        <v>952.9</v>
      </c>
      <c r="Z29" s="16">
        <f t="shared" ref="Z29" si="57">+V29*1.3</f>
        <v>1053</v>
      </c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>
        <f t="shared" si="13"/>
        <v>3075</v>
      </c>
      <c r="AL29" s="14">
        <f>SUM(W29:Z29)</f>
        <v>3644</v>
      </c>
      <c r="AM29" s="14">
        <f t="shared" ref="AM29:AQ29" si="58">AL29*1.02</f>
        <v>3716.88</v>
      </c>
      <c r="AN29" s="14">
        <f t="shared" si="58"/>
        <v>3791.2176000000004</v>
      </c>
      <c r="AO29" s="14">
        <f t="shared" si="58"/>
        <v>3867.0419520000005</v>
      </c>
      <c r="AP29" s="14">
        <f t="shared" si="58"/>
        <v>3944.3827910400005</v>
      </c>
      <c r="AQ29" s="14">
        <f t="shared" si="58"/>
        <v>4023.2704468608003</v>
      </c>
      <c r="AR29" s="14">
        <f t="shared" ref="AR29:AS29" si="59">AQ29*1.02</f>
        <v>4103.735855798016</v>
      </c>
      <c r="AS29" s="14">
        <f t="shared" si="59"/>
        <v>4185.8105729139761</v>
      </c>
    </row>
    <row r="30" spans="2:45" s="3" customFormat="1">
      <c r="B30" s="14" t="s">
        <v>58</v>
      </c>
      <c r="C30" s="16"/>
      <c r="D30" s="16"/>
      <c r="E30" s="16"/>
      <c r="F30" s="16"/>
      <c r="G30" s="16">
        <v>704</v>
      </c>
      <c r="H30" s="16">
        <v>647</v>
      </c>
      <c r="I30" s="16">
        <v>596</v>
      </c>
      <c r="J30" s="16">
        <v>699</v>
      </c>
      <c r="K30" s="16">
        <v>627</v>
      </c>
      <c r="L30" s="16">
        <v>661</v>
      </c>
      <c r="M30" s="16">
        <v>888</v>
      </c>
      <c r="N30" s="16">
        <v>969</v>
      </c>
      <c r="O30" s="16">
        <v>1056</v>
      </c>
      <c r="P30" s="16">
        <v>973</v>
      </c>
      <c r="Q30" s="16">
        <v>994</v>
      </c>
      <c r="R30" s="16">
        <v>1494</v>
      </c>
      <c r="S30" s="16">
        <v>992</v>
      </c>
      <c r="T30" s="16">
        <v>961</v>
      </c>
      <c r="U30" s="16">
        <v>961</v>
      </c>
      <c r="V30" s="16">
        <f>+R30*1.2</f>
        <v>1792.8</v>
      </c>
      <c r="W30" s="16">
        <v>1076</v>
      </c>
      <c r="X30" s="16">
        <f t="shared" ref="X30:Z30" si="60">+T30*1.2</f>
        <v>1153.2</v>
      </c>
      <c r="Y30" s="16">
        <f t="shared" si="60"/>
        <v>1153.2</v>
      </c>
      <c r="Z30" s="16">
        <f t="shared" si="60"/>
        <v>2151.3599999999997</v>
      </c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>
        <f t="shared" si="13"/>
        <v>4706.8</v>
      </c>
      <c r="AL30" s="14">
        <f t="shared" si="14"/>
        <v>5533.7599999999993</v>
      </c>
      <c r="AM30" s="14">
        <f>AL30*1.02</f>
        <v>5644.435199999999</v>
      </c>
      <c r="AN30" s="14">
        <f t="shared" ref="AN30:AQ30" si="61">AM30*1.02</f>
        <v>5757.3239039999989</v>
      </c>
      <c r="AO30" s="14">
        <f t="shared" si="61"/>
        <v>5872.4703820799987</v>
      </c>
      <c r="AP30" s="14">
        <f t="shared" si="61"/>
        <v>5989.919789721599</v>
      </c>
      <c r="AQ30" s="14">
        <f t="shared" si="61"/>
        <v>6109.7181855160316</v>
      </c>
      <c r="AR30" s="14">
        <f t="shared" ref="AR30:AS30" si="62">AQ30*1.02</f>
        <v>6231.912549226352</v>
      </c>
      <c r="AS30" s="14">
        <f t="shared" si="62"/>
        <v>6356.5508002108791</v>
      </c>
    </row>
    <row r="31" spans="2:45" s="3" customFormat="1">
      <c r="B31" s="14" t="s">
        <v>59</v>
      </c>
      <c r="C31" s="16"/>
      <c r="D31" s="16"/>
      <c r="E31" s="16"/>
      <c r="F31" s="16"/>
      <c r="G31" s="16">
        <f t="shared" ref="G31" si="63">G29+G30</f>
        <v>1044</v>
      </c>
      <c r="H31" s="16">
        <f t="shared" ref="H31:I31" si="64">H29+H30</f>
        <v>971</v>
      </c>
      <c r="I31" s="16">
        <f t="shared" si="64"/>
        <v>930</v>
      </c>
      <c r="J31" s="16">
        <f t="shared" ref="J31:L31" si="65">J29+J30</f>
        <v>1044</v>
      </c>
      <c r="K31" s="16">
        <f t="shared" si="65"/>
        <v>951</v>
      </c>
      <c r="L31" s="16">
        <f t="shared" si="65"/>
        <v>940</v>
      </c>
      <c r="M31" s="16">
        <f t="shared" ref="M31:N31" si="66">M29+M30</f>
        <v>1254</v>
      </c>
      <c r="N31" s="16">
        <f t="shared" si="66"/>
        <v>1491</v>
      </c>
      <c r="O31" s="16">
        <f t="shared" ref="O31:R31" si="67">O29+O30</f>
        <v>1722</v>
      </c>
      <c r="P31" s="16">
        <f t="shared" si="67"/>
        <v>1549</v>
      </c>
      <c r="Q31" s="16">
        <f t="shared" si="67"/>
        <v>1605</v>
      </c>
      <c r="R31" s="16">
        <f t="shared" si="67"/>
        <v>2234</v>
      </c>
      <c r="S31" s="16">
        <f>S29+S30</f>
        <v>1857</v>
      </c>
      <c r="T31" s="16">
        <f>T29+T30</f>
        <v>1628</v>
      </c>
      <c r="U31" s="16">
        <f>U29+U30</f>
        <v>1694</v>
      </c>
      <c r="V31" s="16">
        <f t="shared" ref="V31:Z31" si="68">V29+V30</f>
        <v>2602.8000000000002</v>
      </c>
      <c r="W31" s="16">
        <f>W29+W30</f>
        <v>1847</v>
      </c>
      <c r="X31" s="16">
        <f t="shared" si="68"/>
        <v>2020.3000000000002</v>
      </c>
      <c r="Y31" s="16">
        <f t="shared" si="68"/>
        <v>2106.1</v>
      </c>
      <c r="Z31" s="16">
        <f t="shared" si="68"/>
        <v>3204.3599999999997</v>
      </c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>
        <f t="shared" ref="AK31" si="69">+AK29+AK30</f>
        <v>7781.8</v>
      </c>
      <c r="AL31" s="14">
        <f>+AL29+AL30</f>
        <v>9177.7599999999984</v>
      </c>
      <c r="AM31" s="14">
        <f t="shared" ref="AM31:AQ31" si="70">+AM29+AM30</f>
        <v>9361.3151999999991</v>
      </c>
      <c r="AN31" s="14">
        <f t="shared" si="70"/>
        <v>9548.5415039999989</v>
      </c>
      <c r="AO31" s="14">
        <f t="shared" si="70"/>
        <v>9739.5123340799983</v>
      </c>
      <c r="AP31" s="14">
        <f t="shared" si="70"/>
        <v>9934.3025807615995</v>
      </c>
      <c r="AQ31" s="14">
        <f t="shared" si="70"/>
        <v>10132.988632376831</v>
      </c>
      <c r="AR31" s="14">
        <f t="shared" ref="AR31" si="71">+AR29+AR30</f>
        <v>10335.648405024367</v>
      </c>
      <c r="AS31" s="14">
        <f t="shared" ref="AS31" si="72">+AS29+AS30</f>
        <v>10542.361373124855</v>
      </c>
    </row>
    <row r="32" spans="2:45" s="3" customFormat="1">
      <c r="B32" s="14" t="s">
        <v>60</v>
      </c>
      <c r="C32" s="16"/>
      <c r="D32" s="16"/>
      <c r="E32" s="16"/>
      <c r="F32" s="16"/>
      <c r="G32" s="16">
        <f t="shared" ref="G32" si="73">G28-G31</f>
        <v>-478</v>
      </c>
      <c r="H32" s="16">
        <f t="shared" ref="H32:I32" si="74">H28-H31</f>
        <v>-50</v>
      </c>
      <c r="I32" s="16">
        <f t="shared" si="74"/>
        <v>261</v>
      </c>
      <c r="J32" s="16">
        <f t="shared" ref="J32:L32" si="75">J28-J31</f>
        <v>347</v>
      </c>
      <c r="K32" s="16">
        <f t="shared" si="75"/>
        <v>283</v>
      </c>
      <c r="L32" s="16">
        <f t="shared" si="75"/>
        <v>327</v>
      </c>
      <c r="M32" s="16">
        <f t="shared" ref="M32:N32" si="76">M28-M31</f>
        <v>809</v>
      </c>
      <c r="N32" s="16">
        <f t="shared" si="76"/>
        <v>575</v>
      </c>
      <c r="O32" s="16">
        <f t="shared" ref="O32:R32" si="77">O28-O31</f>
        <v>493</v>
      </c>
      <c r="P32" s="16">
        <f t="shared" si="77"/>
        <v>1335</v>
      </c>
      <c r="Q32" s="16">
        <f t="shared" si="77"/>
        <v>2055</v>
      </c>
      <c r="R32" s="16">
        <f t="shared" si="77"/>
        <v>2613</v>
      </c>
      <c r="S32" s="16">
        <f>S28-S31</f>
        <v>3603</v>
      </c>
      <c r="T32" s="16">
        <f>T28-T31</f>
        <v>2605</v>
      </c>
      <c r="U32" s="16">
        <f>U28-U31</f>
        <v>3688</v>
      </c>
      <c r="V32" s="16">
        <f t="shared" ref="V32:Z32" si="78">V28-V31</f>
        <v>3662.7999999999984</v>
      </c>
      <c r="W32" s="16">
        <f>W28-W31</f>
        <v>2664</v>
      </c>
      <c r="X32" s="16">
        <f t="shared" si="78"/>
        <v>3906.6000000000004</v>
      </c>
      <c r="Y32" s="16">
        <f t="shared" si="78"/>
        <v>5402.8000000000011</v>
      </c>
      <c r="Z32" s="16">
        <f t="shared" si="78"/>
        <v>5477.95</v>
      </c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6">
        <f t="shared" ref="AK32:AL32" si="79">AK28-AK31</f>
        <v>12705.850000000002</v>
      </c>
      <c r="AL32" s="16">
        <f t="shared" si="79"/>
        <v>17451.350000000002</v>
      </c>
      <c r="AM32" s="16">
        <f t="shared" ref="AM32:AQ32" si="80">AM28-AM31</f>
        <v>19683.431971160702</v>
      </c>
      <c r="AN32" s="16">
        <f t="shared" si="80"/>
        <v>34823.220315505445</v>
      </c>
      <c r="AO32" s="16">
        <f t="shared" si="80"/>
        <v>51795.053178598282</v>
      </c>
      <c r="AP32" s="16">
        <f t="shared" si="80"/>
        <v>71240.78955217576</v>
      </c>
      <c r="AQ32" s="16">
        <f t="shared" si="80"/>
        <v>96138.983301280939</v>
      </c>
      <c r="AR32" s="16">
        <f t="shared" ref="AR32:AS32" si="81">AR28-AR31</f>
        <v>122141.13644250334</v>
      </c>
      <c r="AS32" s="16">
        <f t="shared" si="81"/>
        <v>146555.08991922211</v>
      </c>
    </row>
    <row r="33" spans="2:101" s="3" customFormat="1">
      <c r="B33" s="14" t="s">
        <v>61</v>
      </c>
      <c r="C33" s="16"/>
      <c r="D33" s="16"/>
      <c r="E33" s="16"/>
      <c r="F33" s="16"/>
      <c r="G33" s="16">
        <f>9-158+26</f>
        <v>-123</v>
      </c>
      <c r="H33" s="16">
        <f>10-172-41</f>
        <v>-203</v>
      </c>
      <c r="I33" s="16">
        <f>15-185+85</f>
        <v>-85</v>
      </c>
      <c r="J33" s="16">
        <f>10-172-25</f>
        <v>-187</v>
      </c>
      <c r="K33" s="16">
        <f>10-169-54</f>
        <v>-213</v>
      </c>
      <c r="L33" s="16">
        <f>8-170-15</f>
        <v>-177</v>
      </c>
      <c r="M33" s="16">
        <f>6-163-97</f>
        <v>-254</v>
      </c>
      <c r="N33" s="16">
        <f>6-246+44</f>
        <v>-196</v>
      </c>
      <c r="O33" s="16">
        <f>10-99+28</f>
        <v>-61</v>
      </c>
      <c r="P33" s="16">
        <f>11-75+45</f>
        <v>-19</v>
      </c>
      <c r="Q33" s="16">
        <f>10-126-6</f>
        <v>-122</v>
      </c>
      <c r="R33" s="16">
        <f>25-71+68</f>
        <v>22</v>
      </c>
      <c r="S33" s="16">
        <f>28-61+56</f>
        <v>23</v>
      </c>
      <c r="T33" s="16">
        <f>-26-44+28</f>
        <v>-42</v>
      </c>
      <c r="U33" s="16">
        <f>86-53-85</f>
        <v>-52</v>
      </c>
      <c r="V33" s="16">
        <f>157-33-42</f>
        <v>82</v>
      </c>
      <c r="W33" s="16">
        <f>213-29-48</f>
        <v>136</v>
      </c>
      <c r="X33" s="16"/>
      <c r="Y33" s="16"/>
      <c r="Z33" s="16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>
        <f t="shared" si="14"/>
        <v>136</v>
      </c>
      <c r="AM33" s="14">
        <f>AL63*$AV$46</f>
        <v>991.03845000000013</v>
      </c>
      <c r="AN33" s="14">
        <f t="shared" ref="AN33:AS33" si="82">AM63*$AV$46</f>
        <v>1518.2374457395979</v>
      </c>
      <c r="AO33" s="14">
        <f t="shared" si="82"/>
        <v>2444.9446186513469</v>
      </c>
      <c r="AP33" s="14">
        <f t="shared" si="82"/>
        <v>3828.0645624812123</v>
      </c>
      <c r="AQ33" s="14">
        <f t="shared" si="82"/>
        <v>5742.3203424049652</v>
      </c>
      <c r="AR33" s="14">
        <f t="shared" si="82"/>
        <v>8340.2935853189556</v>
      </c>
      <c r="AS33" s="14">
        <f t="shared" si="82"/>
        <v>11667.570051028424</v>
      </c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</row>
    <row r="34" spans="2:101" s="3" customFormat="1">
      <c r="B34" s="14" t="s">
        <v>62</v>
      </c>
      <c r="C34" s="16"/>
      <c r="D34" s="16"/>
      <c r="E34" s="16"/>
      <c r="F34" s="16"/>
      <c r="G34" s="16">
        <f t="shared" ref="G34:N34" si="83">G32+G33</f>
        <v>-601</v>
      </c>
      <c r="H34" s="16">
        <f t="shared" si="83"/>
        <v>-253</v>
      </c>
      <c r="I34" s="16">
        <f t="shared" si="83"/>
        <v>176</v>
      </c>
      <c r="J34" s="16">
        <f t="shared" si="83"/>
        <v>160</v>
      </c>
      <c r="K34" s="16">
        <f t="shared" si="83"/>
        <v>70</v>
      </c>
      <c r="L34" s="16">
        <f t="shared" si="83"/>
        <v>150</v>
      </c>
      <c r="M34" s="16">
        <f t="shared" si="83"/>
        <v>555</v>
      </c>
      <c r="N34" s="16">
        <f t="shared" si="83"/>
        <v>379</v>
      </c>
      <c r="O34" s="16">
        <f t="shared" ref="O34:R34" si="84">O32+O33</f>
        <v>432</v>
      </c>
      <c r="P34" s="16">
        <f t="shared" si="84"/>
        <v>1316</v>
      </c>
      <c r="Q34" s="16">
        <f t="shared" si="84"/>
        <v>1933</v>
      </c>
      <c r="R34" s="16">
        <f t="shared" si="84"/>
        <v>2635</v>
      </c>
      <c r="S34" s="16">
        <f>S32+S33</f>
        <v>3626</v>
      </c>
      <c r="T34" s="16">
        <f>T32+T33</f>
        <v>2563</v>
      </c>
      <c r="U34" s="16">
        <f>U32+U33</f>
        <v>3636</v>
      </c>
      <c r="V34" s="16">
        <f t="shared" ref="V34:Z34" si="85">V32+V33</f>
        <v>3744.7999999999984</v>
      </c>
      <c r="W34" s="16">
        <f t="shared" si="85"/>
        <v>2800</v>
      </c>
      <c r="X34" s="16">
        <f t="shared" si="85"/>
        <v>3906.6000000000004</v>
      </c>
      <c r="Y34" s="16">
        <f t="shared" si="85"/>
        <v>5402.8000000000011</v>
      </c>
      <c r="Z34" s="16">
        <f t="shared" si="85"/>
        <v>5477.95</v>
      </c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>
        <f>+AL32+AL33</f>
        <v>17587.350000000002</v>
      </c>
      <c r="AM34" s="14">
        <f t="shared" ref="AM34:AQ34" si="86">+AM32+AM33</f>
        <v>20674.470421160702</v>
      </c>
      <c r="AN34" s="14">
        <f t="shared" si="86"/>
        <v>36341.457761245045</v>
      </c>
      <c r="AO34" s="14">
        <f t="shared" si="86"/>
        <v>54239.997797249627</v>
      </c>
      <c r="AP34" s="14">
        <f t="shared" si="86"/>
        <v>75068.854114656977</v>
      </c>
      <c r="AQ34" s="14">
        <f t="shared" si="86"/>
        <v>101881.30364368591</v>
      </c>
      <c r="AR34" s="14">
        <f t="shared" ref="AR34" si="87">+AR32+AR33</f>
        <v>130481.43002782229</v>
      </c>
      <c r="AS34" s="14">
        <f t="shared" ref="AS34" si="88">+AS32+AS33</f>
        <v>158222.65997025053</v>
      </c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</row>
    <row r="35" spans="2:101" s="3" customFormat="1">
      <c r="B35" s="14" t="s">
        <v>63</v>
      </c>
      <c r="C35" s="16"/>
      <c r="D35" s="16"/>
      <c r="E35" s="16"/>
      <c r="F35" s="16"/>
      <c r="G35" s="16">
        <f>23+34</f>
        <v>57</v>
      </c>
      <c r="H35" s="16">
        <f>19+19</f>
        <v>38</v>
      </c>
      <c r="I35" s="16">
        <f>26+7</f>
        <v>33</v>
      </c>
      <c r="J35" s="16">
        <f>42+27</f>
        <v>69</v>
      </c>
      <c r="K35" s="16">
        <f>2+52</f>
        <v>54</v>
      </c>
      <c r="L35" s="16">
        <f>21+25</f>
        <v>46</v>
      </c>
      <c r="M35" s="16">
        <f>186+38+31</f>
        <v>255</v>
      </c>
      <c r="N35" s="16">
        <f>83+26</f>
        <v>109</v>
      </c>
      <c r="O35" s="16">
        <f>69+26</f>
        <v>95</v>
      </c>
      <c r="P35" s="16">
        <f>115+36</f>
        <v>151</v>
      </c>
      <c r="Q35" s="16">
        <f>223+41</f>
        <v>264</v>
      </c>
      <c r="R35" s="16">
        <f>292+22</f>
        <v>314</v>
      </c>
      <c r="S35" s="16">
        <f>346-38</f>
        <v>308</v>
      </c>
      <c r="T35" s="16">
        <f>205+10</f>
        <v>215</v>
      </c>
      <c r="U35" s="16">
        <v>305</v>
      </c>
      <c r="V35" s="16">
        <v>276</v>
      </c>
      <c r="W35" s="16">
        <v>261</v>
      </c>
      <c r="X35" s="16">
        <f t="shared" ref="X35:Z35" si="89">+X34*0.1</f>
        <v>390.66000000000008</v>
      </c>
      <c r="Y35" s="16">
        <f t="shared" si="89"/>
        <v>540.28000000000009</v>
      </c>
      <c r="Z35" s="16">
        <f t="shared" si="89"/>
        <v>547.79499999999996</v>
      </c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>
        <f t="shared" si="14"/>
        <v>1739.7350000000001</v>
      </c>
      <c r="AM35" s="14">
        <f>AM34*0.15</f>
        <v>3101.1705631741052</v>
      </c>
      <c r="AN35" s="14">
        <f t="shared" ref="AN35:AQ35" si="90">AN34*0.15</f>
        <v>5451.2186641867565</v>
      </c>
      <c r="AO35" s="14">
        <f t="shared" si="90"/>
        <v>8135.9996695874433</v>
      </c>
      <c r="AP35" s="14">
        <f t="shared" si="90"/>
        <v>11260.328117198545</v>
      </c>
      <c r="AQ35" s="14">
        <f t="shared" si="90"/>
        <v>15282.195546552886</v>
      </c>
      <c r="AR35" s="14">
        <f t="shared" ref="AR35" si="91">AR34*0.15</f>
        <v>19572.214504173342</v>
      </c>
      <c r="AS35" s="14">
        <f t="shared" ref="AS35" si="92">AS34*0.15</f>
        <v>23733.39899553758</v>
      </c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</row>
    <row r="36" spans="2:101" s="3" customFormat="1">
      <c r="B36" s="14" t="s">
        <v>64</v>
      </c>
      <c r="C36" s="16"/>
      <c r="D36" s="16"/>
      <c r="E36" s="16"/>
      <c r="F36" s="16"/>
      <c r="G36" s="16">
        <f t="shared" ref="G36:N36" si="93">G34-G35</f>
        <v>-658</v>
      </c>
      <c r="H36" s="16">
        <f t="shared" si="93"/>
        <v>-291</v>
      </c>
      <c r="I36" s="16">
        <f t="shared" si="93"/>
        <v>143</v>
      </c>
      <c r="J36" s="16">
        <f t="shared" si="93"/>
        <v>91</v>
      </c>
      <c r="K36" s="16">
        <f t="shared" si="93"/>
        <v>16</v>
      </c>
      <c r="L36" s="16">
        <f t="shared" si="93"/>
        <v>104</v>
      </c>
      <c r="M36" s="16">
        <f t="shared" si="93"/>
        <v>300</v>
      </c>
      <c r="N36" s="16">
        <f t="shared" si="93"/>
        <v>270</v>
      </c>
      <c r="O36" s="16">
        <f t="shared" ref="O36:R36" si="94">O34-O35</f>
        <v>337</v>
      </c>
      <c r="P36" s="16">
        <f t="shared" si="94"/>
        <v>1165</v>
      </c>
      <c r="Q36" s="16">
        <f t="shared" si="94"/>
        <v>1669</v>
      </c>
      <c r="R36" s="16">
        <f t="shared" si="94"/>
        <v>2321</v>
      </c>
      <c r="S36" s="16">
        <f>S34-S35</f>
        <v>3318</v>
      </c>
      <c r="T36" s="16">
        <f>T34-T35</f>
        <v>2348</v>
      </c>
      <c r="U36" s="16">
        <f>U34-U35</f>
        <v>3331</v>
      </c>
      <c r="V36" s="16">
        <f t="shared" ref="V36:Z36" si="95">V34-V35</f>
        <v>3468.7999999999984</v>
      </c>
      <c r="W36" s="16">
        <f t="shared" si="95"/>
        <v>2539</v>
      </c>
      <c r="X36" s="16">
        <f t="shared" si="95"/>
        <v>3515.9400000000005</v>
      </c>
      <c r="Y36" s="16">
        <f t="shared" si="95"/>
        <v>4862.5200000000013</v>
      </c>
      <c r="Z36" s="16">
        <f t="shared" si="95"/>
        <v>4930.1549999999997</v>
      </c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>
        <f>+AL34-AL35</f>
        <v>15847.615000000002</v>
      </c>
      <c r="AM36" s="14">
        <f t="shared" ref="AM36:AQ36" si="96">+AM34-AM35</f>
        <v>17573.299857986596</v>
      </c>
      <c r="AN36" s="14">
        <f t="shared" si="96"/>
        <v>30890.239097058289</v>
      </c>
      <c r="AO36" s="14">
        <f t="shared" si="96"/>
        <v>46103.998127662184</v>
      </c>
      <c r="AP36" s="14">
        <f t="shared" si="96"/>
        <v>63808.525997458433</v>
      </c>
      <c r="AQ36" s="14">
        <f t="shared" si="96"/>
        <v>86599.108097133023</v>
      </c>
      <c r="AR36" s="14">
        <f t="shared" ref="AR36" si="97">+AR34-AR35</f>
        <v>110909.21552364895</v>
      </c>
      <c r="AS36" s="14">
        <f t="shared" ref="AS36" si="98">+AS34-AS35</f>
        <v>134489.26097471296</v>
      </c>
      <c r="AT36" s="14">
        <f>AS36*(1+$AV$43)</f>
        <v>133144.36836496583</v>
      </c>
      <c r="AU36" s="14">
        <f t="shared" ref="AU36:CW36" si="99">AT36*(1+$AV$43)</f>
        <v>131812.92468131619</v>
      </c>
      <c r="AV36" s="14">
        <f t="shared" si="99"/>
        <v>130494.79543450303</v>
      </c>
      <c r="AW36" s="14">
        <f t="shared" si="99"/>
        <v>129189.847480158</v>
      </c>
      <c r="AX36" s="14">
        <f t="shared" si="99"/>
        <v>127897.94900535642</v>
      </c>
      <c r="AY36" s="14">
        <f t="shared" si="99"/>
        <v>126618.96951530286</v>
      </c>
      <c r="AZ36" s="14">
        <f t="shared" si="99"/>
        <v>125352.77982014982</v>
      </c>
      <c r="BA36" s="14">
        <f t="shared" si="99"/>
        <v>124099.25202194833</v>
      </c>
      <c r="BB36" s="14">
        <f t="shared" si="99"/>
        <v>122858.25950172884</v>
      </c>
      <c r="BC36" s="14">
        <f t="shared" si="99"/>
        <v>121629.67690671155</v>
      </c>
      <c r="BD36" s="14">
        <f t="shared" si="99"/>
        <v>120413.38013764443</v>
      </c>
      <c r="BE36" s="14">
        <f t="shared" si="99"/>
        <v>119209.24633626798</v>
      </c>
      <c r="BF36" s="14">
        <f t="shared" si="99"/>
        <v>118017.1538729053</v>
      </c>
      <c r="BG36" s="14">
        <f t="shared" si="99"/>
        <v>116836.98233417624</v>
      </c>
      <c r="BH36" s="14">
        <f t="shared" si="99"/>
        <v>115668.61251083447</v>
      </c>
      <c r="BI36" s="14">
        <f t="shared" si="99"/>
        <v>114511.92638572612</v>
      </c>
      <c r="BJ36" s="14">
        <f t="shared" si="99"/>
        <v>113366.80712186886</v>
      </c>
      <c r="BK36" s="14">
        <f t="shared" si="99"/>
        <v>112233.13905065016</v>
      </c>
      <c r="BL36" s="14">
        <f t="shared" si="99"/>
        <v>111110.80766014366</v>
      </c>
      <c r="BM36" s="14">
        <f t="shared" si="99"/>
        <v>109999.69958354223</v>
      </c>
      <c r="BN36" s="14">
        <f t="shared" si="99"/>
        <v>108899.70258770681</v>
      </c>
      <c r="BO36" s="14">
        <f t="shared" si="99"/>
        <v>107810.70556182975</v>
      </c>
      <c r="BP36" s="14">
        <f t="shared" si="99"/>
        <v>106732.59850621145</v>
      </c>
      <c r="BQ36" s="14">
        <f t="shared" si="99"/>
        <v>105665.27252114934</v>
      </c>
      <c r="BR36" s="14">
        <f t="shared" si="99"/>
        <v>104608.61979593785</v>
      </c>
      <c r="BS36" s="14">
        <f t="shared" si="99"/>
        <v>103562.53359797847</v>
      </c>
      <c r="BT36" s="14">
        <f t="shared" si="99"/>
        <v>102526.90826199869</v>
      </c>
      <c r="BU36" s="14">
        <f t="shared" si="99"/>
        <v>101501.6391793787</v>
      </c>
      <c r="BV36" s="14">
        <f t="shared" si="99"/>
        <v>100486.62278758491</v>
      </c>
      <c r="BW36" s="14">
        <f t="shared" si="99"/>
        <v>99481.756559709058</v>
      </c>
      <c r="BX36" s="14">
        <f t="shared" si="99"/>
        <v>98486.938994111973</v>
      </c>
      <c r="BY36" s="14">
        <f t="shared" si="99"/>
        <v>97502.069604170858</v>
      </c>
      <c r="BZ36" s="14">
        <f t="shared" si="99"/>
        <v>96527.048908129145</v>
      </c>
      <c r="CA36" s="14">
        <f t="shared" si="99"/>
        <v>95561.778419047856</v>
      </c>
      <c r="CB36" s="14">
        <f t="shared" si="99"/>
        <v>94606.16063485737</v>
      </c>
      <c r="CC36" s="14">
        <f t="shared" si="99"/>
        <v>93660.09902850879</v>
      </c>
      <c r="CD36" s="14">
        <f t="shared" si="99"/>
        <v>92723.498038223697</v>
      </c>
      <c r="CE36" s="14">
        <f t="shared" si="99"/>
        <v>91796.263057841454</v>
      </c>
      <c r="CF36" s="14">
        <f t="shared" si="99"/>
        <v>90878.300427263035</v>
      </c>
      <c r="CG36" s="14">
        <f t="shared" si="99"/>
        <v>89969.517422990408</v>
      </c>
      <c r="CH36" s="14">
        <f t="shared" si="99"/>
        <v>89069.822248760509</v>
      </c>
      <c r="CI36" s="14">
        <f t="shared" si="99"/>
        <v>88179.124026272897</v>
      </c>
      <c r="CJ36" s="14">
        <f t="shared" si="99"/>
        <v>87297.332786010171</v>
      </c>
      <c r="CK36" s="14">
        <f t="shared" si="99"/>
        <v>86424.359458150066</v>
      </c>
      <c r="CL36" s="14">
        <f t="shared" si="99"/>
        <v>85560.115863568557</v>
      </c>
      <c r="CM36" s="14">
        <f t="shared" si="99"/>
        <v>84704.514704932866</v>
      </c>
      <c r="CN36" s="14">
        <f t="shared" si="99"/>
        <v>83857.469557883538</v>
      </c>
      <c r="CO36" s="14">
        <f t="shared" si="99"/>
        <v>83018.894862304704</v>
      </c>
      <c r="CP36" s="14">
        <f t="shared" si="99"/>
        <v>82188.705913681653</v>
      </c>
      <c r="CQ36" s="14">
        <f t="shared" si="99"/>
        <v>81366.818854544836</v>
      </c>
      <c r="CR36" s="14">
        <f t="shared" si="99"/>
        <v>80553.15066599939</v>
      </c>
      <c r="CS36" s="14">
        <f t="shared" si="99"/>
        <v>79747.619159339389</v>
      </c>
      <c r="CT36" s="14">
        <f t="shared" si="99"/>
        <v>78950.142967745996</v>
      </c>
      <c r="CU36" s="14">
        <f t="shared" si="99"/>
        <v>78160.641538068536</v>
      </c>
      <c r="CV36" s="14">
        <f t="shared" si="99"/>
        <v>77379.035122687856</v>
      </c>
      <c r="CW36" s="14">
        <f t="shared" si="99"/>
        <v>76605.244771460973</v>
      </c>
    </row>
    <row r="37" spans="2:101">
      <c r="B37" s="13" t="s">
        <v>65</v>
      </c>
      <c r="C37" s="18"/>
      <c r="D37" s="18"/>
      <c r="E37" s="18"/>
      <c r="F37" s="18"/>
      <c r="G37" s="18">
        <f t="shared" ref="G37:K37" si="100">G36/G38</f>
        <v>-0.76069364161849706</v>
      </c>
      <c r="H37" s="18">
        <f t="shared" si="100"/>
        <v>-0.32881355932203388</v>
      </c>
      <c r="I37" s="18">
        <f t="shared" si="100"/>
        <v>0.15509761388286333</v>
      </c>
      <c r="J37" s="18">
        <f t="shared" si="100"/>
        <v>9.8913043478260868E-2</v>
      </c>
      <c r="K37" s="18">
        <f t="shared" si="100"/>
        <v>1.7112299465240642E-2</v>
      </c>
      <c r="L37" s="18">
        <f t="shared" ref="L37" si="101">L36/L38</f>
        <v>0.10048309178743961</v>
      </c>
      <c r="M37" s="18">
        <f t="shared" ref="M37:O37" si="102">M36/M38</f>
        <v>0.27149321266968324</v>
      </c>
      <c r="N37" s="18">
        <f t="shared" si="102"/>
        <v>0.2402135231316726</v>
      </c>
      <c r="O37" s="18">
        <f t="shared" si="102"/>
        <v>0.29744042365401591</v>
      </c>
      <c r="P37" s="18">
        <f t="shared" ref="P37" si="103">P36/P38</f>
        <v>1.0411081322609472</v>
      </c>
      <c r="Q37" s="18">
        <f t="shared" ref="Q37" si="104">Q36/Q38</f>
        <v>1.4861976847729297</v>
      </c>
      <c r="R37" s="18">
        <f t="shared" ref="R37" si="105">R36/R38</f>
        <v>2.044933920704846</v>
      </c>
      <c r="S37" s="18">
        <f t="shared" ref="S37:U37" si="106">S36/S38</f>
        <v>2.867761452031115</v>
      </c>
      <c r="T37" s="18">
        <f t="shared" si="106"/>
        <v>2.032900432900433</v>
      </c>
      <c r="U37" s="18">
        <f t="shared" si="106"/>
        <v>0.96049596309111884</v>
      </c>
      <c r="V37" s="18">
        <f t="shared" ref="V37:Z37" si="107">V36/V38</f>
        <v>0.99936617689426632</v>
      </c>
      <c r="W37" s="18">
        <f t="shared" si="107"/>
        <v>0.73212226066897346</v>
      </c>
      <c r="X37" s="18">
        <f t="shared" si="107"/>
        <v>1.0138235294117648</v>
      </c>
      <c r="Y37" s="18">
        <f t="shared" si="107"/>
        <v>1.402110726643599</v>
      </c>
      <c r="Z37" s="18">
        <f t="shared" si="107"/>
        <v>1.4216133217993079</v>
      </c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9">
        <f>+AL36/AL38</f>
        <v>4.5696698385236454</v>
      </c>
      <c r="AM37" s="19">
        <f t="shared" ref="AM37:AQ37" si="108">+AM36/AM38</f>
        <v>5.0672721620491918</v>
      </c>
      <c r="AN37" s="19">
        <f t="shared" si="108"/>
        <v>8.9072200395208441</v>
      </c>
      <c r="AO37" s="19">
        <f t="shared" si="108"/>
        <v>13.294117107169026</v>
      </c>
      <c r="AP37" s="19">
        <f t="shared" si="108"/>
        <v>18.399228949670828</v>
      </c>
      <c r="AQ37" s="19">
        <f t="shared" si="108"/>
        <v>24.970907755805371</v>
      </c>
      <c r="AR37" s="19">
        <f t="shared" ref="AR37" si="109">+AR36/AR38</f>
        <v>31.980742653878014</v>
      </c>
      <c r="AS37" s="19">
        <f t="shared" ref="AS37" si="110">+AS36/AS38</f>
        <v>38.780063718198662</v>
      </c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</row>
    <row r="38" spans="2:101" s="3" customFormat="1">
      <c r="B38" s="14" t="s">
        <v>1</v>
      </c>
      <c r="C38" s="16"/>
      <c r="D38" s="16"/>
      <c r="E38" s="16"/>
      <c r="F38" s="16"/>
      <c r="G38" s="16">
        <f>173*5</f>
        <v>865</v>
      </c>
      <c r="H38" s="16">
        <f>177*5</f>
        <v>885</v>
      </c>
      <c r="I38" s="16">
        <v>922</v>
      </c>
      <c r="J38" s="16">
        <f>184*5</f>
        <v>920</v>
      </c>
      <c r="K38" s="16">
        <f>187*5</f>
        <v>935</v>
      </c>
      <c r="L38" s="16">
        <f>207*5</f>
        <v>1035</v>
      </c>
      <c r="M38" s="16">
        <v>1105</v>
      </c>
      <c r="N38" s="16">
        <v>1124</v>
      </c>
      <c r="O38" s="16">
        <v>1133</v>
      </c>
      <c r="P38" s="16">
        <v>1119</v>
      </c>
      <c r="Q38" s="16">
        <v>1123</v>
      </c>
      <c r="R38" s="16">
        <v>1135</v>
      </c>
      <c r="S38" s="16">
        <v>1157</v>
      </c>
      <c r="T38" s="16">
        <v>1155</v>
      </c>
      <c r="U38" s="16">
        <v>3468</v>
      </c>
      <c r="V38" s="16">
        <v>3471</v>
      </c>
      <c r="W38" s="16">
        <v>3468</v>
      </c>
      <c r="X38" s="16">
        <f t="shared" ref="X38:Z38" si="111">+W38</f>
        <v>3468</v>
      </c>
      <c r="Y38" s="16">
        <f t="shared" si="111"/>
        <v>3468</v>
      </c>
      <c r="Z38" s="16">
        <f t="shared" si="111"/>
        <v>3468</v>
      </c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>
        <f>AVERAGE(W38:Z38)</f>
        <v>3468</v>
      </c>
      <c r="AM38" s="14">
        <f>AL38</f>
        <v>3468</v>
      </c>
      <c r="AN38" s="14">
        <f t="shared" ref="AN38:AQ38" si="112">AM38</f>
        <v>3468</v>
      </c>
      <c r="AO38" s="14">
        <f t="shared" si="112"/>
        <v>3468</v>
      </c>
      <c r="AP38" s="14">
        <f t="shared" si="112"/>
        <v>3468</v>
      </c>
      <c r="AQ38" s="14">
        <f t="shared" si="112"/>
        <v>3468</v>
      </c>
      <c r="AR38" s="14">
        <f t="shared" ref="AR38:AS38" si="113">AQ38</f>
        <v>3468</v>
      </c>
      <c r="AS38" s="14">
        <f t="shared" si="113"/>
        <v>3468</v>
      </c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</row>
    <row r="40" spans="2:101" s="9" customFormat="1">
      <c r="B40" s="9" t="s">
        <v>66</v>
      </c>
      <c r="C40" s="10"/>
      <c r="D40" s="10"/>
      <c r="E40" s="10"/>
      <c r="F40" s="10"/>
      <c r="G40" s="10"/>
      <c r="H40" s="10"/>
      <c r="I40" s="10"/>
      <c r="J40" s="10"/>
      <c r="K40" s="8">
        <f>K20/G20-1</f>
        <v>0.31799163179916312</v>
      </c>
      <c r="L40" s="8">
        <f t="shared" ref="L40" si="114">L20/H20-1</f>
        <v>-4.9448818897637747E-2</v>
      </c>
      <c r="M40" s="8">
        <f t="shared" ref="M40" si="115">M20/I20-1</f>
        <v>0.39155957480564818</v>
      </c>
      <c r="N40" s="8">
        <f t="shared" ref="N40" si="116">N20/J20-1</f>
        <v>0.45503791982665232</v>
      </c>
      <c r="O40" s="8">
        <f t="shared" ref="O40" si="117">O20/K20-1</f>
        <v>0.73583959899749374</v>
      </c>
      <c r="P40" s="8">
        <f t="shared" ref="P40:Q40" si="118">P20/L20-1</f>
        <v>0.98111332007952279</v>
      </c>
      <c r="Q40" s="8">
        <f t="shared" si="118"/>
        <v>0.56846425721126437</v>
      </c>
      <c r="R40" s="8">
        <f t="shared" ref="R40:S40" si="119">R20/N20-1</f>
        <v>0.64919955323901712</v>
      </c>
      <c r="S40" s="8">
        <f t="shared" si="119"/>
        <v>0.80537106555010096</v>
      </c>
      <c r="T40" s="8">
        <f>T20/P20-1</f>
        <v>0.41612309750794441</v>
      </c>
      <c r="U40" s="8">
        <f>U20/Q20-1</f>
        <v>0.55949698335392894</v>
      </c>
      <c r="V40" s="8">
        <f>V20/R20-1</f>
        <v>0.39999999999999991</v>
      </c>
      <c r="W40" s="8">
        <f t="shared" ref="W40:Z40" si="120">W20/S20-1</f>
        <v>0.24381531243335464</v>
      </c>
      <c r="X40" s="8">
        <f t="shared" si="120"/>
        <v>0.40000000000000013</v>
      </c>
      <c r="Y40" s="8">
        <f t="shared" si="120"/>
        <v>0.40000000000000013</v>
      </c>
      <c r="Z40" s="8">
        <f t="shared" si="120"/>
        <v>0.39999999999999991</v>
      </c>
      <c r="AC40" s="11">
        <f t="shared" ref="AC40:AF40" si="121">AC20/AB20-1</f>
        <v>0.58845907814070664</v>
      </c>
      <c r="AD40" s="11">
        <f t="shared" si="121"/>
        <v>0.26503272306147285</v>
      </c>
      <c r="AE40" s="11">
        <f t="shared" si="121"/>
        <v>0.73012574069611524</v>
      </c>
      <c r="AF40" s="11">
        <f>AF20/AE20-1</f>
        <v>0.67978989539054413</v>
      </c>
      <c r="AG40" s="11">
        <f>AG20/AF20-1</f>
        <v>0.82513159773516764</v>
      </c>
      <c r="AH40" s="11">
        <f>AH20/AG20-1</f>
        <v>0.14522590184326489</v>
      </c>
      <c r="AI40" s="11">
        <f>+AI20/AH20-1</f>
        <v>0.28309870615998056</v>
      </c>
      <c r="AJ40" s="11">
        <f>+AJ20/AI20-1</f>
        <v>0.70671613394216126</v>
      </c>
      <c r="AK40" s="11">
        <f>+AK20/AJ20-1</f>
        <v>0.52259442989056737</v>
      </c>
      <c r="AL40" s="11">
        <f>+AL20/AK20-1</f>
        <v>0.36425407501592399</v>
      </c>
      <c r="AM40" s="11">
        <f t="shared" ref="AM40:AQ40" si="122">+AM20/AL20-1</f>
        <v>0.23152290088009764</v>
      </c>
      <c r="AN40" s="11">
        <f t="shared" si="122"/>
        <v>0.33899999999999997</v>
      </c>
      <c r="AO40" s="11">
        <f t="shared" si="122"/>
        <v>0.28749999999999987</v>
      </c>
      <c r="AP40" s="11">
        <f t="shared" si="122"/>
        <v>0.23600000000000021</v>
      </c>
      <c r="AQ40" s="11">
        <f t="shared" si="122"/>
        <v>0.23599999999999977</v>
      </c>
      <c r="AR40" s="11">
        <f t="shared" ref="AR40:AS40" si="123">+AR20/AQ20-1</f>
        <v>0.18450000000000011</v>
      </c>
      <c r="AS40" s="11">
        <f t="shared" si="123"/>
        <v>0.13300000000000023</v>
      </c>
    </row>
    <row r="41" spans="2:101">
      <c r="B41" s="13" t="s">
        <v>67</v>
      </c>
      <c r="C41" s="12"/>
      <c r="D41" s="12"/>
      <c r="E41" s="12"/>
      <c r="F41" s="12"/>
      <c r="G41" s="12"/>
      <c r="H41" s="12"/>
      <c r="I41" s="12"/>
      <c r="J41" s="12"/>
      <c r="K41" s="20">
        <f t="shared" ref="K41" si="124">+K5/G5-1</f>
        <v>0.40427490122026688</v>
      </c>
      <c r="L41" s="20">
        <f t="shared" ref="L41" si="125">+L5/H5-1</f>
        <v>-4.9351902344897058E-2</v>
      </c>
      <c r="M41" s="20">
        <f t="shared" ref="M41" si="126">+M5/I5-1</f>
        <v>0.43333401930319182</v>
      </c>
      <c r="N41" s="20">
        <f t="shared" ref="N41" si="127">+N5/J5-1</f>
        <v>0.61086578348722065</v>
      </c>
      <c r="O41" s="20">
        <f t="shared" ref="O41" si="128">+O5/K5-1</f>
        <v>1.088229976496113</v>
      </c>
      <c r="P41" s="20">
        <f t="shared" ref="P41" si="129">+P5/L5-1</f>
        <v>1.2200772200772199</v>
      </c>
      <c r="Q41" s="20">
        <f t="shared" ref="Q41" si="130">+Q5/M5-1</f>
        <v>0.73223259152907394</v>
      </c>
      <c r="R41" s="20">
        <f t="shared" ref="R41:U41" si="131">+R5/N5-1</f>
        <v>0.70903250816857732</v>
      </c>
      <c r="S41" s="20">
        <f t="shared" si="131"/>
        <v>0.67774891774891777</v>
      </c>
      <c r="T41" s="20">
        <f t="shared" si="131"/>
        <v>0.26556521739130434</v>
      </c>
      <c r="U41" s="20">
        <f t="shared" si="131"/>
        <v>0.42490675507666809</v>
      </c>
      <c r="V41" s="20">
        <f>+V5/R5-1</f>
        <v>0.31327932598833441</v>
      </c>
      <c r="W41" s="20">
        <f>+W5/S5-1</f>
        <v>0.36390171844359576</v>
      </c>
      <c r="X41" s="20"/>
      <c r="Y41" s="20"/>
      <c r="Z41" s="20"/>
      <c r="AA41" s="13"/>
      <c r="AB41" s="13"/>
      <c r="AC41" s="13"/>
      <c r="AD41" s="13"/>
      <c r="AE41" s="13"/>
      <c r="AF41" s="13"/>
      <c r="AG41" s="13"/>
      <c r="AH41" s="13"/>
      <c r="AI41" s="17">
        <f>+AI5/AH5-1</f>
        <v>0.35729051069477991</v>
      </c>
      <c r="AJ41" s="17">
        <f>+AJ5/AI5-1</f>
        <v>0.87559116340959009</v>
      </c>
      <c r="AK41" s="17">
        <f>+AK5/AJ5-1</f>
        <v>0.403761953095785</v>
      </c>
      <c r="AL41" s="17">
        <f t="shared" ref="AL41" si="132">+AL5/AK5-1</f>
        <v>0.35000000000000009</v>
      </c>
      <c r="AM41" s="17">
        <f t="shared" ref="AM41" si="133">+AM5/AL5-1</f>
        <v>0.35517216183570288</v>
      </c>
      <c r="AN41" s="17">
        <f t="shared" ref="AN41" si="134">+AN5/AM5-1</f>
        <v>0.30000000000000004</v>
      </c>
      <c r="AO41" s="17">
        <f t="shared" ref="AO41" si="135">+AO5/AN5-1</f>
        <v>0.25</v>
      </c>
      <c r="AP41" s="17">
        <f t="shared" ref="AP41" si="136">+AP5/AO5-1</f>
        <v>0.19999999999999996</v>
      </c>
      <c r="AQ41" s="17">
        <f t="shared" ref="AQ41" si="137">+AQ5/AP5-1</f>
        <v>0.19999999999999996</v>
      </c>
      <c r="AR41" s="17">
        <f t="shared" ref="AR41" si="138">+AR5/AQ5-1</f>
        <v>0.14999999999999991</v>
      </c>
      <c r="AS41" s="17">
        <f t="shared" ref="AS41" si="139">+AS5/AR5-1</f>
        <v>0.10000000000000009</v>
      </c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</row>
    <row r="42" spans="2:101">
      <c r="B42" s="13" t="s">
        <v>68</v>
      </c>
      <c r="C42" s="12"/>
      <c r="D42" s="12"/>
      <c r="E42" s="12"/>
      <c r="F42" s="12"/>
      <c r="G42" s="12"/>
      <c r="H42" s="12"/>
      <c r="I42" s="12"/>
      <c r="J42" s="12"/>
      <c r="K42" s="20">
        <f t="shared" ref="K42" si="140">+K10/G10-1</f>
        <v>0.33101713811610356</v>
      </c>
      <c r="L42" s="20">
        <f t="shared" ref="L42" si="141">+L10/H10-1</f>
        <v>-5.4866280672732248E-2</v>
      </c>
      <c r="M42" s="20">
        <f t="shared" ref="M42" si="142">+M10/I10-1</f>
        <v>0.50835629972440333</v>
      </c>
      <c r="N42" s="20">
        <f t="shared" ref="N42" si="143">+N10/J10-1</f>
        <v>0.71375046476818782</v>
      </c>
      <c r="O42" s="20">
        <f t="shared" ref="O42" si="144">+O10/K10-1</f>
        <v>0.75644771700171409</v>
      </c>
      <c r="P42" s="20">
        <f t="shared" ref="P42" si="145">+P10/L10-1</f>
        <v>1.5090067094515751</v>
      </c>
      <c r="Q42" s="20">
        <f t="shared" ref="Q42" si="146">+Q10/M10-1</f>
        <v>0.63975150996993846</v>
      </c>
      <c r="R42" s="20">
        <f t="shared" ref="R42:W42" si="147">+R10/N10-1</f>
        <v>0.7014080119272128</v>
      </c>
      <c r="S42" s="20">
        <f t="shared" si="147"/>
        <v>0.69352549102241356</v>
      </c>
      <c r="T42" s="20">
        <f t="shared" si="147"/>
        <v>0.25268262434539124</v>
      </c>
      <c r="U42" s="20">
        <f t="shared" si="147"/>
        <v>0.53863587626091669</v>
      </c>
      <c r="V42" s="20">
        <f t="shared" si="147"/>
        <v>0.43768310227569973</v>
      </c>
      <c r="W42" s="20">
        <f t="shared" si="147"/>
        <v>0.44334609226376598</v>
      </c>
      <c r="X42" s="20"/>
      <c r="Y42" s="20"/>
      <c r="Z42" s="20"/>
      <c r="AA42" s="13"/>
      <c r="AB42" s="13"/>
      <c r="AC42" s="13"/>
      <c r="AD42" s="13"/>
      <c r="AE42" s="13"/>
      <c r="AF42" s="13"/>
      <c r="AG42" s="13"/>
      <c r="AH42" s="13"/>
      <c r="AI42" s="17">
        <f t="shared" ref="AI42:AJ42" si="148">+AI10/AH10-1</f>
        <v>0.39565262627590125</v>
      </c>
      <c r="AJ42" s="17">
        <f t="shared" si="148"/>
        <v>0.8252981439448186</v>
      </c>
      <c r="AK42" s="17">
        <f>+AK10/AJ10-1</f>
        <v>0.47203204567389845</v>
      </c>
      <c r="AL42" s="17">
        <f>+AL10/AK10-1</f>
        <v>0.35000000000000009</v>
      </c>
      <c r="AM42" s="17">
        <f t="shared" ref="AM42" si="149">+AM10/AL10-1</f>
        <v>0.30000000000000004</v>
      </c>
      <c r="AN42" s="17">
        <f t="shared" ref="AN42" si="150">+AN10/AM10-1</f>
        <v>0.30000000000000004</v>
      </c>
      <c r="AO42" s="17">
        <f t="shared" ref="AO42" si="151">+AO10/AN10-1</f>
        <v>0.25</v>
      </c>
      <c r="AP42" s="17">
        <f t="shared" ref="AP42" si="152">+AP10/AO10-1</f>
        <v>0.19999999999999996</v>
      </c>
      <c r="AQ42" s="17">
        <f t="shared" ref="AQ42" si="153">+AQ10/AP10-1</f>
        <v>0.19999999999999996</v>
      </c>
      <c r="AR42" s="17">
        <f t="shared" ref="AR42" si="154">+AR10/AQ10-1</f>
        <v>0.14999999999999991</v>
      </c>
      <c r="AS42" s="17">
        <f t="shared" ref="AS42" si="155">+AS10/AR10-1</f>
        <v>0.10000000000000009</v>
      </c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</row>
    <row r="43" spans="2:101">
      <c r="B43" s="13" t="s">
        <v>69</v>
      </c>
      <c r="C43" s="12"/>
      <c r="D43" s="12"/>
      <c r="E43" s="12"/>
      <c r="F43" s="12"/>
      <c r="G43" s="12"/>
      <c r="H43" s="12"/>
      <c r="I43" s="12"/>
      <c r="J43" s="12"/>
      <c r="K43" s="20">
        <f t="shared" ref="K43:O43" si="156">K14/G14-1</f>
        <v>0.39441436306640076</v>
      </c>
      <c r="L43" s="20">
        <f t="shared" si="156"/>
        <v>-4.9729102167182626E-2</v>
      </c>
      <c r="M43" s="20">
        <f t="shared" si="156"/>
        <v>0.43141075604053003</v>
      </c>
      <c r="N43" s="20">
        <f t="shared" si="156"/>
        <v>0.4053394107113788</v>
      </c>
      <c r="O43" s="20">
        <f t="shared" si="156"/>
        <v>0.67320662170447587</v>
      </c>
      <c r="P43" s="20">
        <f>P14/L14-1</f>
        <v>0.9385053960496843</v>
      </c>
      <c r="Q43" s="20">
        <f t="shared" ref="Q43" si="157">Q14/M14-1</f>
        <v>0.55091206098557044</v>
      </c>
      <c r="R43" s="20">
        <f>R14/N14-1</f>
        <v>0.74041468782578468</v>
      </c>
      <c r="S43" s="20">
        <f t="shared" ref="S43:U43" si="158">S14/O14-1</f>
        <v>0.89495541712470983</v>
      </c>
      <c r="T43" s="20">
        <f t="shared" si="158"/>
        <v>0.43592436974789917</v>
      </c>
      <c r="U43" s="20">
        <f t="shared" si="158"/>
        <v>0.561046256473273</v>
      </c>
      <c r="V43" s="20">
        <f t="shared" ref="V43" si="159">V14/R14-1</f>
        <v>0.39999999999999991</v>
      </c>
      <c r="W43" s="20">
        <f>W14/S14-1</f>
        <v>0.21683640582699493</v>
      </c>
      <c r="X43" s="20">
        <f t="shared" ref="X43" si="160">X14/T14-1</f>
        <v>0.39999999999999991</v>
      </c>
      <c r="Y43" s="20">
        <f t="shared" ref="Y43" si="161">Y14/U14-1</f>
        <v>0.39999999999999991</v>
      </c>
      <c r="Z43" s="20">
        <f t="shared" ref="Z43" si="162">Z14/V14-1</f>
        <v>0.39999999999999991</v>
      </c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 t="s">
        <v>70</v>
      </c>
      <c r="AV43" s="17">
        <v>-0.01</v>
      </c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</row>
    <row r="44" spans="2:101">
      <c r="B44" s="13" t="s">
        <v>71</v>
      </c>
      <c r="C44" s="20"/>
      <c r="D44" s="20"/>
      <c r="E44" s="20"/>
      <c r="F44" s="20"/>
      <c r="G44" s="20">
        <f t="shared" ref="G44:K44" si="163">G22/G14</f>
        <v>0.18609290396124251</v>
      </c>
      <c r="H44" s="20">
        <f t="shared" si="163"/>
        <v>0.17685758513931887</v>
      </c>
      <c r="I44" s="20">
        <f t="shared" si="163"/>
        <v>0.21784879189399844</v>
      </c>
      <c r="J44" s="20">
        <f t="shared" si="163"/>
        <v>0.21618101904606871</v>
      </c>
      <c r="K44" s="20">
        <f t="shared" si="163"/>
        <v>0.2440220723482526</v>
      </c>
      <c r="L44" s="20">
        <f t="shared" ref="L44" si="164">L22/L14</f>
        <v>0.24373854612095297</v>
      </c>
      <c r="M44" s="20">
        <f t="shared" ref="M44" si="165">M22/M14</f>
        <v>0.27021508303838826</v>
      </c>
      <c r="N44" s="20">
        <f t="shared" ref="N44:U44" si="166">N22/N14</f>
        <v>0.19819298042395458</v>
      </c>
      <c r="O44" s="20">
        <f t="shared" si="166"/>
        <v>0.21131061438866497</v>
      </c>
      <c r="P44" s="20">
        <f t="shared" si="166"/>
        <v>0.25220588235294117</v>
      </c>
      <c r="Q44" s="20">
        <f t="shared" si="166"/>
        <v>0.28464846835776353</v>
      </c>
      <c r="R44" s="20">
        <f t="shared" si="166"/>
        <v>0.28858569051580701</v>
      </c>
      <c r="S44" s="20">
        <f t="shared" si="166"/>
        <v>0.29650638133298957</v>
      </c>
      <c r="T44" s="20">
        <f t="shared" si="166"/>
        <v>0.25727871250914414</v>
      </c>
      <c r="U44" s="20">
        <f t="shared" si="166"/>
        <v>0.26348046106269329</v>
      </c>
      <c r="V44" s="20">
        <f t="shared" ref="V44:Z44" si="167">V22/V14</f>
        <v>0.26631804135963871</v>
      </c>
      <c r="W44" s="20">
        <f>W22/W14</f>
        <v>0.1830702404915775</v>
      </c>
      <c r="X44" s="20">
        <f t="shared" si="167"/>
        <v>0.25</v>
      </c>
      <c r="Y44" s="20">
        <f t="shared" si="167"/>
        <v>0.25</v>
      </c>
      <c r="Z44" s="20">
        <f t="shared" si="167"/>
        <v>0.25000000000000006</v>
      </c>
      <c r="AA44" s="13"/>
      <c r="AB44" s="13"/>
      <c r="AC44" s="13"/>
      <c r="AD44" s="13"/>
      <c r="AE44" s="13"/>
      <c r="AF44" s="13"/>
      <c r="AG44" s="13"/>
      <c r="AH44" s="13"/>
      <c r="AI44" s="20">
        <f t="shared" ref="AI44:AM44" si="168">AI22/AI14</f>
        <v>0</v>
      </c>
      <c r="AJ44" s="20">
        <f t="shared" si="168"/>
        <v>0</v>
      </c>
      <c r="AK44" s="20">
        <f t="shared" si="168"/>
        <v>0.27064584436209632</v>
      </c>
      <c r="AL44" s="20">
        <f t="shared" si="168"/>
        <v>0.23632042787233121</v>
      </c>
      <c r="AM44" s="20">
        <f t="shared" si="168"/>
        <v>0</v>
      </c>
      <c r="AN44" s="13"/>
      <c r="AO44" s="13"/>
      <c r="AP44" s="13"/>
      <c r="AQ44" s="13"/>
      <c r="AR44" s="13"/>
      <c r="AS44" s="13"/>
      <c r="AT44" s="13"/>
      <c r="AU44" s="13" t="s">
        <v>72</v>
      </c>
      <c r="AV44" s="21">
        <v>0.08</v>
      </c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</row>
    <row r="45" spans="2:101">
      <c r="B45" s="13" t="s">
        <v>56</v>
      </c>
      <c r="C45" s="20"/>
      <c r="D45" s="20"/>
      <c r="E45" s="20"/>
      <c r="F45" s="20"/>
      <c r="G45" s="20">
        <f t="shared" ref="G45:K45" si="169">+G28/G20</f>
        <v>0.1246421493063202</v>
      </c>
      <c r="H45" s="20">
        <f t="shared" si="169"/>
        <v>0.14503937007874015</v>
      </c>
      <c r="I45" s="20">
        <f t="shared" si="169"/>
        <v>0.18895763921941933</v>
      </c>
      <c r="J45" s="20">
        <f t="shared" si="169"/>
        <v>0.18838028169014084</v>
      </c>
      <c r="K45" s="20">
        <f t="shared" si="169"/>
        <v>0.20618212197159566</v>
      </c>
      <c r="L45" s="20">
        <f t="shared" ref="L45" si="170">+L28/L20</f>
        <v>0.20990722332670642</v>
      </c>
      <c r="M45" s="20">
        <f t="shared" ref="M45" si="171">+M28/M20</f>
        <v>0.23520693193478509</v>
      </c>
      <c r="N45" s="20">
        <f>+N28/N20</f>
        <v>0.19229337304542071</v>
      </c>
      <c r="O45" s="20">
        <f t="shared" ref="O45:Z45" si="172">+O28/O20</f>
        <v>0.21320627586870727</v>
      </c>
      <c r="P45" s="20">
        <f t="shared" si="172"/>
        <v>0.24117745442381669</v>
      </c>
      <c r="Q45" s="20">
        <f t="shared" si="172"/>
        <v>0.26604637639020134</v>
      </c>
      <c r="R45" s="20">
        <f t="shared" si="172"/>
        <v>0.27354816863254133</v>
      </c>
      <c r="S45" s="20">
        <f t="shared" si="172"/>
        <v>0.29110684580934099</v>
      </c>
      <c r="T45" s="20">
        <f t="shared" si="172"/>
        <v>0.24997047360340144</v>
      </c>
      <c r="U45" s="20">
        <f t="shared" si="172"/>
        <v>0.25086231005873033</v>
      </c>
      <c r="V45" s="20">
        <f t="shared" si="172"/>
        <v>0.25257794296679104</v>
      </c>
      <c r="W45" s="20">
        <f t="shared" si="172"/>
        <v>0.19336448197522396</v>
      </c>
      <c r="X45" s="20">
        <f t="shared" si="172"/>
        <v>0.25</v>
      </c>
      <c r="Y45" s="20">
        <f t="shared" si="172"/>
        <v>0.25</v>
      </c>
      <c r="Z45" s="20">
        <f t="shared" si="172"/>
        <v>0.25</v>
      </c>
      <c r="AA45" s="13"/>
      <c r="AB45" s="13"/>
      <c r="AC45" s="13"/>
      <c r="AD45" s="13"/>
      <c r="AE45" s="13"/>
      <c r="AF45" s="13"/>
      <c r="AG45" s="13"/>
      <c r="AH45" s="13"/>
      <c r="AI45" s="20">
        <f t="shared" ref="AI45:AM45" si="173">+AI28/AI20</f>
        <v>0</v>
      </c>
      <c r="AJ45" s="20">
        <f t="shared" si="173"/>
        <v>0</v>
      </c>
      <c r="AK45" s="20">
        <f t="shared" si="173"/>
        <v>0.25</v>
      </c>
      <c r="AL45" s="20">
        <f t="shared" si="173"/>
        <v>0.23818217368219946</v>
      </c>
      <c r="AM45" s="20">
        <f t="shared" si="173"/>
        <v>0.21094911653891116</v>
      </c>
      <c r="AN45" s="13"/>
      <c r="AO45" s="13"/>
      <c r="AP45" s="13"/>
      <c r="AQ45" s="13"/>
      <c r="AR45" s="13"/>
      <c r="AS45" s="13"/>
      <c r="AT45" s="13"/>
      <c r="AU45" s="13" t="s">
        <v>73</v>
      </c>
      <c r="AV45" s="14">
        <f>NPV(AV44,AM36:CW36)+Main!K5-Main!K6</f>
        <v>1207710.564308471</v>
      </c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</row>
    <row r="46" spans="2:101">
      <c r="B46" s="13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20"/>
      <c r="S46" s="20"/>
      <c r="T46" s="20"/>
      <c r="U46" s="20"/>
      <c r="V46" s="20"/>
      <c r="W46" s="20"/>
      <c r="X46" s="20"/>
      <c r="Y46" s="20"/>
      <c r="Z46" s="20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 t="s">
        <v>74</v>
      </c>
      <c r="AV46" s="17">
        <v>0.03</v>
      </c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</row>
    <row r="47" spans="2:101">
      <c r="B47" s="13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 t="s">
        <v>75</v>
      </c>
      <c r="AV47" s="19">
        <f>AV45/Main!K3</f>
        <v>382.45891146119766</v>
      </c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</row>
    <row r="48" spans="2:101" s="3" customFormat="1">
      <c r="B48" s="14" t="s">
        <v>76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>
        <f t="shared" ref="M48:R48" si="174">M36</f>
        <v>300</v>
      </c>
      <c r="N48" s="16">
        <f t="shared" si="174"/>
        <v>270</v>
      </c>
      <c r="O48" s="16">
        <f t="shared" si="174"/>
        <v>337</v>
      </c>
      <c r="P48" s="16">
        <f t="shared" si="174"/>
        <v>1165</v>
      </c>
      <c r="Q48" s="16">
        <f t="shared" si="174"/>
        <v>1669</v>
      </c>
      <c r="R48" s="16">
        <f t="shared" si="174"/>
        <v>2321</v>
      </c>
      <c r="S48" s="16">
        <f>S36</f>
        <v>3318</v>
      </c>
      <c r="T48" s="16">
        <f>T36</f>
        <v>2348</v>
      </c>
      <c r="U48" s="16">
        <f>U36</f>
        <v>3331</v>
      </c>
      <c r="V48" s="16">
        <f t="shared" ref="V48:Z48" si="175">V36</f>
        <v>3468.7999999999984</v>
      </c>
      <c r="W48" s="16">
        <f t="shared" si="175"/>
        <v>2539</v>
      </c>
      <c r="X48" s="16">
        <f t="shared" si="175"/>
        <v>3515.9400000000005</v>
      </c>
      <c r="Y48" s="16">
        <f t="shared" si="175"/>
        <v>4862.5200000000013</v>
      </c>
      <c r="Z48" s="16">
        <f t="shared" si="175"/>
        <v>4930.1549999999997</v>
      </c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7">
        <f>AV47/Main!K2-1</f>
        <v>1.3179327967345311</v>
      </c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</row>
    <row r="49" spans="2:45" s="3" customFormat="1">
      <c r="B49" s="14" t="s">
        <v>77</v>
      </c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>
        <v>296</v>
      </c>
      <c r="O49" s="16">
        <v>464</v>
      </c>
      <c r="P49" s="16">
        <v>1178</v>
      </c>
      <c r="Q49" s="16">
        <v>1659</v>
      </c>
      <c r="R49" s="16">
        <v>2343</v>
      </c>
      <c r="S49" s="16">
        <v>3280</v>
      </c>
      <c r="T49" s="16">
        <v>2269</v>
      </c>
      <c r="U49" s="16">
        <f>8880-T49-S49</f>
        <v>3331</v>
      </c>
      <c r="V49" s="16">
        <v>3707</v>
      </c>
      <c r="W49" s="16">
        <v>2539</v>
      </c>
      <c r="X49" s="16"/>
      <c r="Y49" s="16"/>
      <c r="Z49" s="16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</row>
    <row r="50" spans="2:45" s="3" customFormat="1">
      <c r="B50" s="14" t="s">
        <v>78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>
        <v>618</v>
      </c>
      <c r="O50" s="16">
        <v>621</v>
      </c>
      <c r="P50" s="16">
        <v>681</v>
      </c>
      <c r="Q50" s="16">
        <v>761</v>
      </c>
      <c r="R50" s="16">
        <v>848</v>
      </c>
      <c r="S50" s="16">
        <v>880</v>
      </c>
      <c r="T50" s="16">
        <v>922</v>
      </c>
      <c r="U50" s="16">
        <f>2758-T50-S50</f>
        <v>956</v>
      </c>
      <c r="V50" s="16">
        <v>989</v>
      </c>
      <c r="W50" s="16">
        <v>1046</v>
      </c>
      <c r="X50" s="16"/>
      <c r="Y50" s="16"/>
      <c r="Z50" s="16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</row>
    <row r="51" spans="2:45" s="3" customFormat="1">
      <c r="B51" s="14" t="s">
        <v>79</v>
      </c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>
        <v>633</v>
      </c>
      <c r="O51" s="16">
        <v>614</v>
      </c>
      <c r="P51" s="16">
        <v>474</v>
      </c>
      <c r="Q51" s="16">
        <v>475</v>
      </c>
      <c r="R51" s="16">
        <v>558</v>
      </c>
      <c r="S51" s="16">
        <v>418</v>
      </c>
      <c r="T51" s="16">
        <v>361</v>
      </c>
      <c r="U51" s="16">
        <f>1141-T51-S51</f>
        <v>362</v>
      </c>
      <c r="V51" s="16">
        <v>419</v>
      </c>
      <c r="W51" s="16">
        <v>418</v>
      </c>
      <c r="X51" s="16"/>
      <c r="Y51" s="16"/>
      <c r="Z51" s="16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</row>
    <row r="52" spans="2:45" s="3" customFormat="1">
      <c r="B52" s="14" t="s">
        <v>80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>
        <v>33</v>
      </c>
      <c r="T52" s="16"/>
      <c r="U52" s="16">
        <f>118-T52-S52</f>
        <v>85</v>
      </c>
      <c r="V52" s="16"/>
      <c r="W52" s="16"/>
      <c r="X52" s="16"/>
      <c r="Y52" s="16"/>
      <c r="Z52" s="16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</row>
    <row r="53" spans="2:45" s="3" customFormat="1">
      <c r="B53" s="14" t="s">
        <v>81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>
        <v>230</v>
      </c>
      <c r="O53" s="16">
        <v>-46</v>
      </c>
      <c r="P53" s="16">
        <v>115</v>
      </c>
      <c r="Q53" s="16">
        <v>253</v>
      </c>
      <c r="R53" s="16">
        <v>-19</v>
      </c>
      <c r="S53" s="16">
        <v>-30</v>
      </c>
      <c r="T53" s="16">
        <v>145</v>
      </c>
      <c r="U53" s="16">
        <f>1-T53-S53</f>
        <v>-114</v>
      </c>
      <c r="V53" s="16">
        <v>354</v>
      </c>
      <c r="W53" s="16">
        <v>40</v>
      </c>
      <c r="X53" s="16">
        <v>0</v>
      </c>
      <c r="Y53" s="16"/>
      <c r="Z53" s="16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</row>
    <row r="54" spans="2:45" s="3" customFormat="1">
      <c r="B54" s="14" t="s">
        <v>82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>
        <v>16</v>
      </c>
      <c r="T54" s="16"/>
      <c r="U54" s="16">
        <f>159-T54-S54</f>
        <v>143</v>
      </c>
      <c r="V54" s="16"/>
      <c r="W54" s="16"/>
      <c r="X54" s="16"/>
      <c r="Y54" s="16"/>
      <c r="Z54" s="16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</row>
    <row r="55" spans="2:45" s="3" customFormat="1">
      <c r="B55" s="14" t="s">
        <v>83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>
        <f>106-T55-S55</f>
        <v>106</v>
      </c>
      <c r="V55" s="16"/>
      <c r="W55" s="16"/>
      <c r="X55" s="16"/>
      <c r="Y55" s="16"/>
      <c r="Z55" s="16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</row>
    <row r="56" spans="2:45" s="3" customFormat="1">
      <c r="B56" s="14" t="s">
        <v>84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>
        <v>1242</v>
      </c>
      <c r="O56" s="16">
        <v>-12</v>
      </c>
      <c r="P56" s="16">
        <v>-324</v>
      </c>
      <c r="Q56" s="16">
        <v>-1</v>
      </c>
      <c r="R56" s="16">
        <v>855</v>
      </c>
      <c r="S56" s="16">
        <f>-409-633-462-289-611+997+287+204+314</f>
        <v>-602</v>
      </c>
      <c r="T56" s="16">
        <v>-1346</v>
      </c>
      <c r="U56" s="16">
        <f>-426-4492-1136-865-1580+4659+856+251+1016-T56-S56</f>
        <v>231</v>
      </c>
      <c r="V56" s="16">
        <v>-2191</v>
      </c>
      <c r="W56" s="16">
        <v>-1530</v>
      </c>
      <c r="X56" s="16"/>
      <c r="Y56" s="16"/>
      <c r="Z56" s="16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</row>
    <row r="57" spans="2:45" s="3" customFormat="1">
      <c r="B57" s="14" t="s">
        <v>85</v>
      </c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>
        <f t="shared" ref="N57:R57" si="176">SUM(N49:N56)</f>
        <v>3019</v>
      </c>
      <c r="O57" s="16">
        <f t="shared" si="176"/>
        <v>1641</v>
      </c>
      <c r="P57" s="16">
        <f t="shared" si="176"/>
        <v>2124</v>
      </c>
      <c r="Q57" s="16">
        <f t="shared" si="176"/>
        <v>3147</v>
      </c>
      <c r="R57" s="16">
        <f t="shared" si="176"/>
        <v>4585</v>
      </c>
      <c r="S57" s="16">
        <f>SUM(S49:S56)</f>
        <v>3995</v>
      </c>
      <c r="T57" s="16">
        <f>SUM(T49:T56)</f>
        <v>2351</v>
      </c>
      <c r="U57" s="16">
        <f>SUM(U49:U56)</f>
        <v>5100</v>
      </c>
      <c r="V57" s="16">
        <f>SUM(V49:V56)</f>
        <v>3278</v>
      </c>
      <c r="W57" s="16">
        <f>SUM(W49:W56)</f>
        <v>2513</v>
      </c>
      <c r="X57" s="16"/>
      <c r="Y57" s="16"/>
      <c r="Z57" s="16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</row>
    <row r="58" spans="2:45" s="3" customFormat="1">
      <c r="B58" s="14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</row>
    <row r="59" spans="2:45" s="3" customFormat="1">
      <c r="B59" s="14" t="s">
        <v>86</v>
      </c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>
        <v>1151</v>
      </c>
      <c r="O59" s="16">
        <v>1348</v>
      </c>
      <c r="P59" s="16">
        <v>1505</v>
      </c>
      <c r="Q59" s="16">
        <v>1819</v>
      </c>
      <c r="R59" s="16">
        <v>1810</v>
      </c>
      <c r="S59" s="16">
        <v>1767</v>
      </c>
      <c r="T59" s="16">
        <f>3497-S59</f>
        <v>1730</v>
      </c>
      <c r="U59" s="16">
        <f>5300-T59-S59</f>
        <v>1803</v>
      </c>
      <c r="V59" s="16">
        <v>1858</v>
      </c>
      <c r="W59" s="16">
        <v>2072</v>
      </c>
      <c r="X59" s="16"/>
      <c r="Y59" s="16"/>
      <c r="Z59" s="16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</row>
    <row r="60" spans="2:45" s="3" customFormat="1">
      <c r="B60" s="14" t="s">
        <v>87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>
        <f>N57-N59</f>
        <v>1868</v>
      </c>
      <c r="O60" s="16">
        <f t="shared" ref="O60:R60" si="177">O57-O59</f>
        <v>293</v>
      </c>
      <c r="P60" s="16">
        <f t="shared" si="177"/>
        <v>619</v>
      </c>
      <c r="Q60" s="16">
        <f t="shared" si="177"/>
        <v>1328</v>
      </c>
      <c r="R60" s="16">
        <f t="shared" si="177"/>
        <v>2775</v>
      </c>
      <c r="S60" s="16">
        <f t="shared" ref="S60" si="178">S57-S59</f>
        <v>2228</v>
      </c>
      <c r="T60" s="16">
        <f>T57-T59</f>
        <v>621</v>
      </c>
      <c r="U60" s="16">
        <f>U57-U59</f>
        <v>3297</v>
      </c>
      <c r="V60" s="16">
        <f>V57-V59</f>
        <v>1420</v>
      </c>
      <c r="W60" s="16">
        <f>W57-W59</f>
        <v>441</v>
      </c>
      <c r="X60" s="16"/>
      <c r="Y60" s="16"/>
      <c r="Z60" s="16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</row>
    <row r="61" spans="2:45" s="3" customFormat="1">
      <c r="B61" s="14" t="s">
        <v>88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>
        <f t="shared" ref="Q61:W61" si="179">SUM(N60:Q60)</f>
        <v>4108</v>
      </c>
      <c r="R61" s="16">
        <f t="shared" si="179"/>
        <v>5015</v>
      </c>
      <c r="S61" s="16">
        <f t="shared" si="179"/>
        <v>6950</v>
      </c>
      <c r="T61" s="16">
        <f t="shared" si="179"/>
        <v>6952</v>
      </c>
      <c r="U61" s="16">
        <f t="shared" si="179"/>
        <v>8921</v>
      </c>
      <c r="V61" s="16">
        <f t="shared" si="179"/>
        <v>7566</v>
      </c>
      <c r="W61" s="16">
        <f t="shared" si="179"/>
        <v>5779</v>
      </c>
      <c r="X61" s="16"/>
      <c r="Y61" s="16"/>
      <c r="Z61" s="16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</row>
    <row r="62" spans="2:45" s="3" customFormat="1">
      <c r="B62" s="14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</row>
    <row r="63" spans="2:45" s="3" customFormat="1">
      <c r="B63" s="14" t="s">
        <v>89</v>
      </c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>
        <f>W64-W81</f>
        <v>19726</v>
      </c>
      <c r="X63" s="16">
        <f t="shared" ref="X63:Z63" si="180">X64-X81</f>
        <v>23241.940000000002</v>
      </c>
      <c r="Y63" s="16">
        <f t="shared" si="180"/>
        <v>28104.460000000003</v>
      </c>
      <c r="Z63" s="16">
        <f t="shared" si="180"/>
        <v>33034.615000000005</v>
      </c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>
        <f>Z63</f>
        <v>33034.615000000005</v>
      </c>
      <c r="AM63" s="14">
        <f>AL63+AM36</f>
        <v>50607.914857986601</v>
      </c>
      <c r="AN63" s="14">
        <f t="shared" ref="AN63:AS63" si="181">AM63+AN36</f>
        <v>81498.153955044894</v>
      </c>
      <c r="AO63" s="14">
        <f t="shared" si="181"/>
        <v>127602.15208270708</v>
      </c>
      <c r="AP63" s="14">
        <f t="shared" si="181"/>
        <v>191410.67808016553</v>
      </c>
      <c r="AQ63" s="14">
        <f t="shared" si="181"/>
        <v>278009.78617729852</v>
      </c>
      <c r="AR63" s="14">
        <f t="shared" si="181"/>
        <v>388919.00170094747</v>
      </c>
      <c r="AS63" s="14">
        <f t="shared" si="181"/>
        <v>523408.26267566043</v>
      </c>
    </row>
    <row r="64" spans="2:45" s="3" customFormat="1">
      <c r="B64" s="14" t="s">
        <v>4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>
        <f>17576+131</f>
        <v>17707</v>
      </c>
      <c r="T64" s="16">
        <f>18324+591</f>
        <v>18915</v>
      </c>
      <c r="U64" s="16">
        <f>19532+1575</f>
        <v>21107</v>
      </c>
      <c r="V64" s="16"/>
      <c r="W64" s="16">
        <f>22402</f>
        <v>22402</v>
      </c>
      <c r="X64" s="16">
        <f>W64+X36</f>
        <v>25917.940000000002</v>
      </c>
      <c r="Y64" s="16">
        <f t="shared" ref="Y64:Z64" si="182">X64+Y36</f>
        <v>30780.460000000003</v>
      </c>
      <c r="Z64" s="16">
        <f t="shared" si="182"/>
        <v>35710.615000000005</v>
      </c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</row>
    <row r="65" spans="2:26" s="3" customFormat="1">
      <c r="B65" s="14" t="s">
        <v>90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>
        <v>1913</v>
      </c>
      <c r="T65" s="16">
        <v>2081</v>
      </c>
      <c r="U65" s="16">
        <v>2192</v>
      </c>
      <c r="V65" s="16"/>
      <c r="W65" s="16">
        <v>2993</v>
      </c>
      <c r="X65" s="16"/>
      <c r="Y65" s="16"/>
      <c r="Z65" s="16"/>
    </row>
    <row r="66" spans="2:26" s="3" customFormat="1">
      <c r="B66" s="14" t="s">
        <v>80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>
        <v>5757</v>
      </c>
      <c r="T66" s="16">
        <v>8108</v>
      </c>
      <c r="U66" s="16">
        <v>10327</v>
      </c>
      <c r="V66" s="16"/>
      <c r="W66" s="16">
        <v>14375</v>
      </c>
      <c r="X66" s="16"/>
      <c r="Y66" s="16"/>
      <c r="Z66" s="16"/>
    </row>
    <row r="67" spans="2:26" s="3" customFormat="1">
      <c r="B67" s="14" t="s">
        <v>91</v>
      </c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>
        <v>1723</v>
      </c>
      <c r="T67" s="16">
        <v>2118</v>
      </c>
      <c r="U67" s="16">
        <v>2364</v>
      </c>
      <c r="V67" s="16"/>
      <c r="W67" s="16">
        <v>3227</v>
      </c>
      <c r="X67" s="16"/>
      <c r="Y67" s="16"/>
      <c r="Z67" s="16"/>
    </row>
    <row r="68" spans="2:26" s="3" customFormat="1">
      <c r="B68" s="14" t="s">
        <v>92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>
        <v>4511</v>
      </c>
      <c r="T68" s="16">
        <v>4782</v>
      </c>
      <c r="U68" s="16">
        <v>4824</v>
      </c>
      <c r="V68" s="16"/>
      <c r="W68" s="16">
        <v>5473</v>
      </c>
      <c r="X68" s="16"/>
      <c r="Y68" s="16"/>
      <c r="Z68" s="16"/>
    </row>
    <row r="69" spans="2:26" s="3" customFormat="1">
      <c r="B69" s="14" t="s">
        <v>93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>
        <v>5765</v>
      </c>
      <c r="T69" s="16">
        <v>5624</v>
      </c>
      <c r="U69" s="16">
        <v>5562</v>
      </c>
      <c r="V69" s="16"/>
      <c r="W69" s="16">
        <v>5427</v>
      </c>
      <c r="X69" s="16"/>
      <c r="Y69" s="16"/>
      <c r="Z69" s="16"/>
    </row>
    <row r="70" spans="2:26" s="3" customFormat="1">
      <c r="B70" s="14" t="s">
        <v>94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>
        <v>18884</v>
      </c>
      <c r="T70" s="16">
        <v>21093</v>
      </c>
      <c r="U70" s="16">
        <v>21926</v>
      </c>
      <c r="V70" s="16"/>
      <c r="W70" s="16">
        <v>24969</v>
      </c>
      <c r="X70" s="16"/>
      <c r="Y70" s="16"/>
      <c r="Z70" s="16"/>
    </row>
    <row r="71" spans="2:26" s="3" customFormat="1">
      <c r="B71" s="14" t="s">
        <v>95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>
        <v>2016</v>
      </c>
      <c r="T71" s="16">
        <v>2185</v>
      </c>
      <c r="U71" s="16">
        <v>2251</v>
      </c>
      <c r="V71" s="16"/>
      <c r="W71" s="16">
        <v>2800</v>
      </c>
      <c r="X71" s="16"/>
      <c r="Y71" s="16"/>
      <c r="Z71" s="16"/>
    </row>
    <row r="72" spans="2:26" s="3" customFormat="1">
      <c r="B72" s="14" t="s">
        <v>83</v>
      </c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>
        <v>1260</v>
      </c>
      <c r="T72" s="16">
        <v>218</v>
      </c>
      <c r="U72" s="16">
        <v>218</v>
      </c>
      <c r="V72" s="16"/>
      <c r="W72" s="16">
        <v>184</v>
      </c>
      <c r="X72" s="16"/>
      <c r="Y72" s="16"/>
      <c r="Z72" s="16"/>
    </row>
    <row r="73" spans="2:26" s="3" customFormat="1">
      <c r="B73" s="14" t="s">
        <v>96</v>
      </c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>
        <v>457</v>
      </c>
      <c r="T73" s="16">
        <f>241+196</f>
        <v>437</v>
      </c>
      <c r="U73" s="16">
        <f>228+191</f>
        <v>419</v>
      </c>
      <c r="V73" s="16"/>
      <c r="W73" s="16">
        <v>399</v>
      </c>
      <c r="X73" s="16"/>
      <c r="Y73" s="16"/>
      <c r="Z73" s="16"/>
    </row>
    <row r="74" spans="2:26" s="3" customFormat="1">
      <c r="B74" s="14" t="s">
        <v>97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>
        <v>2138</v>
      </c>
      <c r="T74" s="16">
        <v>2952</v>
      </c>
      <c r="U74" s="16">
        <v>3236</v>
      </c>
      <c r="V74" s="16"/>
      <c r="W74" s="16">
        <v>4584</v>
      </c>
      <c r="X74" s="16"/>
      <c r="Y74" s="16"/>
      <c r="Z74" s="16"/>
    </row>
    <row r="75" spans="2:26" s="3" customFormat="1">
      <c r="B75" s="14" t="s">
        <v>98</v>
      </c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>
        <f>SUM(S64:S74)</f>
        <v>62131</v>
      </c>
      <c r="T75" s="16">
        <f t="shared" ref="T75:W75" si="183">SUM(T64:T74)</f>
        <v>68513</v>
      </c>
      <c r="U75" s="16">
        <f t="shared" si="183"/>
        <v>74426</v>
      </c>
      <c r="V75" s="16">
        <f t="shared" si="183"/>
        <v>0</v>
      </c>
      <c r="W75" s="16">
        <f t="shared" si="183"/>
        <v>86833</v>
      </c>
      <c r="X75" s="16"/>
      <c r="Y75" s="16"/>
      <c r="Z75" s="16"/>
    </row>
    <row r="76" spans="2:26">
      <c r="B76" s="13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6"/>
      <c r="T76" s="16"/>
      <c r="U76" s="16"/>
      <c r="V76" s="12"/>
      <c r="W76" s="12"/>
      <c r="X76" s="12"/>
      <c r="Y76" s="12"/>
      <c r="Z76" s="12"/>
    </row>
    <row r="77" spans="2:26">
      <c r="B77" s="13" t="s">
        <v>99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6">
        <v>10025</v>
      </c>
      <c r="T77" s="16">
        <v>11212</v>
      </c>
      <c r="U77" s="16">
        <v>13897</v>
      </c>
      <c r="V77" s="12"/>
      <c r="W77" s="16">
        <v>15904</v>
      </c>
      <c r="X77" s="12"/>
      <c r="Y77" s="12"/>
      <c r="Z77" s="12"/>
    </row>
    <row r="78" spans="2:26">
      <c r="B78" s="13" t="s">
        <v>100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6">
        <v>5719</v>
      </c>
      <c r="T78" s="16">
        <v>6037</v>
      </c>
      <c r="U78" s="16">
        <v>6246</v>
      </c>
      <c r="V78" s="12"/>
      <c r="W78" s="16">
        <v>7321</v>
      </c>
      <c r="X78" s="12"/>
      <c r="Y78" s="12"/>
      <c r="Z78" s="12"/>
    </row>
    <row r="79" spans="2:26">
      <c r="B79" s="13" t="s">
        <v>101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6">
        <v>1447</v>
      </c>
      <c r="T79" s="16">
        <v>1858</v>
      </c>
      <c r="U79" s="16">
        <v>1928</v>
      </c>
      <c r="V79" s="12"/>
      <c r="W79" s="16">
        <v>1750</v>
      </c>
      <c r="X79" s="12"/>
      <c r="Y79" s="12"/>
      <c r="Z79" s="12"/>
    </row>
    <row r="80" spans="2:26">
      <c r="B80" s="13" t="s">
        <v>102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6">
        <v>925</v>
      </c>
      <c r="T80" s="16">
        <v>1182</v>
      </c>
      <c r="U80" s="16">
        <v>1083</v>
      </c>
      <c r="V80" s="12"/>
      <c r="W80" s="16">
        <v>1057</v>
      </c>
      <c r="X80" s="12"/>
      <c r="Y80" s="12"/>
      <c r="Z80" s="12"/>
    </row>
    <row r="81" spans="2:26">
      <c r="B81" s="13" t="s">
        <v>5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6">
        <f>1589+5245</f>
        <v>6834</v>
      </c>
      <c r="T81" s="16">
        <f>2898+1532</f>
        <v>4430</v>
      </c>
      <c r="U81" s="16">
        <f>2096+1457</f>
        <v>3553</v>
      </c>
      <c r="V81" s="12"/>
      <c r="W81" s="16">
        <f>1404+1272</f>
        <v>2676</v>
      </c>
      <c r="X81" s="16">
        <f>W81</f>
        <v>2676</v>
      </c>
      <c r="Y81" s="16">
        <f>X81</f>
        <v>2676</v>
      </c>
      <c r="Z81" s="16">
        <f>Y81</f>
        <v>2676</v>
      </c>
    </row>
    <row r="82" spans="2:26">
      <c r="B82" s="13" t="s">
        <v>101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6">
        <v>2052</v>
      </c>
      <c r="T82" s="16">
        <v>2210</v>
      </c>
      <c r="U82" s="16">
        <v>2265</v>
      </c>
      <c r="V82" s="12"/>
      <c r="W82" s="16">
        <v>2911</v>
      </c>
      <c r="X82" s="12"/>
      <c r="Y82" s="12"/>
      <c r="Z82" s="12"/>
    </row>
    <row r="83" spans="2:26">
      <c r="B83" s="13" t="s">
        <v>103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6">
        <v>3546</v>
      </c>
      <c r="T83" s="16">
        <v>3926</v>
      </c>
      <c r="U83" s="16">
        <v>4330</v>
      </c>
      <c r="V83" s="12"/>
      <c r="W83" s="16">
        <v>5979</v>
      </c>
      <c r="X83" s="12"/>
      <c r="Y83" s="12"/>
      <c r="Z83" s="12"/>
    </row>
    <row r="84" spans="2:26">
      <c r="B84" s="13" t="s">
        <v>104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6">
        <f>30189+826+568</f>
        <v>31583</v>
      </c>
      <c r="T84" s="16">
        <f>36376+421+861</f>
        <v>37658</v>
      </c>
      <c r="U84" s="16">
        <f>39851+852+421</f>
        <v>41124</v>
      </c>
      <c r="V84" s="12"/>
      <c r="W84" s="16">
        <f>48054+407+774</f>
        <v>49235</v>
      </c>
      <c r="X84" s="12"/>
      <c r="Y84" s="12"/>
      <c r="Z84" s="12"/>
    </row>
    <row r="85" spans="2:26">
      <c r="B85" s="13" t="s">
        <v>105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6">
        <f>SUM(S77:S84)</f>
        <v>62131</v>
      </c>
      <c r="T85" s="16">
        <f t="shared" ref="T85:W85" si="184">SUM(T77:T84)</f>
        <v>68513</v>
      </c>
      <c r="U85" s="16">
        <f t="shared" si="184"/>
        <v>74426</v>
      </c>
      <c r="V85" s="16">
        <f t="shared" si="184"/>
        <v>0</v>
      </c>
      <c r="W85" s="16">
        <f t="shared" si="184"/>
        <v>86833</v>
      </c>
      <c r="X85" s="12"/>
      <c r="Y85" s="12"/>
      <c r="Z85" s="12"/>
    </row>
    <row r="86" spans="2:26">
      <c r="B86" s="13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6"/>
      <c r="T86" s="12"/>
      <c r="U86" s="12"/>
      <c r="V86" s="12"/>
      <c r="W86" s="12"/>
      <c r="X86" s="12"/>
      <c r="Y86" s="12"/>
      <c r="Z86" s="12"/>
    </row>
    <row r="87" spans="2:26">
      <c r="B87" s="13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6"/>
      <c r="T87" s="12"/>
      <c r="U87" s="12"/>
      <c r="V87" s="12"/>
      <c r="W87" s="12"/>
      <c r="X87" s="12"/>
      <c r="Y87" s="12"/>
      <c r="Z87" s="12"/>
    </row>
    <row r="88" spans="2:26">
      <c r="B88" s="13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6"/>
      <c r="T88" s="12"/>
      <c r="U88" s="12"/>
      <c r="V88" s="12"/>
      <c r="W88" s="12"/>
      <c r="X88" s="12"/>
      <c r="Y88" s="12"/>
      <c r="Z88" s="12"/>
    </row>
    <row r="89" spans="2:26">
      <c r="B89" s="13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6"/>
      <c r="T89" s="12"/>
      <c r="U89" s="12"/>
      <c r="V89" s="12"/>
      <c r="W89" s="12"/>
      <c r="X89" s="12"/>
      <c r="Y89" s="12"/>
      <c r="Z89" s="12"/>
    </row>
  </sheetData>
  <hyperlinks>
    <hyperlink ref="A1" location="Main!A1" display="Main" xr:uid="{997EC1A7-4D47-4E8D-919D-603FB3C9B2D7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5FF4-BC21-4380-828B-9AD627B5D152}">
  <dimension ref="A1:D12"/>
  <sheetViews>
    <sheetView zoomScale="160" zoomScaleNormal="160" workbookViewId="0">
      <selection activeCell="D12" sqref="D4:D12"/>
    </sheetView>
  </sheetViews>
  <sheetFormatPr defaultRowHeight="12.75"/>
  <cols>
    <col min="1" max="1" width="5" style="13" bestFit="1" customWidth="1"/>
    <col min="2" max="2" width="9.140625" style="13"/>
    <col min="3" max="3" width="11.7109375" style="13" customWidth="1"/>
    <col min="4" max="16384" width="9.140625" style="13"/>
  </cols>
  <sheetData>
    <row r="1" spans="1:4">
      <c r="A1" s="13" t="s">
        <v>9</v>
      </c>
    </row>
    <row r="4" spans="1:4">
      <c r="B4" s="13" t="s">
        <v>106</v>
      </c>
      <c r="C4" s="13" t="s">
        <v>107</v>
      </c>
      <c r="D4" s="13">
        <v>100000</v>
      </c>
    </row>
    <row r="5" spans="1:4">
      <c r="C5" s="13" t="s">
        <v>108</v>
      </c>
      <c r="D5" s="13">
        <v>550000</v>
      </c>
    </row>
    <row r="6" spans="1:4">
      <c r="B6" s="13" t="s">
        <v>109</v>
      </c>
      <c r="C6" s="13" t="s">
        <v>108</v>
      </c>
      <c r="D6" s="13">
        <v>750000</v>
      </c>
    </row>
    <row r="7" spans="1:4">
      <c r="B7" s="13" t="s">
        <v>110</v>
      </c>
      <c r="C7" s="13" t="s">
        <v>111</v>
      </c>
      <c r="D7" s="13">
        <v>350000</v>
      </c>
    </row>
    <row r="8" spans="1:4">
      <c r="B8" s="13" t="s">
        <v>112</v>
      </c>
      <c r="C8" s="13" t="s">
        <v>111</v>
      </c>
      <c r="D8" s="13">
        <v>250000</v>
      </c>
    </row>
    <row r="9" spans="1:4">
      <c r="C9" s="13" t="s">
        <v>113</v>
      </c>
      <c r="D9" s="13">
        <v>300000</v>
      </c>
    </row>
    <row r="10" spans="1:4">
      <c r="B10" s="13" t="s">
        <v>114</v>
      </c>
      <c r="C10" s="13" t="s">
        <v>115</v>
      </c>
      <c r="D10" s="13">
        <v>300000</v>
      </c>
    </row>
    <row r="11" spans="1:4">
      <c r="C11" s="13" t="s">
        <v>116</v>
      </c>
      <c r="D11" s="13">
        <v>300000</v>
      </c>
    </row>
    <row r="12" spans="1:4">
      <c r="C12" s="13" t="s">
        <v>117</v>
      </c>
      <c r="D12" s="13">
        <v>300000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2024-04-10T18:45:48Z</dcterms:created>
  <dcterms:modified xsi:type="dcterms:W3CDTF">2024-04-10T18:46:03Z</dcterms:modified>
  <cp:category/>
  <cp:contentStatus/>
</cp:coreProperties>
</file>