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b\Desktop\euro2024\unlocked\"/>
    </mc:Choice>
  </mc:AlternateContent>
  <bookViews>
    <workbookView xWindow="0" yWindow="0" windowWidth="28800" windowHeight="11700" tabRatio="500" firstSheet="3" activeTab="3"/>
  </bookViews>
  <sheets>
    <sheet name="T" sheetId="1" state="veryHidden" r:id="rId1"/>
    <sheet name="Settings" sheetId="2" state="veryHidden" r:id="rId2"/>
    <sheet name="3rd Places" sheetId="3" state="veryHidden" r:id="rId3"/>
    <sheet name="UEFA EURO 2024" sheetId="4" r:id="rId4"/>
  </sheets>
  <externalReferences>
    <externalReference r:id="rId5"/>
  </externalReferences>
  <definedNames>
    <definedName name="A_Team1">'UEFA EURO 2024'!$O$9</definedName>
    <definedName name="A_Team2">'UEFA EURO 2024'!$O$10</definedName>
    <definedName name="A_Team3">'UEFA EURO 2024'!$O$11</definedName>
    <definedName name="A_Team4">'UEFA EURO 2024'!$O$12</definedName>
    <definedName name="B_Team1">'UEFA EURO 2024'!$O$15</definedName>
    <definedName name="B_Team2">'UEFA EURO 2024'!$O$16</definedName>
    <definedName name="B_Team3">'UEFA EURO 2024'!$O$17</definedName>
    <definedName name="B_Team4">'UEFA EURO 2024'!$O$18</definedName>
    <definedName name="C_Team1">'UEFA EURO 2024'!$O$21</definedName>
    <definedName name="C_Team2">'UEFA EURO 2024'!$O$22</definedName>
    <definedName name="C_Team3">'UEFA EURO 2024'!$O$23</definedName>
    <definedName name="C_Team4">'UEFA EURO 2024'!$O$24</definedName>
    <definedName name="D_Team1">'UEFA EURO 2024'!$O$27</definedName>
    <definedName name="D_Team2">'UEFA EURO 2024'!$O$28</definedName>
    <definedName name="D_Team3">'UEFA EURO 2024'!$O$29</definedName>
    <definedName name="D_Team4">'UEFA EURO 2024'!$O$30</definedName>
    <definedName name="db_fifarank">Settings!$B$15:$C$46</definedName>
    <definedName name="E_Team1">'UEFA EURO 2024'!$O$33</definedName>
    <definedName name="E_Team2">'UEFA EURO 2024'!$O$34</definedName>
    <definedName name="E_Team3">'UEFA EURO 2024'!$O$35</definedName>
    <definedName name="E_Team4">'UEFA EURO 2024'!$O$36</definedName>
    <definedName name="F_Team1">'UEFA EURO 2024'!$O$39</definedName>
    <definedName name="F_Team2">'UEFA EURO 2024'!$O$40</definedName>
    <definedName name="F_Team3">'UEFA EURO 2024'!$O$41</definedName>
    <definedName name="F_Team4">'UEFA EURO 2024'!$O$42</definedName>
    <definedName name="gmt_delta">Settings!$G$14</definedName>
    <definedName name="GROUP_RANK_1ST">[1]POINTSYSTEM!$B$22</definedName>
    <definedName name="GROUP_RANK_1ST_PLUS1">[1]POINTSYSTEM!$B$23</definedName>
    <definedName name="GROUP_RANK_ALL">[1]POINTSYSTEM!$B$24</definedName>
    <definedName name="itype">Settings!$G$46</definedName>
    <definedName name="lang">Settings!$G$13</definedName>
    <definedName name="lang_list">T!$1:$1</definedName>
    <definedName name="lookup_3rd">'UEFA EURO 2024'!$BB$50</definedName>
    <definedName name="_xlnm.Print_Area" localSheetId="3">'UEFA EURO 2024'!$A$1:$FQ$57</definedName>
    <definedName name="T">T!$1:$1048576</definedName>
    <definedName name="tbl_lookup_3rd">'UEFA EURO 2024'!$BD$53:$BH$67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9" i="4" l="1"/>
  <c r="AW49" i="4"/>
  <c r="AW48" i="4"/>
  <c r="AW47" i="4"/>
  <c r="AW46" i="4"/>
  <c r="AW45" i="4"/>
  <c r="AW44" i="4"/>
  <c r="AM42" i="4"/>
  <c r="AL42" i="4"/>
  <c r="AK42" i="4"/>
  <c r="AI42" i="4"/>
  <c r="AH42" i="4"/>
  <c r="AG42" i="4"/>
  <c r="AM41" i="4"/>
  <c r="AL41" i="4"/>
  <c r="AK41" i="4"/>
  <c r="AI41" i="4"/>
  <c r="AH41" i="4"/>
  <c r="AG41" i="4"/>
  <c r="AM40" i="4"/>
  <c r="AL40" i="4"/>
  <c r="AK40" i="4"/>
  <c r="AI40" i="4"/>
  <c r="AH40" i="4"/>
  <c r="AG40" i="4"/>
  <c r="AM39" i="4"/>
  <c r="AL39" i="4"/>
  <c r="AK39" i="4"/>
  <c r="AI39" i="4"/>
  <c r="AH39" i="4"/>
  <c r="AG39" i="4"/>
  <c r="AM38" i="4"/>
  <c r="AL38" i="4"/>
  <c r="AK38" i="4"/>
  <c r="AI38" i="4"/>
  <c r="AH38" i="4"/>
  <c r="AG38" i="4"/>
  <c r="AM37" i="4"/>
  <c r="AL37" i="4"/>
  <c r="AK37" i="4"/>
  <c r="AI37" i="4"/>
  <c r="AH37" i="4"/>
  <c r="AG37" i="4"/>
  <c r="AM36" i="4"/>
  <c r="AL36" i="4"/>
  <c r="AK36" i="4"/>
  <c r="AI36" i="4"/>
  <c r="AH36" i="4"/>
  <c r="AG36" i="4"/>
  <c r="AM35" i="4"/>
  <c r="AL35" i="4"/>
  <c r="AK35" i="4"/>
  <c r="AI35" i="4"/>
  <c r="AH35" i="4"/>
  <c r="AG35" i="4"/>
  <c r="AM34" i="4"/>
  <c r="AL34" i="4"/>
  <c r="AK34" i="4"/>
  <c r="AI34" i="4"/>
  <c r="AH34" i="4"/>
  <c r="AG34" i="4"/>
  <c r="AM33" i="4"/>
  <c r="AL33" i="4"/>
  <c r="AK33" i="4"/>
  <c r="AI33" i="4"/>
  <c r="AH33" i="4"/>
  <c r="AG33" i="4"/>
  <c r="AM32" i="4"/>
  <c r="AL32" i="4"/>
  <c r="AK32" i="4"/>
  <c r="AI32" i="4"/>
  <c r="AH32" i="4"/>
  <c r="AG32" i="4"/>
  <c r="AM31" i="4"/>
  <c r="AL31" i="4"/>
  <c r="AK31" i="4"/>
  <c r="AI31" i="4"/>
  <c r="AH31" i="4"/>
  <c r="AG31" i="4"/>
  <c r="AW30" i="4"/>
  <c r="AM30" i="4"/>
  <c r="AV30" i="4" s="1"/>
  <c r="AL30" i="4"/>
  <c r="AU30" i="4" s="1"/>
  <c r="AK30" i="4"/>
  <c r="AT30" i="4" s="1"/>
  <c r="AI30" i="4"/>
  <c r="AR30" i="4" s="1"/>
  <c r="AH30" i="4"/>
  <c r="AQ30" i="4" s="1"/>
  <c r="AG30" i="4"/>
  <c r="AP30" i="4" s="1"/>
  <c r="AM29" i="4"/>
  <c r="AV29" i="4" s="1"/>
  <c r="AL29" i="4"/>
  <c r="AU29" i="4" s="1"/>
  <c r="AK29" i="4"/>
  <c r="AT29" i="4" s="1"/>
  <c r="AI29" i="4"/>
  <c r="AR29" i="4" s="1"/>
  <c r="AH29" i="4"/>
  <c r="AQ29" i="4" s="1"/>
  <c r="AG29" i="4"/>
  <c r="AP29" i="4" s="1"/>
  <c r="AM28" i="4"/>
  <c r="AV28" i="4" s="1"/>
  <c r="AL28" i="4"/>
  <c r="AU28" i="4" s="1"/>
  <c r="AK28" i="4"/>
  <c r="AT28" i="4" s="1"/>
  <c r="AI28" i="4"/>
  <c r="AR28" i="4" s="1"/>
  <c r="AH28" i="4"/>
  <c r="AQ28" i="4" s="1"/>
  <c r="AG28" i="4"/>
  <c r="AP28" i="4" s="1"/>
  <c r="AM27" i="4"/>
  <c r="AV27" i="4" s="1"/>
  <c r="AL27" i="4"/>
  <c r="AU27" i="4" s="1"/>
  <c r="AK27" i="4"/>
  <c r="AT27" i="4" s="1"/>
  <c r="AI27" i="4"/>
  <c r="AR27" i="4" s="1"/>
  <c r="AH27" i="4"/>
  <c r="AQ27" i="4" s="1"/>
  <c r="AG27" i="4"/>
  <c r="AP27" i="4" s="1"/>
  <c r="AM26" i="4"/>
  <c r="AV26" i="4" s="1"/>
  <c r="AL26" i="4"/>
  <c r="AU26" i="4" s="1"/>
  <c r="AK26" i="4"/>
  <c r="AT26" i="4" s="1"/>
  <c r="AI26" i="4"/>
  <c r="AR26" i="4" s="1"/>
  <c r="AH26" i="4"/>
  <c r="AQ26" i="4" s="1"/>
  <c r="AG26" i="4"/>
  <c r="AP26" i="4" s="1"/>
  <c r="AM25" i="4"/>
  <c r="AV25" i="4" s="1"/>
  <c r="AL25" i="4"/>
  <c r="AU25" i="4" s="1"/>
  <c r="AK25" i="4"/>
  <c r="AT25" i="4" s="1"/>
  <c r="AI25" i="4"/>
  <c r="AR25" i="4" s="1"/>
  <c r="AH25" i="4"/>
  <c r="AQ25" i="4" s="1"/>
  <c r="AG25" i="4"/>
  <c r="AP25" i="4" s="1"/>
  <c r="AM24" i="4"/>
  <c r="AV24" i="4" s="1"/>
  <c r="AL24" i="4"/>
  <c r="AU24" i="4" s="1"/>
  <c r="AK24" i="4"/>
  <c r="AT24" i="4" s="1"/>
  <c r="AI24" i="4"/>
  <c r="AR24" i="4" s="1"/>
  <c r="AH24" i="4"/>
  <c r="AQ24" i="4" s="1"/>
  <c r="AG24" i="4"/>
  <c r="AP24" i="4" s="1"/>
  <c r="AM23" i="4"/>
  <c r="AV23" i="4" s="1"/>
  <c r="AL23" i="4"/>
  <c r="AU23" i="4" s="1"/>
  <c r="AK23" i="4"/>
  <c r="AT23" i="4" s="1"/>
  <c r="AI23" i="4"/>
  <c r="AR23" i="4" s="1"/>
  <c r="AH23" i="4"/>
  <c r="AQ23" i="4" s="1"/>
  <c r="AG23" i="4"/>
  <c r="AP23" i="4" s="1"/>
  <c r="AM22" i="4"/>
  <c r="AV22" i="4" s="1"/>
  <c r="AL22" i="4"/>
  <c r="AU22" i="4" s="1"/>
  <c r="AK22" i="4"/>
  <c r="AT22" i="4" s="1"/>
  <c r="AI22" i="4"/>
  <c r="AR22" i="4" s="1"/>
  <c r="AH22" i="4"/>
  <c r="AQ22" i="4" s="1"/>
  <c r="AG22" i="4"/>
  <c r="AP22" i="4" s="1"/>
  <c r="AM21" i="4"/>
  <c r="AV21" i="4" s="1"/>
  <c r="AL21" i="4"/>
  <c r="AU21" i="4" s="1"/>
  <c r="AK21" i="4"/>
  <c r="AT21" i="4" s="1"/>
  <c r="AI21" i="4"/>
  <c r="AR21" i="4" s="1"/>
  <c r="AH21" i="4"/>
  <c r="AQ21" i="4" s="1"/>
  <c r="AG21" i="4"/>
  <c r="AP21" i="4" s="1"/>
  <c r="AM20" i="4"/>
  <c r="AV20" i="4" s="1"/>
  <c r="AL20" i="4"/>
  <c r="AU20" i="4" s="1"/>
  <c r="AK20" i="4"/>
  <c r="AT20" i="4" s="1"/>
  <c r="AI20" i="4"/>
  <c r="AR20" i="4" s="1"/>
  <c r="AH20" i="4"/>
  <c r="AQ20" i="4" s="1"/>
  <c r="AG20" i="4"/>
  <c r="AP20" i="4" s="1"/>
  <c r="AM19" i="4"/>
  <c r="AV19" i="4" s="1"/>
  <c r="AL19" i="4"/>
  <c r="AU19" i="4" s="1"/>
  <c r="AK19" i="4"/>
  <c r="AT19" i="4" s="1"/>
  <c r="AI19" i="4"/>
  <c r="AR19" i="4" s="1"/>
  <c r="AH19" i="4"/>
  <c r="AQ19" i="4" s="1"/>
  <c r="AG19" i="4"/>
  <c r="AP19" i="4" s="1"/>
  <c r="AM18" i="4"/>
  <c r="AV18" i="4" s="1"/>
  <c r="AL18" i="4"/>
  <c r="AU18" i="4" s="1"/>
  <c r="AK18" i="4"/>
  <c r="AT18" i="4" s="1"/>
  <c r="AI18" i="4"/>
  <c r="AR18" i="4" s="1"/>
  <c r="AH18" i="4"/>
  <c r="AQ18" i="4" s="1"/>
  <c r="AG18" i="4"/>
  <c r="AP18" i="4" s="1"/>
  <c r="AM17" i="4"/>
  <c r="AV17" i="4" s="1"/>
  <c r="AL17" i="4"/>
  <c r="AU17" i="4" s="1"/>
  <c r="AK17" i="4"/>
  <c r="AT17" i="4" s="1"/>
  <c r="AI17" i="4"/>
  <c r="AR17" i="4" s="1"/>
  <c r="AH17" i="4"/>
  <c r="AQ17" i="4" s="1"/>
  <c r="AG17" i="4"/>
  <c r="AP17" i="4" s="1"/>
  <c r="AM16" i="4"/>
  <c r="AV16" i="4" s="1"/>
  <c r="AL16" i="4"/>
  <c r="AU16" i="4" s="1"/>
  <c r="AK16" i="4"/>
  <c r="AT16" i="4" s="1"/>
  <c r="AI16" i="4"/>
  <c r="AR16" i="4" s="1"/>
  <c r="AH16" i="4"/>
  <c r="AQ16" i="4" s="1"/>
  <c r="AG16" i="4"/>
  <c r="AP16" i="4" s="1"/>
  <c r="AM15" i="4"/>
  <c r="AV15" i="4" s="1"/>
  <c r="AL15" i="4"/>
  <c r="AU15" i="4" s="1"/>
  <c r="AK15" i="4"/>
  <c r="AT15" i="4" s="1"/>
  <c r="AI15" i="4"/>
  <c r="AR15" i="4" s="1"/>
  <c r="AH15" i="4"/>
  <c r="AQ15" i="4" s="1"/>
  <c r="AG15" i="4"/>
  <c r="AP15" i="4" s="1"/>
  <c r="AM14" i="4"/>
  <c r="AV14" i="4" s="1"/>
  <c r="AL14" i="4"/>
  <c r="AU14" i="4" s="1"/>
  <c r="AK14" i="4"/>
  <c r="AT14" i="4" s="1"/>
  <c r="AI14" i="4"/>
  <c r="AR14" i="4" s="1"/>
  <c r="AH14" i="4"/>
  <c r="AQ14" i="4" s="1"/>
  <c r="AG14" i="4"/>
  <c r="AP14" i="4" s="1"/>
  <c r="AM13" i="4"/>
  <c r="AV13" i="4" s="1"/>
  <c r="AL13" i="4"/>
  <c r="AU13" i="4" s="1"/>
  <c r="AK13" i="4"/>
  <c r="AT13" i="4" s="1"/>
  <c r="AI13" i="4"/>
  <c r="AR13" i="4" s="1"/>
  <c r="AH13" i="4"/>
  <c r="AQ13" i="4" s="1"/>
  <c r="AG13" i="4"/>
  <c r="AP13" i="4" s="1"/>
  <c r="AM12" i="4"/>
  <c r="AV12" i="4" s="1"/>
  <c r="AL12" i="4"/>
  <c r="AU12" i="4" s="1"/>
  <c r="AK12" i="4"/>
  <c r="AT12" i="4" s="1"/>
  <c r="AI12" i="4"/>
  <c r="AR12" i="4" s="1"/>
  <c r="AH12" i="4"/>
  <c r="AQ12" i="4" s="1"/>
  <c r="AG12" i="4"/>
  <c r="AP12" i="4" s="1"/>
  <c r="AM11" i="4"/>
  <c r="AV11" i="4" s="1"/>
  <c r="AL11" i="4"/>
  <c r="AU11" i="4" s="1"/>
  <c r="AK11" i="4"/>
  <c r="AT11" i="4" s="1"/>
  <c r="AI11" i="4"/>
  <c r="AR11" i="4" s="1"/>
  <c r="AH11" i="4"/>
  <c r="AQ11" i="4" s="1"/>
  <c r="AG11" i="4"/>
  <c r="AP11" i="4" s="1"/>
  <c r="AM10" i="4"/>
  <c r="AV10" i="4" s="1"/>
  <c r="AL10" i="4"/>
  <c r="AU10" i="4" s="1"/>
  <c r="AK10" i="4"/>
  <c r="AT10" i="4" s="1"/>
  <c r="AI10" i="4"/>
  <c r="AR10" i="4" s="1"/>
  <c r="AH10" i="4"/>
  <c r="AQ10" i="4" s="1"/>
  <c r="AG10" i="4"/>
  <c r="AP10" i="4" s="1"/>
  <c r="AM9" i="4"/>
  <c r="AV9" i="4" s="1"/>
  <c r="AL9" i="4"/>
  <c r="AU9" i="4" s="1"/>
  <c r="AK9" i="4"/>
  <c r="AT9" i="4" s="1"/>
  <c r="AI9" i="4"/>
  <c r="AR9" i="4" s="1"/>
  <c r="AH9" i="4"/>
  <c r="AQ9" i="4" s="1"/>
  <c r="AG9" i="4"/>
  <c r="AP9" i="4" s="1"/>
  <c r="AM8" i="4"/>
  <c r="AV8" i="4" s="1"/>
  <c r="AL8" i="4"/>
  <c r="AU8" i="4" s="1"/>
  <c r="AK8" i="4"/>
  <c r="AT8" i="4" s="1"/>
  <c r="AI8" i="4"/>
  <c r="AR8" i="4" s="1"/>
  <c r="AH8" i="4"/>
  <c r="AQ8" i="4" s="1"/>
  <c r="AG8" i="4"/>
  <c r="AP8" i="4" s="1"/>
  <c r="AM7" i="4"/>
  <c r="AV7" i="4" s="1"/>
  <c r="AL7" i="4"/>
  <c r="AU7" i="4" s="1"/>
  <c r="AK7" i="4"/>
  <c r="AT7" i="4" s="1"/>
  <c r="AI7" i="4"/>
  <c r="AR7" i="4" s="1"/>
  <c r="AH7" i="4"/>
  <c r="AQ7" i="4" s="1"/>
  <c r="AG7" i="4"/>
  <c r="AP7" i="4" s="1"/>
  <c r="G46" i="2"/>
  <c r="G14" i="2"/>
  <c r="G13" i="2"/>
  <c r="I21" i="4" l="1"/>
  <c r="I17" i="4"/>
  <c r="I14" i="4"/>
  <c r="I15" i="4"/>
  <c r="I12" i="4"/>
  <c r="B37" i="2"/>
  <c r="B31" i="2"/>
  <c r="B25" i="2"/>
  <c r="B19" i="2"/>
  <c r="BD39" i="4"/>
  <c r="BD29" i="4"/>
  <c r="BD17" i="4"/>
  <c r="BD9" i="4"/>
  <c r="BD41" i="4"/>
  <c r="BD28" i="4"/>
  <c r="I20" i="4"/>
  <c r="I39" i="4"/>
  <c r="I41" i="4"/>
  <c r="I37" i="4"/>
  <c r="I35" i="4"/>
  <c r="B36" i="2"/>
  <c r="B30" i="2"/>
  <c r="B24" i="2"/>
  <c r="B18" i="2"/>
  <c r="BD40" i="4"/>
  <c r="BD26" i="4"/>
  <c r="BD27" i="4"/>
  <c r="BD10" i="4"/>
  <c r="I45" i="4"/>
  <c r="I43" i="4"/>
  <c r="I38" i="4"/>
  <c r="I40" i="4"/>
  <c r="I36" i="4"/>
  <c r="I34" i="4"/>
  <c r="B35" i="2"/>
  <c r="B29" i="2"/>
  <c r="B23" i="2"/>
  <c r="B17" i="2"/>
  <c r="BD38" i="4"/>
  <c r="BD23" i="4"/>
  <c r="BD21" i="4"/>
  <c r="BD15" i="4"/>
  <c r="I44" i="4"/>
  <c r="I42" i="4"/>
  <c r="I30" i="4"/>
  <c r="I26" i="4"/>
  <c r="I27" i="4"/>
  <c r="I24" i="4"/>
  <c r="B34" i="2"/>
  <c r="B28" i="2"/>
  <c r="B22" i="2"/>
  <c r="B16" i="2"/>
  <c r="BD34" i="4"/>
  <c r="BD22" i="4"/>
  <c r="BD16" i="4"/>
  <c r="BD8" i="4"/>
  <c r="I32" i="4"/>
  <c r="I33" i="4"/>
  <c r="I29" i="4"/>
  <c r="I25" i="4"/>
  <c r="I22" i="4"/>
  <c r="I23" i="4"/>
  <c r="B33" i="2"/>
  <c r="B27" i="2"/>
  <c r="B21" i="2"/>
  <c r="B15" i="2"/>
  <c r="BD33" i="4"/>
  <c r="BD20" i="4"/>
  <c r="BD14" i="4"/>
  <c r="I31" i="4"/>
  <c r="I18" i="4"/>
  <c r="I19" i="4"/>
  <c r="I16" i="4"/>
  <c r="I13" i="4"/>
  <c r="B38" i="2"/>
  <c r="B32" i="2"/>
  <c r="B26" i="2"/>
  <c r="B20" i="2"/>
  <c r="BD32" i="4"/>
  <c r="BD11" i="4"/>
  <c r="W53" i="4"/>
  <c r="W52" i="4"/>
  <c r="AA52" i="4" s="1"/>
  <c r="EV37" i="4" s="1"/>
  <c r="W60" i="4"/>
  <c r="FB35" i="4" s="1"/>
  <c r="W47" i="4"/>
  <c r="AA47" i="4" s="1"/>
  <c r="EV17" i="4" s="1"/>
  <c r="W35" i="4"/>
  <c r="W31" i="4"/>
  <c r="W19" i="4"/>
  <c r="W23" i="4"/>
  <c r="W14" i="4"/>
  <c r="W8" i="4"/>
  <c r="W51" i="4"/>
  <c r="AA51" i="4" s="1"/>
  <c r="EV9" i="4" s="1"/>
  <c r="W37" i="4"/>
  <c r="W21" i="4"/>
  <c r="W12" i="4"/>
  <c r="W58" i="4"/>
  <c r="W73" i="4"/>
  <c r="FN22" i="4" s="1"/>
  <c r="W41" i="4"/>
  <c r="W29" i="4"/>
  <c r="W11" i="4"/>
  <c r="W49" i="4"/>
  <c r="AA49" i="4" s="1"/>
  <c r="EV21" i="4" s="1"/>
  <c r="W33" i="4"/>
  <c r="W28" i="4"/>
  <c r="W10" i="4"/>
  <c r="W48" i="4"/>
  <c r="AA48" i="4" s="1"/>
  <c r="EV25" i="4" s="1"/>
  <c r="W34" i="4"/>
  <c r="W24" i="4"/>
  <c r="W15" i="4"/>
  <c r="W59" i="4"/>
  <c r="FB27" i="4" s="1"/>
  <c r="W46" i="4"/>
  <c r="AA46" i="4" s="1"/>
  <c r="EV29" i="4" s="1"/>
  <c r="W36" i="4"/>
  <c r="W32" i="4"/>
  <c r="W20" i="4"/>
  <c r="W22" i="4"/>
  <c r="W13" i="4"/>
  <c r="W7" i="4"/>
  <c r="W42" i="4"/>
  <c r="W30" i="4"/>
  <c r="W18" i="4"/>
  <c r="W69" i="4"/>
  <c r="W50" i="4"/>
  <c r="AA50" i="4" s="1"/>
  <c r="EV13" i="4" s="1"/>
  <c r="W38" i="4"/>
  <c r="W25" i="4"/>
  <c r="W17" i="4"/>
  <c r="W57" i="4"/>
  <c r="FB11" i="4" s="1"/>
  <c r="W65" i="4"/>
  <c r="FH31" i="4" s="1"/>
  <c r="W40" i="4"/>
  <c r="W26" i="4"/>
  <c r="W16" i="4"/>
  <c r="W64" i="4"/>
  <c r="W39" i="4"/>
  <c r="W27" i="4"/>
  <c r="W9" i="4"/>
  <c r="C12" i="4" s="1"/>
  <c r="AW50" i="4"/>
  <c r="H23" i="4"/>
  <c r="DZ11" i="4"/>
  <c r="BY11" i="4"/>
  <c r="E11" i="4"/>
  <c r="X8" i="4" s="1"/>
  <c r="T8" i="4"/>
  <c r="T44" i="4"/>
  <c r="AW77" i="4"/>
  <c r="S44" i="4"/>
  <c r="FG41" i="4"/>
  <c r="R44" i="4"/>
  <c r="AW76" i="4"/>
  <c r="Q44" i="4"/>
  <c r="P44" i="4"/>
  <c r="O44" i="4"/>
  <c r="U44" i="4"/>
  <c r="S38" i="4"/>
  <c r="BD35" i="4"/>
  <c r="R38" i="4"/>
  <c r="O38" i="4"/>
  <c r="T38" i="4"/>
  <c r="U32" i="4"/>
  <c r="U38" i="4"/>
  <c r="T32" i="4"/>
  <c r="Q38" i="4"/>
  <c r="S32" i="4"/>
  <c r="P38" i="4"/>
  <c r="R32" i="4"/>
  <c r="Q32" i="4"/>
  <c r="T26" i="4"/>
  <c r="S26" i="4"/>
  <c r="P32" i="4"/>
  <c r="U26" i="4"/>
  <c r="O32" i="4"/>
  <c r="O26" i="4"/>
  <c r="P20" i="4"/>
  <c r="O20" i="4"/>
  <c r="I28" i="4"/>
  <c r="U20" i="4"/>
  <c r="T20" i="4"/>
  <c r="P26" i="4"/>
  <c r="R20" i="4"/>
  <c r="O14" i="4"/>
  <c r="Q20" i="4"/>
  <c r="R26" i="4"/>
  <c r="U14" i="4"/>
  <c r="Q26" i="4"/>
  <c r="T14" i="4"/>
  <c r="S14" i="4"/>
  <c r="S20" i="4"/>
  <c r="P14" i="4"/>
  <c r="EV6" i="4"/>
  <c r="O8" i="4"/>
  <c r="FH15" i="4"/>
  <c r="FB19" i="4"/>
  <c r="AA53" i="4"/>
  <c r="EV33" i="4" s="1"/>
  <c r="FB6" i="4"/>
  <c r="P8" i="4"/>
  <c r="I10" i="4"/>
  <c r="I11" i="4"/>
  <c r="A1" i="4"/>
  <c r="Q14" i="4"/>
  <c r="U8" i="4"/>
  <c r="Q8" i="4"/>
  <c r="FN6" i="4"/>
  <c r="R8" i="4"/>
  <c r="R14" i="4"/>
  <c r="A8" i="4"/>
  <c r="FH6" i="4"/>
  <c r="S8" i="4"/>
  <c r="E16" i="4" l="1"/>
  <c r="BP22" i="4"/>
  <c r="H41" i="4"/>
  <c r="H37" i="4"/>
  <c r="BP15" i="4"/>
  <c r="H27" i="4"/>
  <c r="E36" i="4"/>
  <c r="H13" i="4"/>
  <c r="BP17" i="4"/>
  <c r="H22" i="4"/>
  <c r="H42" i="4"/>
  <c r="E17" i="4"/>
  <c r="BP34" i="4"/>
  <c r="H33" i="4"/>
  <c r="E26" i="4"/>
  <c r="H15" i="4"/>
  <c r="E41" i="4"/>
  <c r="BP21" i="4"/>
  <c r="H39" i="4"/>
  <c r="E29" i="4"/>
  <c r="BP29" i="4"/>
  <c r="H40" i="4"/>
  <c r="BP23" i="4"/>
  <c r="E15" i="4"/>
  <c r="D12" i="4"/>
  <c r="H24" i="4"/>
  <c r="BP10" i="4"/>
  <c r="H11" i="4"/>
  <c r="BP35" i="4"/>
  <c r="H36" i="4"/>
  <c r="E27" i="4"/>
  <c r="E12" i="4"/>
  <c r="BP14" i="4"/>
  <c r="H44" i="4"/>
  <c r="E21" i="4"/>
  <c r="BP38" i="4"/>
  <c r="E30" i="4"/>
  <c r="E38" i="4"/>
  <c r="BP27" i="4"/>
  <c r="H29" i="4"/>
  <c r="BP28" i="4"/>
  <c r="H38" i="4"/>
  <c r="E19" i="4"/>
  <c r="B12" i="4"/>
  <c r="H35" i="4"/>
  <c r="BP11" i="4"/>
  <c r="H16" i="4"/>
  <c r="E40" i="4"/>
  <c r="BP20" i="4"/>
  <c r="H26" i="4"/>
  <c r="H34" i="4"/>
  <c r="BP8" i="4"/>
  <c r="H30" i="4"/>
  <c r="BP26" i="4"/>
  <c r="H19" i="4"/>
  <c r="E39" i="4"/>
  <c r="E31" i="4"/>
  <c r="E44" i="4"/>
  <c r="H20" i="4"/>
  <c r="BP41" i="4"/>
  <c r="E20" i="4"/>
  <c r="E32" i="4"/>
  <c r="BP39" i="4"/>
  <c r="H43" i="4"/>
  <c r="E33" i="4"/>
  <c r="BP32" i="4"/>
  <c r="E18" i="4"/>
  <c r="E43" i="4"/>
  <c r="H28" i="4"/>
  <c r="H17" i="4"/>
  <c r="BP33" i="4"/>
  <c r="H12" i="4"/>
  <c r="E22" i="4"/>
  <c r="E37" i="4"/>
  <c r="BP16" i="4"/>
  <c r="H21" i="4"/>
  <c r="H31" i="4"/>
  <c r="BP40" i="4"/>
  <c r="H10" i="4"/>
  <c r="E24" i="4"/>
  <c r="BP9" i="4"/>
  <c r="E42" i="4"/>
  <c r="E28" i="4"/>
  <c r="D23" i="4"/>
  <c r="B23" i="4"/>
  <c r="C23" i="4"/>
  <c r="E23" i="4"/>
  <c r="X20" i="4" s="1"/>
  <c r="Y20" i="4" s="1"/>
  <c r="DZ8" i="4"/>
  <c r="BY8" i="4"/>
  <c r="E10" i="4"/>
  <c r="X7" i="4" s="1"/>
  <c r="BY13" i="4"/>
  <c r="E13" i="4"/>
  <c r="X10" i="4" s="1"/>
  <c r="DZ15" i="4"/>
  <c r="D20" i="4"/>
  <c r="C20" i="4"/>
  <c r="B20" i="4"/>
  <c r="D26" i="4"/>
  <c r="C26" i="4"/>
  <c r="B26" i="4"/>
  <c r="D35" i="4"/>
  <c r="C35" i="4"/>
  <c r="B35" i="4"/>
  <c r="D42" i="4"/>
  <c r="C42" i="4"/>
  <c r="B42" i="4"/>
  <c r="X39" i="4"/>
  <c r="X25" i="4"/>
  <c r="DZ32" i="4"/>
  <c r="BY24" i="4"/>
  <c r="X27" i="4"/>
  <c r="DZ29" i="4"/>
  <c r="BY23" i="4"/>
  <c r="E14" i="4"/>
  <c r="X23" i="4"/>
  <c r="DZ16" i="4"/>
  <c r="BY14" i="4"/>
  <c r="X9" i="4"/>
  <c r="B15" i="4"/>
  <c r="C15" i="4"/>
  <c r="D15" i="4"/>
  <c r="C31" i="4"/>
  <c r="B31" i="4"/>
  <c r="D31" i="4"/>
  <c r="D40" i="4"/>
  <c r="C40" i="4"/>
  <c r="B40" i="4"/>
  <c r="B45" i="4"/>
  <c r="D45" i="4"/>
  <c r="C45" i="4"/>
  <c r="X37" i="4"/>
  <c r="DZ26" i="4"/>
  <c r="BY20" i="4"/>
  <c r="X36" i="4"/>
  <c r="BY12" i="4"/>
  <c r="DZ14" i="4"/>
  <c r="B17" i="4"/>
  <c r="C17" i="4"/>
  <c r="D17" i="4"/>
  <c r="C33" i="4"/>
  <c r="B33" i="4"/>
  <c r="D33" i="4"/>
  <c r="D41" i="4"/>
  <c r="C41" i="4"/>
  <c r="B41" i="4"/>
  <c r="X35" i="4"/>
  <c r="Y35" i="4" s="1"/>
  <c r="X19" i="4"/>
  <c r="DZ17" i="4"/>
  <c r="BY15" i="4"/>
  <c r="X38" i="4"/>
  <c r="DZ27" i="4"/>
  <c r="X26" i="4"/>
  <c r="BY21" i="4"/>
  <c r="H14" i="4"/>
  <c r="DZ34" i="4"/>
  <c r="BY26" i="4"/>
  <c r="X16" i="4"/>
  <c r="Y16" i="4" s="1"/>
  <c r="D14" i="4"/>
  <c r="C14" i="4"/>
  <c r="B14" i="4"/>
  <c r="D19" i="4"/>
  <c r="C19" i="4"/>
  <c r="B19" i="4"/>
  <c r="B22" i="4"/>
  <c r="D22" i="4"/>
  <c r="C22" i="4"/>
  <c r="C37" i="4"/>
  <c r="D37" i="4"/>
  <c r="B37" i="4"/>
  <c r="DZ20" i="4"/>
  <c r="BY16" i="4"/>
  <c r="X12" i="4"/>
  <c r="X15" i="4"/>
  <c r="DZ33" i="4"/>
  <c r="BY25" i="4"/>
  <c r="E34" i="4"/>
  <c r="X31" i="4" s="1"/>
  <c r="Y31" i="4" s="1"/>
  <c r="X21" i="4"/>
  <c r="DZ10" i="4"/>
  <c r="BY10" i="4"/>
  <c r="D16" i="4"/>
  <c r="C16" i="4"/>
  <c r="B16" i="4"/>
  <c r="B29" i="4"/>
  <c r="D29" i="4"/>
  <c r="C29" i="4"/>
  <c r="D30" i="4"/>
  <c r="C30" i="4"/>
  <c r="B30" i="4"/>
  <c r="D44" i="4"/>
  <c r="C44" i="4"/>
  <c r="B44" i="4"/>
  <c r="DZ28" i="4"/>
  <c r="BY22" i="4"/>
  <c r="X14" i="4"/>
  <c r="X40" i="4"/>
  <c r="DZ35" i="4"/>
  <c r="BY27" i="4"/>
  <c r="H18" i="4"/>
  <c r="E35" i="4"/>
  <c r="X32" i="4" s="1"/>
  <c r="Y8" i="4"/>
  <c r="DZ9" i="4"/>
  <c r="BY9" i="4"/>
  <c r="D13" i="4"/>
  <c r="C13" i="4"/>
  <c r="B13" i="4"/>
  <c r="D27" i="4"/>
  <c r="C27" i="4"/>
  <c r="B27" i="4"/>
  <c r="D24" i="4"/>
  <c r="C24" i="4"/>
  <c r="B24" i="4"/>
  <c r="D32" i="4"/>
  <c r="C32" i="4"/>
  <c r="B32" i="4"/>
  <c r="D43" i="4"/>
  <c r="C43" i="4"/>
  <c r="B43" i="4"/>
  <c r="X34" i="4"/>
  <c r="DZ22" i="4"/>
  <c r="H25" i="4"/>
  <c r="BY18" i="4"/>
  <c r="X24" i="4"/>
  <c r="DZ21" i="4"/>
  <c r="X13" i="4"/>
  <c r="BY17" i="4"/>
  <c r="DZ41" i="4"/>
  <c r="BY31" i="4"/>
  <c r="X17" i="4"/>
  <c r="X28" i="4"/>
  <c r="B21" i="4"/>
  <c r="C21" i="4"/>
  <c r="D21" i="4"/>
  <c r="C25" i="4"/>
  <c r="B25" i="4"/>
  <c r="D25" i="4"/>
  <c r="C34" i="4"/>
  <c r="B34" i="4"/>
  <c r="D34" i="4"/>
  <c r="D36" i="4"/>
  <c r="C36" i="4"/>
  <c r="B36" i="4"/>
  <c r="X41" i="4"/>
  <c r="Y41" i="4" s="1"/>
  <c r="H32" i="4"/>
  <c r="BY28" i="4"/>
  <c r="DZ38" i="4"/>
  <c r="B10" i="4"/>
  <c r="D10" i="4"/>
  <c r="C10" i="4"/>
  <c r="B11" i="4"/>
  <c r="D11" i="4"/>
  <c r="C11" i="4"/>
  <c r="D18" i="4"/>
  <c r="C18" i="4"/>
  <c r="B18" i="4"/>
  <c r="D28" i="4"/>
  <c r="C28" i="4"/>
  <c r="B28" i="4"/>
  <c r="D39" i="4"/>
  <c r="C39" i="4"/>
  <c r="B39" i="4"/>
  <c r="D38" i="4"/>
  <c r="C38" i="4"/>
  <c r="B38" i="4"/>
  <c r="X33" i="4"/>
  <c r="DZ23" i="4"/>
  <c r="BY19" i="4"/>
  <c r="E25" i="4"/>
  <c r="X22" i="4" s="1"/>
  <c r="H45" i="4"/>
  <c r="DZ39" i="4"/>
  <c r="BY29" i="4"/>
  <c r="X18" i="4"/>
  <c r="Y18" i="4" s="1"/>
  <c r="E45" i="4"/>
  <c r="DZ40" i="4"/>
  <c r="X29" i="4"/>
  <c r="BY30" i="4"/>
  <c r="BP45" i="4" l="1"/>
  <c r="BP44" i="4"/>
  <c r="BP46" i="4" s="1"/>
  <c r="Y23" i="4"/>
  <c r="Y34" i="4"/>
  <c r="Y29" i="4"/>
  <c r="Y22" i="4"/>
  <c r="AE32" i="4"/>
  <c r="Y14" i="4"/>
  <c r="Y38" i="4"/>
  <c r="Y24" i="4"/>
  <c r="Y32" i="4"/>
  <c r="AE15" i="4"/>
  <c r="Y26" i="4"/>
  <c r="AE42" i="4"/>
  <c r="Y28" i="4"/>
  <c r="Y36" i="4"/>
  <c r="Y37" i="4"/>
  <c r="AE29" i="4"/>
  <c r="Y17" i="4"/>
  <c r="AE12" i="4"/>
  <c r="AE20" i="4"/>
  <c r="BH26" i="4"/>
  <c r="X30" i="4"/>
  <c r="Y30" i="4" s="1"/>
  <c r="Y25" i="4"/>
  <c r="Y13" i="4"/>
  <c r="Y21" i="4"/>
  <c r="Y7" i="4"/>
  <c r="Y33" i="4"/>
  <c r="AE31" i="4"/>
  <c r="Y27" i="4"/>
  <c r="BH20" i="4"/>
  <c r="X42" i="4"/>
  <c r="Y42" i="4" s="1"/>
  <c r="Y12" i="4"/>
  <c r="Y39" i="4"/>
  <c r="BH23" i="4"/>
  <c r="BH14" i="4"/>
  <c r="X11" i="4"/>
  <c r="Y11" i="4" s="1"/>
  <c r="Y10" i="4"/>
  <c r="Y40" i="4"/>
  <c r="Y15" i="4"/>
  <c r="Y19" i="4"/>
  <c r="Y9" i="4"/>
  <c r="AE41" i="4"/>
  <c r="BH38" i="4"/>
  <c r="AC28" i="4"/>
  <c r="AD28" i="4"/>
  <c r="AD13" i="4"/>
  <c r="AC13" i="4"/>
  <c r="AC24" i="4"/>
  <c r="AD24" i="4"/>
  <c r="BH9" i="4"/>
  <c r="BI35" i="4"/>
  <c r="AD14" i="4"/>
  <c r="AC14" i="4"/>
  <c r="AD21" i="4"/>
  <c r="AC21" i="4"/>
  <c r="AE30" i="4"/>
  <c r="AC12" i="4"/>
  <c r="AD12" i="4"/>
  <c r="BI34" i="4"/>
  <c r="BI27" i="4"/>
  <c r="AD35" i="4"/>
  <c r="AC35" i="4"/>
  <c r="AE26" i="4"/>
  <c r="AE36" i="4"/>
  <c r="AE16" i="4"/>
  <c r="BH32" i="4"/>
  <c r="AD7" i="4"/>
  <c r="AC7" i="4"/>
  <c r="BI11" i="4"/>
  <c r="BH11" i="4"/>
  <c r="AE18" i="4"/>
  <c r="BI21" i="4"/>
  <c r="BH21" i="4"/>
  <c r="BI40" i="4"/>
  <c r="AD18" i="4"/>
  <c r="AC18" i="4"/>
  <c r="AE13" i="4"/>
  <c r="AD41" i="4"/>
  <c r="AC41" i="4"/>
  <c r="AD17" i="4"/>
  <c r="AC17" i="4"/>
  <c r="AE34" i="4"/>
  <c r="AE21" i="4"/>
  <c r="BH28" i="4"/>
  <c r="BH10" i="4"/>
  <c r="AD31" i="4"/>
  <c r="AC31" i="4"/>
  <c r="BI20" i="4"/>
  <c r="AE10" i="4"/>
  <c r="AC8" i="4"/>
  <c r="BI32" i="4"/>
  <c r="BH15" i="4"/>
  <c r="BI8" i="4"/>
  <c r="AD20" i="4"/>
  <c r="AC20" i="4"/>
  <c r="AD42" i="4"/>
  <c r="AC42" i="4"/>
  <c r="AE24" i="4"/>
  <c r="AC30" i="4"/>
  <c r="AD30" i="4"/>
  <c r="AC38" i="4"/>
  <c r="AD38" i="4"/>
  <c r="AE28" i="4"/>
  <c r="BH39" i="4"/>
  <c r="AD22" i="4"/>
  <c r="AC22" i="4"/>
  <c r="AD33" i="4"/>
  <c r="AC33" i="4"/>
  <c r="AD32" i="4"/>
  <c r="AC32" i="4"/>
  <c r="AD16" i="4"/>
  <c r="AC16" i="4"/>
  <c r="BH17" i="4"/>
  <c r="AD8" i="4"/>
  <c r="BI15" i="4"/>
  <c r="AC11" i="4"/>
  <c r="AD11" i="4"/>
  <c r="BI38" i="4"/>
  <c r="BH41" i="4"/>
  <c r="BI22" i="4"/>
  <c r="AE8" i="4"/>
  <c r="AE38" i="4"/>
  <c r="AE33" i="4"/>
  <c r="AC26" i="4"/>
  <c r="AD26" i="4"/>
  <c r="BI14" i="4"/>
  <c r="BI26" i="4"/>
  <c r="AC25" i="4"/>
  <c r="AD25" i="4"/>
  <c r="AD39" i="4"/>
  <c r="AC39" i="4"/>
  <c r="AE23" i="4"/>
  <c r="BI17" i="4"/>
  <c r="AE17" i="4"/>
  <c r="BI39" i="4"/>
  <c r="BI9" i="4"/>
  <c r="AE25" i="4"/>
  <c r="AD15" i="4"/>
  <c r="AC15" i="4"/>
  <c r="AE9" i="4"/>
  <c r="AE19" i="4"/>
  <c r="AE14" i="4"/>
  <c r="BH16" i="4"/>
  <c r="BI29" i="4"/>
  <c r="AE35" i="4"/>
  <c r="BI41" i="4"/>
  <c r="BH27" i="4"/>
  <c r="BI10" i="4"/>
  <c r="BI33" i="4"/>
  <c r="AE39" i="4"/>
  <c r="AE40" i="4"/>
  <c r="AC36" i="4"/>
  <c r="AD36" i="4"/>
  <c r="BI16" i="4"/>
  <c r="AD27" i="4"/>
  <c r="AC27" i="4"/>
  <c r="BH22" i="4"/>
  <c r="BI28" i="4"/>
  <c r="AC29" i="4"/>
  <c r="AD29" i="4"/>
  <c r="BH40" i="4"/>
  <c r="BI23" i="4"/>
  <c r="AD34" i="4"/>
  <c r="AC34" i="4"/>
  <c r="BH35" i="4"/>
  <c r="AE22" i="4"/>
  <c r="AC40" i="4"/>
  <c r="AD40" i="4"/>
  <c r="AE27" i="4"/>
  <c r="AE7" i="4"/>
  <c r="BH33" i="4"/>
  <c r="BH34" i="4"/>
  <c r="AE11" i="4"/>
  <c r="AD19" i="4"/>
  <c r="AC19" i="4"/>
  <c r="AD37" i="4"/>
  <c r="AC37" i="4"/>
  <c r="AC9" i="4"/>
  <c r="AD9" i="4"/>
  <c r="AD23" i="4"/>
  <c r="AC23" i="4"/>
  <c r="BH29" i="4"/>
  <c r="AE37" i="4"/>
  <c r="AD10" i="4"/>
  <c r="AC10" i="4"/>
  <c r="BH8" i="4"/>
  <c r="BQ33" i="4" l="1"/>
  <c r="BQ22" i="4"/>
  <c r="BQ10" i="4"/>
  <c r="BQ20" i="4"/>
  <c r="BQ9" i="4"/>
  <c r="BQ8" i="4"/>
  <c r="BQ35" i="4"/>
  <c r="BQ29" i="4"/>
  <c r="BQ40" i="4"/>
  <c r="BQ15" i="4"/>
  <c r="BQ28" i="4"/>
  <c r="BQ16" i="4"/>
  <c r="BQ27" i="4"/>
  <c r="BQ39" i="4"/>
  <c r="BQ14" i="4"/>
  <c r="BQ41" i="4"/>
  <c r="BQ32" i="4"/>
  <c r="BQ11" i="4"/>
  <c r="BQ21" i="4"/>
  <c r="BQ17" i="4"/>
  <c r="BQ26" i="4"/>
  <c r="BQ34" i="4"/>
  <c r="BQ38" i="4"/>
  <c r="BQ23" i="4"/>
  <c r="BK23" i="4"/>
  <c r="BK20" i="4"/>
  <c r="BE32" i="4"/>
  <c r="BE11" i="4"/>
  <c r="BE8" i="4"/>
  <c r="BE26" i="4"/>
  <c r="BG34" i="4"/>
  <c r="BG10" i="4"/>
  <c r="BF41" i="4"/>
  <c r="BE39" i="4"/>
  <c r="BF11" i="4"/>
  <c r="BE16" i="4"/>
  <c r="BG27" i="4"/>
  <c r="BE20" i="4"/>
  <c r="BF28" i="4"/>
  <c r="BG22" i="4"/>
  <c r="BF40" i="4"/>
  <c r="BG11" i="4"/>
  <c r="BG8" i="4"/>
  <c r="BG26" i="4"/>
  <c r="BG17" i="4"/>
  <c r="BF27" i="4"/>
  <c r="BF34" i="4"/>
  <c r="BF10" i="4"/>
  <c r="BE28" i="4"/>
  <c r="BE35" i="4"/>
  <c r="BF9" i="4"/>
  <c r="BG21" i="4"/>
  <c r="BE41" i="4"/>
  <c r="BE40" i="4"/>
  <c r="BG15" i="4"/>
  <c r="BG32" i="4"/>
  <c r="BG14" i="4"/>
  <c r="BE27" i="4"/>
  <c r="BE34" i="4"/>
  <c r="BF22" i="4"/>
  <c r="BE21" i="4"/>
  <c r="BF39" i="4"/>
  <c r="BF26" i="4"/>
  <c r="BG9" i="4"/>
  <c r="BG41" i="4"/>
  <c r="BF15" i="4"/>
  <c r="BF32" i="4"/>
  <c r="BF14" i="4"/>
  <c r="BF17" i="4"/>
  <c r="BG33" i="4"/>
  <c r="BF35" i="4"/>
  <c r="BE22" i="4"/>
  <c r="BG38" i="4"/>
  <c r="BF23" i="4"/>
  <c r="BG23" i="4"/>
  <c r="BE38" i="4"/>
  <c r="BF8" i="4"/>
  <c r="BE15" i="4"/>
  <c r="BF29" i="4"/>
  <c r="BG16" i="4"/>
  <c r="BE14" i="4"/>
  <c r="BG20" i="4"/>
  <c r="BF33" i="4"/>
  <c r="BE10" i="4"/>
  <c r="BG28" i="4"/>
  <c r="BF16" i="4"/>
  <c r="BE29" i="4"/>
  <c r="BE17" i="4"/>
  <c r="BF20" i="4"/>
  <c r="BE33" i="4"/>
  <c r="BG35" i="4"/>
  <c r="BE9" i="4"/>
  <c r="BF21" i="4"/>
  <c r="BF38" i="4"/>
  <c r="BE23" i="4"/>
  <c r="BG40" i="4"/>
  <c r="BG29" i="4"/>
  <c r="BG39" i="4"/>
  <c r="BK27" i="4"/>
  <c r="BK34" i="4"/>
  <c r="BK35" i="4"/>
  <c r="BI30" i="4"/>
  <c r="BH18" i="4"/>
  <c r="BK40" i="4"/>
  <c r="BK21" i="4"/>
  <c r="BK11" i="4"/>
  <c r="BK39" i="4"/>
  <c r="BI18" i="4"/>
  <c r="BK17" i="4"/>
  <c r="AJ32" i="4"/>
  <c r="AF32" i="4"/>
  <c r="BI36" i="4"/>
  <c r="BH12" i="4"/>
  <c r="BK8" i="4"/>
  <c r="AF9" i="4"/>
  <c r="AJ9" i="4"/>
  <c r="AJ27" i="4"/>
  <c r="AF27" i="4"/>
  <c r="AJ36" i="4"/>
  <c r="AF36" i="4"/>
  <c r="BK16" i="4"/>
  <c r="AJ26" i="4"/>
  <c r="AF26" i="4"/>
  <c r="BK41" i="4"/>
  <c r="AF42" i="4"/>
  <c r="AJ42" i="4"/>
  <c r="AJ8" i="4"/>
  <c r="AF8" i="4"/>
  <c r="AJ7" i="4"/>
  <c r="AF7" i="4"/>
  <c r="BK32" i="4"/>
  <c r="BH36" i="4"/>
  <c r="AF14" i="4"/>
  <c r="AJ14" i="4"/>
  <c r="AJ10" i="4"/>
  <c r="AF10" i="4"/>
  <c r="AJ29" i="4"/>
  <c r="AF29" i="4"/>
  <c r="AF39" i="4"/>
  <c r="AJ39" i="4"/>
  <c r="AF16" i="4"/>
  <c r="AJ16" i="4"/>
  <c r="AF31" i="4"/>
  <c r="AJ31" i="4"/>
  <c r="AF17" i="4"/>
  <c r="AJ17" i="4"/>
  <c r="AJ28" i="4"/>
  <c r="AF28" i="4"/>
  <c r="BH24" i="4"/>
  <c r="BI42" i="4"/>
  <c r="AF20" i="4"/>
  <c r="AJ20" i="4"/>
  <c r="BI24" i="4"/>
  <c r="BH42" i="4"/>
  <c r="BK38" i="4"/>
  <c r="BK14" i="4"/>
  <c r="BK33" i="4"/>
  <c r="AF34" i="4"/>
  <c r="AJ34" i="4"/>
  <c r="AF33" i="4"/>
  <c r="AJ33" i="4"/>
  <c r="AJ38" i="4"/>
  <c r="AF38" i="4"/>
  <c r="AJ41" i="4"/>
  <c r="AF41" i="4"/>
  <c r="AF12" i="4"/>
  <c r="AJ12" i="4"/>
  <c r="BK9" i="4"/>
  <c r="BK22" i="4"/>
  <c r="BI12" i="4"/>
  <c r="BK10" i="4"/>
  <c r="BK26" i="4"/>
  <c r="AJ19" i="4"/>
  <c r="AF19" i="4"/>
  <c r="AF11" i="4"/>
  <c r="AJ11" i="4"/>
  <c r="AJ18" i="4"/>
  <c r="AF18" i="4"/>
  <c r="AJ13" i="4"/>
  <c r="AF13" i="4"/>
  <c r="AJ40" i="4"/>
  <c r="AF40" i="4"/>
  <c r="AJ37" i="4"/>
  <c r="AF37" i="4"/>
  <c r="BK29" i="4"/>
  <c r="AJ23" i="4"/>
  <c r="AF23" i="4"/>
  <c r="AF15" i="4"/>
  <c r="AJ15" i="4"/>
  <c r="AJ25" i="4"/>
  <c r="AF25" i="4"/>
  <c r="AF22" i="4"/>
  <c r="AJ22" i="4"/>
  <c r="AJ30" i="4"/>
  <c r="AF30" i="4"/>
  <c r="BK15" i="4"/>
  <c r="BK28" i="4"/>
  <c r="AF35" i="4"/>
  <c r="AJ35" i="4"/>
  <c r="AJ21" i="4"/>
  <c r="AF21" i="4"/>
  <c r="AJ24" i="4"/>
  <c r="AF24" i="4"/>
  <c r="BH30" i="4"/>
  <c r="BM9" i="4" l="1"/>
  <c r="BJ9" i="4" s="1"/>
  <c r="BM28" i="4"/>
  <c r="BJ28" i="4" s="1"/>
  <c r="BM27" i="4"/>
  <c r="BJ27" i="4" s="1"/>
  <c r="BM17" i="4"/>
  <c r="BJ17" i="4" s="1"/>
  <c r="BM23" i="4"/>
  <c r="BJ23" i="4" s="1"/>
  <c r="BM15" i="4"/>
  <c r="BJ15" i="4" s="1"/>
  <c r="BF24" i="4"/>
  <c r="BF12" i="4"/>
  <c r="BM29" i="4"/>
  <c r="BJ29" i="4" s="1"/>
  <c r="BM10" i="4"/>
  <c r="BJ10" i="4" s="1"/>
  <c r="BM33" i="4"/>
  <c r="BJ33" i="4" s="1"/>
  <c r="BG18" i="4"/>
  <c r="BF18" i="4"/>
  <c r="BM11" i="4"/>
  <c r="BJ11" i="4" s="1"/>
  <c r="BG42" i="4"/>
  <c r="BG24" i="4"/>
  <c r="BM35" i="4"/>
  <c r="BJ35" i="4" s="1"/>
  <c r="BM39" i="4"/>
  <c r="BJ39" i="4" s="1"/>
  <c r="BM14" i="4"/>
  <c r="BE18" i="4"/>
  <c r="BM22" i="4"/>
  <c r="BJ22" i="4" s="1"/>
  <c r="BG36" i="4"/>
  <c r="BF30" i="4"/>
  <c r="BF42" i="4"/>
  <c r="BM40" i="4"/>
  <c r="BJ40" i="4" s="1"/>
  <c r="BE24" i="4"/>
  <c r="BM20" i="4"/>
  <c r="BE30" i="4"/>
  <c r="BM26" i="4"/>
  <c r="BM21" i="4"/>
  <c r="BJ21" i="4" s="1"/>
  <c r="BM41" i="4"/>
  <c r="BJ41" i="4" s="1"/>
  <c r="BM8" i="4"/>
  <c r="BE12" i="4"/>
  <c r="BG30" i="4"/>
  <c r="BM16" i="4"/>
  <c r="BJ16" i="4" s="1"/>
  <c r="BE42" i="4"/>
  <c r="BM38" i="4"/>
  <c r="BF36" i="4"/>
  <c r="BM34" i="4"/>
  <c r="BJ34" i="4" s="1"/>
  <c r="BG12" i="4"/>
  <c r="BE36" i="4"/>
  <c r="BM32" i="4"/>
  <c r="AX18" i="4"/>
  <c r="AO18" i="4"/>
  <c r="AO23" i="4"/>
  <c r="AX23" i="4"/>
  <c r="AO35" i="4"/>
  <c r="AX35" i="4"/>
  <c r="AS23" i="4"/>
  <c r="AZ23" i="4"/>
  <c r="BK31" i="4"/>
  <c r="AZ22" i="4"/>
  <c r="AS22" i="4"/>
  <c r="AS13" i="4"/>
  <c r="AZ13" i="4"/>
  <c r="AS12" i="4"/>
  <c r="AZ12" i="4"/>
  <c r="AS41" i="4"/>
  <c r="AZ41" i="4"/>
  <c r="AS28" i="4"/>
  <c r="AZ28" i="4"/>
  <c r="AS16" i="4"/>
  <c r="AZ16" i="4"/>
  <c r="BK37" i="4"/>
  <c r="AZ36" i="4"/>
  <c r="AS36" i="4"/>
  <c r="AX29" i="4"/>
  <c r="AO29" i="4"/>
  <c r="AO24" i="4"/>
  <c r="AX24" i="4"/>
  <c r="AZ37" i="4"/>
  <c r="AS37" i="4"/>
  <c r="AS29" i="4"/>
  <c r="AZ29" i="4"/>
  <c r="AS27" i="4"/>
  <c r="AZ27" i="4"/>
  <c r="AS24" i="4"/>
  <c r="AZ24" i="4"/>
  <c r="AZ25" i="4"/>
  <c r="AS25" i="4"/>
  <c r="AS11" i="4"/>
  <c r="AZ11" i="4"/>
  <c r="AX10" i="4"/>
  <c r="AO10" i="4"/>
  <c r="AX8" i="4"/>
  <c r="AO8" i="4"/>
  <c r="AZ9" i="4"/>
  <c r="AS9" i="4"/>
  <c r="AZ32" i="4"/>
  <c r="AS32" i="4"/>
  <c r="AX37" i="4"/>
  <c r="AO37" i="4"/>
  <c r="AX32" i="4"/>
  <c r="AO32" i="4"/>
  <c r="AZ15" i="4"/>
  <c r="AS15" i="4"/>
  <c r="AX11" i="4"/>
  <c r="AO11" i="4"/>
  <c r="AX38" i="4"/>
  <c r="AO38" i="4"/>
  <c r="AZ17" i="4"/>
  <c r="AS17" i="4"/>
  <c r="AZ10" i="4"/>
  <c r="AS10" i="4"/>
  <c r="AS8" i="4"/>
  <c r="AZ8" i="4"/>
  <c r="AX26" i="4"/>
  <c r="AO26" i="4"/>
  <c r="AX9" i="4"/>
  <c r="AO9" i="4"/>
  <c r="AX22" i="4"/>
  <c r="AO22" i="4"/>
  <c r="AX27" i="4"/>
  <c r="AO27" i="4"/>
  <c r="AO25" i="4"/>
  <c r="AX25" i="4"/>
  <c r="AZ18" i="4"/>
  <c r="AS18" i="4"/>
  <c r="AX21" i="4"/>
  <c r="AO21" i="4"/>
  <c r="AZ21" i="4"/>
  <c r="AS21" i="4"/>
  <c r="AX15" i="4"/>
  <c r="AO15" i="4"/>
  <c r="AX40" i="4"/>
  <c r="AO40" i="4"/>
  <c r="AX19" i="4"/>
  <c r="AO19" i="4"/>
  <c r="AZ38" i="4"/>
  <c r="AS38" i="4"/>
  <c r="BK19" i="4"/>
  <c r="BK18" i="4" s="1"/>
  <c r="AZ20" i="4"/>
  <c r="AS20" i="4"/>
  <c r="AX17" i="4"/>
  <c r="AO17" i="4"/>
  <c r="AS14" i="4"/>
  <c r="AZ14" i="4"/>
  <c r="CO41" i="4"/>
  <c r="CE41" i="4"/>
  <c r="CQ40" i="4"/>
  <c r="CN41" i="4"/>
  <c r="CD41" i="4"/>
  <c r="CO40" i="4"/>
  <c r="CF40" i="4"/>
  <c r="CJ39" i="4"/>
  <c r="CC41" i="4"/>
  <c r="CN40" i="4"/>
  <c r="CD40" i="4"/>
  <c r="CH39" i="4"/>
  <c r="CC40" i="4"/>
  <c r="CQ39" i="4"/>
  <c r="CJ41" i="4"/>
  <c r="CI41" i="4"/>
  <c r="CH41" i="4"/>
  <c r="CP41" i="4"/>
  <c r="CN39" i="4"/>
  <c r="CO38" i="4"/>
  <c r="CE38" i="4"/>
  <c r="CJ35" i="4"/>
  <c r="CC34" i="4"/>
  <c r="CJ33" i="4"/>
  <c r="CD38" i="4"/>
  <c r="CI35" i="4"/>
  <c r="CH33" i="4"/>
  <c r="CK40" i="4"/>
  <c r="CI40" i="4"/>
  <c r="CK39" i="4"/>
  <c r="CH40" i="4"/>
  <c r="CF39" i="4"/>
  <c r="CJ38" i="4"/>
  <c r="CO35" i="4"/>
  <c r="CE35" i="4"/>
  <c r="CH34" i="4"/>
  <c r="CE39" i="4"/>
  <c r="CI38" i="4"/>
  <c r="CP39" i="4"/>
  <c r="CP38" i="4"/>
  <c r="CF38" i="4"/>
  <c r="CF34" i="4"/>
  <c r="CK33" i="4"/>
  <c r="CI32" i="4"/>
  <c r="CQ38" i="4"/>
  <c r="CP35" i="4"/>
  <c r="CD34" i="4"/>
  <c r="CQ32" i="4"/>
  <c r="CJ29" i="4"/>
  <c r="CN35" i="4"/>
  <c r="CQ34" i="4"/>
  <c r="CF33" i="4"/>
  <c r="CP32" i="4"/>
  <c r="CF32" i="4"/>
  <c r="CI29" i="4"/>
  <c r="CK38" i="4"/>
  <c r="CO34" i="4"/>
  <c r="CQ33" i="4"/>
  <c r="CE33" i="4"/>
  <c r="CO32" i="4"/>
  <c r="CE32" i="4"/>
  <c r="CH29" i="4"/>
  <c r="CH35" i="4"/>
  <c r="CN34" i="4"/>
  <c r="CP33" i="4"/>
  <c r="CC33" i="4"/>
  <c r="CD32" i="4"/>
  <c r="CP29" i="4"/>
  <c r="CN28" i="4"/>
  <c r="CD28" i="4"/>
  <c r="CK34" i="4"/>
  <c r="CN33" i="4"/>
  <c r="CE29" i="4"/>
  <c r="CO28" i="4"/>
  <c r="CC28" i="4"/>
  <c r="CK26" i="4"/>
  <c r="CI23" i="4"/>
  <c r="CI34" i="4"/>
  <c r="CK32" i="4"/>
  <c r="CD29" i="4"/>
  <c r="CK27" i="4"/>
  <c r="CJ26" i="4"/>
  <c r="CC39" i="4"/>
  <c r="CJ32" i="4"/>
  <c r="CC29" i="4"/>
  <c r="CJ27" i="4"/>
  <c r="CK28" i="4"/>
  <c r="CH27" i="4"/>
  <c r="CD35" i="4"/>
  <c r="CI28" i="4"/>
  <c r="CQ27" i="4"/>
  <c r="CQ28" i="4"/>
  <c r="CF28" i="4"/>
  <c r="CC27" i="4"/>
  <c r="CJ23" i="4"/>
  <c r="CP27" i="4"/>
  <c r="CI26" i="4"/>
  <c r="CO23" i="4"/>
  <c r="CC23" i="4"/>
  <c r="CO22" i="4"/>
  <c r="CF22" i="4"/>
  <c r="CQ21" i="4"/>
  <c r="CP20" i="4"/>
  <c r="CF20" i="4"/>
  <c r="CN27" i="4"/>
  <c r="CN23" i="4"/>
  <c r="CN22" i="4"/>
  <c r="CD22" i="4"/>
  <c r="CP21" i="4"/>
  <c r="CF21" i="4"/>
  <c r="CO20" i="4"/>
  <c r="CE20" i="4"/>
  <c r="CF27" i="4"/>
  <c r="CF26" i="4"/>
  <c r="CC22" i="4"/>
  <c r="CE27" i="4"/>
  <c r="CE26" i="4"/>
  <c r="CC21" i="4"/>
  <c r="CQ26" i="4"/>
  <c r="CD26" i="4"/>
  <c r="CH23" i="4"/>
  <c r="CK22" i="4"/>
  <c r="CK20" i="4"/>
  <c r="CC35" i="4"/>
  <c r="CN29" i="4"/>
  <c r="CH28" i="4"/>
  <c r="CP23" i="4"/>
  <c r="CD23" i="4"/>
  <c r="CQ22" i="4"/>
  <c r="CH21" i="4"/>
  <c r="CQ20" i="4"/>
  <c r="CP26" i="4"/>
  <c r="CE21" i="4"/>
  <c r="CJ20" i="4"/>
  <c r="CN16" i="4"/>
  <c r="CD16" i="4"/>
  <c r="CP15" i="4"/>
  <c r="CF15" i="4"/>
  <c r="CO14" i="4"/>
  <c r="CE14" i="4"/>
  <c r="CO11" i="4"/>
  <c r="CE11" i="4"/>
  <c r="CO26" i="4"/>
  <c r="CI20" i="4"/>
  <c r="CE17" i="4"/>
  <c r="CC16" i="4"/>
  <c r="CN15" i="4"/>
  <c r="CE15" i="4"/>
  <c r="CD14" i="4"/>
  <c r="CN11" i="4"/>
  <c r="CD20" i="4"/>
  <c r="CP17" i="4"/>
  <c r="CD17" i="4"/>
  <c r="CC15" i="4"/>
  <c r="CE23" i="4"/>
  <c r="CO17" i="4"/>
  <c r="CC17" i="4"/>
  <c r="CK16" i="4"/>
  <c r="CK14" i="4"/>
  <c r="CI22" i="4"/>
  <c r="CN17" i="4"/>
  <c r="CI16" i="4"/>
  <c r="CK15" i="4"/>
  <c r="CJ14" i="4"/>
  <c r="CJ21" i="4"/>
  <c r="CH17" i="4"/>
  <c r="CO16" i="4"/>
  <c r="CF16" i="4"/>
  <c r="CQ15" i="4"/>
  <c r="CP14" i="4"/>
  <c r="CF14" i="4"/>
  <c r="CP11" i="4"/>
  <c r="CK21" i="4"/>
  <c r="CH15" i="4"/>
  <c r="CI11" i="4"/>
  <c r="CO10" i="4"/>
  <c r="CF10" i="4"/>
  <c r="CQ9" i="4"/>
  <c r="CI8" i="4"/>
  <c r="CH10" i="4"/>
  <c r="CJ9" i="4"/>
  <c r="CH11" i="4"/>
  <c r="CN10" i="4"/>
  <c r="CD10" i="4"/>
  <c r="CP9" i="4"/>
  <c r="CF9" i="4"/>
  <c r="CQ8" i="4"/>
  <c r="CK9" i="4"/>
  <c r="CQ16" i="4"/>
  <c r="CD11" i="4"/>
  <c r="CC10" i="4"/>
  <c r="CN9" i="4"/>
  <c r="CE9" i="4"/>
  <c r="CP8" i="4"/>
  <c r="CF8" i="4"/>
  <c r="CH16" i="4"/>
  <c r="CC11" i="4"/>
  <c r="CC9" i="4"/>
  <c r="CO8" i="4"/>
  <c r="CE8" i="4"/>
  <c r="CI10" i="4"/>
  <c r="CO29" i="4"/>
  <c r="CQ14" i="4"/>
  <c r="CK10" i="4"/>
  <c r="CD8" i="4"/>
  <c r="CJ17" i="4"/>
  <c r="CH22" i="4"/>
  <c r="CN21" i="4"/>
  <c r="CJ15" i="4"/>
  <c r="CJ11" i="4"/>
  <c r="CQ10" i="4"/>
  <c r="CH9" i="4"/>
  <c r="CJ8" i="4"/>
  <c r="AX7" i="4"/>
  <c r="AO7" i="4"/>
  <c r="CI14" i="4"/>
  <c r="CI17" i="4"/>
  <c r="CK8" i="4"/>
  <c r="AS42" i="4"/>
  <c r="AZ42" i="4"/>
  <c r="AS26" i="4"/>
  <c r="AZ26" i="4"/>
  <c r="BK13" i="4"/>
  <c r="AX12" i="4"/>
  <c r="AO12" i="4"/>
  <c r="AX30" i="4"/>
  <c r="AO30" i="4"/>
  <c r="AZ40" i="4"/>
  <c r="AS40" i="4"/>
  <c r="AS19" i="4"/>
  <c r="AZ19" i="4"/>
  <c r="AS33" i="4"/>
  <c r="AZ33" i="4"/>
  <c r="AS34" i="4"/>
  <c r="AZ34" i="4"/>
  <c r="BK43" i="4"/>
  <c r="AX20" i="4"/>
  <c r="AO20" i="4"/>
  <c r="AS31" i="4"/>
  <c r="AZ31" i="4"/>
  <c r="AS39" i="4"/>
  <c r="AZ39" i="4"/>
  <c r="AX14" i="4"/>
  <c r="AO14" i="4"/>
  <c r="AZ7" i="4"/>
  <c r="AS7" i="4"/>
  <c r="AO42" i="4"/>
  <c r="AX42" i="4"/>
  <c r="BK25" i="4"/>
  <c r="AX16" i="4"/>
  <c r="AO16" i="4"/>
  <c r="AS35" i="4"/>
  <c r="AZ35" i="4"/>
  <c r="AS30" i="4"/>
  <c r="AZ30" i="4"/>
  <c r="AO13" i="4"/>
  <c r="AX13" i="4"/>
  <c r="AX41" i="4"/>
  <c r="AO41" i="4"/>
  <c r="AO33" i="4"/>
  <c r="AX33" i="4"/>
  <c r="AX34" i="4"/>
  <c r="AO34" i="4"/>
  <c r="AO28" i="4"/>
  <c r="AX28" i="4"/>
  <c r="AO31" i="4"/>
  <c r="AX31" i="4"/>
  <c r="AX39" i="4"/>
  <c r="AO39" i="4"/>
  <c r="AX36" i="4"/>
  <c r="AO36" i="4"/>
  <c r="Z8" i="4" l="1"/>
  <c r="AA8" i="4" s="1"/>
  <c r="Z35" i="4"/>
  <c r="AA35" i="4" s="1"/>
  <c r="Z34" i="4"/>
  <c r="AB34" i="4" s="1"/>
  <c r="Z21" i="4"/>
  <c r="AA21" i="4" s="1"/>
  <c r="Z22" i="4"/>
  <c r="AB22" i="4" s="1"/>
  <c r="BM42" i="4"/>
  <c r="BJ38" i="4"/>
  <c r="BM30" i="4"/>
  <c r="BJ26" i="4"/>
  <c r="BJ20" i="4"/>
  <c r="BM24" i="4"/>
  <c r="BM18" i="4"/>
  <c r="BJ14" i="4"/>
  <c r="BM36" i="4"/>
  <c r="BJ32" i="4"/>
  <c r="Z15" i="4" s="1"/>
  <c r="AA15" i="4" s="1"/>
  <c r="BJ8" i="4"/>
  <c r="Z31" i="4" s="1"/>
  <c r="AA31" i="4" s="1"/>
  <c r="BM12" i="4"/>
  <c r="BL16" i="4"/>
  <c r="CR21" i="4"/>
  <c r="CL9" i="4"/>
  <c r="CG32" i="4"/>
  <c r="CC36" i="4" s="1"/>
  <c r="CG16" i="4"/>
  <c r="CE18" i="4" s="1"/>
  <c r="CL8" i="4"/>
  <c r="CR15" i="4"/>
  <c r="CG39" i="4"/>
  <c r="CD42" i="4" s="1"/>
  <c r="CG28" i="4"/>
  <c r="CE30" i="4" s="1"/>
  <c r="CR39" i="4"/>
  <c r="CL41" i="4"/>
  <c r="CG41" i="4"/>
  <c r="CF42" i="4" s="1"/>
  <c r="BL14" i="4"/>
  <c r="BL17" i="4"/>
  <c r="CG20" i="4"/>
  <c r="CC24" i="4" s="1"/>
  <c r="CL35" i="4"/>
  <c r="CG10" i="4"/>
  <c r="CE12" i="4" s="1"/>
  <c r="CG9" i="4"/>
  <c r="CD12" i="4" s="1"/>
  <c r="CL28" i="4"/>
  <c r="CG21" i="4"/>
  <c r="CD24" i="4" s="1"/>
  <c r="CL29" i="4"/>
  <c r="CL38" i="4"/>
  <c r="BL15" i="4"/>
  <c r="CG29" i="4"/>
  <c r="CF30" i="4" s="1"/>
  <c r="CL22" i="4"/>
  <c r="CL16" i="4"/>
  <c r="CG35" i="4"/>
  <c r="CF36" i="4" s="1"/>
  <c r="CR32" i="4"/>
  <c r="CL32" i="4"/>
  <c r="CL34" i="4"/>
  <c r="CR38" i="4"/>
  <c r="CL39" i="4"/>
  <c r="CR41" i="4"/>
  <c r="CR8" i="4"/>
  <c r="DS40" i="4"/>
  <c r="DV39" i="4"/>
  <c r="DU41" i="4"/>
  <c r="DT41" i="4"/>
  <c r="DS39" i="4"/>
  <c r="DV33" i="4"/>
  <c r="DV40" i="4"/>
  <c r="DT38" i="4"/>
  <c r="DU38" i="4"/>
  <c r="DU32" i="4"/>
  <c r="DU29" i="4"/>
  <c r="DS34" i="4"/>
  <c r="DT29" i="4"/>
  <c r="DT35" i="4"/>
  <c r="DV28" i="4"/>
  <c r="DV27" i="4"/>
  <c r="DT26" i="4"/>
  <c r="DS22" i="4"/>
  <c r="DT20" i="4"/>
  <c r="DS21" i="4"/>
  <c r="DS27" i="4"/>
  <c r="DU23" i="4"/>
  <c r="DV21" i="4"/>
  <c r="DU20" i="4"/>
  <c r="DS15" i="4"/>
  <c r="DS11" i="4"/>
  <c r="DT23" i="4"/>
  <c r="DT14" i="4"/>
  <c r="DU9" i="4"/>
  <c r="DV8" i="4"/>
  <c r="DV22" i="4"/>
  <c r="DT10" i="4"/>
  <c r="CG8" i="4"/>
  <c r="CG11" i="4"/>
  <c r="CG17" i="4"/>
  <c r="CG14" i="4"/>
  <c r="CR29" i="4"/>
  <c r="CR28" i="4"/>
  <c r="CG40" i="4"/>
  <c r="BK36" i="4"/>
  <c r="BL33" i="4" s="1"/>
  <c r="CR22" i="4"/>
  <c r="CL33" i="4"/>
  <c r="CG15" i="4"/>
  <c r="CL21" i="4"/>
  <c r="CR23" i="4"/>
  <c r="CG33" i="4"/>
  <c r="CR35" i="4"/>
  <c r="CR40" i="4"/>
  <c r="CL10" i="4"/>
  <c r="BK42" i="4"/>
  <c r="BL38" i="4" s="1"/>
  <c r="CG22" i="4"/>
  <c r="BK24" i="4"/>
  <c r="BL22" i="4" s="1"/>
  <c r="CR17" i="4"/>
  <c r="CL23" i="4"/>
  <c r="CR27" i="4"/>
  <c r="CL26" i="4"/>
  <c r="CG38" i="4"/>
  <c r="CG23" i="4"/>
  <c r="BK30" i="4"/>
  <c r="CL14" i="4"/>
  <c r="CR9" i="4"/>
  <c r="CL20" i="4"/>
  <c r="CG26" i="4"/>
  <c r="CL27" i="4"/>
  <c r="CR33" i="4"/>
  <c r="CR34" i="4"/>
  <c r="CR14" i="4"/>
  <c r="EL41" i="4"/>
  <c r="EK41" i="4"/>
  <c r="EM40" i="4"/>
  <c r="EP39" i="4"/>
  <c r="EG39" i="4"/>
  <c r="EJ41" i="4"/>
  <c r="EK40" i="4"/>
  <c r="EE39" i="4"/>
  <c r="ES38" i="4"/>
  <c r="ER41" i="4"/>
  <c r="EJ40" i="4"/>
  <c r="ER38" i="4"/>
  <c r="EH38" i="4"/>
  <c r="EQ41" i="4"/>
  <c r="EG41" i="4"/>
  <c r="ES40" i="4"/>
  <c r="EP41" i="4"/>
  <c r="EF41" i="4"/>
  <c r="EE41" i="4"/>
  <c r="EP40" i="4"/>
  <c r="EF40" i="4"/>
  <c r="EE40" i="4"/>
  <c r="EH40" i="4"/>
  <c r="EJ39" i="4"/>
  <c r="EM38" i="4"/>
  <c r="EQ35" i="4"/>
  <c r="EG35" i="4"/>
  <c r="EJ34" i="4"/>
  <c r="EP33" i="4"/>
  <c r="EG33" i="4"/>
  <c r="EK32" i="4"/>
  <c r="EL38" i="4"/>
  <c r="EP35" i="4"/>
  <c r="EF35" i="4"/>
  <c r="ES34" i="4"/>
  <c r="EE33" i="4"/>
  <c r="ES32" i="4"/>
  <c r="ES39" i="4"/>
  <c r="EG38" i="4"/>
  <c r="EL35" i="4"/>
  <c r="EE34" i="4"/>
  <c r="ER39" i="4"/>
  <c r="EQ38" i="4"/>
  <c r="EF38" i="4"/>
  <c r="EQ40" i="4"/>
  <c r="EM39" i="4"/>
  <c r="EL39" i="4"/>
  <c r="ER35" i="4"/>
  <c r="EE35" i="4"/>
  <c r="EP34" i="4"/>
  <c r="EJ33" i="4"/>
  <c r="EL32" i="4"/>
  <c r="ER29" i="4"/>
  <c r="EH32" i="4"/>
  <c r="EQ29" i="4"/>
  <c r="EG29" i="4"/>
  <c r="EH39" i="4"/>
  <c r="EM34" i="4"/>
  <c r="EH33" i="4"/>
  <c r="EG32" i="4"/>
  <c r="EP29" i="4"/>
  <c r="EF29" i="4"/>
  <c r="EK38" i="4"/>
  <c r="EK34" i="4"/>
  <c r="ES33" i="4"/>
  <c r="ER32" i="4"/>
  <c r="EF32" i="4"/>
  <c r="EE29" i="4"/>
  <c r="EM28" i="4"/>
  <c r="EH34" i="4"/>
  <c r="ER33" i="4"/>
  <c r="EQ32" i="4"/>
  <c r="EK28" i="4"/>
  <c r="EF34" i="4"/>
  <c r="EM32" i="4"/>
  <c r="EJ29" i="4"/>
  <c r="EJ28" i="4"/>
  <c r="ES27" i="4"/>
  <c r="ER26" i="4"/>
  <c r="EH26" i="4"/>
  <c r="EP23" i="4"/>
  <c r="EF23" i="4"/>
  <c r="ER27" i="4"/>
  <c r="EH27" i="4"/>
  <c r="EQ26" i="4"/>
  <c r="EG26" i="4"/>
  <c r="EE23" i="4"/>
  <c r="EQ34" i="4"/>
  <c r="EM33" i="4"/>
  <c r="EH28" i="4"/>
  <c r="EP27" i="4"/>
  <c r="EG27" i="4"/>
  <c r="EF26" i="4"/>
  <c r="EL33" i="4"/>
  <c r="ES28" i="4"/>
  <c r="EF28" i="4"/>
  <c r="EE27" i="4"/>
  <c r="EQ28" i="4"/>
  <c r="EE28" i="4"/>
  <c r="EM26" i="4"/>
  <c r="EJ35" i="4"/>
  <c r="EK29" i="4"/>
  <c r="EJ27" i="4"/>
  <c r="ES26" i="4"/>
  <c r="EQ23" i="4"/>
  <c r="EG23" i="4"/>
  <c r="EM22" i="4"/>
  <c r="EM20" i="4"/>
  <c r="ER23" i="4"/>
  <c r="EK22" i="4"/>
  <c r="EM21" i="4"/>
  <c r="EL20" i="4"/>
  <c r="EL26" i="4"/>
  <c r="EJ22" i="4"/>
  <c r="EL21" i="4"/>
  <c r="EL29" i="4"/>
  <c r="EK26" i="4"/>
  <c r="EL23" i="4"/>
  <c r="ES22" i="4"/>
  <c r="EJ21" i="4"/>
  <c r="ES20" i="4"/>
  <c r="EJ17" i="4"/>
  <c r="EK23" i="4"/>
  <c r="EQ22" i="4"/>
  <c r="EH22" i="4"/>
  <c r="ES21" i="4"/>
  <c r="ER20" i="4"/>
  <c r="EH20" i="4"/>
  <c r="ER17" i="4"/>
  <c r="EL27" i="4"/>
  <c r="EE21" i="4"/>
  <c r="EP22" i="4"/>
  <c r="EG21" i="4"/>
  <c r="EK20" i="4"/>
  <c r="EF17" i="4"/>
  <c r="EK16" i="4"/>
  <c r="EM15" i="4"/>
  <c r="EL14" i="4"/>
  <c r="EL11" i="4"/>
  <c r="EK35" i="4"/>
  <c r="EG20" i="4"/>
  <c r="EQ17" i="4"/>
  <c r="EE17" i="4"/>
  <c r="EJ16" i="4"/>
  <c r="EL15" i="4"/>
  <c r="EK14" i="4"/>
  <c r="EK11" i="4"/>
  <c r="EJ23" i="4"/>
  <c r="EF22" i="4"/>
  <c r="EF20" i="4"/>
  <c r="EP17" i="4"/>
  <c r="ES16" i="4"/>
  <c r="EJ15" i="4"/>
  <c r="ES14" i="4"/>
  <c r="EE22" i="4"/>
  <c r="EQ16" i="4"/>
  <c r="EH16" i="4"/>
  <c r="ES15" i="4"/>
  <c r="ER14" i="4"/>
  <c r="EH14" i="4"/>
  <c r="ER11" i="4"/>
  <c r="EM27" i="4"/>
  <c r="EP16" i="4"/>
  <c r="EF16" i="4"/>
  <c r="ER15" i="4"/>
  <c r="EH15" i="4"/>
  <c r="EQ14" i="4"/>
  <c r="EG14" i="4"/>
  <c r="EQ11" i="4"/>
  <c r="EG11" i="4"/>
  <c r="EH21" i="4"/>
  <c r="EG17" i="4"/>
  <c r="EM16" i="4"/>
  <c r="EM14" i="4"/>
  <c r="EF11" i="4"/>
  <c r="EM10" i="4"/>
  <c r="EF8" i="4"/>
  <c r="EQ20" i="4"/>
  <c r="EK17" i="4"/>
  <c r="EE10" i="4"/>
  <c r="EH8" i="4"/>
  <c r="EE16" i="4"/>
  <c r="EE11" i="4"/>
  <c r="EK10" i="4"/>
  <c r="EM9" i="4"/>
  <c r="EF10" i="4"/>
  <c r="EJ10" i="4"/>
  <c r="EL9" i="4"/>
  <c r="EM8" i="4"/>
  <c r="EG9" i="4"/>
  <c r="ER8" i="4"/>
  <c r="ER21" i="4"/>
  <c r="EP15" i="4"/>
  <c r="EF14" i="4"/>
  <c r="ES10" i="4"/>
  <c r="EJ9" i="4"/>
  <c r="EL8" i="4"/>
  <c r="EL17" i="4"/>
  <c r="EP11" i="4"/>
  <c r="EP10" i="4"/>
  <c r="EH9" i="4"/>
  <c r="ES8" i="4"/>
  <c r="EP28" i="4"/>
  <c r="EP21" i="4"/>
  <c r="EQ10" i="4"/>
  <c r="EH10" i="4"/>
  <c r="ES9" i="4"/>
  <c r="EK8" i="4"/>
  <c r="EG15" i="4"/>
  <c r="EJ11" i="4"/>
  <c r="EE9" i="4"/>
  <c r="EQ8" i="4"/>
  <c r="EG8" i="4"/>
  <c r="ER9" i="4"/>
  <c r="EE15" i="4"/>
  <c r="EP9" i="4"/>
  <c r="CR26" i="4"/>
  <c r="CR16" i="4"/>
  <c r="CR20" i="4"/>
  <c r="CL40" i="4"/>
  <c r="CG34" i="4"/>
  <c r="BK12" i="4"/>
  <c r="BL10" i="4" s="1"/>
  <c r="CR10" i="4"/>
  <c r="CL11" i="4"/>
  <c r="CL15" i="4"/>
  <c r="CL17" i="4"/>
  <c r="CR11" i="4"/>
  <c r="CG27" i="4"/>
  <c r="Z40" i="4" l="1"/>
  <c r="AA40" i="4" s="1"/>
  <c r="Z27" i="4"/>
  <c r="AB27" i="4" s="1"/>
  <c r="Z23" i="4"/>
  <c r="AB23" i="4" s="1"/>
  <c r="Z13" i="4"/>
  <c r="AB13" i="4" s="1"/>
  <c r="Z9" i="4"/>
  <c r="AA9" i="4" s="1"/>
  <c r="AB8" i="4"/>
  <c r="AA34" i="4"/>
  <c r="Z30" i="4"/>
  <c r="AA30" i="4" s="1"/>
  <c r="AB35" i="4"/>
  <c r="AB21" i="4"/>
  <c r="AB15" i="4"/>
  <c r="AB31" i="4"/>
  <c r="BJ25" i="4"/>
  <c r="BJ24" i="4" s="1"/>
  <c r="Z20" i="4"/>
  <c r="BJ13" i="4"/>
  <c r="BJ12" i="4" s="1"/>
  <c r="Z7" i="4"/>
  <c r="Z32" i="4"/>
  <c r="Z14" i="4"/>
  <c r="Z37" i="4"/>
  <c r="BJ31" i="4"/>
  <c r="BJ30" i="4" s="1"/>
  <c r="AA22" i="4"/>
  <c r="Z16" i="4"/>
  <c r="BJ37" i="4"/>
  <c r="BJ36" i="4" s="1"/>
  <c r="Z25" i="4"/>
  <c r="Z39" i="4"/>
  <c r="BJ43" i="4"/>
  <c r="BJ42" i="4" s="1"/>
  <c r="Z41" i="4"/>
  <c r="Z19" i="4"/>
  <c r="BJ19" i="4"/>
  <c r="BJ18" i="4" s="1"/>
  <c r="Z36" i="4"/>
  <c r="Z10" i="4"/>
  <c r="BL41" i="4"/>
  <c r="EC20" i="4"/>
  <c r="EN15" i="4"/>
  <c r="EC21" i="4"/>
  <c r="ET28" i="4"/>
  <c r="EC16" i="4"/>
  <c r="EC10" i="4"/>
  <c r="EC9" i="4"/>
  <c r="BL32" i="4"/>
  <c r="CM28" i="4"/>
  <c r="CM20" i="4"/>
  <c r="BL11" i="4"/>
  <c r="EC35" i="4"/>
  <c r="EI27" i="4"/>
  <c r="EF30" i="4" s="1"/>
  <c r="EC41" i="4"/>
  <c r="CM34" i="4"/>
  <c r="CM40" i="4"/>
  <c r="CM32" i="4"/>
  <c r="CM33" i="4"/>
  <c r="CM11" i="4"/>
  <c r="EC32" i="4"/>
  <c r="EI35" i="4"/>
  <c r="EH36" i="4" s="1"/>
  <c r="EN21" i="4"/>
  <c r="CM35" i="4"/>
  <c r="EI11" i="4"/>
  <c r="EH12" i="4" s="1"/>
  <c r="ET14" i="4"/>
  <c r="EI23" i="4"/>
  <c r="EH24" i="4" s="1"/>
  <c r="CM29" i="4"/>
  <c r="BL40" i="4"/>
  <c r="EI34" i="4"/>
  <c r="EG36" i="4" s="1"/>
  <c r="ET35" i="4"/>
  <c r="ET41" i="4"/>
  <c r="BL21" i="4"/>
  <c r="CM27" i="4"/>
  <c r="BL20" i="4"/>
  <c r="CM9" i="4"/>
  <c r="ET9" i="4"/>
  <c r="EI17" i="4"/>
  <c r="EH18" i="4" s="1"/>
  <c r="EN27" i="4"/>
  <c r="BL23" i="4"/>
  <c r="EN26" i="4"/>
  <c r="EN35" i="4"/>
  <c r="EI26" i="4"/>
  <c r="ET26" i="4"/>
  <c r="EN28" i="4"/>
  <c r="ET29" i="4"/>
  <c r="CM22" i="4"/>
  <c r="CM38" i="4"/>
  <c r="CM15" i="4"/>
  <c r="EN10" i="4"/>
  <c r="ET16" i="4"/>
  <c r="ET27" i="4"/>
  <c r="EI32" i="4"/>
  <c r="EE36" i="4" s="1"/>
  <c r="BL39" i="4"/>
  <c r="BL35" i="4"/>
  <c r="CD30" i="4"/>
  <c r="EC27" i="4"/>
  <c r="EI8" i="4"/>
  <c r="BL28" i="4"/>
  <c r="BL26" i="4"/>
  <c r="CE24" i="4"/>
  <c r="EC22" i="4"/>
  <c r="CD36" i="4"/>
  <c r="EC33" i="4"/>
  <c r="CF18" i="4"/>
  <c r="EC17" i="4"/>
  <c r="EN8" i="4"/>
  <c r="ET10" i="4"/>
  <c r="EN16" i="4"/>
  <c r="ET32" i="4"/>
  <c r="EN39" i="4"/>
  <c r="EI39" i="4"/>
  <c r="CF24" i="4"/>
  <c r="EC23" i="4"/>
  <c r="CM41" i="4"/>
  <c r="EC40" i="4"/>
  <c r="CE42" i="4"/>
  <c r="EC11" i="4"/>
  <c r="CF12" i="4"/>
  <c r="DG34" i="4"/>
  <c r="DG32" i="4"/>
  <c r="CV34" i="4"/>
  <c r="CV33" i="4"/>
  <c r="DA32" i="4"/>
  <c r="DG33" i="4"/>
  <c r="DA34" i="4"/>
  <c r="DA33" i="4"/>
  <c r="CV32" i="4"/>
  <c r="ET17" i="4"/>
  <c r="EN38" i="4"/>
  <c r="EN32" i="4"/>
  <c r="CM8" i="4"/>
  <c r="CC42" i="4"/>
  <c r="EC38" i="4"/>
  <c r="CM21" i="4"/>
  <c r="CC12" i="4"/>
  <c r="EC8" i="4"/>
  <c r="BL9" i="4"/>
  <c r="BL8" i="4"/>
  <c r="CU11" i="4"/>
  <c r="CZ11" i="4"/>
  <c r="DF11" i="4"/>
  <c r="CU8" i="4"/>
  <c r="CZ9" i="4"/>
  <c r="CZ8" i="4"/>
  <c r="DF9" i="4"/>
  <c r="DF8" i="4"/>
  <c r="CU9" i="4"/>
  <c r="ET15" i="4"/>
  <c r="ET23" i="4"/>
  <c r="EI15" i="4"/>
  <c r="ET11" i="4"/>
  <c r="CT23" i="4"/>
  <c r="CY22" i="4"/>
  <c r="CY20" i="4"/>
  <c r="CY23" i="4"/>
  <c r="DE22" i="4"/>
  <c r="CT22" i="4"/>
  <c r="DE20" i="4"/>
  <c r="DE23" i="4"/>
  <c r="CT20" i="4"/>
  <c r="CY11" i="4"/>
  <c r="DE11" i="4"/>
  <c r="CT11" i="4"/>
  <c r="CY10" i="4"/>
  <c r="DE10" i="4"/>
  <c r="CY8" i="4"/>
  <c r="CT10" i="4"/>
  <c r="DE8" i="4"/>
  <c r="CT8" i="4"/>
  <c r="CS23" i="4"/>
  <c r="DD23" i="4"/>
  <c r="CX22" i="4"/>
  <c r="CX23" i="4"/>
  <c r="DD22" i="4"/>
  <c r="DD21" i="4"/>
  <c r="CS22" i="4"/>
  <c r="CX21" i="4"/>
  <c r="CS21" i="4"/>
  <c r="EI16" i="4"/>
  <c r="EI20" i="4"/>
  <c r="EN20" i="4"/>
  <c r="EI40" i="4"/>
  <c r="EN41" i="4"/>
  <c r="CC30" i="4"/>
  <c r="EC26" i="4"/>
  <c r="CM39" i="4"/>
  <c r="CM26" i="4"/>
  <c r="BL34" i="4"/>
  <c r="DD35" i="4"/>
  <c r="CS33" i="4"/>
  <c r="CS35" i="4"/>
  <c r="CS34" i="4"/>
  <c r="DD34" i="4"/>
  <c r="DD33" i="4"/>
  <c r="CX34" i="4"/>
  <c r="CX33" i="4"/>
  <c r="CX35" i="4"/>
  <c r="EC29" i="4"/>
  <c r="ET8" i="4"/>
  <c r="ET21" i="4"/>
  <c r="EN9" i="4"/>
  <c r="EI10" i="4"/>
  <c r="EN23" i="4"/>
  <c r="ET22" i="4"/>
  <c r="EN29" i="4"/>
  <c r="EI29" i="4"/>
  <c r="EI38" i="4"/>
  <c r="EI33" i="4"/>
  <c r="EN34" i="4"/>
  <c r="ET40" i="4"/>
  <c r="ET39" i="4"/>
  <c r="CM23" i="4"/>
  <c r="DF17" i="4"/>
  <c r="CU17" i="4"/>
  <c r="CZ15" i="4"/>
  <c r="DF14" i="4"/>
  <c r="DF15" i="4"/>
  <c r="CU14" i="4"/>
  <c r="CZ17" i="4"/>
  <c r="CU15" i="4"/>
  <c r="CZ14" i="4"/>
  <c r="DA28" i="4"/>
  <c r="CV27" i="4"/>
  <c r="DG28" i="4"/>
  <c r="CV28" i="4"/>
  <c r="DA27" i="4"/>
  <c r="DG27" i="4"/>
  <c r="CV26" i="4"/>
  <c r="DA26" i="4"/>
  <c r="DG26" i="4"/>
  <c r="EC28" i="4"/>
  <c r="ET33" i="4"/>
  <c r="CM10" i="4"/>
  <c r="CM16" i="4"/>
  <c r="CE36" i="4"/>
  <c r="EC34" i="4"/>
  <c r="CM17" i="4"/>
  <c r="BL29" i="4"/>
  <c r="EI9" i="4"/>
  <c r="EI22" i="4"/>
  <c r="EI21" i="4"/>
  <c r="EI28" i="4"/>
  <c r="EN33" i="4"/>
  <c r="ET38" i="4"/>
  <c r="EI41" i="4"/>
  <c r="EN40" i="4"/>
  <c r="CM14" i="4"/>
  <c r="DA40" i="4"/>
  <c r="DG40" i="4"/>
  <c r="DA39" i="4"/>
  <c r="DG38" i="4"/>
  <c r="CV40" i="4"/>
  <c r="CV39" i="4"/>
  <c r="DG39" i="4"/>
  <c r="DA38" i="4"/>
  <c r="CV38" i="4"/>
  <c r="EC39" i="4"/>
  <c r="EC15" i="4"/>
  <c r="CD18" i="4"/>
  <c r="CU29" i="4"/>
  <c r="CZ29" i="4"/>
  <c r="DF27" i="4"/>
  <c r="CU26" i="4"/>
  <c r="DF29" i="4"/>
  <c r="CU27" i="4"/>
  <c r="DF26" i="4"/>
  <c r="CZ26" i="4"/>
  <c r="CZ27" i="4"/>
  <c r="EN11" i="4"/>
  <c r="EI14" i="4"/>
  <c r="ET20" i="4"/>
  <c r="EN14" i="4"/>
  <c r="EN17" i="4"/>
  <c r="EN22" i="4"/>
  <c r="ET34" i="4"/>
  <c r="BL27" i="4"/>
  <c r="CY41" i="4"/>
  <c r="CY40" i="4"/>
  <c r="DE41" i="4"/>
  <c r="CT41" i="4"/>
  <c r="CY38" i="4"/>
  <c r="DE40" i="4"/>
  <c r="CT38" i="4"/>
  <c r="CT40" i="4"/>
  <c r="DE38" i="4"/>
  <c r="CC18" i="4"/>
  <c r="EC14" i="4"/>
  <c r="AB40" i="4" l="1"/>
  <c r="AA27" i="4"/>
  <c r="AA23" i="4"/>
  <c r="AA13" i="4"/>
  <c r="AB9" i="4"/>
  <c r="AB30" i="4"/>
  <c r="AB25" i="4"/>
  <c r="AA25" i="4"/>
  <c r="AB36" i="4"/>
  <c r="AA36" i="4"/>
  <c r="AA7" i="4"/>
  <c r="AB7" i="4"/>
  <c r="AA16" i="4"/>
  <c r="AB16" i="4"/>
  <c r="AB19" i="4"/>
  <c r="AA19" i="4"/>
  <c r="AA20" i="4"/>
  <c r="AB20" i="4"/>
  <c r="AB41" i="4"/>
  <c r="AA41" i="4"/>
  <c r="AB37" i="4"/>
  <c r="AA37" i="4"/>
  <c r="AB39" i="4"/>
  <c r="AA39" i="4"/>
  <c r="AB14" i="4"/>
  <c r="AA14" i="4"/>
  <c r="AB10" i="4"/>
  <c r="AA10" i="4"/>
  <c r="AB32" i="4"/>
  <c r="AA32" i="4"/>
  <c r="EO27" i="4"/>
  <c r="EA27" i="4" s="1"/>
  <c r="EO35" i="4"/>
  <c r="EA35" i="4" s="1"/>
  <c r="EO29" i="4"/>
  <c r="EA29" i="4" s="1"/>
  <c r="EO14" i="4"/>
  <c r="EA14" i="4" s="1"/>
  <c r="EO40" i="4"/>
  <c r="EA40" i="4" s="1"/>
  <c r="EO11" i="4"/>
  <c r="EA11" i="4" s="1"/>
  <c r="EO33" i="4"/>
  <c r="EA33" i="4" s="1"/>
  <c r="EO22" i="4"/>
  <c r="EA22" i="4" s="1"/>
  <c r="EE30" i="4"/>
  <c r="EO26" i="4"/>
  <c r="EA26" i="4" s="1"/>
  <c r="EO20" i="4"/>
  <c r="EA20" i="4" s="1"/>
  <c r="EF18" i="4"/>
  <c r="EO16" i="4"/>
  <c r="EA16" i="4" s="1"/>
  <c r="CZ20" i="4"/>
  <c r="CZ23" i="4"/>
  <c r="DB23" i="4" s="1"/>
  <c r="CZ21" i="4"/>
  <c r="DF20" i="4"/>
  <c r="DF21" i="4"/>
  <c r="CU20" i="4"/>
  <c r="CU23" i="4"/>
  <c r="CW23" i="4" s="1"/>
  <c r="CU21" i="4"/>
  <c r="DF23" i="4"/>
  <c r="DH23" i="4" s="1"/>
  <c r="CS17" i="4"/>
  <c r="CX16" i="4"/>
  <c r="DD17" i="4"/>
  <c r="CX15" i="4"/>
  <c r="DD16" i="4"/>
  <c r="CS16" i="4"/>
  <c r="DD15" i="4"/>
  <c r="CX17" i="4"/>
  <c r="CS15" i="4"/>
  <c r="EE18" i="4"/>
  <c r="EO23" i="4"/>
  <c r="EA23" i="4" s="1"/>
  <c r="EO28" i="4"/>
  <c r="EA28" i="4" s="1"/>
  <c r="EG18" i="4"/>
  <c r="DA9" i="4"/>
  <c r="DA8" i="4"/>
  <c r="DB8" i="4" s="1"/>
  <c r="DG10" i="4"/>
  <c r="CV8" i="4"/>
  <c r="CW8" i="4" s="1"/>
  <c r="CV10" i="4"/>
  <c r="DG9" i="4"/>
  <c r="CV9" i="4"/>
  <c r="DG8" i="4"/>
  <c r="DH8" i="4" s="1"/>
  <c r="DA10" i="4"/>
  <c r="EO8" i="4"/>
  <c r="EA8" i="4" s="1"/>
  <c r="DG16" i="4"/>
  <c r="DG14" i="4"/>
  <c r="CV16" i="4"/>
  <c r="DG15" i="4"/>
  <c r="CV14" i="4"/>
  <c r="CV15" i="4"/>
  <c r="DA15" i="4"/>
  <c r="DA16" i="4"/>
  <c r="DA14" i="4"/>
  <c r="DE29" i="4"/>
  <c r="CT29" i="4"/>
  <c r="DE26" i="4"/>
  <c r="DH26" i="4" s="1"/>
  <c r="CY28" i="4"/>
  <c r="CT26" i="4"/>
  <c r="CW26" i="4" s="1"/>
  <c r="CY29" i="4"/>
  <c r="DE28" i="4"/>
  <c r="CT28" i="4"/>
  <c r="CY26" i="4"/>
  <c r="DB26" i="4" s="1"/>
  <c r="EG30" i="4"/>
  <c r="CU35" i="4"/>
  <c r="CU33" i="4"/>
  <c r="CW33" i="4" s="1"/>
  <c r="CZ32" i="4"/>
  <c r="DF35" i="4"/>
  <c r="DF33" i="4"/>
  <c r="DH33" i="4" s="1"/>
  <c r="CZ35" i="4"/>
  <c r="DF32" i="4"/>
  <c r="CZ33" i="4"/>
  <c r="DB33" i="4" s="1"/>
  <c r="CU32" i="4"/>
  <c r="EG12" i="4"/>
  <c r="CX41" i="4"/>
  <c r="CS39" i="4"/>
  <c r="CX40" i="4"/>
  <c r="DB40" i="4" s="1"/>
  <c r="DD41" i="4"/>
  <c r="CS41" i="4"/>
  <c r="DD39" i="4"/>
  <c r="DD40" i="4"/>
  <c r="DH40" i="4" s="1"/>
  <c r="CX39" i="4"/>
  <c r="CS40" i="4"/>
  <c r="CW40" i="4" s="1"/>
  <c r="DA21" i="4"/>
  <c r="DG22" i="4"/>
  <c r="DH22" i="4" s="1"/>
  <c r="CV22" i="4"/>
  <c r="CW22" i="4" s="1"/>
  <c r="DG21" i="4"/>
  <c r="CV20" i="4"/>
  <c r="CV21" i="4"/>
  <c r="DA22" i="4"/>
  <c r="DB22" i="4" s="1"/>
  <c r="DA20" i="4"/>
  <c r="DG20" i="4"/>
  <c r="EO15" i="4"/>
  <c r="EA15" i="4" s="1"/>
  <c r="DE17" i="4"/>
  <c r="CY14" i="4"/>
  <c r="DE16" i="4"/>
  <c r="CT16" i="4"/>
  <c r="DE14" i="4"/>
  <c r="CT14" i="4"/>
  <c r="CT17" i="4"/>
  <c r="CY16" i="4"/>
  <c r="CY17" i="4"/>
  <c r="EF24" i="4"/>
  <c r="EO34" i="4"/>
  <c r="EA34" i="4" s="1"/>
  <c r="EO9" i="4"/>
  <c r="EA9" i="4" s="1"/>
  <c r="DD29" i="4"/>
  <c r="CS29" i="4"/>
  <c r="CX28" i="4"/>
  <c r="DD27" i="4"/>
  <c r="DH27" i="4" s="1"/>
  <c r="CS27" i="4"/>
  <c r="CW27" i="4" s="1"/>
  <c r="CX29" i="4"/>
  <c r="DD28" i="4"/>
  <c r="CX27" i="4"/>
  <c r="DB27" i="4" s="1"/>
  <c r="CS28" i="4"/>
  <c r="EF42" i="4"/>
  <c r="CT35" i="4"/>
  <c r="DE34" i="4"/>
  <c r="DH34" i="4" s="1"/>
  <c r="CY35" i="4"/>
  <c r="DE35" i="4"/>
  <c r="CT34" i="4"/>
  <c r="CW34" i="4" s="1"/>
  <c r="CY32" i="4"/>
  <c r="CT32" i="4"/>
  <c r="CY34" i="4"/>
  <c r="DB34" i="4" s="1"/>
  <c r="DE32" i="4"/>
  <c r="EG24" i="4"/>
  <c r="EF36" i="4"/>
  <c r="EO32" i="4"/>
  <c r="EA32" i="4" s="1"/>
  <c r="DF41" i="4"/>
  <c r="CU41" i="4"/>
  <c r="CZ41" i="4"/>
  <c r="DF39" i="4"/>
  <c r="CU39" i="4"/>
  <c r="CZ38" i="4"/>
  <c r="DB38" i="4" s="1"/>
  <c r="CU38" i="4"/>
  <c r="CW38" i="4" s="1"/>
  <c r="CZ39" i="4"/>
  <c r="DF38" i="4"/>
  <c r="DH38" i="4" s="1"/>
  <c r="EO39" i="4"/>
  <c r="EA39" i="4" s="1"/>
  <c r="EH42" i="4"/>
  <c r="EO10" i="4"/>
  <c r="EA10" i="4" s="1"/>
  <c r="EE42" i="4"/>
  <c r="EO41" i="4"/>
  <c r="EA41" i="4" s="1"/>
  <c r="EO38" i="4"/>
  <c r="EA38" i="4" s="1"/>
  <c r="EE24" i="4"/>
  <c r="EO17" i="4"/>
  <c r="EA17" i="4" s="1"/>
  <c r="EF12" i="4"/>
  <c r="EH30" i="4"/>
  <c r="EG42" i="4"/>
  <c r="CX11" i="4"/>
  <c r="DB11" i="4" s="1"/>
  <c r="DD11" i="4"/>
  <c r="DH11" i="4" s="1"/>
  <c r="CX10" i="4"/>
  <c r="CX9" i="4"/>
  <c r="CS11" i="4"/>
  <c r="CW11" i="4" s="1"/>
  <c r="DD10" i="4"/>
  <c r="DD9" i="4"/>
  <c r="CS10" i="4"/>
  <c r="CS9" i="4"/>
  <c r="EO21" i="4"/>
  <c r="EA21" i="4" s="1"/>
  <c r="EE12" i="4"/>
  <c r="DB32" i="4" l="1"/>
  <c r="CW14" i="4"/>
  <c r="CW9" i="4"/>
  <c r="DB9" i="4"/>
  <c r="DB10" i="4"/>
  <c r="CW35" i="4"/>
  <c r="DB28" i="4"/>
  <c r="CW21" i="4"/>
  <c r="DB20" i="4"/>
  <c r="DH28" i="4"/>
  <c r="CW29" i="4"/>
  <c r="CW32" i="4"/>
  <c r="DB29" i="4"/>
  <c r="DH21" i="4"/>
  <c r="CW10" i="4"/>
  <c r="DH9" i="4"/>
  <c r="DB35" i="4"/>
  <c r="CW20" i="4"/>
  <c r="DH20" i="4"/>
  <c r="DB39" i="4"/>
  <c r="DH35" i="4"/>
  <c r="EB35" i="4"/>
  <c r="ED35" i="4" s="1"/>
  <c r="DB14" i="4"/>
  <c r="DB21" i="4"/>
  <c r="EB39" i="4"/>
  <c r="ED39" i="4" s="1"/>
  <c r="DH10" i="4"/>
  <c r="CW17" i="4"/>
  <c r="EB10" i="4"/>
  <c r="ED10" i="4" s="1"/>
  <c r="EB15" i="4"/>
  <c r="ED15" i="4" s="1"/>
  <c r="EB29" i="4"/>
  <c r="ED29" i="4" s="1"/>
  <c r="EB33" i="4"/>
  <c r="ED33" i="4" s="1"/>
  <c r="CW28" i="4"/>
  <c r="DH29" i="4"/>
  <c r="EB21" i="4"/>
  <c r="ED21" i="4" s="1"/>
  <c r="DH14" i="4"/>
  <c r="EB40" i="4"/>
  <c r="ED40" i="4" s="1"/>
  <c r="EB8" i="4"/>
  <c r="ED8" i="4" s="1"/>
  <c r="EB9" i="4"/>
  <c r="ED9" i="4" s="1"/>
  <c r="DB41" i="4"/>
  <c r="EB28" i="4"/>
  <c r="ED28" i="4" s="1"/>
  <c r="DB16" i="4"/>
  <c r="EB16" i="4"/>
  <c r="ED16" i="4" s="1"/>
  <c r="DB17" i="4"/>
  <c r="DH39" i="4"/>
  <c r="DH15" i="4"/>
  <c r="CW41" i="4"/>
  <c r="CW16" i="4"/>
  <c r="EB41" i="4"/>
  <c r="ED41" i="4" s="1"/>
  <c r="EB38" i="4"/>
  <c r="ED38" i="4" s="1"/>
  <c r="EB32" i="4"/>
  <c r="ED32" i="4" s="1"/>
  <c r="EB26" i="4"/>
  <c r="ED26" i="4" s="1"/>
  <c r="DH41" i="4"/>
  <c r="DH16" i="4"/>
  <c r="EB27" i="4"/>
  <c r="ED27" i="4" s="1"/>
  <c r="CW15" i="4"/>
  <c r="EB22" i="4"/>
  <c r="ED22" i="4" s="1"/>
  <c r="EB23" i="4"/>
  <c r="ED23" i="4" s="1"/>
  <c r="DB15" i="4"/>
  <c r="EB17" i="4"/>
  <c r="ED17" i="4" s="1"/>
  <c r="EB20" i="4"/>
  <c r="ED20" i="4" s="1"/>
  <c r="DH32" i="4"/>
  <c r="EB34" i="4"/>
  <c r="ED34" i="4" s="1"/>
  <c r="CW39" i="4"/>
  <c r="EB14" i="4"/>
  <c r="ED14" i="4" s="1"/>
  <c r="DH17" i="4"/>
  <c r="EB11" i="4"/>
  <c r="ED11" i="4" s="1"/>
  <c r="AW31" i="4" l="1"/>
  <c r="AY31" i="4" s="1"/>
  <c r="DS10" i="4" s="1"/>
  <c r="DC35" i="4"/>
  <c r="DI35" i="4" s="1"/>
  <c r="AW37" i="4"/>
  <c r="AY37" i="4" s="1"/>
  <c r="BA37" i="4" s="1"/>
  <c r="DC21" i="4"/>
  <c r="DI21" i="4" s="1"/>
  <c r="DC41" i="4"/>
  <c r="DI41" i="4" s="1"/>
  <c r="DC28" i="4"/>
  <c r="DI28" i="4" s="1"/>
  <c r="DC10" i="4"/>
  <c r="DI10" i="4" s="1"/>
  <c r="DC8" i="4"/>
  <c r="DI8" i="4" s="1"/>
  <c r="DC9" i="4"/>
  <c r="DI9" i="4" s="1"/>
  <c r="DC11" i="4"/>
  <c r="DI11" i="4" s="1"/>
  <c r="AW38" i="4"/>
  <c r="AY38" i="4" s="1"/>
  <c r="BA38" i="4" s="1"/>
  <c r="DC29" i="4"/>
  <c r="DI29" i="4" s="1"/>
  <c r="DC27" i="4"/>
  <c r="DI27" i="4" s="1"/>
  <c r="AW34" i="4"/>
  <c r="AY34" i="4" s="1"/>
  <c r="DC26" i="4"/>
  <c r="DI26" i="4" s="1"/>
  <c r="DC33" i="4"/>
  <c r="DI33" i="4" s="1"/>
  <c r="DC40" i="4"/>
  <c r="DI40" i="4" s="1"/>
  <c r="DC38" i="4"/>
  <c r="DI38" i="4" s="1"/>
  <c r="AW36" i="4"/>
  <c r="AY36" i="4" s="1"/>
  <c r="AW40" i="4"/>
  <c r="AY40" i="4" s="1"/>
  <c r="DU33" i="4" s="1"/>
  <c r="DC34" i="4"/>
  <c r="DI34" i="4" s="1"/>
  <c r="DC32" i="4"/>
  <c r="DI32" i="4" s="1"/>
  <c r="AW35" i="4"/>
  <c r="AY35" i="4" s="1"/>
  <c r="AW39" i="4"/>
  <c r="AY39" i="4" s="1"/>
  <c r="BA39" i="4" s="1"/>
  <c r="DC23" i="4"/>
  <c r="DI23" i="4" s="1"/>
  <c r="AW32" i="4"/>
  <c r="AY32" i="4" s="1"/>
  <c r="DS9" i="4" s="1"/>
  <c r="AW33" i="4"/>
  <c r="AY33" i="4" s="1"/>
  <c r="DC15" i="4"/>
  <c r="DI15" i="4" s="1"/>
  <c r="DC20" i="4"/>
  <c r="DI20" i="4" s="1"/>
  <c r="AW42" i="4"/>
  <c r="AY42" i="4" s="1"/>
  <c r="DT40" i="4" s="1"/>
  <c r="DW40" i="4" s="1"/>
  <c r="DC22" i="4"/>
  <c r="DI22" i="4" s="1"/>
  <c r="DC39" i="4"/>
  <c r="DI39" i="4" s="1"/>
  <c r="DC17" i="4"/>
  <c r="DI17" i="4" s="1"/>
  <c r="DC16" i="4"/>
  <c r="DI16" i="4" s="1"/>
  <c r="DC14" i="4"/>
  <c r="DI14" i="4" s="1"/>
  <c r="AW41" i="4"/>
  <c r="AY41" i="4" s="1"/>
  <c r="DS33" i="4" l="1"/>
  <c r="DW33" i="4" s="1"/>
  <c r="DT36" i="4" s="1"/>
  <c r="BA36" i="4"/>
  <c r="DS29" i="4" s="1"/>
  <c r="DW29" i="4" s="1"/>
  <c r="DV30" i="4" s="1"/>
  <c r="DU26" i="4"/>
  <c r="BA34" i="4"/>
  <c r="DT16" i="4"/>
  <c r="BA33" i="4"/>
  <c r="DS17" i="4"/>
  <c r="BA40" i="4"/>
  <c r="DT34" i="4" s="1"/>
  <c r="DS35" i="4"/>
  <c r="BA31" i="4"/>
  <c r="DU8" i="4" s="1"/>
  <c r="DV9" i="4"/>
  <c r="DW9" i="4" s="1"/>
  <c r="DT12" i="4" s="1"/>
  <c r="BA35" i="4"/>
  <c r="DT28" i="4" s="1"/>
  <c r="DU17" i="4"/>
  <c r="DV10" i="4"/>
  <c r="DW10" i="4" s="1"/>
  <c r="DU12" i="4" s="1"/>
  <c r="DV26" i="4"/>
  <c r="DU27" i="4"/>
  <c r="DW27" i="4" s="1"/>
  <c r="DT30" i="4" s="1"/>
  <c r="DJ10" i="4"/>
  <c r="DM12" i="4" s="1"/>
  <c r="DJ11" i="4"/>
  <c r="DN12" i="4" s="1"/>
  <c r="DJ29" i="4"/>
  <c r="DN30" i="4" s="1"/>
  <c r="DT22" i="4"/>
  <c r="DW22" i="4" s="1"/>
  <c r="DU24" i="4" s="1"/>
  <c r="BA32" i="4"/>
  <c r="DT8" i="4" s="1"/>
  <c r="DJ8" i="4"/>
  <c r="DK12" i="4" s="1"/>
  <c r="DU14" i="4"/>
  <c r="DS23" i="4"/>
  <c r="DW23" i="4" s="1"/>
  <c r="DJ34" i="4"/>
  <c r="DM36" i="4" s="1"/>
  <c r="DJ28" i="4"/>
  <c r="DM30" i="4" s="1"/>
  <c r="DJ9" i="4"/>
  <c r="DL12" i="4" s="1"/>
  <c r="DT17" i="4"/>
  <c r="DJ26" i="4"/>
  <c r="DK30" i="4" s="1"/>
  <c r="DJ27" i="4"/>
  <c r="DJ23" i="4"/>
  <c r="DN24" i="4" s="1"/>
  <c r="DU35" i="4"/>
  <c r="DJ22" i="4"/>
  <c r="DM24" i="4" s="1"/>
  <c r="DJ21" i="4"/>
  <c r="DL24" i="4" s="1"/>
  <c r="BA42" i="4"/>
  <c r="DU39" i="4" s="1"/>
  <c r="DW39" i="4" s="1"/>
  <c r="DT42" i="4" s="1"/>
  <c r="DJ35" i="4"/>
  <c r="DN36" i="4" s="1"/>
  <c r="DJ33" i="4"/>
  <c r="DL36" i="4" s="1"/>
  <c r="DJ32" i="4"/>
  <c r="DK36" i="4" s="1"/>
  <c r="DJ20" i="4"/>
  <c r="DK24" i="4" s="1"/>
  <c r="DJ16" i="4"/>
  <c r="DM18" i="4" s="1"/>
  <c r="DJ39" i="4"/>
  <c r="DJ38" i="4"/>
  <c r="DJ40" i="4"/>
  <c r="DJ15" i="4"/>
  <c r="DJ17" i="4"/>
  <c r="BA41" i="4"/>
  <c r="DS41" i="4" s="1"/>
  <c r="DW41" i="4" s="1"/>
  <c r="DJ41" i="4"/>
  <c r="DJ14" i="4"/>
  <c r="DU42" i="4"/>
  <c r="DV38" i="4" l="1"/>
  <c r="DW38" i="4" s="1"/>
  <c r="DS42" i="4" s="1"/>
  <c r="DW26" i="4"/>
  <c r="DS30" i="4" s="1"/>
  <c r="DT32" i="4"/>
  <c r="DS16" i="4"/>
  <c r="DS28" i="4"/>
  <c r="DW28" i="4" s="1"/>
  <c r="DU21" i="4"/>
  <c r="DW21" i="4" s="1"/>
  <c r="DT24" i="4" s="1"/>
  <c r="DU15" i="4"/>
  <c r="DW8" i="4"/>
  <c r="DS12" i="4" s="1"/>
  <c r="DV20" i="4"/>
  <c r="DW20" i="4" s="1"/>
  <c r="DS24" i="4" s="1"/>
  <c r="DV14" i="4"/>
  <c r="DW14" i="4" s="1"/>
  <c r="DS18" i="4" s="1"/>
  <c r="DW35" i="4"/>
  <c r="DV36" i="4" s="1"/>
  <c r="DV34" i="4"/>
  <c r="DW34" i="4" s="1"/>
  <c r="DU36" i="4" s="1"/>
  <c r="DV32" i="4"/>
  <c r="DW17" i="4"/>
  <c r="DV18" i="4" s="1"/>
  <c r="DU11" i="4"/>
  <c r="DT11" i="4"/>
  <c r="DV15" i="4"/>
  <c r="DV16" i="4"/>
  <c r="DL10" i="4"/>
  <c r="DM29" i="4"/>
  <c r="DV24" i="4"/>
  <c r="DM26" i="4"/>
  <c r="DL8" i="4"/>
  <c r="DM27" i="4"/>
  <c r="DL11" i="4"/>
  <c r="DL30" i="4"/>
  <c r="DL29" i="4" s="1"/>
  <c r="DK21" i="4"/>
  <c r="DK22" i="4"/>
  <c r="DL35" i="4"/>
  <c r="DL34" i="4"/>
  <c r="DL32" i="4"/>
  <c r="DO24" i="4"/>
  <c r="DK23" i="4"/>
  <c r="DN42" i="4"/>
  <c r="DK18" i="4"/>
  <c r="DN18" i="4"/>
  <c r="DL18" i="4"/>
  <c r="DK29" i="4"/>
  <c r="DK28" i="4"/>
  <c r="DK27" i="4"/>
  <c r="DN22" i="4"/>
  <c r="DN20" i="4"/>
  <c r="DN21" i="4"/>
  <c r="DN26" i="4"/>
  <c r="DN27" i="4"/>
  <c r="DN28" i="4"/>
  <c r="DL23" i="4"/>
  <c r="DL20" i="4"/>
  <c r="DL22" i="4"/>
  <c r="DM42" i="4"/>
  <c r="DM11" i="4"/>
  <c r="DM9" i="4"/>
  <c r="DM8" i="4"/>
  <c r="DK42" i="4"/>
  <c r="DL42" i="4"/>
  <c r="DN32" i="4"/>
  <c r="DN34" i="4"/>
  <c r="DN33" i="4"/>
  <c r="DM23" i="4"/>
  <c r="DM20" i="4"/>
  <c r="DM21" i="4"/>
  <c r="DM35" i="4"/>
  <c r="DM33" i="4"/>
  <c r="DM32" i="4"/>
  <c r="DK33" i="4"/>
  <c r="DK34" i="4"/>
  <c r="DO36" i="4"/>
  <c r="DK35" i="4"/>
  <c r="DN8" i="4"/>
  <c r="DN10" i="4"/>
  <c r="DN9" i="4"/>
  <c r="DM17" i="4"/>
  <c r="DM14" i="4"/>
  <c r="DM15" i="4"/>
  <c r="DV42" i="4"/>
  <c r="DX41" i="4"/>
  <c r="DO12" i="4"/>
  <c r="DK10" i="4"/>
  <c r="DK11" i="4"/>
  <c r="DK9" i="4"/>
  <c r="DX39" i="4" l="1"/>
  <c r="DX38" i="4"/>
  <c r="DX40" i="4"/>
  <c r="DW16" i="4"/>
  <c r="DU18" i="4" s="1"/>
  <c r="DW32" i="4"/>
  <c r="DX35" i="4" s="1"/>
  <c r="DU30" i="4"/>
  <c r="DX26" i="4"/>
  <c r="DX27" i="4"/>
  <c r="DX29" i="4"/>
  <c r="DX28" i="4"/>
  <c r="DW15" i="4"/>
  <c r="DT18" i="4" s="1"/>
  <c r="DX23" i="4"/>
  <c r="DX21" i="4"/>
  <c r="DX22" i="4"/>
  <c r="DX20" i="4"/>
  <c r="DW11" i="4"/>
  <c r="DV12" i="4" s="1"/>
  <c r="DO30" i="4"/>
  <c r="DL28" i="4"/>
  <c r="DO28" i="4" s="1"/>
  <c r="DL26" i="4"/>
  <c r="DO26" i="4" s="1"/>
  <c r="DO22" i="4"/>
  <c r="DO32" i="4"/>
  <c r="DO35" i="4"/>
  <c r="DO11" i="4"/>
  <c r="DO23" i="4"/>
  <c r="DO8" i="4"/>
  <c r="DO21" i="4"/>
  <c r="DO27" i="4"/>
  <c r="DO20" i="4"/>
  <c r="DN16" i="4"/>
  <c r="DN14" i="4"/>
  <c r="DN15" i="4"/>
  <c r="DK39" i="4"/>
  <c r="DO42" i="4"/>
  <c r="DK41" i="4"/>
  <c r="DK40" i="4"/>
  <c r="DO29" i="4"/>
  <c r="DO9" i="4"/>
  <c r="DO18" i="4"/>
  <c r="DK17" i="4"/>
  <c r="DK15" i="4"/>
  <c r="DK16" i="4"/>
  <c r="DO34" i="4"/>
  <c r="DL41" i="4"/>
  <c r="DL38" i="4"/>
  <c r="DL40" i="4"/>
  <c r="DN39" i="4"/>
  <c r="DN40" i="4"/>
  <c r="DN38" i="4"/>
  <c r="DL17" i="4"/>
  <c r="DL16" i="4"/>
  <c r="DL14" i="4"/>
  <c r="DO10" i="4"/>
  <c r="DO33" i="4"/>
  <c r="DM39" i="4"/>
  <c r="DM41" i="4"/>
  <c r="DM38" i="4"/>
  <c r="DP26" i="4" l="1"/>
  <c r="DP29" i="4"/>
  <c r="DP20" i="4"/>
  <c r="DX32" i="4"/>
  <c r="DP32" i="4" s="1"/>
  <c r="DX34" i="4"/>
  <c r="DP34" i="4" s="1"/>
  <c r="DX33" i="4"/>
  <c r="DP33" i="4" s="1"/>
  <c r="DS36" i="4"/>
  <c r="DP22" i="4"/>
  <c r="DP23" i="4"/>
  <c r="DP27" i="4"/>
  <c r="DX15" i="4"/>
  <c r="DX16" i="4"/>
  <c r="DP21" i="4"/>
  <c r="DP28" i="4"/>
  <c r="DX14" i="4"/>
  <c r="DX17" i="4"/>
  <c r="DP35" i="4"/>
  <c r="DX11" i="4"/>
  <c r="DP11" i="4" s="1"/>
  <c r="DX9" i="4"/>
  <c r="DP9" i="4" s="1"/>
  <c r="DX8" i="4"/>
  <c r="DP8" i="4" s="1"/>
  <c r="DX10" i="4"/>
  <c r="DP10" i="4" s="1"/>
  <c r="DO14" i="4"/>
  <c r="DO16" i="4"/>
  <c r="DO15" i="4"/>
  <c r="DO41" i="4"/>
  <c r="DP41" i="4" s="1"/>
  <c r="DO40" i="4"/>
  <c r="DP40" i="4" s="1"/>
  <c r="DO17" i="4"/>
  <c r="DO38" i="4"/>
  <c r="DP38" i="4" s="1"/>
  <c r="DO39" i="4"/>
  <c r="DP39" i="4" s="1"/>
  <c r="DQ21" i="4" l="1"/>
  <c r="BC21" i="4" s="1"/>
  <c r="DQ28" i="4"/>
  <c r="BC28" i="4" s="1"/>
  <c r="DQ22" i="4"/>
  <c r="BC22" i="4" s="1"/>
  <c r="DP15" i="4"/>
  <c r="DP16" i="4"/>
  <c r="DP14" i="4"/>
  <c r="DQ20" i="4"/>
  <c r="BC20" i="4" s="1"/>
  <c r="DP17" i="4"/>
  <c r="DQ23" i="4"/>
  <c r="BC23" i="4" s="1"/>
  <c r="DQ29" i="4"/>
  <c r="BC29" i="4" s="1"/>
  <c r="DQ27" i="4"/>
  <c r="BC27" i="4" s="1"/>
  <c r="DQ26" i="4"/>
  <c r="BC26" i="4" s="1"/>
  <c r="DQ35" i="4"/>
  <c r="BC35" i="4" s="1"/>
  <c r="DQ33" i="4"/>
  <c r="BC33" i="4" s="1"/>
  <c r="DQ11" i="4"/>
  <c r="BC11" i="4" s="1"/>
  <c r="DQ9" i="4"/>
  <c r="BC9" i="4" s="1"/>
  <c r="DQ8" i="4"/>
  <c r="BC8" i="4" s="1"/>
  <c r="DQ10" i="4"/>
  <c r="BC10" i="4" s="1"/>
  <c r="DQ34" i="4"/>
  <c r="BC34" i="4" s="1"/>
  <c r="DQ32" i="4"/>
  <c r="BC32" i="4" s="1"/>
  <c r="DQ39" i="4"/>
  <c r="BC39" i="4" s="1"/>
  <c r="DQ40" i="4"/>
  <c r="BC40" i="4" s="1"/>
  <c r="DQ38" i="4"/>
  <c r="BC38" i="4" s="1"/>
  <c r="DQ41" i="4"/>
  <c r="BC41" i="4" s="1"/>
  <c r="S12" i="4" l="1"/>
  <c r="Q29" i="4"/>
  <c r="O23" i="4"/>
  <c r="BS22" i="4" s="1"/>
  <c r="BD46" i="4" s="1"/>
  <c r="BI46" i="4" s="1"/>
  <c r="DQ17" i="4"/>
  <c r="BC17" i="4" s="1"/>
  <c r="R22" i="4"/>
  <c r="S23" i="4"/>
  <c r="O21" i="4"/>
  <c r="BS20" i="4" s="1"/>
  <c r="AB48" i="4" s="1"/>
  <c r="EW26" i="4" s="1"/>
  <c r="X48" i="4" s="1"/>
  <c r="Y48" i="4" s="1"/>
  <c r="FC28" i="4" s="1"/>
  <c r="X59" i="4" s="1"/>
  <c r="Y59" i="4" s="1"/>
  <c r="FI32" i="4" s="1"/>
  <c r="X65" i="4" s="1"/>
  <c r="Y65" i="4" s="1"/>
  <c r="FO24" i="4" s="1"/>
  <c r="S24" i="4"/>
  <c r="R23" i="4"/>
  <c r="O24" i="4"/>
  <c r="DQ16" i="4"/>
  <c r="BC16" i="4" s="1"/>
  <c r="DQ14" i="4"/>
  <c r="BC14" i="4" s="1"/>
  <c r="R24" i="4"/>
  <c r="Q24" i="4"/>
  <c r="DQ15" i="4"/>
  <c r="BC15" i="4" s="1"/>
  <c r="Q22" i="4"/>
  <c r="R28" i="4"/>
  <c r="Q21" i="4"/>
  <c r="T23" i="4"/>
  <c r="O22" i="4"/>
  <c r="BS21" i="4" s="1"/>
  <c r="AC47" i="4" s="1"/>
  <c r="EW19" i="4" s="1"/>
  <c r="Q23" i="4"/>
  <c r="T22" i="4"/>
  <c r="S22" i="4"/>
  <c r="R21" i="4"/>
  <c r="T24" i="4"/>
  <c r="T21" i="4"/>
  <c r="S21" i="4"/>
  <c r="R30" i="4"/>
  <c r="Q27" i="4"/>
  <c r="T27" i="4"/>
  <c r="Q30" i="4"/>
  <c r="T29" i="4"/>
  <c r="O27" i="4"/>
  <c r="BS26" i="4" s="1"/>
  <c r="AB52" i="4" s="1"/>
  <c r="EW38" i="4" s="1"/>
  <c r="X53" i="4" s="1"/>
  <c r="Y53" i="4" s="1"/>
  <c r="FC37" i="4" s="1"/>
  <c r="S27" i="4"/>
  <c r="O28" i="4"/>
  <c r="BS27" i="4" s="1"/>
  <c r="AB50" i="4" s="1"/>
  <c r="EW14" i="4" s="1"/>
  <c r="X47" i="4" s="1"/>
  <c r="Y47" i="4" s="1"/>
  <c r="FC13" i="4" s="1"/>
  <c r="S29" i="4"/>
  <c r="S30" i="4"/>
  <c r="O29" i="4"/>
  <c r="BS28" i="4" s="1"/>
  <c r="BD47" i="4" s="1"/>
  <c r="BG66" i="4" s="1"/>
  <c r="J19" i="3" s="1"/>
  <c r="S28" i="4"/>
  <c r="T30" i="4"/>
  <c r="R27" i="4"/>
  <c r="T28" i="4"/>
  <c r="Q28" i="4"/>
  <c r="O30" i="4"/>
  <c r="R29" i="4"/>
  <c r="T9" i="4"/>
  <c r="Q33" i="4"/>
  <c r="T36" i="4"/>
  <c r="O11" i="4"/>
  <c r="BS10" i="4" s="1"/>
  <c r="BD44" i="4" s="1"/>
  <c r="BH62" i="4" s="1"/>
  <c r="K15" i="3" s="1"/>
  <c r="S11" i="4"/>
  <c r="T35" i="4"/>
  <c r="S10" i="4"/>
  <c r="Q36" i="4"/>
  <c r="T11" i="4"/>
  <c r="Q11" i="4"/>
  <c r="R9" i="4"/>
  <c r="R11" i="4"/>
  <c r="R33" i="4"/>
  <c r="S34" i="4"/>
  <c r="S36" i="4"/>
  <c r="R10" i="4"/>
  <c r="O10" i="4"/>
  <c r="BS9" i="4" s="1"/>
  <c r="AB46" i="4" s="1"/>
  <c r="EW30" i="4" s="1"/>
  <c r="O9" i="4"/>
  <c r="BS8" i="4" s="1"/>
  <c r="AB47" i="4" s="1"/>
  <c r="EW18" i="4" s="1"/>
  <c r="X50" i="4" s="1"/>
  <c r="Y50" i="4" s="1"/>
  <c r="FC20" i="4" s="1"/>
  <c r="X58" i="4" s="1"/>
  <c r="Y58" i="4" s="1"/>
  <c r="FI17" i="4" s="1"/>
  <c r="X64" i="4" s="1"/>
  <c r="Y64" i="4" s="1"/>
  <c r="FO23" i="4" s="1"/>
  <c r="X73" i="4" s="1"/>
  <c r="S35" i="4"/>
  <c r="T10" i="4"/>
  <c r="Q10" i="4"/>
  <c r="S9" i="4"/>
  <c r="Q12" i="4"/>
  <c r="R34" i="4"/>
  <c r="T12" i="4"/>
  <c r="R12" i="4"/>
  <c r="Q9" i="4"/>
  <c r="O12" i="4"/>
  <c r="O35" i="4"/>
  <c r="BS34" i="4" s="1"/>
  <c r="BD48" i="4" s="1"/>
  <c r="BF67" i="4" s="1"/>
  <c r="I20" i="3" s="1"/>
  <c r="Q35" i="4"/>
  <c r="O36" i="4"/>
  <c r="S33" i="4"/>
  <c r="Q34" i="4"/>
  <c r="R36" i="4"/>
  <c r="T34" i="4"/>
  <c r="O34" i="4"/>
  <c r="BS33" i="4" s="1"/>
  <c r="AC50" i="4" s="1"/>
  <c r="EW15" i="4" s="1"/>
  <c r="R35" i="4"/>
  <c r="O33" i="4"/>
  <c r="BS32" i="4" s="1"/>
  <c r="AB53" i="4" s="1"/>
  <c r="EW34" i="4" s="1"/>
  <c r="X52" i="4" s="1"/>
  <c r="Y52" i="4" s="1"/>
  <c r="FC36" i="4" s="1"/>
  <c r="X60" i="4" s="1"/>
  <c r="Y60" i="4" s="1"/>
  <c r="FI33" i="4" s="1"/>
  <c r="Z65" i="4" s="1"/>
  <c r="BB77" i="4" s="1"/>
  <c r="T33" i="4"/>
  <c r="S41" i="4"/>
  <c r="O42" i="4"/>
  <c r="R41" i="4"/>
  <c r="T40" i="4"/>
  <c r="Q41" i="4"/>
  <c r="S40" i="4"/>
  <c r="R40" i="4"/>
  <c r="T42" i="4"/>
  <c r="O41" i="4"/>
  <c r="BS40" i="4" s="1"/>
  <c r="BD49" i="4" s="1"/>
  <c r="S42" i="4"/>
  <c r="R42" i="4"/>
  <c r="Q42" i="4"/>
  <c r="T41" i="4"/>
  <c r="T39" i="4"/>
  <c r="R39" i="4"/>
  <c r="Q40" i="4"/>
  <c r="Q39" i="4"/>
  <c r="O40" i="4"/>
  <c r="BS39" i="4" s="1"/>
  <c r="AC52" i="4" s="1"/>
  <c r="EW39" i="4" s="1"/>
  <c r="O39" i="4"/>
  <c r="BS38" i="4" s="1"/>
  <c r="AB51" i="4" s="1"/>
  <c r="EW10" i="4" s="1"/>
  <c r="S39" i="4"/>
  <c r="Y73" i="4" l="1"/>
  <c r="FL41" i="4"/>
  <c r="Q15" i="4"/>
  <c r="BG60" i="4"/>
  <c r="J13" i="3" s="1"/>
  <c r="BH54" i="4"/>
  <c r="K7" i="3" s="1"/>
  <c r="BG61" i="4"/>
  <c r="J14" i="3" s="1"/>
  <c r="BQ46" i="4"/>
  <c r="BH55" i="4"/>
  <c r="K8" i="3" s="1"/>
  <c r="BF46" i="4"/>
  <c r="BG65" i="4"/>
  <c r="J18" i="3" s="1"/>
  <c r="BE46" i="4"/>
  <c r="BG59" i="4"/>
  <c r="J12" i="3" s="1"/>
  <c r="BG64" i="4"/>
  <c r="J17" i="3" s="1"/>
  <c r="BH46" i="4"/>
  <c r="BK46" i="4" s="1"/>
  <c r="U9" i="4"/>
  <c r="BH63" i="4"/>
  <c r="K16" i="3" s="1"/>
  <c r="BH67" i="4"/>
  <c r="K20" i="3" s="1"/>
  <c r="BG46" i="4"/>
  <c r="BH53" i="4"/>
  <c r="K6" i="3" s="1"/>
  <c r="P23" i="4"/>
  <c r="U23" i="4"/>
  <c r="U22" i="4"/>
  <c r="U24" i="4"/>
  <c r="O15" i="4"/>
  <c r="BS14" i="4" s="1"/>
  <c r="AB49" i="4" s="1"/>
  <c r="EW22" i="4" s="1"/>
  <c r="R15" i="4"/>
  <c r="T15" i="4"/>
  <c r="S15" i="4"/>
  <c r="S16" i="4"/>
  <c r="R16" i="4"/>
  <c r="R17" i="4"/>
  <c r="O16" i="4"/>
  <c r="BS15" i="4" s="1"/>
  <c r="AC46" i="4" s="1"/>
  <c r="EW31" i="4" s="1"/>
  <c r="X49" i="4" s="1"/>
  <c r="Y49" i="4" s="1"/>
  <c r="FC29" i="4" s="1"/>
  <c r="O18" i="4"/>
  <c r="S18" i="4"/>
  <c r="Q17" i="4"/>
  <c r="S17" i="4"/>
  <c r="Q18" i="4"/>
  <c r="T18" i="4"/>
  <c r="P24" i="4"/>
  <c r="O17" i="4"/>
  <c r="BS16" i="4" s="1"/>
  <c r="BD45" i="4" s="1"/>
  <c r="Z38" i="4" s="1"/>
  <c r="AA38" i="4" s="1"/>
  <c r="R18" i="4"/>
  <c r="Q16" i="4"/>
  <c r="T16" i="4"/>
  <c r="T17" i="4"/>
  <c r="BG47" i="4"/>
  <c r="U28" i="4"/>
  <c r="U27" i="4"/>
  <c r="P22" i="4"/>
  <c r="BF53" i="4"/>
  <c r="I6" i="3" s="1"/>
  <c r="BE56" i="4"/>
  <c r="H9" i="3" s="1"/>
  <c r="BI47" i="4"/>
  <c r="P28" i="4"/>
  <c r="U30" i="4"/>
  <c r="BH47" i="4"/>
  <c r="BG67" i="4"/>
  <c r="J20" i="3" s="1"/>
  <c r="BF60" i="4"/>
  <c r="I13" i="3" s="1"/>
  <c r="P27" i="4"/>
  <c r="P21" i="4"/>
  <c r="BF64" i="4"/>
  <c r="I17" i="3" s="1"/>
  <c r="BF59" i="4"/>
  <c r="I12" i="3" s="1"/>
  <c r="BQ47" i="4"/>
  <c r="BF47" i="4"/>
  <c r="BG62" i="4"/>
  <c r="J15" i="3" s="1"/>
  <c r="P30" i="4"/>
  <c r="BE57" i="4"/>
  <c r="H10" i="3" s="1"/>
  <c r="BE47" i="4"/>
  <c r="U21" i="4"/>
  <c r="BF63" i="4"/>
  <c r="I16" i="3" s="1"/>
  <c r="P29" i="4"/>
  <c r="U29" i="4"/>
  <c r="BH60" i="4"/>
  <c r="K13" i="3" s="1"/>
  <c r="BF44" i="4"/>
  <c r="BE44" i="4"/>
  <c r="BH58" i="4"/>
  <c r="K11" i="3" s="1"/>
  <c r="BE54" i="4"/>
  <c r="H7" i="3" s="1"/>
  <c r="BG44" i="4"/>
  <c r="BI44" i="4"/>
  <c r="BH61" i="4"/>
  <c r="K14" i="3" s="1"/>
  <c r="BQ44" i="4"/>
  <c r="BH59" i="4"/>
  <c r="K12" i="3" s="1"/>
  <c r="BG56" i="4"/>
  <c r="J9" i="3" s="1"/>
  <c r="BG57" i="4"/>
  <c r="J10" i="3" s="1"/>
  <c r="BE55" i="4"/>
  <c r="H8" i="3" s="1"/>
  <c r="BE53" i="4"/>
  <c r="H6" i="3" s="1"/>
  <c r="BH44" i="4"/>
  <c r="U34" i="4"/>
  <c r="U36" i="4"/>
  <c r="Z17" i="4"/>
  <c r="Z29" i="4"/>
  <c r="P12" i="4"/>
  <c r="P10" i="4"/>
  <c r="Z18" i="4"/>
  <c r="Z42" i="4"/>
  <c r="Z28" i="4"/>
  <c r="U10" i="4"/>
  <c r="P11" i="4"/>
  <c r="P9" i="4"/>
  <c r="U12" i="4"/>
  <c r="P36" i="4"/>
  <c r="P34" i="4"/>
  <c r="Z33" i="4"/>
  <c r="U11" i="4"/>
  <c r="P33" i="4"/>
  <c r="Z12" i="4"/>
  <c r="Z24" i="4"/>
  <c r="U33" i="4"/>
  <c r="Z11" i="4"/>
  <c r="AB11" i="4" s="1"/>
  <c r="P35" i="4"/>
  <c r="BI48" i="4"/>
  <c r="BF48" i="4"/>
  <c r="Z26" i="4"/>
  <c r="BE62" i="4"/>
  <c r="H15" i="3" s="1"/>
  <c r="BE58" i="4"/>
  <c r="H11" i="3" s="1"/>
  <c r="BF66" i="4"/>
  <c r="I19" i="3" s="1"/>
  <c r="U35" i="4"/>
  <c r="BE48" i="4"/>
  <c r="BF54" i="4"/>
  <c r="I7" i="3" s="1"/>
  <c r="BE61" i="4"/>
  <c r="H14" i="3" s="1"/>
  <c r="BH48" i="4"/>
  <c r="BE59" i="4"/>
  <c r="H12" i="3" s="1"/>
  <c r="BQ48" i="4"/>
  <c r="BE63" i="4"/>
  <c r="H16" i="3" s="1"/>
  <c r="BF56" i="4"/>
  <c r="I9" i="3" s="1"/>
  <c r="BF65" i="4"/>
  <c r="I18" i="3" s="1"/>
  <c r="BG48" i="4"/>
  <c r="BG49" i="4"/>
  <c r="BF57" i="4"/>
  <c r="I10" i="3" s="1"/>
  <c r="BF49" i="4"/>
  <c r="BF58" i="4"/>
  <c r="I11" i="3" s="1"/>
  <c r="BF62" i="4"/>
  <c r="I15" i="3" s="1"/>
  <c r="BF61" i="4"/>
  <c r="I14" i="3" s="1"/>
  <c r="BQ49" i="4"/>
  <c r="BF55" i="4"/>
  <c r="I8" i="3" s="1"/>
  <c r="BE49" i="4"/>
  <c r="BE60" i="4"/>
  <c r="H13" i="3" s="1"/>
  <c r="BI49" i="4"/>
  <c r="BE65" i="4"/>
  <c r="H18" i="3" s="1"/>
  <c r="BE66" i="4"/>
  <c r="H19" i="3" s="1"/>
  <c r="BE67" i="4"/>
  <c r="H20" i="3" s="1"/>
  <c r="BH49" i="4"/>
  <c r="BE64" i="4"/>
  <c r="H17" i="3" s="1"/>
  <c r="P42" i="4"/>
  <c r="U42" i="4"/>
  <c r="U39" i="4"/>
  <c r="P39" i="4"/>
  <c r="U40" i="4"/>
  <c r="P40" i="4"/>
  <c r="P41" i="4"/>
  <c r="U41" i="4"/>
  <c r="U15" i="4" l="1"/>
  <c r="BM46" i="4"/>
  <c r="BG63" i="4"/>
  <c r="J16" i="3" s="1"/>
  <c r="BK44" i="4"/>
  <c r="U17" i="4"/>
  <c r="BG53" i="4"/>
  <c r="J6" i="3" s="1"/>
  <c r="BM44" i="4"/>
  <c r="U18" i="4"/>
  <c r="P18" i="4"/>
  <c r="U16" i="4"/>
  <c r="P15" i="4"/>
  <c r="P16" i="4"/>
  <c r="BH57" i="4"/>
  <c r="K10" i="3" s="1"/>
  <c r="BG58" i="4"/>
  <c r="J11" i="3" s="1"/>
  <c r="BH65" i="4"/>
  <c r="K18" i="3" s="1"/>
  <c r="BF45" i="4"/>
  <c r="BF50" i="4" s="1"/>
  <c r="BG55" i="4"/>
  <c r="J8" i="3" s="1"/>
  <c r="BG54" i="4"/>
  <c r="J7" i="3" s="1"/>
  <c r="BH66" i="4"/>
  <c r="K19" i="3" s="1"/>
  <c r="BH56" i="4"/>
  <c r="K9" i="3" s="1"/>
  <c r="AB38" i="4"/>
  <c r="BG45" i="4"/>
  <c r="BG50" i="4" s="1"/>
  <c r="BQ45" i="4"/>
  <c r="P17" i="4"/>
  <c r="BH45" i="4"/>
  <c r="BH50" i="4" s="1"/>
  <c r="BI45" i="4"/>
  <c r="BI50" i="4" s="1"/>
  <c r="BH64" i="4"/>
  <c r="K17" i="3" s="1"/>
  <c r="BE45" i="4"/>
  <c r="BE50" i="4" s="1"/>
  <c r="BK47" i="4"/>
  <c r="BM47" i="4"/>
  <c r="AB29" i="4"/>
  <c r="AA29" i="4"/>
  <c r="AA17" i="4"/>
  <c r="AB17" i="4"/>
  <c r="AA28" i="4"/>
  <c r="AB28" i="4"/>
  <c r="AA42" i="4"/>
  <c r="AB42" i="4"/>
  <c r="AA18" i="4"/>
  <c r="AB18" i="4"/>
  <c r="BV23" i="4"/>
  <c r="AA24" i="4"/>
  <c r="AB24" i="4"/>
  <c r="AA12" i="4"/>
  <c r="AB12" i="4"/>
  <c r="AA33" i="4"/>
  <c r="AB33" i="4"/>
  <c r="BU10" i="4"/>
  <c r="BK48" i="4"/>
  <c r="BV38" i="4"/>
  <c r="BT27" i="4"/>
  <c r="BU41" i="4"/>
  <c r="BW38" i="4"/>
  <c r="BW11" i="4"/>
  <c r="BW40" i="4"/>
  <c r="BU32" i="4"/>
  <c r="BM48" i="4"/>
  <c r="BT23" i="4"/>
  <c r="BW29" i="4"/>
  <c r="BV29" i="4"/>
  <c r="BU22" i="4"/>
  <c r="BV8" i="4"/>
  <c r="BW20" i="4"/>
  <c r="BU33" i="4"/>
  <c r="BW33" i="4"/>
  <c r="BT26" i="4"/>
  <c r="BW32" i="4"/>
  <c r="BT29" i="4"/>
  <c r="BW34" i="4"/>
  <c r="BT39" i="4"/>
  <c r="BV40" i="4"/>
  <c r="BV9" i="4"/>
  <c r="BV32" i="4"/>
  <c r="BU20" i="4"/>
  <c r="BU28" i="4"/>
  <c r="BT32" i="4"/>
  <c r="BW23" i="4"/>
  <c r="BW17" i="4"/>
  <c r="BU11" i="4"/>
  <c r="BT20" i="4"/>
  <c r="BV27" i="4"/>
  <c r="BU21" i="4"/>
  <c r="BU14" i="4"/>
  <c r="BV26" i="4"/>
  <c r="BT16" i="4"/>
  <c r="BV22" i="4"/>
  <c r="BT21" i="4"/>
  <c r="BW14" i="4"/>
  <c r="BW9" i="4"/>
  <c r="BT14" i="4"/>
  <c r="BU23" i="4"/>
  <c r="BV28" i="4"/>
  <c r="BV11" i="4"/>
  <c r="BT15" i="4"/>
  <c r="BU27" i="4"/>
  <c r="BW21" i="4"/>
  <c r="BW8" i="4"/>
  <c r="BV20" i="4"/>
  <c r="BU40" i="4"/>
  <c r="BT40" i="4"/>
  <c r="BW35" i="4"/>
  <c r="BU38" i="4"/>
  <c r="BW10" i="4"/>
  <c r="BT9" i="4"/>
  <c r="BU34" i="4"/>
  <c r="BT10" i="4"/>
  <c r="BU9" i="4"/>
  <c r="BT11" i="4"/>
  <c r="BV34" i="4"/>
  <c r="BV17" i="4"/>
  <c r="BU26" i="4"/>
  <c r="BV15" i="4"/>
  <c r="BV39" i="4"/>
  <c r="BV10" i="4"/>
  <c r="BU39" i="4"/>
  <c r="BW16" i="4"/>
  <c r="BT34" i="4"/>
  <c r="BW28" i="4"/>
  <c r="BU15" i="4"/>
  <c r="BU29" i="4"/>
  <c r="BV16" i="4"/>
  <c r="BT35" i="4"/>
  <c r="BW41" i="4"/>
  <c r="BT8" i="4"/>
  <c r="BU8" i="4"/>
  <c r="BV33" i="4"/>
  <c r="BT22" i="4"/>
  <c r="BW39" i="4"/>
  <c r="BW26" i="4"/>
  <c r="BV41" i="4"/>
  <c r="BU16" i="4"/>
  <c r="BV21" i="4"/>
  <c r="BW27" i="4"/>
  <c r="BT33" i="4"/>
  <c r="BV35" i="4"/>
  <c r="BV14" i="4"/>
  <c r="BW22" i="4"/>
  <c r="BT38" i="4"/>
  <c r="BT41" i="4"/>
  <c r="BT17" i="4"/>
  <c r="BU35" i="4"/>
  <c r="BW15" i="4"/>
  <c r="BU17" i="4"/>
  <c r="BT28" i="4"/>
  <c r="AA11" i="4"/>
  <c r="AA26" i="4"/>
  <c r="AB26" i="4"/>
  <c r="BK49" i="4"/>
  <c r="BM49" i="4"/>
  <c r="BX34" i="4" l="1"/>
  <c r="BX17" i="4"/>
  <c r="BX40" i="4"/>
  <c r="BK45" i="4"/>
  <c r="BK51" i="4" s="1"/>
  <c r="BK50" i="4" s="1"/>
  <c r="BL44" i="4" s="1"/>
  <c r="BM45" i="4"/>
  <c r="BM50" i="4" s="1"/>
  <c r="BX22" i="4"/>
  <c r="BX28" i="4"/>
  <c r="BX23" i="4"/>
  <c r="BX11" i="4"/>
  <c r="BX38" i="4"/>
  <c r="BX29" i="4"/>
  <c r="BX16" i="4"/>
  <c r="BX20" i="4"/>
  <c r="BX33" i="4"/>
  <c r="BX39" i="4"/>
  <c r="BW42" i="4"/>
  <c r="BT24" i="4"/>
  <c r="BX35" i="4"/>
  <c r="BU12" i="4"/>
  <c r="BV42" i="4"/>
  <c r="BT36" i="4"/>
  <c r="BX10" i="4"/>
  <c r="BU18" i="4"/>
  <c r="BU36" i="4"/>
  <c r="BW12" i="4"/>
  <c r="BT18" i="4"/>
  <c r="BU24" i="4"/>
  <c r="BW36" i="4"/>
  <c r="BW30" i="4"/>
  <c r="BV18" i="4"/>
  <c r="BX15" i="4"/>
  <c r="BT12" i="4"/>
  <c r="BX21" i="4"/>
  <c r="BX27" i="4"/>
  <c r="BT30" i="4"/>
  <c r="BX41" i="4"/>
  <c r="BX32" i="4"/>
  <c r="BU30" i="4"/>
  <c r="BW18" i="4"/>
  <c r="BU42" i="4"/>
  <c r="BX9" i="4"/>
  <c r="BV12" i="4"/>
  <c r="BV30" i="4"/>
  <c r="BX14" i="4"/>
  <c r="BW24" i="4"/>
  <c r="BV24" i="4"/>
  <c r="BV36" i="4"/>
  <c r="BX26" i="4"/>
  <c r="BX8" i="4"/>
  <c r="BT42" i="4"/>
  <c r="BX42" i="4" l="1"/>
  <c r="BN38" i="4" s="1"/>
  <c r="BX30" i="4"/>
  <c r="BN27" i="4" s="1"/>
  <c r="BX36" i="4"/>
  <c r="BN35" i="4" s="1"/>
  <c r="BX24" i="4"/>
  <c r="BN20" i="4" s="1"/>
  <c r="BX18" i="4"/>
  <c r="BX12" i="4"/>
  <c r="BN9" i="4" s="1"/>
  <c r="BR44" i="4"/>
  <c r="BL47" i="4"/>
  <c r="BR47" i="4" s="1"/>
  <c r="BL45" i="4"/>
  <c r="BR45" i="4" s="1"/>
  <c r="BL49" i="4"/>
  <c r="BR49" i="4" s="1"/>
  <c r="BL48" i="4"/>
  <c r="BR48" i="4" s="1"/>
  <c r="BL46" i="4"/>
  <c r="BR46" i="4" s="1"/>
  <c r="BN41" i="4" l="1"/>
  <c r="BN40" i="4"/>
  <c r="BN39" i="4"/>
  <c r="BN33" i="4"/>
  <c r="BN32" i="4"/>
  <c r="BN34" i="4"/>
  <c r="BN28" i="4"/>
  <c r="BN26" i="4"/>
  <c r="BN29" i="4"/>
  <c r="BN22" i="4"/>
  <c r="BN23" i="4"/>
  <c r="BN16" i="4"/>
  <c r="BN17" i="4"/>
  <c r="BN15" i="4"/>
  <c r="BN14" i="4"/>
  <c r="BN21" i="4"/>
  <c r="BN11" i="4"/>
  <c r="BN8" i="4"/>
  <c r="BN10" i="4"/>
  <c r="BC48" i="4"/>
  <c r="BB48" i="4" s="1"/>
  <c r="BC46" i="4"/>
  <c r="BB46" i="4" s="1"/>
  <c r="BC44" i="4"/>
  <c r="BB44" i="4" s="1"/>
  <c r="BC49" i="4"/>
  <c r="BB49" i="4" s="1"/>
  <c r="BC45" i="4"/>
  <c r="BB45" i="4" s="1"/>
  <c r="BC47" i="4"/>
  <c r="BB47" i="4" s="1"/>
  <c r="BN42" i="4" l="1"/>
  <c r="BR38" i="4" s="1"/>
  <c r="BN36" i="4"/>
  <c r="BR35" i="4" s="1"/>
  <c r="BN24" i="4"/>
  <c r="BR20" i="4" s="1"/>
  <c r="BN18" i="4"/>
  <c r="BR17" i="4" s="1"/>
  <c r="BN30" i="4"/>
  <c r="BR27" i="4" s="1"/>
  <c r="BO9" i="4"/>
  <c r="BO10" i="4"/>
  <c r="BO8" i="4"/>
  <c r="BN12" i="4"/>
  <c r="BR9" i="4" s="1"/>
  <c r="BO11" i="4"/>
  <c r="R46" i="4"/>
  <c r="O46" i="4"/>
  <c r="T46" i="4"/>
  <c r="S46" i="4"/>
  <c r="Q46" i="4"/>
  <c r="BB50" i="4"/>
  <c r="AC51" i="4" s="1"/>
  <c r="EW11" i="4" s="1"/>
  <c r="X46" i="4" s="1"/>
  <c r="Y46" i="4" s="1"/>
  <c r="FC12" i="4" s="1"/>
  <c r="X57" i="4" s="1"/>
  <c r="Y57" i="4" s="1"/>
  <c r="FI16" i="4" s="1"/>
  <c r="Z64" i="4" s="1"/>
  <c r="BB76" i="4" s="1"/>
  <c r="Q47" i="4"/>
  <c r="O48" i="4"/>
  <c r="S48" i="4"/>
  <c r="R49" i="4"/>
  <c r="T45" i="4"/>
  <c r="R50" i="4"/>
  <c r="S50" i="4"/>
  <c r="R45" i="4"/>
  <c r="O47" i="4"/>
  <c r="T47" i="4"/>
  <c r="S47" i="4"/>
  <c r="R48" i="4"/>
  <c r="Q45" i="4"/>
  <c r="T48" i="4"/>
  <c r="O49" i="4"/>
  <c r="T50" i="4"/>
  <c r="O45" i="4"/>
  <c r="Q50" i="4"/>
  <c r="O50" i="4"/>
  <c r="S49" i="4"/>
  <c r="Q49" i="4"/>
  <c r="T49" i="4"/>
  <c r="Q48" i="4"/>
  <c r="S45" i="4"/>
  <c r="R47" i="4"/>
  <c r="BR41" i="4" l="1"/>
  <c r="BR33" i="4"/>
  <c r="BR22" i="4"/>
  <c r="BR15" i="4"/>
  <c r="BR21" i="4"/>
  <c r="BR8" i="4"/>
  <c r="BR29" i="4"/>
  <c r="BR28" i="4"/>
  <c r="BR39" i="4"/>
  <c r="BR14" i="4"/>
  <c r="BR23" i="4"/>
  <c r="BR11" i="4"/>
  <c r="BR10" i="4"/>
  <c r="BR16" i="4"/>
  <c r="BR40" i="4"/>
  <c r="BR32" i="4"/>
  <c r="BR34" i="4"/>
  <c r="BR26" i="4"/>
  <c r="U46" i="4"/>
  <c r="P49" i="4"/>
  <c r="P46" i="4"/>
  <c r="U50" i="4"/>
  <c r="P47" i="4"/>
  <c r="P48" i="4"/>
  <c r="U47" i="4"/>
  <c r="P50" i="4"/>
  <c r="P45" i="4"/>
  <c r="U48" i="4"/>
  <c r="AC53" i="4"/>
  <c r="EW35" i="4" s="1"/>
  <c r="AC49" i="4"/>
  <c r="EW23" i="4" s="1"/>
  <c r="X51" i="4" s="1"/>
  <c r="Y51" i="4" s="1"/>
  <c r="FC21" i="4" s="1"/>
  <c r="U49" i="4"/>
  <c r="AC48" i="4"/>
  <c r="EW27" i="4" s="1"/>
  <c r="U45" i="4"/>
  <c r="C3" i="3"/>
</calcChain>
</file>

<file path=xl/sharedStrings.xml><?xml version="1.0" encoding="utf-8"?>
<sst xmlns="http://schemas.openxmlformats.org/spreadsheetml/2006/main" count="4787" uniqueCount="2889">
  <si>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</si>
  <si>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</si>
  <si>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</si>
  <si>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</si>
  <si>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</si>
  <si>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</si>
  <si>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</si>
  <si>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</si>
  <si>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</si>
  <si>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</si>
  <si>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</si>
  <si>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</si>
  <si>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</si>
  <si>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</si>
  <si>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</si>
  <si>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</si>
  <si>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</si>
  <si>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</si>
  <si>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</si>
  <si>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</si>
  <si>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</si>
  <si>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</si>
  <si>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</si>
  <si>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</si>
  <si>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</si>
  <si>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</si>
  <si>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</si>
  <si>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</si>
  <si>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</si>
  <si>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</si>
  <si>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</si>
  <si>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</si>
  <si>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</si>
  <si>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</si>
  <si>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</si>
  <si>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</si>
  <si>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</si>
  <si>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</si>
  <si>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</si>
  <si>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</si>
  <si>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</si>
  <si>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</si>
  <si>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</si>
  <si>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</si>
  <si>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</si>
  <si>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</si>
  <si>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</si>
  <si>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</si>
  <si>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</si>
  <si>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</si>
  <si>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</si>
  <si>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</si>
  <si>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</si>
  <si>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</si>
  <si>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</si>
  <si>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</si>
  <si>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</si>
  <si>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</si>
  <si>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</si>
  <si>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</si>
  <si>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</si>
  <si>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</si>
  <si>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</si>
  <si>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</si>
  <si>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</si>
  <si>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</si>
  <si>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</si>
  <si>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</si>
  <si>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</si>
  <si>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</si>
  <si>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</si>
  <si>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</si>
  <si>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</si>
  <si>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</si>
  <si>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</si>
  <si>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</si>
  <si>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</si>
  <si>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</si>
  <si>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</si>
  <si>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</si>
  <si>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</si>
  <si>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</si>
  <si>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</si>
  <si>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</si>
  <si>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</si>
  <si>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</si>
  <si>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</si>
  <si>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</si>
  <si>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</si>
  <si>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</si>
  <si>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</si>
  <si>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</si>
  <si>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</si>
  <si>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</si>
  <si>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</si>
  <si>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</si>
  <si>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</si>
  <si>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</si>
  <si>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</si>
  <si>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</si>
  <si>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</si>
  <si>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</si>
  <si>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</si>
  <si>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</si>
  <si>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</si>
  <si>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</si>
  <si>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</si>
  <si>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</si>
  <si>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</si>
  <si>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</si>
  <si>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</si>
  <si>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</si>
  <si>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</si>
  <si>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</si>
  <si>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</si>
  <si>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</si>
  <si>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</si>
  <si>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</si>
  <si>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</si>
  <si>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</si>
  <si>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</si>
  <si>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</si>
  <si>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</si>
  <si>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</si>
  <si>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</si>
  <si>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</si>
  <si>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</si>
  <si>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</si>
  <si>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</si>
  <si>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</si>
  <si>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</si>
  <si>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</si>
  <si>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</si>
  <si>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</si>
  <si>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</si>
  <si>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</si>
  <si>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</si>
  <si>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</si>
  <si>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</si>
  <si>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</si>
  <si>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</si>
  <si>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</si>
  <si>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</si>
  <si>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</si>
  <si>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</si>
  <si>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</si>
  <si>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</si>
  <si>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</si>
  <si>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</si>
  <si>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</si>
  <si>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</si>
  <si>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</si>
  <si>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</si>
  <si>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</si>
  <si>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</si>
  <si>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</si>
  <si>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</si>
  <si>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</si>
  <si>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</si>
  <si>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</si>
  <si>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</si>
  <si>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</si>
  <si>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</si>
  <si>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</si>
  <si>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</si>
  <si>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</si>
  <si>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</si>
  <si>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</si>
  <si>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</si>
  <si>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</si>
  <si>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</si>
  <si>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</si>
  <si>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</si>
  <si>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</si>
  <si>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</si>
  <si>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</si>
  <si>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</si>
  <si>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</si>
  <si>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</si>
  <si>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</si>
  <si>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</si>
  <si>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</si>
  <si>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</si>
  <si>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</si>
  <si>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</si>
  <si>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</si>
  <si>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</si>
  <si>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</si>
  <si>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</si>
  <si>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</si>
  <si>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</si>
  <si>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</si>
  <si>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</si>
  <si>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</si>
  <si>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</si>
  <si>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</si>
  <si>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</si>
  <si>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</si>
  <si>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</si>
  <si>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</si>
  <si>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</si>
  <si>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</si>
  <si>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</si>
  <si>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</si>
  <si>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</si>
  <si>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</si>
  <si>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</si>
  <si>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</si>
  <si>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</si>
  <si>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</si>
  <si>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</si>
  <si>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</si>
  <si>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</si>
  <si>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</si>
  <si>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</si>
  <si>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</si>
  <si>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</si>
  <si>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</si>
  <si>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</si>
  <si>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</si>
  <si>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r>
      <rPr>
        <sz val="10"/>
        <rFont val="Calibri"/>
        <family val="2"/>
        <charset val="204"/>
      </rPr>
      <t>3,4</t>
    </r>
    <r>
      <rPr>
        <sz val="10"/>
        <rFont val="Noto Sans CJK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</si>
  <si>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</si>
  <si>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</si>
  <si>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</si>
  <si>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</si>
  <si>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</si>
  <si>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</si>
  <si>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</si>
  <si>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</si>
  <si>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</si>
  <si>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</si>
  <si>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</si>
  <si>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</si>
  <si>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</si>
  <si>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</si>
  <si>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</si>
  <si>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</si>
  <si>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</si>
  <si>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</si>
  <si>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</si>
  <si>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</si>
  <si>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</si>
  <si>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</si>
  <si>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</si>
  <si>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</si>
  <si>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</si>
  <si>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</si>
  <si>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</si>
  <si>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</si>
  <si>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</si>
  <si>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</si>
  <si>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</si>
  <si>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</si>
  <si>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</si>
  <si>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</si>
  <si>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</si>
  <si>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</si>
  <si>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</si>
  <si>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</si>
  <si>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</si>
  <si>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</si>
  <si>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</si>
  <si>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</si>
  <si>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</si>
  <si>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</si>
  <si>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</si>
  <si>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</si>
  <si>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</si>
  <si>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</si>
  <si>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</si>
  <si>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</si>
  <si>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</si>
  <si>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</si>
  <si>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</si>
  <si>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</si>
  <si>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</si>
  <si>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</si>
  <si>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</si>
  <si>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</si>
  <si>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</si>
  <si>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</si>
  <si>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</si>
  <si>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</si>
  <si>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</si>
  <si>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</si>
  <si>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</si>
  <si>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</si>
  <si>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</si>
  <si>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</si>
  <si>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</si>
  <si>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</si>
  <si>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</si>
  <si>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</si>
  <si>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</si>
  <si>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</si>
  <si>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</si>
  <si>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</si>
  <si>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</si>
  <si>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</si>
  <si>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</si>
  <si>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</si>
  <si>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</si>
  <si>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</si>
  <si>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</si>
  <si>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</si>
  <si>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</si>
  <si>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</si>
  <si>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</si>
  <si>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</si>
  <si>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</si>
  <si>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</si>
  <si>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</si>
  <si>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</si>
  <si>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</si>
  <si>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</si>
  <si>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</si>
  <si>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</si>
  <si>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</si>
  <si>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</si>
  <si>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</si>
  <si>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</si>
  <si>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</si>
  <si>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</si>
  <si>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</si>
  <si>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</si>
  <si>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</si>
  <si>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</si>
  <si>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</si>
  <si>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</si>
  <si>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</si>
  <si>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</si>
  <si>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</si>
  <si>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</si>
  <si>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</si>
  <si>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</si>
  <si>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</si>
  <si>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</si>
  <si>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</si>
  <si>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</si>
  <si>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</si>
  <si>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</si>
  <si>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</si>
  <si>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</si>
  <si>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</si>
  <si>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</si>
  <si>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</si>
  <si>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</si>
  <si>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</si>
  <si>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</si>
  <si>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</si>
  <si>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</si>
  <si>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</si>
  <si>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</si>
  <si>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N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</si>
  <si>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</si>
  <si>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</si>
  <si>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</si>
  <si>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</si>
  <si>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</si>
  <si>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</si>
  <si>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</si>
  <si>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</si>
  <si>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</si>
  <si>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</si>
  <si>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</si>
  <si>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</si>
  <si>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</si>
  <si>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</si>
  <si>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</si>
  <si>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</si>
  <si>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</si>
  <si>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</si>
  <si>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</si>
  <si>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</si>
  <si>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</si>
  <si>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</si>
  <si>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</si>
  <si>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</si>
  <si>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</si>
  <si>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</si>
  <si>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</si>
  <si>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</si>
  <si>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</si>
  <si>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</si>
  <si>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</si>
  <si>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</si>
  <si>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</si>
  <si>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</si>
  <si>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</si>
  <si>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</si>
  <si>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</si>
  <si>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r>
      <rPr>
        <sz val="10"/>
        <rFont val="Noto Sans CJK SC"/>
        <family val="2"/>
      </rPr>
      <t xml:space="preserve">得球 </t>
    </r>
    <r>
      <rPr>
        <sz val="10"/>
        <rFont val="Calibri"/>
        <family val="2"/>
        <charset val="204"/>
      </rPr>
      <t xml:space="preserve">- </t>
    </r>
    <r>
      <rPr>
        <sz val="10"/>
        <rFont val="Noto Sans CJK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</si>
  <si>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</si>
  <si>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</si>
  <si>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</si>
  <si>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</si>
  <si>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</si>
  <si>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</si>
  <si>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</si>
  <si>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</si>
  <si>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</si>
  <si>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</si>
  <si>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</si>
  <si>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</si>
  <si>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</si>
  <si>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</si>
  <si>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</si>
  <si>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</si>
  <si>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</si>
  <si>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</si>
  <si>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</si>
  <si>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</si>
  <si>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</si>
  <si>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</si>
  <si>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</si>
  <si>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</si>
  <si>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</si>
  <si>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</si>
  <si>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</si>
  <si>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</si>
  <si>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</si>
  <si>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</si>
  <si>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</si>
  <si>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</si>
  <si>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</si>
  <si>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</si>
  <si>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</si>
  <si>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</si>
  <si>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</si>
  <si>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</si>
  <si>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</si>
  <si>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</si>
  <si>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</si>
  <si>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</si>
  <si>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</si>
  <si>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</si>
  <si>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</si>
  <si>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</si>
  <si>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</si>
  <si>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</si>
  <si>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</si>
  <si>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</si>
  <si>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</si>
  <si>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</si>
  <si>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</si>
  <si>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</si>
  <si>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</si>
  <si>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</si>
  <si>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</si>
  <si>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</si>
  <si>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</si>
  <si>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</si>
  <si>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</si>
  <si>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</si>
  <si>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</si>
  <si>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</si>
  <si>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</si>
  <si>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</si>
  <si>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</si>
  <si>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</si>
  <si>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</si>
  <si>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</si>
  <si>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</si>
  <si>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</si>
  <si>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</si>
  <si>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</si>
  <si>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</si>
  <si>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</si>
  <si>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</si>
  <si>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</si>
  <si>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</si>
  <si>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</si>
  <si>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</si>
  <si>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</si>
  <si>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</si>
  <si>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</si>
  <si>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</si>
  <si>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</si>
  <si>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</si>
  <si>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</si>
  <si>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</si>
  <si>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</si>
  <si>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</si>
  <si>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</si>
  <si>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</si>
  <si>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</si>
  <si>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</si>
  <si>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</si>
  <si>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</si>
  <si>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</si>
  <si>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</si>
  <si>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</si>
  <si>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</si>
  <si>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</si>
  <si>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</si>
  <si>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</si>
  <si>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</si>
  <si>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</si>
  <si>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</si>
  <si>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</si>
  <si>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</si>
  <si>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</si>
  <si>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</si>
  <si>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</si>
  <si>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</si>
  <si>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</si>
  <si>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</si>
  <si>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</si>
  <si>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</si>
  <si>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</si>
  <si>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</si>
  <si>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</si>
  <si>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</si>
  <si>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</si>
  <si>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</si>
  <si>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</si>
  <si>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</si>
  <si>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</si>
  <si>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</si>
  <si>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</si>
  <si>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</si>
  <si>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</si>
  <si>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</si>
  <si>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</si>
  <si>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</si>
  <si>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</si>
  <si>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</si>
  <si>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</si>
  <si>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</si>
  <si>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</si>
  <si>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</si>
  <si>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</si>
  <si>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</si>
  <si>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</si>
  <si>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</si>
  <si>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</si>
  <si>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</si>
  <si>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</si>
  <si>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</si>
  <si>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</si>
  <si>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</si>
  <si>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</si>
  <si>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</si>
  <si>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</si>
  <si>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</si>
  <si>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</si>
  <si>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</si>
  <si>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</si>
  <si>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</si>
  <si>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</si>
  <si>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</si>
  <si>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</si>
  <si>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</si>
  <si>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</si>
  <si>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</si>
  <si>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</si>
  <si>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</si>
  <si>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</si>
  <si>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</si>
  <si>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</si>
  <si>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</si>
  <si>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</si>
  <si>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</si>
  <si>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</si>
  <si>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</si>
  <si>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</si>
  <si>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</si>
  <si>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</si>
  <si>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</si>
  <si>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</si>
  <si>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</si>
  <si>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</si>
  <si>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</si>
  <si>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</si>
  <si>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</si>
  <si>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</si>
  <si>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</si>
  <si>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</si>
  <si>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</si>
  <si>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</si>
  <si>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</si>
  <si>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</si>
  <si>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</si>
  <si>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</si>
  <si>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</si>
  <si>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</si>
  <si>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</si>
  <si>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</si>
  <si>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</si>
  <si>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</si>
  <si>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</si>
  <si>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</si>
  <si>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</si>
  <si>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</si>
  <si>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</si>
  <si>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</si>
  <si>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</si>
  <si>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</si>
  <si>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</si>
  <si>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</si>
  <si>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</si>
  <si>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</si>
  <si>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</si>
  <si>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</si>
  <si>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</si>
  <si>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</si>
  <si>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</si>
  <si>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</si>
  <si>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</si>
  <si>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</si>
  <si>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</si>
  <si>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</si>
  <si>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</si>
  <si>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</si>
  <si>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</si>
  <si>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</si>
  <si>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</si>
  <si>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</si>
  <si>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</si>
  <si>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</si>
  <si>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</si>
  <si>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</si>
  <si>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</si>
  <si>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</si>
  <si>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</si>
  <si>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</si>
  <si>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</si>
  <si>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</si>
  <si>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</si>
  <si>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</si>
  <si>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</si>
  <si>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</si>
  <si>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</si>
  <si>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</si>
  <si>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</si>
  <si>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</si>
  <si>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</si>
  <si>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</si>
  <si>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</si>
  <si>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</si>
  <si>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</si>
  <si>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</si>
  <si>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</si>
  <si>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</si>
  <si>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</si>
  <si>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</si>
  <si>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</si>
  <si>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</si>
  <si>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</si>
  <si>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</si>
  <si>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</si>
  <si>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</si>
  <si>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</si>
  <si>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</si>
  <si>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</si>
  <si>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</si>
  <si>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</si>
  <si>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</si>
  <si>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</si>
  <si>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</si>
  <si>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</si>
  <si>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</si>
  <si>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</si>
  <si>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</si>
  <si>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</si>
  <si>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</si>
  <si>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</si>
  <si>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</si>
  <si>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</si>
  <si>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</si>
  <si>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</si>
  <si>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</si>
  <si>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</si>
  <si>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</si>
  <si>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</si>
  <si>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</si>
  <si>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</si>
  <si>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</si>
  <si>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</si>
  <si>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</si>
  <si>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</si>
  <si>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</si>
  <si>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</si>
  <si>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</si>
  <si>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</si>
  <si>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</si>
  <si>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</si>
  <si>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</si>
  <si>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</si>
  <si>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</si>
  <si>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</si>
  <si>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</si>
  <si>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</si>
  <si>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</si>
  <si>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</si>
  <si>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</si>
  <si>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</si>
  <si>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</si>
  <si>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</si>
  <si>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</si>
  <si>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</si>
  <si>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</si>
  <si>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</si>
  <si>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</si>
  <si>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</si>
  <si>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</si>
  <si>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</si>
  <si>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</si>
  <si>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</si>
  <si>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</si>
  <si>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</si>
  <si>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</si>
  <si>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</si>
  <si>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</si>
  <si>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</si>
  <si>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</si>
  <si>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</si>
  <si>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</si>
  <si>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</si>
  <si>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</si>
  <si>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</si>
  <si>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</si>
  <si>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</si>
  <si>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</si>
  <si>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</si>
  <si>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</si>
  <si>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</si>
  <si>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</si>
  <si>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</si>
  <si>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</si>
  <si>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</si>
  <si>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0"/>
        <rFont val="Calibri"/>
        <family val="2"/>
        <charset val="204"/>
      </rPr>
      <t>3</t>
    </r>
    <r>
      <rPr>
        <sz val="10"/>
        <rFont val="Noto Sans CJK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</si>
  <si>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</si>
  <si>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</si>
  <si>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</si>
  <si>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</si>
  <si>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</si>
  <si>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</si>
  <si>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</si>
  <si>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</si>
  <si>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</si>
  <si>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</si>
  <si>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</si>
  <si>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</si>
  <si>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</si>
  <si>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</si>
  <si>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</si>
  <si>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</si>
  <si>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</si>
  <si>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</si>
  <si>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</si>
  <si>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</si>
  <si>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</si>
  <si>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0"/>
        <rFont val="Calibri"/>
        <family val="2"/>
        <charset val="204"/>
      </rPr>
      <t>4</t>
    </r>
    <r>
      <rPr>
        <sz val="10"/>
        <rFont val="Noto Sans CJK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</si>
  <si>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</si>
  <si>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</si>
  <si>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</si>
  <si>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</si>
  <si>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</si>
  <si>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</si>
  <si>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</si>
  <si>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</si>
  <si>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</si>
  <si>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</si>
  <si>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</si>
  <si>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</si>
  <si>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</si>
  <si>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</si>
  <si>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</si>
  <si>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</si>
  <si>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</si>
  <si>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</si>
  <si>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</si>
  <si>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</si>
  <si>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</si>
  <si>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</si>
  <si>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</si>
  <si>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</si>
  <si>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</si>
  <si>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0"/>
        <rFont val="Calibri"/>
        <family val="2"/>
        <charset val="204"/>
      </rPr>
      <t>5</t>
    </r>
    <r>
      <rPr>
        <sz val="10"/>
        <rFont val="Noto Sans CJK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</si>
  <si>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</si>
  <si>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</si>
  <si>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</si>
  <si>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</si>
  <si>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</si>
  <si>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</si>
  <si>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</si>
  <si>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</si>
  <si>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</si>
  <si>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</si>
  <si>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</si>
  <si>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</si>
  <si>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</si>
  <si>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</si>
  <si>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</si>
  <si>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</si>
  <si>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</si>
  <si>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</si>
  <si>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</si>
  <si>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</si>
  <si>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</si>
  <si>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</si>
  <si>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</si>
  <si>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</si>
  <si>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0"/>
        <rFont val="Calibri"/>
        <family val="2"/>
        <charset val="204"/>
      </rPr>
      <t>6</t>
    </r>
    <r>
      <rPr>
        <sz val="10"/>
        <rFont val="Noto Sans CJK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</si>
  <si>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</si>
  <si>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</si>
  <si>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</si>
  <si>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</si>
  <si>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</si>
  <si>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</si>
  <si>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</si>
  <si>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</si>
  <si>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</si>
  <si>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</si>
  <si>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</si>
  <si>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</si>
  <si>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</si>
  <si>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</si>
  <si>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</si>
  <si>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</si>
  <si>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</si>
  <si>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</si>
  <si>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</si>
  <si>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</si>
  <si>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</si>
  <si>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</si>
  <si>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</si>
  <si>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</si>
  <si>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</si>
  <si>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</si>
  <si>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</si>
  <si>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0"/>
        <rFont val="Calibri"/>
        <family val="2"/>
        <charset val="204"/>
      </rPr>
      <t>7</t>
    </r>
    <r>
      <rPr>
        <sz val="10"/>
        <rFont val="Noto Sans CJK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</si>
  <si>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</si>
  <si>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</si>
  <si>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</si>
  <si>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</si>
  <si>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</si>
  <si>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</si>
  <si>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</si>
  <si>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</si>
  <si>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</si>
  <si>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</si>
  <si>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</si>
  <si>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</si>
  <si>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</si>
  <si>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</si>
  <si>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</si>
  <si>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</si>
  <si>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</si>
  <si>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</si>
  <si>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</si>
  <si>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</si>
  <si>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</si>
  <si>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</si>
  <si>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</si>
  <si>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</si>
  <si>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</si>
  <si>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</si>
  <si>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</si>
  <si>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</si>
  <si>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</si>
  <si>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</si>
  <si>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</si>
  <si>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</si>
  <si>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</si>
  <si>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</si>
  <si>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</si>
  <si>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</si>
  <si>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</si>
  <si>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</si>
  <si>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</si>
  <si>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</si>
  <si>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</si>
  <si>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</si>
  <si>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</si>
  <si>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</si>
  <si>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</si>
  <si>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</si>
  <si>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</si>
  <si>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</si>
  <si>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</si>
  <si>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</si>
  <si>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</si>
  <si>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0"/>
        <rFont val="Calibri"/>
        <family val="2"/>
        <charset val="204"/>
      </rPr>
      <t>9</t>
    </r>
    <r>
      <rPr>
        <sz val="10"/>
        <rFont val="Noto Sans CJK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</si>
  <si>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</si>
  <si>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</si>
  <si>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</si>
  <si>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</si>
  <si>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</si>
  <si>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</si>
  <si>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</si>
  <si>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</si>
  <si>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</si>
  <si>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</si>
  <si>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</si>
  <si>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</si>
  <si>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</si>
  <si>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</si>
  <si>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</si>
  <si>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</si>
  <si>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</si>
  <si>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</si>
  <si>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</si>
  <si>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</si>
  <si>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</si>
  <si>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</si>
  <si>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0"/>
        <rFont val="Calibri"/>
        <family val="2"/>
        <charset val="204"/>
      </rPr>
      <t>10</t>
    </r>
    <r>
      <rPr>
        <sz val="10"/>
        <rFont val="Noto Sans CJK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</si>
  <si>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</si>
  <si>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</si>
  <si>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</si>
  <si>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</si>
  <si>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</si>
  <si>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</si>
  <si>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</si>
  <si>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</si>
  <si>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</si>
  <si>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</si>
  <si>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</si>
  <si>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</si>
  <si>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</si>
  <si>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</si>
  <si>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</si>
  <si>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</si>
  <si>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</si>
  <si>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</si>
  <si>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</si>
  <si>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</si>
  <si>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</si>
  <si>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</si>
  <si>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</si>
  <si>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</si>
  <si>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0"/>
        <rFont val="Calibri"/>
        <family val="2"/>
        <charset val="204"/>
      </rPr>
      <t>11</t>
    </r>
    <r>
      <rPr>
        <sz val="10"/>
        <rFont val="Noto Sans CJK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</si>
  <si>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</si>
  <si>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</si>
  <si>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</si>
  <si>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</si>
  <si>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</si>
  <si>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</si>
  <si>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</si>
  <si>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</si>
  <si>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</si>
  <si>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</si>
  <si>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</si>
  <si>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</si>
  <si>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</si>
  <si>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</si>
  <si>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</si>
  <si>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</si>
  <si>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</si>
  <si>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</si>
  <si>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</si>
  <si>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</si>
  <si>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</si>
  <si>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</si>
  <si>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</si>
  <si>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</si>
  <si>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</si>
  <si>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0"/>
        <rFont val="Calibri"/>
        <family val="2"/>
        <charset val="204"/>
      </rPr>
      <t>12</t>
    </r>
    <r>
      <rPr>
        <sz val="10"/>
        <rFont val="Noto Sans CJK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</si>
  <si>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</si>
  <si>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</si>
  <si>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</si>
  <si>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</si>
  <si>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</si>
  <si>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</si>
  <si>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</si>
  <si>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</si>
  <si>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</si>
  <si>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</si>
  <si>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</si>
  <si>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</si>
  <si>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</si>
  <si>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</si>
  <si>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</si>
  <si>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</si>
  <si>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</si>
  <si>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</si>
  <si>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</si>
  <si>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</si>
  <si>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</si>
  <si>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</si>
  <si>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</si>
  <si>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</si>
  <si>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</si>
  <si>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</si>
  <si>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</si>
  <si>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</si>
  <si>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</si>
  <si>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</si>
  <si>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</si>
  <si>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</si>
  <si>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</si>
  <si>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</si>
  <si>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</si>
  <si>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</si>
  <si>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</si>
  <si>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</si>
  <si>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</si>
  <si>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</si>
  <si>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</si>
  <si>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</si>
  <si>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</si>
  <si>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</si>
  <si>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</si>
  <si>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</si>
  <si>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</si>
  <si>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</si>
  <si>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</si>
  <si>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</si>
  <si>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</si>
  <si>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</si>
  <si>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</si>
  <si>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</si>
  <si>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</si>
  <si>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</si>
  <si>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</si>
  <si>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</si>
  <si>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</si>
  <si>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</si>
  <si>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</si>
  <si>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</si>
  <si>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</si>
  <si>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</si>
  <si>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</si>
  <si>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</si>
  <si>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</si>
  <si>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</si>
  <si>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</si>
  <si>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</si>
  <si>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</si>
  <si>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</si>
  <si>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</si>
  <si>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</si>
  <si>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</si>
  <si>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</si>
  <si>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</si>
  <si>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</si>
  <si>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</si>
  <si>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</si>
  <si>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</si>
  <si>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</si>
  <si>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</si>
  <si>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</si>
  <si>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</si>
  <si>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</si>
  <si>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</si>
  <si>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</si>
  <si>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</si>
  <si>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</si>
  <si>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</si>
  <si>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</si>
  <si>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</si>
  <si>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</si>
  <si>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</si>
  <si>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</si>
  <si>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</si>
  <si>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</si>
  <si>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</si>
  <si>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</si>
  <si>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</si>
  <si>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</si>
  <si>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</si>
  <si>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</si>
  <si>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</si>
  <si>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</si>
  <si>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</si>
  <si>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</si>
  <si>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</si>
  <si>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</si>
  <si>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</si>
  <si>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</si>
  <si>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</si>
  <si>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</si>
  <si>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</si>
  <si>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</si>
  <si>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</si>
  <si>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</si>
  <si>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</si>
  <si>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</si>
  <si>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</si>
  <si>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</si>
  <si>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</si>
  <si>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</si>
  <si>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</si>
  <si>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</si>
  <si>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</si>
  <si>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</si>
  <si>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</si>
  <si>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</si>
  <si>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</si>
  <si>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</si>
  <si>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</si>
  <si>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</si>
  <si>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</si>
  <si>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</si>
  <si>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</si>
  <si>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</si>
  <si>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</si>
  <si>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</si>
  <si>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</si>
  <si>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</si>
  <si>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</si>
  <si>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</si>
  <si>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</si>
  <si>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</si>
  <si>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</si>
  <si>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</si>
  <si>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</si>
  <si>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</si>
  <si>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</si>
  <si>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</si>
  <si>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</si>
  <si>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</si>
  <si>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</si>
  <si>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Italie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</si>
  <si>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</si>
  <si>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</si>
  <si>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</si>
  <si>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</si>
  <si>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</si>
  <si>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</si>
  <si>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</si>
  <si>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</si>
  <si>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</si>
  <si>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</si>
  <si>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</si>
  <si>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</si>
  <si>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</si>
  <si>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</si>
  <si>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</si>
  <si>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</si>
  <si>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</si>
  <si>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</si>
  <si>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</si>
  <si>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</si>
  <si>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</si>
  <si>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</si>
  <si>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</si>
  <si>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</si>
  <si>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</si>
  <si>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</si>
  <si>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</si>
  <si>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</si>
  <si>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</si>
  <si>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</si>
  <si>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</si>
  <si>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</si>
  <si>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</si>
  <si>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</si>
  <si>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</si>
  <si>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</si>
  <si>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</si>
  <si>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</si>
  <si>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</si>
  <si>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</si>
  <si>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</si>
  <si>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</si>
  <si>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</si>
  <si>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</si>
  <si>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</si>
  <si>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</si>
  <si>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</si>
  <si>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</si>
  <si>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</si>
  <si>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</si>
  <si>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</si>
  <si>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</si>
  <si>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</si>
  <si>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</si>
  <si>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</si>
  <si>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</si>
  <si>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</si>
  <si>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</si>
  <si>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</si>
  <si>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</si>
  <si>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</si>
  <si>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</si>
  <si>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</si>
  <si>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</si>
  <si>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</si>
  <si>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</si>
  <si>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</si>
  <si>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</si>
  <si>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</si>
  <si>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</si>
  <si>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</si>
  <si>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</si>
  <si>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</si>
  <si>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</si>
  <si>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</si>
  <si>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</si>
  <si>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</si>
  <si>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</si>
  <si>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</si>
  <si>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</si>
  <si>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</si>
  <si>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</si>
  <si>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</si>
  <si>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</si>
  <si>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</si>
  <si>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</si>
  <si>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</si>
  <si>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</si>
  <si>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</si>
  <si>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</si>
  <si>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</si>
  <si>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</si>
  <si>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</si>
  <si>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</si>
  <si>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</si>
  <si>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</si>
  <si>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</si>
  <si>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</si>
  <si>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</si>
  <si>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</si>
  <si>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</si>
  <si>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</si>
  <si>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Id-Danimarka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</si>
  <si>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</si>
  <si>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</si>
  <si>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</si>
  <si>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</si>
  <si>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</si>
  <si>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</si>
  <si>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</si>
  <si>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</si>
  <si>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</si>
  <si>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</si>
  <si>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</si>
  <si>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</si>
  <si>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</si>
  <si>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</si>
  <si>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</si>
  <si>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</si>
  <si>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</si>
  <si>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</si>
  <si>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</si>
  <si>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</si>
  <si>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</si>
  <si>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</si>
  <si>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</si>
  <si>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</si>
  <si>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</si>
  <si>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</si>
  <si>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</si>
  <si>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</si>
  <si>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</si>
  <si>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</si>
  <si>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</si>
  <si>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</si>
  <si>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</si>
  <si>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</si>
  <si>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</si>
  <si>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</si>
  <si>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</si>
  <si>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</si>
  <si>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</si>
  <si>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</si>
  <si>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</si>
  <si>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</si>
  <si>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</si>
  <si>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</si>
  <si>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</si>
  <si>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</si>
  <si>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</si>
  <si>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</si>
  <si>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</si>
  <si>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</si>
  <si>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</si>
  <si>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</si>
  <si>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터키</t>
  </si>
  <si>
    <t>Turkija</t>
  </si>
  <si>
    <t>Турција</t>
  </si>
  <si>
    <t>بوقلمون</t>
  </si>
  <si>
    <t>Turcja</t>
  </si>
  <si>
    <t>Turcia</t>
  </si>
  <si>
    <t>Турска</t>
  </si>
  <si>
    <t>Turquía</t>
  </si>
  <si>
    <t>ตุรกี</t>
  </si>
  <si>
    <t>Türkiye</t>
  </si>
  <si>
    <t>Thổ Nhĩ Kỳ</t>
  </si>
  <si>
    <t>Туреччина</t>
  </si>
  <si>
    <t>ترکی</t>
  </si>
  <si>
    <t>Finland</t>
  </si>
  <si>
    <t>Finlandë</t>
  </si>
  <si>
    <t>فنلندا</t>
  </si>
  <si>
    <t>Ֆինլանդիա</t>
  </si>
  <si>
    <t>Finlandiya</t>
  </si>
  <si>
    <t>Финландия</t>
  </si>
  <si>
    <t>Finlàndia</t>
  </si>
  <si>
    <t>芬兰</t>
  </si>
  <si>
    <t>芬蘭</t>
  </si>
  <si>
    <t>Finska</t>
  </si>
  <si>
    <t>Finsko</t>
  </si>
  <si>
    <t>Finlande</t>
  </si>
  <si>
    <t>ფინეთი</t>
  </si>
  <si>
    <t>Finnland</t>
  </si>
  <si>
    <t>Φινλανδία</t>
  </si>
  <si>
    <t>פינלנד</t>
  </si>
  <si>
    <t>Finnország</t>
  </si>
  <si>
    <t>Finlandia</t>
  </si>
  <si>
    <t>핀란드</t>
  </si>
  <si>
    <t>Suomija</t>
  </si>
  <si>
    <t>Финска</t>
  </si>
  <si>
    <t>Il-Finlandja</t>
  </si>
  <si>
    <t>فنلاند</t>
  </si>
  <si>
    <t>Finlândia</t>
  </si>
  <si>
    <t>Finlanda</t>
  </si>
  <si>
    <t>Fínsko</t>
  </si>
  <si>
    <t>ฟินแลนด์</t>
  </si>
  <si>
    <t>PhầN Lan</t>
  </si>
  <si>
    <t>Фінляндія</t>
  </si>
  <si>
    <t>فن لینڈ</t>
  </si>
  <si>
    <t>Netherlands</t>
  </si>
  <si>
    <t>Holandë</t>
  </si>
  <si>
    <t>هولندا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</si>
  <si>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</si>
  <si>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</si>
  <si>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</si>
  <si>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</si>
  <si>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</si>
  <si>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</si>
  <si>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</si>
  <si>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</si>
  <si>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</si>
  <si>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</si>
  <si>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</si>
  <si>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</si>
  <si>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</si>
  <si>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</si>
  <si>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</si>
  <si>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</si>
  <si>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</si>
  <si>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</si>
  <si>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</si>
  <si>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</si>
  <si>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Pajjiżi L-Baxxi</t>
  </si>
  <si>
    <t>هلند</t>
  </si>
  <si>
    <t>Holandia</t>
  </si>
  <si>
    <t>Países Baixos</t>
  </si>
  <si>
    <t>Низоземска</t>
  </si>
  <si>
    <t>Países Bajos</t>
  </si>
  <si>
    <t>Nederländerna</t>
  </si>
  <si>
    <t>เนเธอร์แลนด์</t>
  </si>
  <si>
    <t>Hollanda</t>
  </si>
  <si>
    <t>NướC Hà Lan</t>
  </si>
  <si>
    <t>Нідерланди</t>
  </si>
  <si>
    <t>ہالینڈ</t>
  </si>
  <si>
    <t>North Macedonia</t>
  </si>
  <si>
    <t>North Maqedoni</t>
  </si>
  <si>
    <t>شمال مقدونيا</t>
  </si>
  <si>
    <t>Հյուսիս Մակեդոնիա</t>
  </si>
  <si>
    <t>Şimali Makedoniya</t>
  </si>
  <si>
    <t>Северна Македония</t>
  </si>
  <si>
    <t>Nord Macedònia</t>
  </si>
  <si>
    <t>北马其顿</t>
  </si>
  <si>
    <t>北馬其頓</t>
  </si>
  <si>
    <t>Sjeverna Makedonija</t>
  </si>
  <si>
    <t>Severní Makedonie</t>
  </si>
  <si>
    <t>Nordmakedonien</t>
  </si>
  <si>
    <t>Noord-Macedonië</t>
  </si>
  <si>
    <t>Macédoine Du Nord</t>
  </si>
  <si>
    <t>ჩრდილოეთ მაკედონია</t>
  </si>
  <si>
    <t>Nord Mazedonien</t>
  </si>
  <si>
    <t>Βόρεια Μακεδονία</t>
  </si>
  <si>
    <t>צפון מקדוניה</t>
  </si>
  <si>
    <t>Észak-Macedónia</t>
  </si>
  <si>
    <t>Utara Makedonia</t>
  </si>
  <si>
    <t>Norður-Makedónía</t>
  </si>
  <si>
    <t>Nord Macedonia</t>
  </si>
  <si>
    <t>북 마케도니아</t>
  </si>
  <si>
    <t>Šiaurės Makedonija</t>
  </si>
  <si>
    <t>Северна Македонија</t>
  </si>
  <si>
    <t>Tramuntana Maċedonja</t>
  </si>
  <si>
    <t>Nord-Makedonia</t>
  </si>
  <si>
    <t>شمالی مقدونیه</t>
  </si>
  <si>
    <t>Północna Macedonia</t>
  </si>
  <si>
    <t>Norte Macedônia</t>
  </si>
  <si>
    <t>Macedonia De Nord</t>
  </si>
  <si>
    <t>Severné Macedónsko</t>
  </si>
  <si>
    <t>Severna Makedonija</t>
  </si>
  <si>
    <t>Norte Macedonia</t>
  </si>
  <si>
    <t>นอร์ทมาซิโดเนีย</t>
  </si>
  <si>
    <t>Kuzey Makedonya</t>
  </si>
  <si>
    <t>BắC Macedonia</t>
  </si>
  <si>
    <t>Північна Македонія</t>
  </si>
  <si>
    <t>شمالی مقدونیہ</t>
  </si>
  <si>
    <t>Scotland</t>
  </si>
  <si>
    <t>Skoci</t>
  </si>
  <si>
    <t>أسكتلندا</t>
  </si>
  <si>
    <t>Շոտլանդիա</t>
  </si>
  <si>
    <t>Şotlandiya</t>
  </si>
  <si>
    <t>Шотландия</t>
  </si>
  <si>
    <t>Escòcia</t>
  </si>
  <si>
    <t>苏格兰</t>
  </si>
  <si>
    <t>蘇格蘭</t>
  </si>
  <si>
    <t>Škotska</t>
  </si>
  <si>
    <t>Skotsko</t>
  </si>
  <si>
    <t>Skotland</t>
  </si>
  <si>
    <t>Schotland</t>
  </si>
  <si>
    <t>Écosse</t>
  </si>
  <si>
    <t>შოტლანდია</t>
  </si>
  <si>
    <t>Schottland</t>
  </si>
  <si>
    <t>Σκωτία</t>
  </si>
  <si>
    <t>סקוטלנד</t>
  </si>
  <si>
    <t>Skócia</t>
  </si>
  <si>
    <t>Skotlandia</t>
  </si>
  <si>
    <t>Scozia</t>
  </si>
  <si>
    <t>스코틀랜드</t>
  </si>
  <si>
    <t>Škotija</t>
  </si>
  <si>
    <t>Шкотска</t>
  </si>
  <si>
    <t>Iskozja</t>
  </si>
  <si>
    <t>Skottland</t>
  </si>
  <si>
    <t>اسکاتلند</t>
  </si>
  <si>
    <t>Szkocja</t>
  </si>
  <si>
    <t>Escócia</t>
  </si>
  <si>
    <t>Scoţia</t>
  </si>
  <si>
    <t>Škótsko</t>
  </si>
  <si>
    <t>Escocia</t>
  </si>
  <si>
    <t>ก็อตแลนด์</t>
  </si>
  <si>
    <t>İskoçya</t>
  </si>
  <si>
    <t>Шотландія</t>
  </si>
  <si>
    <t>اسکاٹ لینڈ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</si>
  <si>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</si>
  <si>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</si>
  <si>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</si>
  <si>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</si>
  <si>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</si>
  <si>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</si>
  <si>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</si>
  <si>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</si>
  <si>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</si>
  <si>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</si>
  <si>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</si>
  <si>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</si>
  <si>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</si>
  <si>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</si>
  <si>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</si>
  <si>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</si>
  <si>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</si>
  <si>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</si>
  <si>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</si>
  <si>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</si>
  <si>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</si>
  <si>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</si>
  <si>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</si>
  <si>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</si>
  <si>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</si>
  <si>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</si>
  <si>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</si>
  <si>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</si>
  <si>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</si>
  <si>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</si>
  <si>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</si>
  <si>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</si>
  <si>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</si>
  <si>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</si>
  <si>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</si>
  <si>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</si>
  <si>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</si>
  <si>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</si>
  <si>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</si>
  <si>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</si>
  <si>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</si>
  <si>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</si>
  <si>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</si>
  <si>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</si>
  <si>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</si>
  <si>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</si>
  <si>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</si>
  <si>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</si>
  <si>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</si>
  <si>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</si>
  <si>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</si>
  <si>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</si>
  <si>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</si>
  <si>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</si>
  <si>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</si>
  <si>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</si>
  <si>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</si>
  <si>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</si>
  <si>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</si>
  <si>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</si>
  <si>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</si>
  <si>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</si>
  <si>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</si>
  <si>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</si>
  <si>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</si>
  <si>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</si>
  <si>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</si>
  <si>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</si>
  <si>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</si>
  <si>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</si>
  <si>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</si>
  <si>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</si>
  <si>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</si>
  <si>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</si>
  <si>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</si>
  <si>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</si>
  <si>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</si>
  <si>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</si>
  <si>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</si>
  <si>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</si>
  <si>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</si>
  <si>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</si>
  <si>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</si>
  <si>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</si>
  <si>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</si>
  <si>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</si>
  <si>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</si>
  <si>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</si>
  <si>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</si>
  <si>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</si>
  <si>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</si>
  <si>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</si>
  <si>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</si>
  <si>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</si>
  <si>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</si>
  <si>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</si>
  <si>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</si>
  <si>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</si>
  <si>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</si>
  <si>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</si>
  <si>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</si>
  <si>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</si>
  <si>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</si>
  <si>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</si>
  <si>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</si>
  <si>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</si>
  <si>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</si>
  <si>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</si>
  <si>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</si>
  <si>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</si>
  <si>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</si>
  <si>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</si>
  <si>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</si>
  <si>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</si>
  <si>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</si>
  <si>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</si>
  <si>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</si>
  <si>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</si>
  <si>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</si>
  <si>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</si>
  <si>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</si>
  <si>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</si>
  <si>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</si>
  <si>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</si>
  <si>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</si>
  <si>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</si>
  <si>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</si>
  <si>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</si>
  <si>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</si>
  <si>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</si>
  <si>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</si>
  <si>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</si>
  <si>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</si>
  <si>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</si>
  <si>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</si>
  <si>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</si>
  <si>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</si>
  <si>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</si>
  <si>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</si>
  <si>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</si>
  <si>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</si>
  <si>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</si>
  <si>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</si>
  <si>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</si>
  <si>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</si>
  <si>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</si>
  <si>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</si>
  <si>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</si>
  <si>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</si>
  <si>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</si>
  <si>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</si>
  <si>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</si>
  <si>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</si>
  <si>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</si>
  <si>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</si>
  <si>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</si>
  <si>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</si>
  <si>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</si>
  <si>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</si>
  <si>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</si>
  <si>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</si>
  <si>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</si>
  <si>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</si>
  <si>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</si>
  <si>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</si>
  <si>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</si>
  <si>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</si>
  <si>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</si>
  <si>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</si>
  <si>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</si>
  <si>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</si>
  <si>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</si>
  <si>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</si>
  <si>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</si>
  <si>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</si>
  <si>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</si>
  <si>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</si>
  <si>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</si>
  <si>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</si>
  <si>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</si>
  <si>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</si>
  <si>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</si>
  <si>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</si>
  <si>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</si>
  <si>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</si>
  <si>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</si>
  <si>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</si>
  <si>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შვეიცარია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</si>
  <si>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</si>
  <si>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</si>
  <si>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</si>
  <si>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</si>
  <si>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</si>
  <si>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</si>
  <si>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</si>
  <si>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</si>
  <si>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</si>
  <si>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</si>
  <si>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</si>
  <si>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</si>
  <si>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</si>
  <si>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</si>
  <si>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</si>
  <si>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</si>
  <si>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</si>
  <si>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</si>
  <si>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</si>
  <si>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</si>
  <si>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</si>
  <si>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</si>
  <si>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</si>
  <si>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</si>
  <si>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</si>
  <si>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</si>
  <si>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</si>
  <si>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</si>
  <si>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</si>
  <si>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</si>
  <si>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</si>
  <si>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</si>
  <si>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</si>
  <si>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</si>
  <si>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</si>
  <si>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</si>
  <si>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</si>
  <si>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</si>
  <si>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</si>
  <si>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</si>
  <si>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</si>
  <si>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</si>
  <si>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</si>
  <si>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</si>
  <si>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</si>
  <si>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</si>
  <si>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</si>
  <si>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</si>
  <si>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</si>
  <si>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</si>
  <si>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</si>
  <si>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</si>
  <si>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</si>
  <si>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</si>
  <si>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</si>
  <si>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</si>
  <si>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</si>
  <si>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</si>
  <si>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</si>
  <si>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</si>
  <si>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</si>
  <si>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</si>
  <si>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</si>
  <si>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</si>
  <si>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</si>
  <si>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</si>
  <si>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</si>
  <si>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</si>
  <si>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</si>
  <si>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</si>
  <si>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</si>
  <si>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</si>
  <si>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</si>
  <si>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</si>
  <si>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</si>
  <si>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</si>
  <si>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</si>
  <si>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</si>
  <si>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</si>
  <si>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</si>
  <si>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</si>
  <si>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</si>
  <si>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</si>
  <si>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</si>
  <si>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</si>
  <si>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</si>
  <si>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</si>
  <si>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</si>
  <si>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</si>
  <si>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</si>
  <si>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</si>
  <si>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</si>
  <si>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</si>
  <si>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</si>
  <si>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</si>
  <si>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</si>
  <si>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</si>
  <si>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</si>
  <si>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</si>
  <si>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</si>
  <si>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</si>
  <si>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</si>
  <si>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</si>
  <si>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</si>
  <si>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</si>
  <si>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</si>
  <si>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</si>
  <si>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</si>
  <si>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</si>
  <si>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</si>
  <si>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</si>
  <si>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</si>
  <si>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</si>
  <si>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</si>
  <si>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</si>
  <si>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</si>
  <si>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</si>
  <si>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</si>
  <si>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</si>
  <si>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</si>
  <si>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</si>
  <si>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</si>
  <si>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</si>
  <si>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</si>
  <si>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</si>
  <si>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</si>
  <si>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</si>
  <si>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</si>
  <si>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</si>
  <si>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</si>
  <si>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</si>
  <si>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</si>
  <si>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</si>
  <si>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</si>
  <si>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</si>
  <si>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</si>
  <si>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</si>
  <si>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</si>
  <si>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</si>
  <si>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</si>
  <si>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</si>
  <si>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</si>
  <si>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</si>
  <si>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</si>
  <si>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</si>
  <si>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</si>
  <si>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</si>
  <si>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</si>
  <si>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</si>
  <si>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</si>
  <si>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</si>
  <si>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</si>
  <si>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</si>
  <si>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</si>
  <si>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</si>
  <si>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</si>
  <si>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</si>
  <si>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</si>
  <si>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</si>
  <si>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</si>
  <si>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</si>
  <si>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</si>
  <si>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</si>
  <si>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</si>
  <si>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</si>
  <si>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</si>
  <si>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</si>
  <si>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</si>
  <si>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</si>
  <si>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</si>
  <si>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</si>
  <si>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</si>
  <si>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</si>
  <si>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</si>
  <si>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</si>
  <si>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</si>
  <si>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</si>
  <si>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</si>
  <si>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</si>
  <si>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</si>
  <si>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</si>
  <si>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</si>
  <si>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</si>
  <si>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</si>
  <si>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</si>
  <si>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</si>
  <si>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</si>
  <si>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</si>
  <si>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</si>
  <si>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</si>
  <si>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</si>
  <si>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</si>
  <si>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</si>
  <si>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</si>
  <si>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</si>
  <si>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</si>
  <si>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</si>
  <si>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</si>
  <si>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</si>
  <si>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</si>
  <si>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</si>
  <si>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</si>
  <si>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</si>
  <si>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</si>
  <si>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</si>
  <si>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</si>
  <si>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</si>
  <si>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</si>
  <si>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</si>
  <si>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</si>
  <si>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</si>
  <si>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</si>
  <si>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</si>
  <si>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</si>
  <si>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</si>
  <si>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</si>
  <si>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</si>
  <si>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</si>
  <si>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</si>
  <si>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</si>
  <si>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</si>
  <si>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</si>
  <si>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</si>
  <si>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</si>
  <si>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</si>
  <si>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</si>
  <si>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</si>
  <si>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</si>
  <si>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</si>
  <si>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</si>
  <si>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</si>
  <si>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</si>
  <si>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</si>
  <si>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</si>
  <si>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</si>
  <si>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</si>
  <si>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</si>
  <si>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</si>
  <si>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</si>
  <si>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</si>
  <si>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</si>
  <si>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</si>
  <si>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</si>
  <si>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</si>
  <si>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</si>
  <si>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</si>
  <si>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</si>
  <si>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</si>
  <si>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</si>
  <si>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</si>
  <si>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</si>
  <si>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</si>
  <si>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</si>
  <si>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</si>
  <si>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</si>
  <si>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</si>
  <si>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</si>
  <si>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</si>
  <si>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</si>
  <si>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</si>
  <si>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</si>
  <si>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</si>
  <si>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</si>
  <si>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</si>
  <si>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</si>
  <si>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</si>
  <si>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</si>
  <si>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</si>
  <si>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</si>
  <si>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</si>
  <si>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</si>
  <si>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</si>
  <si>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</si>
  <si>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</si>
  <si>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</si>
  <si>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</si>
  <si>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</si>
  <si>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</si>
  <si>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</si>
  <si>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</si>
  <si>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</si>
  <si>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</si>
  <si>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</si>
  <si>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</si>
  <si>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</si>
  <si>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</si>
  <si>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</si>
  <si>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</si>
  <si>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</si>
  <si>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</si>
  <si>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</si>
  <si>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</si>
  <si>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</si>
  <si>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</si>
  <si>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</si>
  <si>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</si>
  <si>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</si>
  <si>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</si>
  <si>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</si>
  <si>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</si>
  <si>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</si>
  <si>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</si>
  <si>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</si>
  <si>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</si>
  <si>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</si>
  <si>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</si>
  <si>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</si>
  <si>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</si>
  <si>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</si>
  <si>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</si>
  <si>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</si>
  <si>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</si>
  <si>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</si>
  <si>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</si>
  <si>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</si>
  <si>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</si>
  <si>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</si>
  <si>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</si>
  <si>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</si>
  <si>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</si>
  <si>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</si>
  <si>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</si>
  <si>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</si>
  <si>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</si>
  <si>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</si>
  <si>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</si>
  <si>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</si>
  <si>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</si>
  <si>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</si>
  <si>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</si>
  <si>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</si>
  <si>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</si>
  <si>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</si>
  <si>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</si>
  <si>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</si>
  <si>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</si>
  <si>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</si>
  <si>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</si>
  <si>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</si>
  <si>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</si>
  <si>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</si>
  <si>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</si>
  <si>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</si>
  <si>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</si>
  <si>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</si>
  <si>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</si>
  <si>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</si>
  <si>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</si>
  <si>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</si>
  <si>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</si>
  <si>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</si>
  <si>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</si>
  <si>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</si>
  <si>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</si>
  <si>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</si>
  <si>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</si>
  <si>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</si>
  <si>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</si>
  <si>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</si>
  <si>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</si>
  <si>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</si>
  <si>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</si>
  <si>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</si>
  <si>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</si>
  <si>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</si>
  <si>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</si>
  <si>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A</t>
  </si>
  <si>
    <t>ที่ 1 สาย A</t>
  </si>
  <si>
    <t>۱الف</t>
  </si>
  <si>
    <t>2A</t>
  </si>
  <si>
    <t>A2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</si>
  <si>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</si>
  <si>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A</t>
  </si>
  <si>
    <t>ที่ 2 สาย A</t>
  </si>
  <si>
    <t>۲الف</t>
  </si>
  <si>
    <t>1B</t>
  </si>
  <si>
    <t>B1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</si>
  <si>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</si>
  <si>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B</t>
  </si>
  <si>
    <t>ที่ 1 สาย B</t>
  </si>
  <si>
    <t>۱ب</t>
  </si>
  <si>
    <t>2B</t>
  </si>
  <si>
    <t>B2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</si>
  <si>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</si>
  <si>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گروهB</t>
  </si>
  <si>
    <t>ที่ 2 สาย B</t>
  </si>
  <si>
    <t>۲ب</t>
  </si>
  <si>
    <t>1C</t>
  </si>
  <si>
    <t>C1</t>
  </si>
  <si>
    <t>1Γ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</si>
  <si>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</si>
  <si>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1Ċ</t>
  </si>
  <si>
    <t>اول گروه C</t>
  </si>
  <si>
    <t>ที่ 1 สาย C</t>
  </si>
  <si>
    <t>۱ج</t>
  </si>
  <si>
    <t>2C</t>
  </si>
  <si>
    <t>C2</t>
  </si>
  <si>
    <t>2Γ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</si>
  <si>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</si>
  <si>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2Ċ</t>
  </si>
  <si>
    <t>دوم گروه C</t>
  </si>
  <si>
    <t>ที่ 2 สาย C</t>
  </si>
  <si>
    <t>۲ج</t>
  </si>
  <si>
    <t>1D</t>
  </si>
  <si>
    <t>D1</t>
  </si>
  <si>
    <t>1Δ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</si>
  <si>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</si>
  <si>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D</t>
  </si>
  <si>
    <t>ที่ 1 สาย D</t>
  </si>
  <si>
    <t>۱د</t>
  </si>
  <si>
    <t>2D</t>
  </si>
  <si>
    <t>D2</t>
  </si>
  <si>
    <t>2Δ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</si>
  <si>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</si>
  <si>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D</t>
  </si>
  <si>
    <t>ที่ 2 สาย D</t>
  </si>
  <si>
    <t>۲د</t>
  </si>
  <si>
    <t>1E</t>
  </si>
  <si>
    <t>E1</t>
  </si>
  <si>
    <t>1Ε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</si>
  <si>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</si>
  <si>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E</t>
  </si>
  <si>
    <t>ที่ 1 สาย E</t>
  </si>
  <si>
    <t>۱ھ</t>
  </si>
  <si>
    <t>2E</t>
  </si>
  <si>
    <t>E2</t>
  </si>
  <si>
    <t>2Ε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</si>
  <si>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</si>
  <si>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E</t>
  </si>
  <si>
    <t>ที่ 2 สาย E</t>
  </si>
  <si>
    <t>۲ھ</t>
  </si>
  <si>
    <t>1F</t>
  </si>
  <si>
    <t>F1</t>
  </si>
  <si>
    <t>1ΣΤ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</si>
  <si>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</si>
  <si>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F</t>
  </si>
  <si>
    <t>ที่ 1 สาย F</t>
  </si>
  <si>
    <t>۱و</t>
  </si>
  <si>
    <t>2F</t>
  </si>
  <si>
    <t>F2</t>
  </si>
  <si>
    <t>2ΣΤ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</si>
  <si>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</si>
  <si>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F</t>
  </si>
  <si>
    <t>ที่ 2 สาย F</t>
  </si>
  <si>
    <t>۲و</t>
  </si>
  <si>
    <t>1G</t>
  </si>
  <si>
    <t>G1</t>
  </si>
  <si>
    <t>1Ζ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</si>
  <si>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</si>
  <si>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1Ġ</t>
  </si>
  <si>
    <t>اول گروه G</t>
  </si>
  <si>
    <t>ที่ 1 สาย G</t>
  </si>
  <si>
    <t>۱ز</t>
  </si>
  <si>
    <t>2G</t>
  </si>
  <si>
    <t>G2</t>
  </si>
  <si>
    <t>2Ζ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</si>
  <si>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</si>
  <si>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2Ġ</t>
  </si>
  <si>
    <t>دوم گروه G</t>
  </si>
  <si>
    <t>ที่ 2 สาย G</t>
  </si>
  <si>
    <t>۲ز</t>
  </si>
  <si>
    <t>1H</t>
  </si>
  <si>
    <t>H1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</si>
  <si>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</si>
  <si>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1Ħ</t>
  </si>
  <si>
    <t>اول گروه H</t>
  </si>
  <si>
    <t>ที่ 1 สาย H</t>
  </si>
  <si>
    <t>۱ح</t>
  </si>
  <si>
    <t>2H</t>
  </si>
  <si>
    <t>H2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</si>
  <si>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</si>
  <si>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H</t>
  </si>
  <si>
    <t>ที่ 2 สาย H</t>
  </si>
  <si>
    <t>۲ح</t>
  </si>
  <si>
    <t>W37</t>
  </si>
  <si>
    <t>F37</t>
  </si>
  <si>
    <t>Q37</t>
  </si>
  <si>
    <t>G37</t>
  </si>
  <si>
    <r>
      <rPr>
        <sz val="10"/>
        <rFont val="Calibri"/>
        <family val="2"/>
        <charset val="204"/>
      </rPr>
      <t>37</t>
    </r>
    <r>
      <rPr>
        <sz val="10"/>
        <rFont val="Noto Sans CJK SC"/>
        <family val="2"/>
      </rPr>
      <t>胜者</t>
    </r>
  </si>
  <si>
    <t>V37</t>
  </si>
  <si>
    <t>მ37</t>
  </si>
  <si>
    <t>Ν37</t>
  </si>
  <si>
    <t>GY37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</si>
  <si>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</si>
  <si>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</si>
  <si>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</si>
  <si>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</si>
  <si>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</si>
  <si>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</si>
  <si>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</si>
  <si>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</si>
  <si>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</si>
  <si>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</si>
  <si>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</si>
  <si>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</si>
  <si>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</si>
  <si>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</si>
  <si>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</si>
  <si>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r>
      <rPr>
        <sz val="10"/>
        <rFont val="Calibri"/>
        <family val="2"/>
        <charset val="204"/>
      </rPr>
      <t>39</t>
    </r>
    <r>
      <rPr>
        <sz val="10"/>
        <rFont val="Noto Sans CJK SC"/>
        <family val="2"/>
      </rPr>
      <t>胜者</t>
    </r>
  </si>
  <si>
    <t>V39</t>
  </si>
  <si>
    <t>მ39</t>
  </si>
  <si>
    <t>Ν39</t>
  </si>
  <si>
    <t>GY39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</si>
  <si>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</si>
  <si>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</si>
  <si>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</si>
  <si>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</si>
  <si>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</si>
  <si>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</si>
  <si>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</si>
  <si>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</si>
  <si>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</si>
  <si>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</si>
  <si>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</si>
  <si>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</si>
  <si>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</si>
  <si>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</si>
  <si>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</si>
  <si>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r>
      <rPr>
        <sz val="10"/>
        <rFont val="Calibri"/>
        <family val="2"/>
        <charset val="204"/>
      </rPr>
      <t>41</t>
    </r>
    <r>
      <rPr>
        <sz val="10"/>
        <rFont val="Noto Sans CJK SC"/>
        <family val="2"/>
      </rPr>
      <t>胜者</t>
    </r>
  </si>
  <si>
    <t>V41</t>
  </si>
  <si>
    <t>მ41</t>
  </si>
  <si>
    <t>Ν41</t>
  </si>
  <si>
    <t>GY41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</si>
  <si>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</si>
  <si>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</si>
  <si>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</si>
  <si>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</si>
  <si>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</si>
  <si>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</si>
  <si>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</si>
  <si>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</si>
  <si>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</si>
  <si>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</si>
  <si>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</si>
  <si>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</si>
  <si>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</si>
  <si>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</si>
  <si>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</si>
  <si>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r>
      <rPr>
        <sz val="10"/>
        <rFont val="Calibri"/>
        <family val="2"/>
        <charset val="204"/>
      </rPr>
      <t>43</t>
    </r>
    <r>
      <rPr>
        <sz val="10"/>
        <rFont val="Noto Sans CJK SC"/>
        <family val="2"/>
      </rPr>
      <t>胜者</t>
    </r>
  </si>
  <si>
    <t>V43</t>
  </si>
  <si>
    <t>მ43</t>
  </si>
  <si>
    <t>Ν43</t>
  </si>
  <si>
    <t>GY43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</si>
  <si>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</si>
  <si>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</si>
  <si>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</si>
  <si>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</si>
  <si>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</si>
  <si>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</si>
  <si>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</si>
  <si>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</si>
  <si>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</si>
  <si>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</si>
  <si>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</si>
  <si>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</si>
  <si>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</si>
  <si>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</si>
  <si>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</si>
  <si>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r>
      <rPr>
        <sz val="10"/>
        <rFont val="Calibri"/>
        <family val="2"/>
        <charset val="204"/>
      </rPr>
      <t>38</t>
    </r>
    <r>
      <rPr>
        <sz val="10"/>
        <rFont val="Noto Sans CJK SC"/>
        <family val="2"/>
      </rPr>
      <t>胜者</t>
    </r>
  </si>
  <si>
    <t>V38</t>
  </si>
  <si>
    <t>მ38</t>
  </si>
  <si>
    <t>Ν38</t>
  </si>
  <si>
    <t>GY38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</si>
  <si>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5 </t>
    </r>
    <r>
      <rPr>
        <sz val="10"/>
        <rFont val="Noto Sans CJK SC"/>
        <family val="2"/>
      </rPr>
      <t>승자</t>
    </r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</si>
  <si>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</si>
  <si>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</si>
  <si>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</si>
  <si>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</si>
  <si>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</si>
  <si>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</si>
  <si>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</si>
  <si>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</si>
  <si>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</si>
  <si>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</si>
  <si>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</si>
  <si>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</si>
  <si>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</si>
  <si>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</si>
  <si>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r>
      <rPr>
        <sz val="10"/>
        <rFont val="Calibri"/>
        <family val="2"/>
        <charset val="204"/>
      </rPr>
      <t>42</t>
    </r>
    <r>
      <rPr>
        <sz val="10"/>
        <rFont val="Noto Sans CJK SC"/>
        <family val="2"/>
      </rPr>
      <t>胜者</t>
    </r>
  </si>
  <si>
    <t>V42</t>
  </si>
  <si>
    <t>მ42</t>
  </si>
  <si>
    <t>Ν42</t>
  </si>
  <si>
    <t>GY42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</si>
  <si>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6 </t>
    </r>
    <r>
      <rPr>
        <sz val="10"/>
        <rFont val="Noto Sans CJK SC"/>
        <family val="2"/>
      </rPr>
      <t>승자</t>
    </r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</si>
  <si>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</si>
  <si>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</si>
  <si>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</si>
  <si>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</si>
  <si>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</si>
  <si>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</si>
  <si>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</si>
  <si>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</si>
  <si>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</si>
  <si>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</si>
  <si>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</si>
  <si>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</si>
  <si>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</si>
  <si>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</si>
  <si>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r>
      <rPr>
        <sz val="10"/>
        <rFont val="Calibri"/>
        <family val="2"/>
        <charset val="204"/>
      </rPr>
      <t>40</t>
    </r>
    <r>
      <rPr>
        <sz val="10"/>
        <rFont val="Noto Sans CJK SC"/>
        <family val="2"/>
      </rPr>
      <t>胜者</t>
    </r>
  </si>
  <si>
    <t>V40</t>
  </si>
  <si>
    <t>მ40</t>
  </si>
  <si>
    <t>Ν40</t>
  </si>
  <si>
    <t>GY40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</si>
  <si>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7 </t>
    </r>
    <r>
      <rPr>
        <sz val="10"/>
        <rFont val="Noto Sans CJK SC"/>
        <family val="2"/>
      </rPr>
      <t>승자</t>
    </r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</si>
  <si>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</si>
  <si>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</si>
  <si>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</si>
  <si>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</si>
  <si>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</si>
  <si>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</si>
  <si>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</si>
  <si>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</si>
  <si>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</si>
  <si>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</si>
  <si>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</si>
  <si>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</si>
  <si>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</si>
  <si>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</si>
  <si>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r>
      <rPr>
        <sz val="10"/>
        <rFont val="Calibri"/>
        <family val="2"/>
        <charset val="204"/>
      </rPr>
      <t>44</t>
    </r>
    <r>
      <rPr>
        <sz val="10"/>
        <rFont val="Noto Sans CJK SC"/>
        <family val="2"/>
      </rPr>
      <t>胜者</t>
    </r>
  </si>
  <si>
    <t>V44</t>
  </si>
  <si>
    <t>მ44</t>
  </si>
  <si>
    <t>Ν44</t>
  </si>
  <si>
    <t>GY44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</si>
  <si>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8 </t>
    </r>
    <r>
      <rPr>
        <sz val="10"/>
        <rFont val="Noto Sans CJK SC"/>
        <family val="2"/>
      </rPr>
      <t>승자</t>
    </r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</si>
  <si>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</si>
  <si>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</si>
  <si>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</si>
  <si>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</si>
  <si>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</si>
  <si>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</si>
  <si>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</si>
  <si>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</si>
  <si>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</si>
  <si>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</si>
  <si>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</si>
  <si>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</si>
  <si>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</si>
  <si>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</si>
  <si>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r>
      <rPr>
        <sz val="10"/>
        <rFont val="Calibri"/>
        <family val="2"/>
        <charset val="204"/>
      </rPr>
      <t>45</t>
    </r>
    <r>
      <rPr>
        <sz val="10"/>
        <rFont val="Noto Sans CJK SC"/>
        <family val="2"/>
      </rPr>
      <t>胜者</t>
    </r>
  </si>
  <si>
    <t>V45</t>
  </si>
  <si>
    <t>მ45</t>
  </si>
  <si>
    <t>Ν45</t>
  </si>
  <si>
    <t>GY45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</si>
  <si>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</si>
  <si>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</si>
  <si>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</si>
  <si>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</si>
  <si>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</si>
  <si>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</si>
  <si>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</si>
  <si>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</si>
  <si>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</si>
  <si>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</si>
  <si>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</si>
  <si>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</si>
  <si>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</si>
  <si>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</si>
  <si>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</si>
  <si>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r>
      <rPr>
        <sz val="10"/>
        <rFont val="Calibri"/>
        <family val="2"/>
        <charset val="204"/>
      </rPr>
      <t>46</t>
    </r>
    <r>
      <rPr>
        <sz val="10"/>
        <rFont val="Noto Sans CJK SC"/>
        <family val="2"/>
      </rPr>
      <t>胜者</t>
    </r>
  </si>
  <si>
    <t>V46</t>
  </si>
  <si>
    <t>მ46</t>
  </si>
  <si>
    <t>Ν46</t>
  </si>
  <si>
    <t>GY46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</si>
  <si>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</si>
  <si>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</si>
  <si>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</si>
  <si>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</si>
  <si>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</si>
  <si>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</si>
  <si>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</si>
  <si>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</si>
  <si>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</si>
  <si>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</si>
  <si>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</si>
  <si>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</si>
  <si>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</si>
  <si>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</si>
  <si>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</si>
  <si>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r>
      <rPr>
        <sz val="10"/>
        <rFont val="Calibri"/>
        <family val="2"/>
        <charset val="204"/>
      </rPr>
      <t>47</t>
    </r>
    <r>
      <rPr>
        <sz val="10"/>
        <rFont val="Noto Sans CJK SC"/>
        <family val="2"/>
      </rPr>
      <t>胜者</t>
    </r>
  </si>
  <si>
    <t>V47</t>
  </si>
  <si>
    <t>მ47</t>
  </si>
  <si>
    <t>Ν47</t>
  </si>
  <si>
    <t>GY47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</si>
  <si>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</si>
  <si>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</si>
  <si>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</si>
  <si>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</si>
  <si>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</si>
  <si>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</si>
  <si>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</si>
  <si>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</si>
  <si>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</si>
  <si>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</si>
  <si>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</si>
  <si>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</si>
  <si>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</si>
  <si>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</si>
  <si>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</si>
  <si>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r>
      <rPr>
        <sz val="10"/>
        <rFont val="Calibri"/>
        <family val="2"/>
        <charset val="204"/>
      </rPr>
      <t>48</t>
    </r>
    <r>
      <rPr>
        <sz val="10"/>
        <rFont val="Noto Sans CJK SC"/>
        <family val="2"/>
      </rPr>
      <t>胜者</t>
    </r>
  </si>
  <si>
    <t>V48</t>
  </si>
  <si>
    <t>მ48</t>
  </si>
  <si>
    <t>Ν48</t>
  </si>
  <si>
    <t>GY48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</si>
  <si>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</si>
  <si>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</si>
  <si>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</si>
  <si>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</si>
  <si>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</si>
  <si>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</si>
  <si>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</si>
  <si>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</si>
  <si>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</si>
  <si>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</si>
  <si>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</si>
  <si>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</si>
  <si>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</si>
  <si>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</si>
  <si>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</si>
  <si>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r>
      <rPr>
        <sz val="10"/>
        <rFont val="Calibri"/>
        <family val="2"/>
        <charset val="204"/>
      </rPr>
      <t>49</t>
    </r>
    <r>
      <rPr>
        <sz val="10"/>
        <rFont val="Noto Sans CJK SC"/>
        <family val="2"/>
      </rPr>
      <t>胜者</t>
    </r>
  </si>
  <si>
    <t>V49</t>
  </si>
  <si>
    <t>მ49</t>
  </si>
  <si>
    <t>Ν49</t>
  </si>
  <si>
    <t>GY49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</si>
  <si>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</si>
  <si>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</si>
  <si>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</si>
  <si>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</si>
  <si>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</si>
  <si>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</si>
  <si>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</si>
  <si>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</si>
  <si>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</si>
  <si>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</si>
  <si>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</si>
  <si>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</si>
  <si>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</si>
  <si>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</si>
  <si>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</si>
  <si>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r>
      <rPr>
        <sz val="10"/>
        <rFont val="Calibri"/>
        <family val="2"/>
        <charset val="204"/>
      </rPr>
      <t>50</t>
    </r>
    <r>
      <rPr>
        <sz val="10"/>
        <rFont val="Noto Sans CJK SC"/>
        <family val="2"/>
      </rPr>
      <t>胜者</t>
    </r>
  </si>
  <si>
    <t>V50</t>
  </si>
  <si>
    <t>მ50</t>
  </si>
  <si>
    <t>Ν50</t>
  </si>
  <si>
    <t>GY50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</si>
  <si>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</si>
  <si>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</si>
  <si>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</si>
  <si>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</si>
  <si>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</si>
  <si>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</si>
  <si>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</si>
  <si>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</si>
  <si>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</si>
  <si>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</si>
  <si>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</si>
  <si>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</si>
  <si>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</si>
  <si>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</si>
  <si>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</si>
  <si>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r>
      <rPr>
        <sz val="10"/>
        <rFont val="Calibri"/>
        <family val="2"/>
        <charset val="204"/>
      </rPr>
      <t>61</t>
    </r>
    <r>
      <rPr>
        <sz val="10"/>
        <rFont val="Noto Sans CJK SC"/>
        <family val="2"/>
      </rPr>
      <t>负者</t>
    </r>
  </si>
  <si>
    <t>T61</t>
  </si>
  <si>
    <t>V61</t>
  </si>
  <si>
    <t>წ61</t>
  </si>
  <si>
    <t>Η61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</si>
  <si>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패자</t>
    </r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</si>
  <si>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</si>
  <si>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</si>
  <si>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</si>
  <si>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</si>
  <si>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</si>
  <si>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</si>
  <si>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</si>
  <si>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</si>
  <si>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</si>
  <si>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</si>
  <si>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</si>
  <si>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r>
      <rPr>
        <sz val="10"/>
        <rFont val="Calibri"/>
        <family val="2"/>
        <charset val="204"/>
      </rPr>
      <t>62</t>
    </r>
    <r>
      <rPr>
        <sz val="10"/>
        <rFont val="Noto Sans CJK SC"/>
        <family val="2"/>
      </rPr>
      <t>负者</t>
    </r>
  </si>
  <si>
    <t>T62</t>
  </si>
  <si>
    <t>V62</t>
  </si>
  <si>
    <t>წ62</t>
  </si>
  <si>
    <t>Η62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</si>
  <si>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패자</t>
    </r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</si>
  <si>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</si>
  <si>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</si>
  <si>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</si>
  <si>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</si>
  <si>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</si>
  <si>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</si>
  <si>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</si>
  <si>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Munich</t>
  </si>
  <si>
    <t>Mynih</t>
  </si>
  <si>
    <t>ميونيخ</t>
  </si>
  <si>
    <t>Մյունխենի</t>
  </si>
  <si>
    <t>Мюнхен</t>
  </si>
  <si>
    <t>Munic</t>
  </si>
  <si>
    <t>慕尼黑</t>
  </si>
  <si>
    <t>Minhen</t>
  </si>
  <si>
    <t>Mnichov</t>
  </si>
  <si>
    <t>München</t>
  </si>
  <si>
    <t>მიუნხენი</t>
  </si>
  <si>
    <t>Μόναχο</t>
  </si>
  <si>
    <t>מינכן</t>
  </si>
  <si>
    <t>Monaco</t>
  </si>
  <si>
    <t>뮌헨</t>
  </si>
  <si>
    <t>Miunchenas</t>
  </si>
  <si>
    <t>Минхен</t>
  </si>
  <si>
    <t>مونیخ</t>
  </si>
  <si>
    <t>Monachium</t>
  </si>
  <si>
    <t>Munique</t>
  </si>
  <si>
    <t>Munchen</t>
  </si>
  <si>
    <t>Mníchov</t>
  </si>
  <si>
    <t>มิวนิค</t>
  </si>
  <si>
    <t>Münih</t>
  </si>
  <si>
    <t>میونخ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</si>
  <si>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</si>
  <si>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</si>
  <si>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</si>
  <si>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</si>
  <si>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</si>
  <si>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</si>
  <si>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</si>
  <si>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</si>
  <si>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</si>
  <si>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</si>
  <si>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</si>
  <si>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</si>
  <si>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</si>
  <si>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</si>
  <si>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</si>
  <si>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</si>
  <si>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</si>
  <si>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</si>
  <si>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</si>
  <si>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</si>
  <si>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</si>
  <si>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</si>
  <si>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</si>
  <si>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</si>
  <si>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</si>
  <si>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</si>
  <si>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</si>
  <si>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</si>
  <si>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</si>
  <si>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</si>
  <si>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</si>
  <si>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</si>
  <si>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</si>
  <si>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</si>
  <si>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</si>
  <si>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</si>
  <si>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</si>
  <si>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</si>
  <si>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</si>
  <si>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</si>
  <si>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</si>
  <si>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</si>
  <si>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</si>
  <si>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</si>
  <si>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</si>
  <si>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</si>
  <si>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</si>
  <si>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</si>
  <si>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</si>
  <si>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</si>
  <si>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</si>
  <si>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</si>
  <si>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</si>
  <si>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</si>
  <si>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</si>
  <si>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</si>
  <si>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</si>
  <si>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</si>
  <si>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</si>
  <si>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</si>
  <si>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</si>
  <si>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</si>
  <si>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</si>
  <si>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</si>
  <si>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</si>
  <si>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</si>
  <si>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</si>
  <si>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</si>
  <si>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</si>
  <si>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</si>
  <si>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</si>
  <si>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</si>
  <si>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</si>
  <si>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</si>
  <si>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</si>
  <si>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</si>
  <si>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</si>
  <si>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</si>
  <si>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</si>
  <si>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</si>
  <si>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</si>
  <si>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</si>
  <si>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</si>
  <si>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</si>
  <si>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</si>
  <si>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</si>
  <si>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</si>
  <si>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</si>
  <si>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</si>
  <si>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</si>
  <si>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</si>
  <si>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1B vs</t>
  </si>
  <si>
    <t>1C vs</t>
  </si>
  <si>
    <t>1E vs</t>
  </si>
  <si>
    <t>1F vs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</si>
  <si>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</si>
  <si>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</si>
  <si>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</si>
  <si>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</si>
  <si>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</si>
  <si>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</si>
  <si>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</si>
  <si>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</si>
  <si>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</si>
  <si>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</si>
  <si>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</si>
  <si>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</si>
  <si>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</si>
  <si>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</si>
  <si>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</si>
  <si>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</si>
  <si>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</si>
  <si>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</si>
  <si>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</si>
  <si>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</si>
  <si>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</si>
  <si>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Date + Time + GMT</t>
  </si>
  <si>
    <t>GF</t>
  </si>
  <si>
    <t>GA</t>
  </si>
  <si>
    <t>Place</t>
  </si>
  <si>
    <t>Delta</t>
  </si>
  <si>
    <t>Pnt</t>
  </si>
  <si>
    <t>Rank</t>
  </si>
  <si>
    <t>F-A</t>
  </si>
  <si>
    <t>R0</t>
  </si>
  <si>
    <t>Cnt</t>
  </si>
  <si>
    <t>CntPnt</t>
  </si>
  <si>
    <t>A</t>
  </si>
  <si>
    <t>UEFA EURO 2024 Tournament Schedule</t>
  </si>
  <si>
    <t>UEFA Euro 2024 Tournament Schedule</t>
  </si>
  <si>
    <t>كأس الأمم الأوروبية 2024 جدول البطولة</t>
  </si>
  <si>
    <t>UEFA EURO 2024-մրցաշար ժամանակացույց</t>
  </si>
  <si>
    <t>UEFA EURO 2024 Tournament cədvəli</t>
  </si>
  <si>
    <t>Европейско първенство по футбол 2024 График на турнира</t>
  </si>
  <si>
    <t>UEFA EURO 2024 calendari de tornejos</t>
  </si>
  <si>
    <t>2024年欧洲足球锦标赛锦标赛时间表</t>
  </si>
  <si>
    <t>2024年歐洲足球錦標賽錦標賽時間表</t>
  </si>
  <si>
    <t>UEFA EURO 2024 Raspored turnira</t>
  </si>
  <si>
    <t>UEFA EURO 2024 Plán turnajů</t>
  </si>
  <si>
    <t>UEFA EURO 2024 Toernooi schema</t>
  </si>
  <si>
    <t>UEFA EURO 2024</t>
  </si>
  <si>
    <t>UEFA EURO 2024 ტურნირი განრიგი</t>
  </si>
  <si>
    <t>UEFA EURO 2024 Turnierplan</t>
  </si>
  <si>
    <t>UEFA EURO 2024 Πρόγραμμα Τουρνουά</t>
  </si>
  <si>
    <t>EURO אופ"א לו"ז טורניר 2024</t>
  </si>
  <si>
    <t>UEFA EURO 2024 versenyek időbeosztása</t>
  </si>
  <si>
    <t>UEFA EURO 2024 Jadwal Turnamen</t>
  </si>
  <si>
    <t>UEFA EURO 2024 Tournament Dagskrá</t>
  </si>
  <si>
    <t>UEFA 유로​​ 2024 토너먼트 일정</t>
  </si>
  <si>
    <t>EURO 2024 turnyro tvarkaraštis</t>
  </si>
  <si>
    <t>УЕФА Евро 2024 Распоред турнир</t>
  </si>
  <si>
    <t>UEFA EURO 2024 Tournament Iskeda</t>
  </si>
  <si>
    <t>UEFA EURO 2024 Turneringsskjema</t>
  </si>
  <si>
    <t>UEFA EURO 2024 برنامه مسابقات</t>
  </si>
  <si>
    <t>UEFA EURO 2024 Harmonogram turnieju</t>
  </si>
  <si>
    <t>UEFA EURO 2024 Calendário de Torneios</t>
  </si>
  <si>
    <t>UEFA EURO 2024 Programul turneelor</t>
  </si>
  <si>
    <t>ЕВРО 2024 Турнир Распоред</t>
  </si>
  <si>
    <t>UEFA EURO 2024 Plán turnajov</t>
  </si>
  <si>
    <t>UEFA EURO 2024 turnir Razpored</t>
  </si>
  <si>
    <t>UEFA EURO 2024 calendario de torneos</t>
  </si>
  <si>
    <t>UEFA EURO 2024 turneringsschemat</t>
  </si>
  <si>
    <t>ฟุตบอลชิงแชมป์แห่งชาติยุโรป 2024 ตารางการแข่งขัน</t>
  </si>
  <si>
    <t>2024 Avrupa Futbol Şampiyonası Turnuva Takvimi</t>
  </si>
  <si>
    <t>UEFA EURO 2024 Lịch trình giải đấu</t>
  </si>
  <si>
    <t>ЄВРО-2024 Розклад турнірів</t>
  </si>
  <si>
    <t>UEFA EURO 2024 ٹورنامنٹ کے شیڈول</t>
  </si>
  <si>
    <t>Champion 2024</t>
  </si>
  <si>
    <t>بطل 2024</t>
  </si>
  <si>
    <t>Champion 2024-</t>
  </si>
  <si>
    <t>Шампион 2024</t>
  </si>
  <si>
    <t>Campió 2024</t>
  </si>
  <si>
    <t>2024年冠军</t>
  </si>
  <si>
    <t>2024年冠軍</t>
  </si>
  <si>
    <t>Prvak 2024</t>
  </si>
  <si>
    <t>ჩემპიონი 2024</t>
  </si>
  <si>
    <t>Meister 2024</t>
  </si>
  <si>
    <t>Πρωταθλητής 2024</t>
  </si>
  <si>
    <t>אלוף 2024</t>
  </si>
  <si>
    <t>Juara 2024</t>
  </si>
  <si>
    <t>Meistari 2024</t>
  </si>
  <si>
    <t>Campione 2024</t>
  </si>
  <si>
    <t>챔피언 2024</t>
  </si>
  <si>
    <t>Čempionas 2024</t>
  </si>
  <si>
    <t>قهرمان 2024</t>
  </si>
  <si>
    <t>Campionul 2024</t>
  </si>
  <si>
    <t>Цхампион 2024</t>
  </si>
  <si>
    <t>Campeón 2024</t>
  </si>
  <si>
    <t>แชมป์ 2024</t>
  </si>
  <si>
    <t>Şampiyon 2024</t>
  </si>
  <si>
    <t>Чемпіон 2024</t>
  </si>
  <si>
    <t>چیمپیئن 2024</t>
  </si>
  <si>
    <t>Serbia</t>
  </si>
  <si>
    <t>Slovenia</t>
  </si>
  <si>
    <t>Georgia</t>
  </si>
  <si>
    <t>Sllovenia</t>
  </si>
  <si>
    <t>سلوفينيا</t>
  </si>
  <si>
    <t>Սլովենիա</t>
  </si>
  <si>
    <t>Sloveniya</t>
  </si>
  <si>
    <t>Словения</t>
  </si>
  <si>
    <t>Eslovènia</t>
  </si>
  <si>
    <t>斯洛文尼亚</t>
  </si>
  <si>
    <t>斯洛維尼亞</t>
  </si>
  <si>
    <t>Slovenija</t>
  </si>
  <si>
    <t>Slovinsko</t>
  </si>
  <si>
    <t>Slovenien</t>
  </si>
  <si>
    <t>Slovenië</t>
  </si>
  <si>
    <t>Slovénie</t>
  </si>
  <si>
    <t>სლოვენია</t>
  </si>
  <si>
    <t>Slowenien</t>
  </si>
  <si>
    <t>Σλοβενία</t>
  </si>
  <si>
    <t>סלובניה</t>
  </si>
  <si>
    <t>Szlovénia</t>
  </si>
  <si>
    <t>Slóvenía</t>
  </si>
  <si>
    <t>슬로베니아</t>
  </si>
  <si>
    <t>Slovėnija</t>
  </si>
  <si>
    <t>Словенија</t>
  </si>
  <si>
    <t>اسلوونی</t>
  </si>
  <si>
    <t>Słowenia</t>
  </si>
  <si>
    <t>Eslovênia</t>
  </si>
  <si>
    <t>Eslovenia</t>
  </si>
  <si>
    <t>สโลวีเนีย</t>
  </si>
  <si>
    <t>Slovenya</t>
  </si>
  <si>
    <t>Словенія</t>
  </si>
  <si>
    <t>سلووینیا</t>
  </si>
  <si>
    <t>Slovenja</t>
  </si>
  <si>
    <t>Serbisë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</si>
  <si>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</si>
  <si>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</si>
  <si>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</si>
  <si>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</si>
  <si>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</si>
  <si>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</si>
  <si>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</si>
  <si>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</si>
  <si>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</si>
  <si>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</si>
  <si>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</si>
  <si>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</si>
  <si>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</si>
  <si>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</si>
  <si>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</si>
  <si>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</si>
  <si>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</si>
  <si>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</si>
  <si>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</si>
  <si>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</si>
  <si>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</si>
  <si>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</si>
  <si>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</si>
  <si>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</si>
  <si>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</si>
  <si>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</si>
  <si>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</si>
  <si>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Gjeorgjia</t>
  </si>
  <si>
    <t>جورجيا</t>
  </si>
  <si>
    <t>Վրաստան</t>
  </si>
  <si>
    <t>Gürcüstan</t>
  </si>
  <si>
    <t>Грузия</t>
  </si>
  <si>
    <t>Geòrgia</t>
  </si>
  <si>
    <t>乔治亚州</t>
  </si>
  <si>
    <t>喬治亞州</t>
  </si>
  <si>
    <t>Gruzija</t>
  </si>
  <si>
    <t>Gruzie</t>
  </si>
  <si>
    <t>Georgien</t>
  </si>
  <si>
    <t>Georgië</t>
  </si>
  <si>
    <t>Géorgie</t>
  </si>
  <si>
    <t>საქართველოს</t>
  </si>
  <si>
    <t>Γεωργία</t>
  </si>
  <si>
    <t>גאורגיה</t>
  </si>
  <si>
    <t>Grúzia</t>
  </si>
  <si>
    <t>Georgíu</t>
  </si>
  <si>
    <t>그루지야</t>
  </si>
  <si>
    <t>Грузија</t>
  </si>
  <si>
    <t>Ġeorġja</t>
  </si>
  <si>
    <t>گرجستان</t>
  </si>
  <si>
    <t>Gruzja</t>
  </si>
  <si>
    <t>Geórgia</t>
  </si>
  <si>
    <t>Георгиа</t>
  </si>
  <si>
    <t>Gruzínsko</t>
  </si>
  <si>
    <t>จอร์เจีย</t>
  </si>
  <si>
    <t>Gürcistan</t>
  </si>
  <si>
    <t>Gruzia</t>
  </si>
  <si>
    <t>Грузія</t>
  </si>
  <si>
    <t>جارجیا</t>
  </si>
  <si>
    <t>Cologne</t>
  </si>
  <si>
    <t>Stuttgart</t>
  </si>
  <si>
    <t>Frankfurt</t>
  </si>
  <si>
    <t>Berlin</t>
  </si>
  <si>
    <t>Dortmund</t>
  </si>
  <si>
    <t>Hamburg</t>
  </si>
  <si>
    <t>Gelsenkirchen</t>
  </si>
  <si>
    <t>Düsseldorf</t>
  </si>
  <si>
    <t>Leipzig</t>
  </si>
  <si>
    <t>Këln</t>
  </si>
  <si>
    <t>كولونيا</t>
  </si>
  <si>
    <t>Քյոլն</t>
  </si>
  <si>
    <t>Köln</t>
  </si>
  <si>
    <t>Кьолн</t>
  </si>
  <si>
    <t>Colònia</t>
  </si>
  <si>
    <t>科隆</t>
  </si>
  <si>
    <t>Kolín nad Rýnem</t>
  </si>
  <si>
    <t>Keulen</t>
  </si>
  <si>
    <t>Eau de Cologne</t>
  </si>
  <si>
    <t>კიოლნი</t>
  </si>
  <si>
    <t>Κολόνια</t>
  </si>
  <si>
    <t>קלן</t>
  </si>
  <si>
    <t>kölni</t>
  </si>
  <si>
    <t>Colonia</t>
  </si>
  <si>
    <t>쾰른</t>
  </si>
  <si>
    <t>Kelnas</t>
  </si>
  <si>
    <t>Келн</t>
  </si>
  <si>
    <t>کلن</t>
  </si>
  <si>
    <t>Kolonia</t>
  </si>
  <si>
    <t>Colônia</t>
  </si>
  <si>
    <t>Kolín nad Rýnom</t>
  </si>
  <si>
    <t>โคโลญจน์</t>
  </si>
  <si>
    <t>Кельн</t>
  </si>
  <si>
    <t>کولون</t>
  </si>
  <si>
    <t>Shtutgart</t>
  </si>
  <si>
    <t>شتوتغارت</t>
  </si>
  <si>
    <t>Շտուտգարտ</t>
  </si>
  <si>
    <t>Ştutqart</t>
  </si>
  <si>
    <t>Щутгарт</t>
  </si>
  <si>
    <t>斯图加特</t>
  </si>
  <si>
    <t>斯圖加特</t>
  </si>
  <si>
    <t>შტუტგარტი</t>
  </si>
  <si>
    <t>Στουτγάρδη</t>
  </si>
  <si>
    <t>שטוטגרט</t>
  </si>
  <si>
    <t>Stoccarda</t>
  </si>
  <si>
    <t>슈투트가르트</t>
  </si>
  <si>
    <t>Štutgartas</t>
  </si>
  <si>
    <t>Штутгарт</t>
  </si>
  <si>
    <t>اشتوتگارت</t>
  </si>
  <si>
    <t>Estugarda</t>
  </si>
  <si>
    <t>Стуттгарт</t>
  </si>
  <si>
    <t>สตุ๊ตการ์ท</t>
  </si>
  <si>
    <t>سٹٹگارٹ</t>
  </si>
  <si>
    <t>فرانكفورت</t>
  </si>
  <si>
    <t>Ֆրանկֆուրտ</t>
  </si>
  <si>
    <t>Франкфурт</t>
  </si>
  <si>
    <t>法兰克福</t>
  </si>
  <si>
    <t>法蘭克福</t>
  </si>
  <si>
    <t>Francfort</t>
  </si>
  <si>
    <t>ფრანკფურტი</t>
  </si>
  <si>
    <t>Φρανκφούρτη</t>
  </si>
  <si>
    <t>פרנקפורט</t>
  </si>
  <si>
    <t>Francoforte</t>
  </si>
  <si>
    <t>프랑크푸르트</t>
  </si>
  <si>
    <t>Frankfurtas</t>
  </si>
  <si>
    <t>فرانکفورت</t>
  </si>
  <si>
    <t>แฟรงก์เฟิร์ต</t>
  </si>
  <si>
    <t>Frankfurt'ta</t>
  </si>
  <si>
    <t>فرینکفرٹ</t>
  </si>
  <si>
    <t>Berlini</t>
  </si>
  <si>
    <t>برلين</t>
  </si>
  <si>
    <t>Բեռլին</t>
  </si>
  <si>
    <t>Берлин</t>
  </si>
  <si>
    <t>Berlín</t>
  </si>
  <si>
    <t>柏林</t>
  </si>
  <si>
    <t>Berlijn</t>
  </si>
  <si>
    <t>ბერლინი</t>
  </si>
  <si>
    <t>Βερολίνο</t>
  </si>
  <si>
    <t>ברלין</t>
  </si>
  <si>
    <t>Berlino</t>
  </si>
  <si>
    <t>베를린</t>
  </si>
  <si>
    <t>Berlynas</t>
  </si>
  <si>
    <t>برلین</t>
  </si>
  <si>
    <t>Berlim</t>
  </si>
  <si>
    <t>Berlina</t>
  </si>
  <si>
    <t>เบอร์ลิน</t>
  </si>
  <si>
    <t>Béc-lin</t>
  </si>
  <si>
    <t>Берлін</t>
  </si>
  <si>
    <t>برلن</t>
  </si>
  <si>
    <t>Dortmundi</t>
  </si>
  <si>
    <t>دورتموند</t>
  </si>
  <si>
    <t>Դորտմունդ</t>
  </si>
  <si>
    <t>Дортмунд</t>
  </si>
  <si>
    <t>多特蒙德</t>
  </si>
  <si>
    <t>დორტმუნდი</t>
  </si>
  <si>
    <t>Ντόρτμουντ</t>
  </si>
  <si>
    <t>דורטמונד</t>
  </si>
  <si>
    <t>도르트문트</t>
  </si>
  <si>
    <t>Dortmundas</t>
  </si>
  <si>
    <t>Dortmundzie</t>
  </si>
  <si>
    <t>ดอร์ทมุนด์</t>
  </si>
  <si>
    <t>ڈارٹمنڈ</t>
  </si>
  <si>
    <t>Hamburgu</t>
  </si>
  <si>
    <t>هامبورغ</t>
  </si>
  <si>
    <t>Համբուրգ</t>
  </si>
  <si>
    <t>Hamburq</t>
  </si>
  <si>
    <t>Хамбург</t>
  </si>
  <si>
    <t>汉堡</t>
  </si>
  <si>
    <t>漢堡</t>
  </si>
  <si>
    <t>Hamborg</t>
  </si>
  <si>
    <t>Hambourg</t>
  </si>
  <si>
    <t>ჰამბურგი</t>
  </si>
  <si>
    <t>Αμβούργο</t>
  </si>
  <si>
    <t>המבורג</t>
  </si>
  <si>
    <t>Amburgo</t>
  </si>
  <si>
    <t>함부르크</t>
  </si>
  <si>
    <t>Hamburgas</t>
  </si>
  <si>
    <t>هامبورگ</t>
  </si>
  <si>
    <t>Hamburgo</t>
  </si>
  <si>
    <t>ฮัมบวร์ก</t>
  </si>
  <si>
    <t>Гамбург</t>
  </si>
  <si>
    <t>ہیمبرگ</t>
  </si>
  <si>
    <t>غيلسنكيرشن</t>
  </si>
  <si>
    <t>Գելզենկիրխեն</t>
  </si>
  <si>
    <t>Gelzenkirxen</t>
  </si>
  <si>
    <t>Гелзенкирхен</t>
  </si>
  <si>
    <t>盖尔森基兴</t>
  </si>
  <si>
    <t>蓋爾森基興</t>
  </si>
  <si>
    <t>გელზენკირხენი</t>
  </si>
  <si>
    <t>Γκελζενκίρχεν</t>
  </si>
  <si>
    <t>גלזנקירכן</t>
  </si>
  <si>
    <t>겔젠키르헨</t>
  </si>
  <si>
    <t>Gelzenkirchenas</t>
  </si>
  <si>
    <t>گلزنکرخن</t>
  </si>
  <si>
    <t>เกลเซนเคียร์เชน</t>
  </si>
  <si>
    <t>Гельзенкірхен</t>
  </si>
  <si>
    <t>Dyseldorfi</t>
  </si>
  <si>
    <t>دوسلدورف</t>
  </si>
  <si>
    <t>Դյուսելդորֆ</t>
  </si>
  <si>
    <t>Дюселдорф</t>
  </si>
  <si>
    <t>杜塞尔多夫</t>
  </si>
  <si>
    <t>杜塞爾多夫</t>
  </si>
  <si>
    <t>Dusseldorf</t>
  </si>
  <si>
    <t>დიუსელდორფი</t>
  </si>
  <si>
    <t>Ντίσελντορφ</t>
  </si>
  <si>
    <t>דיסלדורף</t>
  </si>
  <si>
    <t>뒤셀도르프</t>
  </si>
  <si>
    <t>Diuseldorfas</t>
  </si>
  <si>
    <t>Дизелдорф</t>
  </si>
  <si>
    <t>Дусселдорф</t>
  </si>
  <si>
    <t>Düsseldorfe</t>
  </si>
  <si>
    <t>ดุสเซลดอร์ฟ</t>
  </si>
  <si>
    <t>Дюссельдорф</t>
  </si>
  <si>
    <t>ڈسلڈورف</t>
  </si>
  <si>
    <t>لايبزيغ</t>
  </si>
  <si>
    <t>Լայպցիգ</t>
  </si>
  <si>
    <t>Leypsiq</t>
  </si>
  <si>
    <t>Лайпциг</t>
  </si>
  <si>
    <t>莱比锡</t>
  </si>
  <si>
    <t>萊比錫</t>
  </si>
  <si>
    <t>Lipsko</t>
  </si>
  <si>
    <t>ლაიფციგი</t>
  </si>
  <si>
    <t>Λειψία</t>
  </si>
  <si>
    <t>לייפציג</t>
  </si>
  <si>
    <t>Lipcse</t>
  </si>
  <si>
    <t>Lipsia</t>
  </si>
  <si>
    <t>라이프치히</t>
  </si>
  <si>
    <t>Leipcigas</t>
  </si>
  <si>
    <t>Лајпциг</t>
  </si>
  <si>
    <t>لایپزیگ</t>
  </si>
  <si>
    <t>Lipsk</t>
  </si>
  <si>
    <t>Lípsia</t>
  </si>
  <si>
    <t>Леипзиг</t>
  </si>
  <si>
    <t>ไลป์ซิก</t>
  </si>
  <si>
    <t>Лейпциг</t>
  </si>
  <si>
    <t>لیپزگ</t>
  </si>
  <si>
    <t>Kampioen 2024</t>
  </si>
  <si>
    <t>Turchia</t>
  </si>
  <si>
    <t>UEFA</t>
  </si>
  <si>
    <t>UEFA-adj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</si>
</sst>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;;;"/>
    <numFmt numFmtId="165" formatCode="h:mm;@"/>
    <numFmt numFmtId="166" formatCode="m/d/yy\ h:mm;@"/>
    <numFmt numFmtId="167" formatCode="0.000"/>
  </numFmts>
  <fonts count="17">
    <font>
      <sz val="10"/>
      <name val="Calibri"/>
      <charset val="204"/>
    </font>
    <font>
      <sz val="10"/>
      <name val="Calibri"/>
      <family val="2"/>
      <charset val="204"/>
    </font>
    <font>
      <sz val="10"/>
      <name val="Noto Sans CJK SC"/>
      <family val="2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10"/>
      <color rgb="FF0000FF"/>
      <name val="Calibri"/>
      <family val="2"/>
      <charset val="204"/>
    </font>
    <font>
      <sz val="36"/>
      <name val="Calibri"/>
      <family val="2"/>
      <charset val="204"/>
    </font>
    <font>
      <u/>
      <sz val="10"/>
      <color rgb="FF0000FF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16"/>
      <name val="Calibri"/>
      <family val="2"/>
      <charset val="204"/>
    </font>
    <font>
      <b/>
      <sz val="10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0"/>
      <color theme="0"/>
      <name val="Calibri"/>
      <family val="2"/>
      <charset val="204"/>
    </font>
    <font>
      <sz val="10"/>
      <color rgb="FFFF0000"/>
      <name val="Calibri"/>
      <family val="2"/>
      <charset val="204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7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558ED5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thin">
        <color rgb="FF0000FF"/>
      </top>
      <bottom style="hair">
        <color rgb="FF0000FF"/>
      </bottom>
      <diagonal/>
    </border>
    <border>
      <left style="thin">
        <color rgb="FF3366FF"/>
      </left>
      <right/>
      <top style="thin">
        <color rgb="FF558ED5"/>
      </top>
      <bottom style="hair">
        <color rgb="FF3366FF"/>
      </bottom>
      <diagonal/>
    </border>
    <border>
      <left/>
      <right/>
      <top style="thin">
        <color rgb="FF558ED5"/>
      </top>
      <bottom style="hair">
        <color rgb="FF3366FF"/>
      </bottom>
      <diagonal/>
    </border>
    <border>
      <left/>
      <right style="hair">
        <color rgb="FF3366FF"/>
      </right>
      <top style="thin">
        <color rgb="FF558ED5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558ED5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 style="thin">
        <color rgb="FF3366FF"/>
      </right>
      <top/>
      <bottom style="hair">
        <color rgb="FF3366FF"/>
      </bottom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558ED5"/>
      </right>
      <top style="thin">
        <color rgb="FF558ED5"/>
      </top>
      <bottom/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thin">
        <color rgb="FF0000FF"/>
      </bottom>
      <diagonal/>
    </border>
    <border>
      <left/>
      <right style="thin">
        <color rgb="FF558ED5"/>
      </right>
      <top/>
      <bottom/>
      <diagonal/>
    </border>
    <border>
      <left style="thin">
        <color rgb="FF558ED5"/>
      </left>
      <right/>
      <top style="thin">
        <color rgb="FF558ED5"/>
      </top>
      <bottom/>
      <diagonal/>
    </border>
    <border>
      <left/>
      <right style="thin">
        <color rgb="FF558ED5"/>
      </right>
      <top/>
      <bottom style="thin">
        <color rgb="FF558ED5"/>
      </bottom>
      <diagonal/>
    </border>
    <border>
      <left style="thin">
        <color rgb="FF558ED5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16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7" borderId="0" xfId="0" applyFill="1" applyAlignment="1" applyProtection="1">
      <alignment horizontal="right" vertical="center" shrinkToFit="1"/>
      <protection hidden="1"/>
    </xf>
    <xf numFmtId="0" fontId="11" fillId="6" borderId="35" xfId="0" applyFont="1" applyFill="1" applyBorder="1" applyAlignment="1" applyProtection="1">
      <alignment horizontal="center" vertical="center" shrinkToFit="1"/>
      <protection hidden="1"/>
    </xf>
    <xf numFmtId="0" fontId="11" fillId="6" borderId="36" xfId="0" applyFont="1" applyFill="1" applyBorder="1" applyAlignment="1" applyProtection="1">
      <alignment horizontal="center" vertical="center" shrinkToFit="1"/>
      <protection hidden="1"/>
    </xf>
    <xf numFmtId="0" fontId="0" fillId="7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0" fillId="7" borderId="40" xfId="0" applyFill="1" applyBorder="1" applyAlignment="1" applyProtection="1">
      <alignment horizontal="center" vertical="center" shrinkToFit="1"/>
      <protection hidden="1"/>
    </xf>
    <xf numFmtId="0" fontId="1" fillId="7" borderId="41" xfId="0" applyFont="1" applyFill="1" applyBorder="1" applyAlignment="1" applyProtection="1">
      <alignment horizontal="center" vertical="center" shrinkToFit="1"/>
      <protection hidden="1"/>
    </xf>
    <xf numFmtId="0" fontId="0" fillId="7" borderId="41" xfId="0" applyFill="1" applyBorder="1" applyAlignment="1" applyProtection="1">
      <alignment horizontal="center" vertical="center" shrinkToFit="1"/>
      <protection hidden="1"/>
    </xf>
    <xf numFmtId="165" fontId="0" fillId="7" borderId="42" xfId="0" applyNumberFormat="1" applyFill="1" applyBorder="1" applyAlignment="1" applyProtection="1">
      <alignment horizontal="center" vertical="center" shrinkToFit="1"/>
      <protection hidden="1"/>
    </xf>
    <xf numFmtId="0" fontId="0" fillId="7" borderId="43" xfId="0" applyFill="1" applyBorder="1" applyAlignment="1" applyProtection="1">
      <alignment horizontal="right" vertical="center" indent="5" shrinkToFit="1"/>
      <protection hidden="1"/>
    </xf>
    <xf numFmtId="0" fontId="1" fillId="8" borderId="44" xfId="0" applyFont="1" applyFill="1" applyBorder="1" applyAlignment="1" applyProtection="1">
      <alignment horizontal="center" vertical="center"/>
      <protection locked="0"/>
    </xf>
    <xf numFmtId="0" fontId="1" fillId="8" borderId="45" xfId="0" applyFont="1" applyFill="1" applyBorder="1" applyAlignment="1" applyProtection="1">
      <alignment horizontal="center" vertical="center"/>
      <protection locked="0"/>
    </xf>
    <xf numFmtId="0" fontId="0" fillId="7" borderId="46" xfId="0" applyFill="1" applyBorder="1" applyAlignment="1" applyProtection="1">
      <alignment horizontal="left" vertical="center" indent="5" shrinkToFit="1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7" borderId="52" xfId="0" applyFill="1" applyBorder="1" applyAlignment="1" applyProtection="1">
      <alignment horizontal="left" vertical="center" shrinkToFit="1"/>
      <protection hidden="1"/>
    </xf>
    <xf numFmtId="0" fontId="1" fillId="8" borderId="53" xfId="0" applyFont="1" applyFill="1" applyBorder="1" applyAlignment="1" applyProtection="1">
      <alignment horizontal="center" vertical="center"/>
      <protection locked="0"/>
    </xf>
    <xf numFmtId="0" fontId="0" fillId="7" borderId="55" xfId="0" applyFill="1" applyBorder="1" applyAlignment="1" applyProtection="1">
      <alignment horizontal="center" vertical="center" shrinkToFit="1"/>
      <protection hidden="1"/>
    </xf>
    <xf numFmtId="0" fontId="1" fillId="7" borderId="56" xfId="0" applyFont="1" applyFill="1" applyBorder="1" applyAlignment="1" applyProtection="1">
      <alignment horizontal="center" vertical="center" shrinkToFit="1"/>
      <protection hidden="1"/>
    </xf>
    <xf numFmtId="0" fontId="0" fillId="7" borderId="56" xfId="0" applyFill="1" applyBorder="1" applyAlignment="1" applyProtection="1">
      <alignment horizontal="center" vertical="center" shrinkToFit="1"/>
      <protection hidden="1"/>
    </xf>
    <xf numFmtId="165" fontId="0" fillId="7" borderId="57" xfId="0" applyNumberFormat="1" applyFill="1" applyBorder="1" applyAlignment="1" applyProtection="1">
      <alignment horizontal="center" vertical="center" shrinkToFit="1"/>
      <protection hidden="1"/>
    </xf>
    <xf numFmtId="0" fontId="0" fillId="7" borderId="45" xfId="0" applyFill="1" applyBorder="1" applyAlignment="1" applyProtection="1">
      <alignment horizontal="right" vertical="center" indent="5" shrinkToFit="1"/>
      <protection hidden="1"/>
    </xf>
    <xf numFmtId="0" fontId="0" fillId="7" borderId="57" xfId="0" applyFill="1" applyBorder="1" applyAlignment="1" applyProtection="1">
      <alignment horizontal="left" vertical="center" indent="5" shrinkToFit="1"/>
      <protection hidden="1"/>
    </xf>
    <xf numFmtId="0" fontId="0" fillId="7" borderId="58" xfId="0" applyFill="1" applyBorder="1" applyAlignment="1" applyProtection="1">
      <alignment horizontal="left" vertical="center" shrinkToFit="1"/>
      <protection hidden="1"/>
    </xf>
    <xf numFmtId="0" fontId="1" fillId="8" borderId="59" xfId="0" applyFont="1" applyFill="1" applyBorder="1" applyAlignment="1" applyProtection="1">
      <alignment horizontal="center" vertical="center"/>
      <protection locked="0"/>
    </xf>
    <xf numFmtId="0" fontId="1" fillId="8" borderId="61" xfId="0" applyFont="1" applyFill="1" applyBorder="1" applyAlignment="1" applyProtection="1">
      <alignment horizontal="center" vertical="center"/>
      <protection locked="0"/>
    </xf>
    <xf numFmtId="0" fontId="0" fillId="7" borderId="62" xfId="0" applyFill="1" applyBorder="1" applyAlignment="1" applyProtection="1">
      <alignment vertical="center"/>
      <protection hidden="1"/>
    </xf>
    <xf numFmtId="0" fontId="0" fillId="0" borderId="63" xfId="0" applyBorder="1" applyAlignment="1" applyProtection="1">
      <alignment vertical="center" shrinkToFit="1"/>
      <protection hidden="1"/>
    </xf>
    <xf numFmtId="0" fontId="0" fillId="0" borderId="64" xfId="0" applyBorder="1" applyAlignment="1" applyProtection="1">
      <alignment horizontal="center" vertical="center" shrinkToFit="1"/>
      <protection hidden="1"/>
    </xf>
    <xf numFmtId="0" fontId="0" fillId="0" borderId="65" xfId="0" applyBorder="1" applyAlignment="1" applyProtection="1">
      <alignment horizontal="center" vertical="center" shrinkToFit="1"/>
      <protection hidden="1"/>
    </xf>
    <xf numFmtId="0" fontId="0" fillId="7" borderId="66" xfId="0" applyFill="1" applyBorder="1" applyAlignment="1" applyProtection="1">
      <alignment vertical="center"/>
      <protection hidden="1"/>
    </xf>
    <xf numFmtId="0" fontId="0" fillId="7" borderId="67" xfId="0" applyFill="1" applyBorder="1" applyAlignment="1" applyProtection="1">
      <alignment vertical="center"/>
      <protection hidden="1"/>
    </xf>
    <xf numFmtId="0" fontId="0" fillId="7" borderId="68" xfId="0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horizontal="right" vertical="center" shrinkToFit="1"/>
      <protection hidden="1"/>
    </xf>
    <xf numFmtId="0" fontId="0" fillId="7" borderId="69" xfId="0" applyFill="1" applyBorder="1" applyAlignment="1" applyProtection="1">
      <alignment vertical="center"/>
      <protection hidden="1"/>
    </xf>
    <xf numFmtId="0" fontId="0" fillId="7" borderId="58" xfId="0" applyFill="1" applyBorder="1" applyAlignment="1" applyProtection="1">
      <alignment horizontal="center" vertical="center" shrinkToFit="1"/>
      <protection hidden="1"/>
    </xf>
    <xf numFmtId="0" fontId="1" fillId="7" borderId="60" xfId="0" applyFont="1" applyFill="1" applyBorder="1" applyAlignment="1" applyProtection="1">
      <alignment horizontal="center" vertical="center" shrinkToFit="1"/>
      <protection hidden="1"/>
    </xf>
    <xf numFmtId="0" fontId="0" fillId="7" borderId="60" xfId="0" applyFill="1" applyBorder="1" applyAlignment="1" applyProtection="1">
      <alignment horizontal="center" vertical="center" shrinkToFit="1"/>
      <protection hidden="1"/>
    </xf>
    <xf numFmtId="165" fontId="0" fillId="7" borderId="71" xfId="0" applyNumberFormat="1" applyFill="1" applyBorder="1" applyAlignment="1" applyProtection="1">
      <alignment horizontal="center" vertical="center" shrinkToFit="1"/>
      <protection hidden="1"/>
    </xf>
    <xf numFmtId="0" fontId="0" fillId="7" borderId="61" xfId="0" applyFill="1" applyBorder="1" applyAlignment="1" applyProtection="1">
      <alignment horizontal="right" vertical="center" indent="5" shrinkToFit="1"/>
      <protection hidden="1"/>
    </xf>
    <xf numFmtId="0" fontId="0" fillId="7" borderId="71" xfId="0" applyFill="1" applyBorder="1" applyAlignment="1" applyProtection="1">
      <alignment horizontal="left" vertical="center" indent="5" shrinkToFit="1"/>
      <protection hidden="1"/>
    </xf>
    <xf numFmtId="166" fontId="0" fillId="0" borderId="37" xfId="0" applyNumberFormat="1" applyBorder="1" applyAlignment="1" applyProtection="1">
      <alignment vertical="center" shrinkToFi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164" fontId="14" fillId="0" borderId="0" xfId="0" applyNumberFormat="1" applyFont="1" applyAlignment="1" applyProtection="1">
      <alignment horizontal="center" vertical="center"/>
      <protection hidden="1"/>
    </xf>
    <xf numFmtId="164" fontId="14" fillId="0" borderId="0" xfId="0" applyNumberFormat="1" applyFont="1" applyAlignment="1" applyProtection="1">
      <alignment vertical="center"/>
      <protection hidden="1"/>
    </xf>
    <xf numFmtId="164" fontId="14" fillId="0" borderId="0" xfId="0" applyNumberFormat="1" applyFont="1" applyAlignment="1" applyProtection="1">
      <alignment horizontal="left" vertical="center"/>
      <protection hidden="1"/>
    </xf>
    <xf numFmtId="164" fontId="14" fillId="0" borderId="0" xfId="0" applyNumberFormat="1" applyFont="1" applyAlignment="1" applyProtection="1">
      <alignment horizontal="center" vertical="center" textRotation="90"/>
      <protection hidden="1"/>
    </xf>
    <xf numFmtId="164" fontId="14" fillId="0" borderId="0" xfId="0" applyNumberFormat="1" applyFont="1" applyProtection="1">
      <protection hidden="1"/>
    </xf>
    <xf numFmtId="0" fontId="0" fillId="0" borderId="0" xfId="0" applyAlignment="1"/>
    <xf numFmtId="0" fontId="15" fillId="0" borderId="0" xfId="0" applyFont="1" applyAlignment="1" applyProtection="1">
      <alignment vertical="center"/>
      <protection hidden="1"/>
    </xf>
    <xf numFmtId="0" fontId="1" fillId="8" borderId="53" xfId="0" applyFont="1" applyFill="1" applyBorder="1" applyAlignment="1" applyProtection="1">
      <alignment horizontal="center" vertical="center"/>
    </xf>
    <xf numFmtId="0" fontId="1" fillId="8" borderId="54" xfId="0" applyFont="1" applyFill="1" applyBorder="1" applyAlignment="1" applyProtection="1">
      <alignment horizontal="center" vertical="center"/>
    </xf>
    <xf numFmtId="0" fontId="1" fillId="8" borderId="44" xfId="0" applyFont="1" applyFill="1" applyBorder="1" applyAlignment="1" applyProtection="1">
      <alignment horizontal="center" vertical="center"/>
    </xf>
    <xf numFmtId="0" fontId="1" fillId="8" borderId="45" xfId="0" applyFont="1" applyFill="1" applyBorder="1" applyAlignment="1" applyProtection="1">
      <alignment horizontal="center" vertical="center"/>
    </xf>
    <xf numFmtId="0" fontId="1" fillId="8" borderId="59" xfId="0" applyFont="1" applyFill="1" applyBorder="1" applyAlignment="1" applyProtection="1">
      <alignment horizontal="center" vertical="center"/>
    </xf>
    <xf numFmtId="0" fontId="1" fillId="8" borderId="61" xfId="0" applyFont="1" applyFill="1" applyBorder="1" applyAlignment="1" applyProtection="1">
      <alignment horizontal="center" vertical="center"/>
    </xf>
    <xf numFmtId="0" fontId="1" fillId="8" borderId="54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3" fillId="2" borderId="1" xfId="0" applyFont="1" applyFill="1" applyBorder="1" applyAlignment="1" applyProtection="1">
      <alignment horizontal="left" indent="2"/>
    </xf>
    <xf numFmtId="0" fontId="1" fillId="2" borderId="2" xfId="0" applyFont="1" applyFill="1" applyBorder="1" applyAlignment="1" applyProtection="1">
      <alignment horizontal="left"/>
    </xf>
    <xf numFmtId="0" fontId="1" fillId="2" borderId="3" xfId="0" applyFont="1" applyFill="1" applyBorder="1" applyProtection="1"/>
    <xf numFmtId="0" fontId="0" fillId="0" borderId="0" xfId="0" applyProtection="1"/>
    <xf numFmtId="0" fontId="1" fillId="2" borderId="4" xfId="0" applyFont="1" applyFill="1" applyBorder="1" applyProtection="1"/>
    <xf numFmtId="0" fontId="1" fillId="2" borderId="0" xfId="0" applyFont="1" applyFill="1" applyAlignment="1" applyProtection="1">
      <alignment horizontal="left"/>
    </xf>
    <xf numFmtId="0" fontId="1" fillId="2" borderId="5" xfId="0" applyFont="1" applyFill="1" applyBorder="1" applyProtection="1"/>
    <xf numFmtId="0" fontId="1" fillId="2" borderId="4" xfId="0" applyFont="1" applyFill="1" applyBorder="1" applyAlignment="1" applyProtection="1">
      <alignment horizontal="right" vertical="center"/>
    </xf>
    <xf numFmtId="0" fontId="1" fillId="3" borderId="6" xfId="0" applyFont="1" applyFill="1" applyBorder="1" applyAlignment="1" applyProtection="1">
      <alignment horizontal="left" indent="2"/>
    </xf>
    <xf numFmtId="0" fontId="1" fillId="2" borderId="0" xfId="0" applyFont="1" applyFill="1" applyProtection="1"/>
    <xf numFmtId="0" fontId="1" fillId="2" borderId="4" xfId="0" applyFont="1" applyFill="1" applyBorder="1" applyAlignment="1" applyProtection="1">
      <alignment horizontal="right"/>
    </xf>
    <xf numFmtId="0" fontId="1" fillId="4" borderId="7" xfId="0" applyFont="1" applyFill="1" applyBorder="1" applyProtection="1"/>
    <xf numFmtId="0" fontId="1" fillId="4" borderId="8" xfId="0" applyFont="1" applyFill="1" applyBorder="1" applyProtection="1"/>
    <xf numFmtId="0" fontId="1" fillId="3" borderId="6" xfId="0" applyFont="1" applyFill="1" applyBorder="1" applyAlignment="1" applyProtection="1">
      <alignment horizontal="left" vertical="center" indent="2"/>
    </xf>
    <xf numFmtId="0" fontId="1" fillId="4" borderId="9" xfId="0" applyFont="1" applyFill="1" applyBorder="1" applyProtection="1"/>
    <xf numFmtId="0" fontId="1" fillId="2" borderId="10" xfId="0" applyFont="1" applyFill="1" applyBorder="1" applyProtection="1"/>
    <xf numFmtId="0" fontId="1" fillId="2" borderId="11" xfId="0" applyFont="1" applyFill="1" applyBorder="1" applyProtection="1"/>
    <xf numFmtId="0" fontId="1" fillId="2" borderId="12" xfId="0" applyFont="1" applyFill="1" applyBorder="1" applyAlignment="1" applyProtection="1">
      <alignment horizontal="left"/>
    </xf>
    <xf numFmtId="0" fontId="1" fillId="2" borderId="13" xfId="0" applyFont="1" applyFill="1" applyBorder="1" applyProtection="1"/>
    <xf numFmtId="0" fontId="4" fillId="0" borderId="0" xfId="0" applyFont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1" fillId="2" borderId="15" xfId="0" applyFont="1" applyFill="1" applyBorder="1" applyProtection="1"/>
    <xf numFmtId="164" fontId="4" fillId="0" borderId="0" xfId="0" applyNumberFormat="1" applyFont="1" applyAlignment="1" applyProtection="1">
      <alignment horizontal="left" vertical="center"/>
    </xf>
    <xf numFmtId="164" fontId="1" fillId="0" borderId="0" xfId="0" applyNumberFormat="1" applyFont="1" applyProtection="1"/>
    <xf numFmtId="0" fontId="3" fillId="2" borderId="16" xfId="0" applyFont="1" applyFill="1" applyBorder="1" applyAlignment="1" applyProtection="1">
      <alignment horizontal="center"/>
    </xf>
    <xf numFmtId="164" fontId="1" fillId="0" borderId="0" xfId="0" applyNumberFormat="1" applyFont="1" applyAlignment="1" applyProtection="1">
      <alignment horizontal="left"/>
    </xf>
    <xf numFmtId="0" fontId="1" fillId="2" borderId="4" xfId="0" applyFont="1" applyFill="1" applyBorder="1" applyAlignment="1" applyProtection="1">
      <alignment horizontal="left" indent="2"/>
    </xf>
    <xf numFmtId="167" fontId="1" fillId="4" borderId="17" xfId="0" applyNumberFormat="1" applyFont="1" applyFill="1" applyBorder="1" applyAlignment="1" applyProtection="1">
      <alignment horizontal="center"/>
    </xf>
    <xf numFmtId="167" fontId="1" fillId="4" borderId="8" xfId="0" applyNumberFormat="1" applyFont="1" applyFill="1" applyBorder="1" applyAlignment="1" applyProtection="1">
      <alignment horizontal="center"/>
    </xf>
    <xf numFmtId="167" fontId="1" fillId="4" borderId="9" xfId="0" applyNumberFormat="1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7" fillId="0" borderId="0" xfId="0" applyFont="1" applyAlignment="1" applyProtection="1">
      <alignment horizontal="center" vertical="center" shrinkToFit="1"/>
      <protection hidden="1"/>
    </xf>
    <xf numFmtId="0" fontId="9" fillId="0" borderId="0" xfId="1" applyFont="1" applyBorder="1" applyAlignment="1" applyProtection="1">
      <alignment horizontal="right"/>
      <protection hidden="1"/>
    </xf>
    <xf numFmtId="0" fontId="10" fillId="6" borderId="34" xfId="0" applyFont="1" applyFill="1" applyBorder="1" applyAlignment="1" applyProtection="1">
      <alignment horizontal="center" vertical="center"/>
      <protection hidden="1"/>
    </xf>
    <xf numFmtId="0" fontId="10" fillId="6" borderId="33" xfId="0" applyFont="1" applyFill="1" applyBorder="1" applyAlignment="1" applyProtection="1">
      <alignment horizontal="center" vertical="center"/>
      <protection hidden="1"/>
    </xf>
    <xf numFmtId="0" fontId="1" fillId="7" borderId="47" xfId="0" applyFont="1" applyFill="1" applyBorder="1" applyAlignment="1" applyProtection="1">
      <alignment horizontal="right" vertical="center" shrinkToFit="1"/>
      <protection hidden="1"/>
    </xf>
    <xf numFmtId="0" fontId="1" fillId="7" borderId="51" xfId="0" applyFont="1" applyFill="1" applyBorder="1" applyAlignment="1" applyProtection="1">
      <alignment horizontal="center" vertical="center"/>
      <protection hidden="1"/>
    </xf>
    <xf numFmtId="0" fontId="1" fillId="7" borderId="45" xfId="0" applyFont="1" applyFill="1" applyBorder="1" applyAlignment="1" applyProtection="1">
      <alignment horizontal="right" vertical="center" shrinkToFit="1"/>
      <protection hidden="1"/>
    </xf>
    <xf numFmtId="0" fontId="0" fillId="7" borderId="51" xfId="0" applyFill="1" applyBorder="1" applyAlignment="1" applyProtection="1">
      <alignment horizontal="center" vertical="center"/>
      <protection hidden="1"/>
    </xf>
    <xf numFmtId="0" fontId="12" fillId="0" borderId="70" xfId="0" applyFont="1" applyBorder="1" applyAlignment="1" applyProtection="1">
      <alignment horizontal="center" vertical="center" shrinkToFit="1"/>
      <protection hidden="1"/>
    </xf>
    <xf numFmtId="0" fontId="13" fillId="0" borderId="70" xfId="0" applyFont="1" applyBorder="1" applyAlignment="1" applyProtection="1">
      <alignment horizontal="center" vertical="center" shrinkToFit="1"/>
      <protection hidden="1"/>
    </xf>
    <xf numFmtId="0" fontId="1" fillId="7" borderId="61" xfId="0" applyFont="1" applyFill="1" applyBorder="1" applyAlignment="1" applyProtection="1">
      <alignment horizontal="right" vertical="center" shrinkToFit="1"/>
      <protection hidden="1"/>
    </xf>
    <xf numFmtId="0" fontId="0" fillId="0" borderId="0" xfId="0"/>
  </cellXfs>
  <cellStyles count="4">
    <cellStyle name="Hyperlink" xfId="1" builtinId="8"/>
    <cellStyle name="Normal" xfId="0" builtinId="0"/>
    <cellStyle name="Normal 2" xfId="2"/>
    <cellStyle name="Normal 3" xfId="3"/>
  </cellStyles>
  <dxfs count="130"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27841</xdr:colOff>
      <xdr:row>17</xdr:row>
      <xdr:rowOff>156611</xdr:rowOff>
    </xdr:from>
    <xdr:to>
      <xdr:col>7</xdr:col>
      <xdr:colOff>217921</xdr:colOff>
      <xdr:row>19</xdr:row>
      <xdr:rowOff>14410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5966" y="2914531"/>
          <a:ext cx="190080" cy="1781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1278219</xdr:colOff>
      <xdr:row>37</xdr:row>
      <xdr:rowOff>154080</xdr:rowOff>
    </xdr:from>
    <xdr:to>
      <xdr:col>4</xdr:col>
      <xdr:colOff>1468299</xdr:colOff>
      <xdr:row>39</xdr:row>
      <xdr:rowOff>11521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48162" y="6115864"/>
          <a:ext cx="190080" cy="1778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28</xdr:row>
      <xdr:rowOff>145062</xdr:rowOff>
    </xdr:from>
    <xdr:to>
      <xdr:col>7</xdr:col>
      <xdr:colOff>221400</xdr:colOff>
      <xdr:row>30</xdr:row>
      <xdr:rowOff>11501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9445" y="4665107"/>
          <a:ext cx="190080" cy="18682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36340</xdr:colOff>
      <xdr:row>9</xdr:row>
      <xdr:rowOff>154080</xdr:rowOff>
    </xdr:from>
    <xdr:to>
      <xdr:col>7</xdr:col>
      <xdr:colOff>227860</xdr:colOff>
      <xdr:row>11</xdr:row>
      <xdr:rowOff>14760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84465" y="1630455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22</xdr:row>
      <xdr:rowOff>155870</xdr:rowOff>
    </xdr:from>
    <xdr:to>
      <xdr:col>7</xdr:col>
      <xdr:colOff>216360</xdr:colOff>
      <xdr:row>24</xdr:row>
      <xdr:rowOff>16550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72965" y="3714756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1276578</xdr:colOff>
      <xdr:row>32</xdr:row>
      <xdr:rowOff>151209</xdr:rowOff>
    </xdr:from>
    <xdr:to>
      <xdr:col>4</xdr:col>
      <xdr:colOff>1468098</xdr:colOff>
      <xdr:row>34</xdr:row>
      <xdr:rowOff>11889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246521" y="53120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29116</xdr:colOff>
      <xdr:row>16</xdr:row>
      <xdr:rowOff>147960</xdr:rowOff>
    </xdr:from>
    <xdr:to>
      <xdr:col>7</xdr:col>
      <xdr:colOff>220636</xdr:colOff>
      <xdr:row>18</xdr:row>
      <xdr:rowOff>8280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078883" y="2755839"/>
          <a:ext cx="191520" cy="18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1270800</xdr:colOff>
      <xdr:row>40</xdr:row>
      <xdr:rowOff>157689</xdr:rowOff>
    </xdr:from>
    <xdr:to>
      <xdr:col>4</xdr:col>
      <xdr:colOff>1462320</xdr:colOff>
      <xdr:row>42</xdr:row>
      <xdr:rowOff>18009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0743" y="660005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1277139</xdr:colOff>
      <xdr:row>26</xdr:row>
      <xdr:rowOff>156618</xdr:rowOff>
    </xdr:from>
    <xdr:to>
      <xdr:col>4</xdr:col>
      <xdr:colOff>1468659</xdr:colOff>
      <xdr:row>28</xdr:row>
      <xdr:rowOff>16938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7082" y="43562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25821</xdr:colOff>
      <xdr:row>14</xdr:row>
      <xdr:rowOff>154816</xdr:rowOff>
    </xdr:from>
    <xdr:to>
      <xdr:col>7</xdr:col>
      <xdr:colOff>217341</xdr:colOff>
      <xdr:row>16</xdr:row>
      <xdr:rowOff>15496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3946" y="243215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31850</xdr:colOff>
      <xdr:row>24</xdr:row>
      <xdr:rowOff>151928</xdr:rowOff>
    </xdr:from>
    <xdr:to>
      <xdr:col>7</xdr:col>
      <xdr:colOff>223370</xdr:colOff>
      <xdr:row>26</xdr:row>
      <xdr:rowOff>21609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9975" y="4031201"/>
          <a:ext cx="191520" cy="190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1274980</xdr:colOff>
      <xdr:row>38</xdr:row>
      <xdr:rowOff>145061</xdr:rowOff>
    </xdr:from>
    <xdr:to>
      <xdr:col>4</xdr:col>
      <xdr:colOff>1466500</xdr:colOff>
      <xdr:row>40</xdr:row>
      <xdr:rowOff>8621</xdr:rowOff>
    </xdr:to>
    <xdr:pic>
      <xdr:nvPicPr>
        <xdr:cNvPr id="16" name="Picture 2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244923" y="6267038"/>
          <a:ext cx="191520" cy="18394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1289314</xdr:colOff>
      <xdr:row>18</xdr:row>
      <xdr:rowOff>154081</xdr:rowOff>
    </xdr:from>
    <xdr:to>
      <xdr:col>4</xdr:col>
      <xdr:colOff>1480834</xdr:colOff>
      <xdr:row>20</xdr:row>
      <xdr:rowOff>19081</xdr:rowOff>
    </xdr:to>
    <xdr:pic>
      <xdr:nvPicPr>
        <xdr:cNvPr id="20" name="Picture 2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9257" y="307219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43</xdr:row>
      <xdr:rowOff>149750</xdr:rowOff>
    </xdr:from>
    <xdr:to>
      <xdr:col>7</xdr:col>
      <xdr:colOff>216360</xdr:colOff>
      <xdr:row>45</xdr:row>
      <xdr:rowOff>9350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072965" y="7072693"/>
          <a:ext cx="191520" cy="1799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35260</xdr:colOff>
      <xdr:row>10</xdr:row>
      <xdr:rowOff>149392</xdr:rowOff>
    </xdr:from>
    <xdr:to>
      <xdr:col>7</xdr:col>
      <xdr:colOff>226780</xdr:colOff>
      <xdr:row>12</xdr:row>
      <xdr:rowOff>10071</xdr:rowOff>
    </xdr:to>
    <xdr:pic>
      <xdr:nvPicPr>
        <xdr:cNvPr id="22" name="Picture 2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083385" y="1785960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1285248</xdr:colOff>
      <xdr:row>20</xdr:row>
      <xdr:rowOff>149390</xdr:rowOff>
    </xdr:from>
    <xdr:to>
      <xdr:col>4</xdr:col>
      <xdr:colOff>1476768</xdr:colOff>
      <xdr:row>22</xdr:row>
      <xdr:rowOff>14391</xdr:rowOff>
    </xdr:to>
    <xdr:pic>
      <xdr:nvPicPr>
        <xdr:cNvPr id="23" name="Picture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5191" y="3387890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1280908</xdr:colOff>
      <xdr:row>35</xdr:row>
      <xdr:rowOff>149390</xdr:rowOff>
    </xdr:from>
    <xdr:to>
      <xdr:col>4</xdr:col>
      <xdr:colOff>1472428</xdr:colOff>
      <xdr:row>37</xdr:row>
      <xdr:rowOff>12231</xdr:rowOff>
    </xdr:to>
    <xdr:pic>
      <xdr:nvPicPr>
        <xdr:cNvPr id="24" name="Picture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0851" y="5790788"/>
          <a:ext cx="191520" cy="1832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1278608</xdr:colOff>
      <xdr:row>27</xdr:row>
      <xdr:rowOff>145421</xdr:rowOff>
    </xdr:from>
    <xdr:to>
      <xdr:col>4</xdr:col>
      <xdr:colOff>1470128</xdr:colOff>
      <xdr:row>29</xdr:row>
      <xdr:rowOff>10420</xdr:rowOff>
    </xdr:to>
    <xdr:pic>
      <xdr:nvPicPr>
        <xdr:cNvPr id="25" name="Picture 3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48551" y="4505273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1283780</xdr:colOff>
      <xdr:row>12</xdr:row>
      <xdr:rowOff>154468</xdr:rowOff>
    </xdr:from>
    <xdr:to>
      <xdr:col>4</xdr:col>
      <xdr:colOff>1475300</xdr:colOff>
      <xdr:row>14</xdr:row>
      <xdr:rowOff>14789</xdr:rowOff>
    </xdr:to>
    <xdr:pic>
      <xdr:nvPicPr>
        <xdr:cNvPr id="26" name="Pictur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53723" y="2111423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21590</xdr:colOff>
      <xdr:row>37</xdr:row>
      <xdr:rowOff>154080</xdr:rowOff>
    </xdr:from>
    <xdr:to>
      <xdr:col>7</xdr:col>
      <xdr:colOff>213110</xdr:colOff>
      <xdr:row>39</xdr:row>
      <xdr:rowOff>14760</xdr:rowOff>
    </xdr:to>
    <xdr:pic>
      <xdr:nvPicPr>
        <xdr:cNvPr id="27" name="Pictur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069715" y="6115864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1284728</xdr:colOff>
      <xdr:row>8</xdr:row>
      <xdr:rowOff>151931</xdr:rowOff>
    </xdr:from>
    <xdr:to>
      <xdr:col>4</xdr:col>
      <xdr:colOff>1476248</xdr:colOff>
      <xdr:row>10</xdr:row>
      <xdr:rowOff>12611</xdr:rowOff>
    </xdr:to>
    <xdr:pic>
      <xdr:nvPicPr>
        <xdr:cNvPr id="28" name="Picture 3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4671" y="146811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19902</xdr:colOff>
      <xdr:row>32</xdr:row>
      <xdr:rowOff>149031</xdr:rowOff>
    </xdr:from>
    <xdr:to>
      <xdr:col>7</xdr:col>
      <xdr:colOff>211422</xdr:colOff>
      <xdr:row>34</xdr:row>
      <xdr:rowOff>8990</xdr:rowOff>
    </xdr:to>
    <xdr:pic>
      <xdr:nvPicPr>
        <xdr:cNvPr id="29" name="Picture 4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068027" y="5309849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1285817</xdr:colOff>
      <xdr:row>21</xdr:row>
      <xdr:rowOff>149030</xdr:rowOff>
    </xdr:from>
    <xdr:to>
      <xdr:col>4</xdr:col>
      <xdr:colOff>1477337</xdr:colOff>
      <xdr:row>23</xdr:row>
      <xdr:rowOff>17989</xdr:rowOff>
    </xdr:to>
    <xdr:pic>
      <xdr:nvPicPr>
        <xdr:cNvPr id="30" name="Picture 4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5760" y="3547723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22273</xdr:colOff>
      <xdr:row>15</xdr:row>
      <xdr:rowOff>159509</xdr:rowOff>
    </xdr:from>
    <xdr:to>
      <xdr:col>7</xdr:col>
      <xdr:colOff>213793</xdr:colOff>
      <xdr:row>17</xdr:row>
      <xdr:rowOff>20189</xdr:rowOff>
    </xdr:to>
    <xdr:pic>
      <xdr:nvPicPr>
        <xdr:cNvPr id="31" name="Picture 4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0398" y="259704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29670</xdr:colOff>
      <xdr:row>26</xdr:row>
      <xdr:rowOff>157690</xdr:rowOff>
    </xdr:from>
    <xdr:to>
      <xdr:col>7</xdr:col>
      <xdr:colOff>221190</xdr:colOff>
      <xdr:row>28</xdr:row>
      <xdr:rowOff>18370</xdr:rowOff>
    </xdr:to>
    <xdr:pic>
      <xdr:nvPicPr>
        <xdr:cNvPr id="32" name="Picture 45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7795" y="4357349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1273321</xdr:colOff>
      <xdr:row>42</xdr:row>
      <xdr:rowOff>1827</xdr:rowOff>
    </xdr:from>
    <xdr:to>
      <xdr:col>4</xdr:col>
      <xdr:colOff>1464841</xdr:colOff>
      <xdr:row>43</xdr:row>
      <xdr:rowOff>22340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3243264" y="67645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20501</xdr:colOff>
      <xdr:row>34</xdr:row>
      <xdr:rowOff>156618</xdr:rowOff>
    </xdr:from>
    <xdr:to>
      <xdr:col>7</xdr:col>
      <xdr:colOff>212021</xdr:colOff>
      <xdr:row>36</xdr:row>
      <xdr:rowOff>16938</xdr:rowOff>
    </xdr:to>
    <xdr:pic>
      <xdr:nvPicPr>
        <xdr:cNvPr id="34" name="Picture 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068626" y="563782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10</xdr:row>
      <xdr:rowOff>149751</xdr:rowOff>
    </xdr:from>
    <xdr:to>
      <xdr:col>4</xdr:col>
      <xdr:colOff>1474579</xdr:colOff>
      <xdr:row>12</xdr:row>
      <xdr:rowOff>10071</xdr:rowOff>
    </xdr:to>
    <xdr:pic>
      <xdr:nvPicPr>
        <xdr:cNvPr id="35" name="Picture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53002" y="1786319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1278380</xdr:colOff>
      <xdr:row>25</xdr:row>
      <xdr:rowOff>159488</xdr:rowOff>
    </xdr:from>
    <xdr:to>
      <xdr:col>4</xdr:col>
      <xdr:colOff>1469900</xdr:colOff>
      <xdr:row>27</xdr:row>
      <xdr:rowOff>23408</xdr:rowOff>
    </xdr:to>
    <xdr:pic>
      <xdr:nvPicPr>
        <xdr:cNvPr id="36" name="Picture 4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48323" y="4198954"/>
          <a:ext cx="191520" cy="1843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19</xdr:row>
      <xdr:rowOff>149391</xdr:rowOff>
    </xdr:from>
    <xdr:to>
      <xdr:col>7</xdr:col>
      <xdr:colOff>219581</xdr:colOff>
      <xdr:row>21</xdr:row>
      <xdr:rowOff>9711</xdr:rowOff>
    </xdr:to>
    <xdr:pic>
      <xdr:nvPicPr>
        <xdr:cNvPr id="37" name="Picture 4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6186" y="322769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26982</xdr:colOff>
      <xdr:row>29</xdr:row>
      <xdr:rowOff>150850</xdr:rowOff>
    </xdr:from>
    <xdr:to>
      <xdr:col>7</xdr:col>
      <xdr:colOff>218502</xdr:colOff>
      <xdr:row>31</xdr:row>
      <xdr:rowOff>15851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5107" y="4831089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43</xdr:row>
      <xdr:rowOff>151535</xdr:rowOff>
    </xdr:from>
    <xdr:to>
      <xdr:col>4</xdr:col>
      <xdr:colOff>1472429</xdr:colOff>
      <xdr:row>45</xdr:row>
      <xdr:rowOff>19422</xdr:rowOff>
    </xdr:to>
    <xdr:pic>
      <xdr:nvPicPr>
        <xdr:cNvPr id="39" name="Picture 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250852" y="7074478"/>
          <a:ext cx="191520" cy="1882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1282834</xdr:colOff>
      <xdr:row>16</xdr:row>
      <xdr:rowOff>153118</xdr:rowOff>
    </xdr:from>
    <xdr:to>
      <xdr:col>4</xdr:col>
      <xdr:colOff>1474354</xdr:colOff>
      <xdr:row>18</xdr:row>
      <xdr:rowOff>16926</xdr:rowOff>
    </xdr:to>
    <xdr:pic>
      <xdr:nvPicPr>
        <xdr:cNvPr id="43" name="Picture 5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52777" y="2750845"/>
          <a:ext cx="191520" cy="1841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1278220</xdr:colOff>
      <xdr:row>31</xdr:row>
      <xdr:rowOff>152290</xdr:rowOff>
    </xdr:from>
    <xdr:to>
      <xdr:col>4</xdr:col>
      <xdr:colOff>1469740</xdr:colOff>
      <xdr:row>33</xdr:row>
      <xdr:rowOff>12610</xdr:rowOff>
    </xdr:to>
    <xdr:pic>
      <xdr:nvPicPr>
        <xdr:cNvPr id="44" name="Picture 6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48163" y="5152915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41</xdr:row>
      <xdr:rowOff>152290</xdr:rowOff>
    </xdr:from>
    <xdr:to>
      <xdr:col>7</xdr:col>
      <xdr:colOff>215280</xdr:colOff>
      <xdr:row>43</xdr:row>
      <xdr:rowOff>12610</xdr:rowOff>
    </xdr:to>
    <xdr:pic>
      <xdr:nvPicPr>
        <xdr:cNvPr id="45" name="Picture 6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071885" y="675484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1285073</xdr:colOff>
      <xdr:row>11</xdr:row>
      <xdr:rowOff>150714</xdr:rowOff>
    </xdr:from>
    <xdr:to>
      <xdr:col>4</xdr:col>
      <xdr:colOff>1476593</xdr:colOff>
      <xdr:row>13</xdr:row>
      <xdr:rowOff>15713</xdr:rowOff>
    </xdr:to>
    <xdr:pic>
      <xdr:nvPicPr>
        <xdr:cNvPr id="46" name="Picture 5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255016" y="194747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31820</xdr:colOff>
      <xdr:row>25</xdr:row>
      <xdr:rowOff>157329</xdr:rowOff>
    </xdr:from>
    <xdr:to>
      <xdr:col>7</xdr:col>
      <xdr:colOff>223340</xdr:colOff>
      <xdr:row>27</xdr:row>
      <xdr:rowOff>18010</xdr:rowOff>
    </xdr:to>
    <xdr:pic>
      <xdr:nvPicPr>
        <xdr:cNvPr id="47" name="Picture 6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9945" y="4196795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26420</xdr:colOff>
      <xdr:row>35</xdr:row>
      <xdr:rowOff>157329</xdr:rowOff>
    </xdr:from>
    <xdr:to>
      <xdr:col>7</xdr:col>
      <xdr:colOff>217940</xdr:colOff>
      <xdr:row>37</xdr:row>
      <xdr:rowOff>18010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4545" y="57987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17</xdr:row>
      <xdr:rowOff>150487</xdr:rowOff>
    </xdr:from>
    <xdr:to>
      <xdr:col>4</xdr:col>
      <xdr:colOff>1472429</xdr:colOff>
      <xdr:row>19</xdr:row>
      <xdr:rowOff>11166</xdr:rowOff>
    </xdr:to>
    <xdr:pic>
      <xdr:nvPicPr>
        <xdr:cNvPr id="49" name="Picture 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250852" y="290840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28781</xdr:colOff>
      <xdr:row>27</xdr:row>
      <xdr:rowOff>152290</xdr:rowOff>
    </xdr:from>
    <xdr:to>
      <xdr:col>7</xdr:col>
      <xdr:colOff>220301</xdr:colOff>
      <xdr:row>29</xdr:row>
      <xdr:rowOff>12249</xdr:rowOff>
    </xdr:to>
    <xdr:pic>
      <xdr:nvPicPr>
        <xdr:cNvPr id="50" name="Picture 6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76906" y="4512142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21581</xdr:colOff>
      <xdr:row>36</xdr:row>
      <xdr:rowOff>154080</xdr:rowOff>
    </xdr:from>
    <xdr:to>
      <xdr:col>7</xdr:col>
      <xdr:colOff>213101</xdr:colOff>
      <xdr:row>38</xdr:row>
      <xdr:rowOff>14400</xdr:rowOff>
    </xdr:to>
    <xdr:pic>
      <xdr:nvPicPr>
        <xdr:cNvPr id="51" name="Picture 6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69706" y="5955671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9</xdr:row>
      <xdr:rowOff>153361</xdr:rowOff>
    </xdr:from>
    <xdr:to>
      <xdr:col>4</xdr:col>
      <xdr:colOff>1474579</xdr:colOff>
      <xdr:row>11</xdr:row>
      <xdr:rowOff>13681</xdr:rowOff>
    </xdr:to>
    <xdr:pic>
      <xdr:nvPicPr>
        <xdr:cNvPr id="52" name="Picture 2380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253002" y="1629736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30750</xdr:colOff>
      <xdr:row>21</xdr:row>
      <xdr:rowOff>149391</xdr:rowOff>
    </xdr:from>
    <xdr:to>
      <xdr:col>7</xdr:col>
      <xdr:colOff>222270</xdr:colOff>
      <xdr:row>23</xdr:row>
      <xdr:rowOff>18710</xdr:rowOff>
    </xdr:to>
    <xdr:pic>
      <xdr:nvPicPr>
        <xdr:cNvPr id="53" name="Picture 6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8875" y="3548084"/>
          <a:ext cx="191520" cy="189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34</xdr:row>
      <xdr:rowOff>1825</xdr:rowOff>
    </xdr:from>
    <xdr:to>
      <xdr:col>7</xdr:col>
      <xdr:colOff>219581</xdr:colOff>
      <xdr:row>35</xdr:row>
      <xdr:rowOff>21978</xdr:rowOff>
    </xdr:to>
    <xdr:pic>
      <xdr:nvPicPr>
        <xdr:cNvPr id="54" name="Picture 7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6186" y="5483030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1289058</xdr:colOff>
      <xdr:row>19</xdr:row>
      <xdr:rowOff>154081</xdr:rowOff>
    </xdr:from>
    <xdr:to>
      <xdr:col>4</xdr:col>
      <xdr:colOff>1480578</xdr:colOff>
      <xdr:row>21</xdr:row>
      <xdr:rowOff>14401</xdr:rowOff>
    </xdr:to>
    <xdr:pic>
      <xdr:nvPicPr>
        <xdr:cNvPr id="55" name="Picture 2380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259001" y="323238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27490</xdr:colOff>
      <xdr:row>30</xdr:row>
      <xdr:rowOff>149030</xdr:rowOff>
    </xdr:from>
    <xdr:to>
      <xdr:col>7</xdr:col>
      <xdr:colOff>219010</xdr:colOff>
      <xdr:row>32</xdr:row>
      <xdr:rowOff>17990</xdr:rowOff>
    </xdr:to>
    <xdr:pic>
      <xdr:nvPicPr>
        <xdr:cNvPr id="56" name="Picture 7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5615" y="4989462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22835</xdr:colOff>
      <xdr:row>42</xdr:row>
      <xdr:rowOff>149751</xdr:rowOff>
    </xdr:from>
    <xdr:to>
      <xdr:col>7</xdr:col>
      <xdr:colOff>214355</xdr:colOff>
      <xdr:row>44</xdr:row>
      <xdr:rowOff>10072</xdr:rowOff>
    </xdr:to>
    <xdr:pic>
      <xdr:nvPicPr>
        <xdr:cNvPr id="57" name="Picture 7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2602" y="6942061"/>
          <a:ext cx="191520" cy="18220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30</xdr:row>
      <xdr:rowOff>149390</xdr:rowOff>
    </xdr:from>
    <xdr:to>
      <xdr:col>4</xdr:col>
      <xdr:colOff>1472429</xdr:colOff>
      <xdr:row>32</xdr:row>
      <xdr:rowOff>9711</xdr:rowOff>
    </xdr:to>
    <xdr:pic>
      <xdr:nvPicPr>
        <xdr:cNvPr id="58" name="Picture 7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0852" y="4989822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32537</xdr:colOff>
      <xdr:row>14</xdr:row>
      <xdr:rowOff>16073</xdr:rowOff>
    </xdr:from>
    <xdr:to>
      <xdr:col>7</xdr:col>
      <xdr:colOff>215057</xdr:colOff>
      <xdr:row>14</xdr:row>
      <xdr:rowOff>152873</xdr:rowOff>
    </xdr:to>
    <xdr:pic>
      <xdr:nvPicPr>
        <xdr:cNvPr id="59" name="Picture 7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080662" y="2293414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1280890</xdr:colOff>
      <xdr:row>25</xdr:row>
      <xdr:rowOff>19440</xdr:rowOff>
    </xdr:from>
    <xdr:to>
      <xdr:col>4</xdr:col>
      <xdr:colOff>1463410</xdr:colOff>
      <xdr:row>25</xdr:row>
      <xdr:rowOff>156240</xdr:rowOff>
    </xdr:to>
    <xdr:pic>
      <xdr:nvPicPr>
        <xdr:cNvPr id="60" name="Picture 7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50833" y="4058906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1269930</xdr:colOff>
      <xdr:row>40</xdr:row>
      <xdr:rowOff>16929</xdr:rowOff>
    </xdr:from>
    <xdr:to>
      <xdr:col>4</xdr:col>
      <xdr:colOff>1452450</xdr:colOff>
      <xdr:row>40</xdr:row>
      <xdr:rowOff>153729</xdr:rowOff>
    </xdr:to>
    <xdr:pic>
      <xdr:nvPicPr>
        <xdr:cNvPr id="61" name="Picture 7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39873" y="6459293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33017</xdr:colOff>
      <xdr:row>13</xdr:row>
      <xdr:rowOff>21712</xdr:rowOff>
    </xdr:from>
    <xdr:to>
      <xdr:col>7</xdr:col>
      <xdr:colOff>215537</xdr:colOff>
      <xdr:row>13</xdr:row>
      <xdr:rowOff>140984</xdr:rowOff>
    </xdr:to>
    <xdr:pic>
      <xdr:nvPicPr>
        <xdr:cNvPr id="68" name="Picture 8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081142" y="2138860"/>
          <a:ext cx="182520" cy="1192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1280889</xdr:colOff>
      <xdr:row>37</xdr:row>
      <xdr:rowOff>17261</xdr:rowOff>
    </xdr:from>
    <xdr:to>
      <xdr:col>4</xdr:col>
      <xdr:colOff>1463409</xdr:colOff>
      <xdr:row>37</xdr:row>
      <xdr:rowOff>140381</xdr:rowOff>
    </xdr:to>
    <xdr:pic>
      <xdr:nvPicPr>
        <xdr:cNvPr id="69" name="Picture 8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50832" y="5979045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1290138</xdr:colOff>
      <xdr:row>29</xdr:row>
      <xdr:rowOff>23030</xdr:rowOff>
    </xdr:from>
    <xdr:to>
      <xdr:col>4</xdr:col>
      <xdr:colOff>1472658</xdr:colOff>
      <xdr:row>29</xdr:row>
      <xdr:rowOff>146150</xdr:rowOff>
    </xdr:to>
    <xdr:pic>
      <xdr:nvPicPr>
        <xdr:cNvPr id="70" name="Picture 8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60081" y="4703269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42611</xdr:colOff>
      <xdr:row>9</xdr:row>
      <xdr:rowOff>27710</xdr:rowOff>
    </xdr:from>
    <xdr:to>
      <xdr:col>7</xdr:col>
      <xdr:colOff>225131</xdr:colOff>
      <xdr:row>9</xdr:row>
      <xdr:rowOff>137150</xdr:rowOff>
    </xdr:to>
    <xdr:pic>
      <xdr:nvPicPr>
        <xdr:cNvPr id="71" name="Picture 8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090736" y="1504085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1287248</xdr:colOff>
      <xdr:row>23</xdr:row>
      <xdr:rowOff>31680</xdr:rowOff>
    </xdr:from>
    <xdr:to>
      <xdr:col>4</xdr:col>
      <xdr:colOff>1469768</xdr:colOff>
      <xdr:row>23</xdr:row>
      <xdr:rowOff>141120</xdr:rowOff>
    </xdr:to>
    <xdr:pic>
      <xdr:nvPicPr>
        <xdr:cNvPr id="72" name="Picture 9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1" y="375076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1287249</xdr:colOff>
      <xdr:row>34</xdr:row>
      <xdr:rowOff>27711</xdr:rowOff>
    </xdr:from>
    <xdr:to>
      <xdr:col>4</xdr:col>
      <xdr:colOff>1469769</xdr:colOff>
      <xdr:row>34</xdr:row>
      <xdr:rowOff>137151</xdr:rowOff>
    </xdr:to>
    <xdr:pic>
      <xdr:nvPicPr>
        <xdr:cNvPr id="73" name="Picture 9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2" y="5508916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38966</xdr:colOff>
      <xdr:row>12</xdr:row>
      <xdr:rowOff>12989</xdr:rowOff>
    </xdr:from>
    <xdr:to>
      <xdr:col>7</xdr:col>
      <xdr:colOff>220807</xdr:colOff>
      <xdr:row>12</xdr:row>
      <xdr:rowOff>142551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D2A7437-2A38-866B-8835-A9E4B90E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7091" y="1969944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21</xdr:row>
      <xdr:rowOff>17320</xdr:rowOff>
    </xdr:from>
    <xdr:to>
      <xdr:col>7</xdr:col>
      <xdr:colOff>216481</xdr:colOff>
      <xdr:row>21</xdr:row>
      <xdr:rowOff>146882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E8EC670-172E-45E2-95F0-1DE9EAB3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416013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35</xdr:row>
      <xdr:rowOff>21648</xdr:rowOff>
    </xdr:from>
    <xdr:to>
      <xdr:col>4</xdr:col>
      <xdr:colOff>1467716</xdr:colOff>
      <xdr:row>35</xdr:row>
      <xdr:rowOff>151210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D5BCD46-2E55-4EB2-ADE4-D301CFDA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5663046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1298863</xdr:colOff>
      <xdr:row>14</xdr:row>
      <xdr:rowOff>21648</xdr:rowOff>
    </xdr:from>
    <xdr:to>
      <xdr:col>4</xdr:col>
      <xdr:colOff>1467715</xdr:colOff>
      <xdr:row>14</xdr:row>
      <xdr:rowOff>145040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5B1FDD5-2490-9F97-189F-F9E02C1E4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806" y="2298989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7</xdr:col>
      <xdr:colOff>30310</xdr:colOff>
      <xdr:row>39</xdr:row>
      <xdr:rowOff>21650</xdr:rowOff>
    </xdr:from>
    <xdr:to>
      <xdr:col>7</xdr:col>
      <xdr:colOff>199162</xdr:colOff>
      <xdr:row>39</xdr:row>
      <xdr:rowOff>145042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9086C05-BF40-4F03-B379-AD4D6F5D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5" y="6303820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1290205</xdr:colOff>
      <xdr:row>24</xdr:row>
      <xdr:rowOff>21648</xdr:rowOff>
    </xdr:from>
    <xdr:to>
      <xdr:col>4</xdr:col>
      <xdr:colOff>1459057</xdr:colOff>
      <xdr:row>24</xdr:row>
      <xdr:rowOff>145040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74CE55D-FEB9-4F42-A674-4894B5E5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8" y="3900921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1294534</xdr:colOff>
      <xdr:row>15</xdr:row>
      <xdr:rowOff>25980</xdr:rowOff>
    </xdr:from>
    <xdr:to>
      <xdr:col>4</xdr:col>
      <xdr:colOff>1464445</xdr:colOff>
      <xdr:row>15</xdr:row>
      <xdr:rowOff>138546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CFEC48-A653-1CF8-E6CD-F4743125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7" y="246351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24</xdr:row>
      <xdr:rowOff>21650</xdr:rowOff>
    </xdr:from>
    <xdr:to>
      <xdr:col>7</xdr:col>
      <xdr:colOff>204551</xdr:colOff>
      <xdr:row>24</xdr:row>
      <xdr:rowOff>134216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1F29BBC-B3D7-4AD5-A73E-D035C225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900923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40</xdr:row>
      <xdr:rowOff>25980</xdr:rowOff>
    </xdr:from>
    <xdr:to>
      <xdr:col>7</xdr:col>
      <xdr:colOff>195891</xdr:colOff>
      <xdr:row>40</xdr:row>
      <xdr:rowOff>138546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7DA35291-B2D3-432D-B463-B5E3CC4E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646834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1285876</xdr:colOff>
      <xdr:row>16</xdr:row>
      <xdr:rowOff>21649</xdr:rowOff>
    </xdr:from>
    <xdr:to>
      <xdr:col>4</xdr:col>
      <xdr:colOff>1467717</xdr:colOff>
      <xdr:row>16</xdr:row>
      <xdr:rowOff>142119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CB85781-DDCB-5C4C-03DB-C8519A8B5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9" y="2619376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32</xdr:row>
      <xdr:rowOff>17320</xdr:rowOff>
    </xdr:from>
    <xdr:to>
      <xdr:col>7</xdr:col>
      <xdr:colOff>207821</xdr:colOff>
      <xdr:row>32</xdr:row>
      <xdr:rowOff>137790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D07F90E-AA02-481A-ADF4-75FC63D7C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5178138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30307</xdr:colOff>
      <xdr:row>41</xdr:row>
      <xdr:rowOff>21648</xdr:rowOff>
    </xdr:from>
    <xdr:to>
      <xdr:col>7</xdr:col>
      <xdr:colOff>212148</xdr:colOff>
      <xdr:row>41</xdr:row>
      <xdr:rowOff>142118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4F2606E-F59E-4893-9B0D-E41D04761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2" y="6624205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34638</xdr:colOff>
      <xdr:row>19</xdr:row>
      <xdr:rowOff>25978</xdr:rowOff>
    </xdr:from>
    <xdr:to>
      <xdr:col>7</xdr:col>
      <xdr:colOff>207820</xdr:colOff>
      <xdr:row>19</xdr:row>
      <xdr:rowOff>140711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61FB1B1-125A-393C-3837-0855E9481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3" y="3104285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1294535</xdr:colOff>
      <xdr:row>30</xdr:row>
      <xdr:rowOff>21648</xdr:rowOff>
    </xdr:from>
    <xdr:to>
      <xdr:col>4</xdr:col>
      <xdr:colOff>1467717</xdr:colOff>
      <xdr:row>30</xdr:row>
      <xdr:rowOff>136381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E1BDADA-CA22-4B45-9B0C-736DAB24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8" y="4862080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43</xdr:row>
      <xdr:rowOff>25977</xdr:rowOff>
    </xdr:from>
    <xdr:to>
      <xdr:col>4</xdr:col>
      <xdr:colOff>1459057</xdr:colOff>
      <xdr:row>43</xdr:row>
      <xdr:rowOff>140710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609D93F-6D85-44DB-B105-CF21B531C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6948920"/>
          <a:ext cx="173182" cy="1147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b/Desktop/euro2024/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articipants"/>
      <sheetName val="Matches"/>
      <sheetName val="Bracket"/>
      <sheetName val="Upcoming"/>
      <sheetName val="Upcoming (2)"/>
      <sheetName val="POINTSYSTEM"/>
      <sheetName val="STATS"/>
      <sheetName val="Nuno"/>
      <sheetName val="Aaron"/>
      <sheetName val="Adam"/>
      <sheetName val="Alexei"/>
      <sheetName val="Alice"/>
      <sheetName val="Angel"/>
      <sheetName val="AnthonyD"/>
      <sheetName val="AnthonyV"/>
      <sheetName val="Ash"/>
      <sheetName val="Atish"/>
      <sheetName val="Augie"/>
      <sheetName val="Bert"/>
      <sheetName val="Brendan"/>
      <sheetName val="BrianB"/>
      <sheetName val="Carlos"/>
      <sheetName val="Carmen"/>
      <sheetName val="Caroline"/>
      <sheetName val="ChrisK"/>
      <sheetName val="ChrisP"/>
      <sheetName val="Chrissy"/>
      <sheetName val="CMD88"/>
      <sheetName val="Corey"/>
      <sheetName val="Cristian"/>
      <sheetName val="Cristina"/>
      <sheetName val="Daisy"/>
      <sheetName val="DanielR"/>
      <sheetName val="DannyL"/>
      <sheetName val="DannyRa"/>
      <sheetName val="Darryll"/>
      <sheetName val="Daryl"/>
      <sheetName val="Dashiel"/>
      <sheetName val="DavidD"/>
      <sheetName val="Derek"/>
      <sheetName val="Deylin"/>
      <sheetName val="DinoD"/>
      <sheetName val="Dragon"/>
      <sheetName val="Duarte"/>
      <sheetName val="Edsel"/>
      <sheetName val="Eduardo"/>
      <sheetName val="EdwardL"/>
      <sheetName val="EdwardT"/>
      <sheetName val="Elizabeth"/>
      <sheetName val="Fawzi"/>
      <sheetName val="Fernando"/>
      <sheetName val="Forbes"/>
      <sheetName val="Franco"/>
      <sheetName val="FrankC"/>
      <sheetName val="FrankD"/>
      <sheetName val="Gabriela"/>
      <sheetName val="Gary"/>
      <sheetName val="GavinH"/>
      <sheetName val="GavinW"/>
      <sheetName val="Greg"/>
      <sheetName val="Grosso"/>
      <sheetName val="Gus"/>
      <sheetName val="Gustavo"/>
      <sheetName val="Heather"/>
      <sheetName val="Helder"/>
      <sheetName val="Hernani"/>
      <sheetName val="Hugo"/>
      <sheetName val="Ian"/>
      <sheetName val="Igor"/>
      <sheetName val="Ishaque"/>
      <sheetName val="James"/>
      <sheetName val="Janelle"/>
      <sheetName val="JeanMichel"/>
      <sheetName val="Jeannette"/>
      <sheetName val="JeffBe"/>
      <sheetName val="JeffBo"/>
      <sheetName val="JeffS"/>
      <sheetName val="Jenn"/>
      <sheetName val="Joanna"/>
      <sheetName val="Joao"/>
      <sheetName val="JoeA"/>
      <sheetName val="JohnC"/>
      <sheetName val="JohnR"/>
      <sheetName val="Jonathan"/>
      <sheetName val="JorgeC"/>
      <sheetName val="JorgeT"/>
      <sheetName val="JoseP"/>
      <sheetName val="Julian"/>
      <sheetName val="JustinL"/>
      <sheetName val="Kasra"/>
      <sheetName val="KevinJ"/>
      <sheetName val="Kristian"/>
      <sheetName val="Luigi"/>
      <sheetName val="Magno"/>
      <sheetName val="Major"/>
      <sheetName val="MannyA"/>
      <sheetName val="MannyT"/>
      <sheetName val="Marcio"/>
      <sheetName val="Marco"/>
      <sheetName val="Maria"/>
      <sheetName val="Marta"/>
      <sheetName val="MatthewG"/>
      <sheetName val="MatthewS"/>
      <sheetName val="Mauricio"/>
      <sheetName val="MichaelP"/>
      <sheetName val="Michiel"/>
      <sheetName val="MikeD"/>
      <sheetName val="Mitchell"/>
      <sheetName val="Mugwe"/>
      <sheetName val="NicholasN"/>
      <sheetName val="NickM"/>
      <sheetName val="Nicole"/>
      <sheetName val="Paola"/>
      <sheetName val="Paolo"/>
      <sheetName val="Pardeep"/>
      <sheetName val="Pascal"/>
      <sheetName val="Paul"/>
      <sheetName val="Pedro"/>
      <sheetName val="PeterM"/>
      <sheetName val="PeterS"/>
      <sheetName val="RD2024"/>
      <sheetName val="Ricardo"/>
      <sheetName val="RichardMa"/>
      <sheetName val="RichardMo"/>
      <sheetName val="Rick"/>
      <sheetName val="Riyad"/>
      <sheetName val="RobertP"/>
      <sheetName val="RobertS"/>
      <sheetName val="RobSi"/>
      <sheetName val="RobTa"/>
      <sheetName val="RobTu"/>
      <sheetName val="RobV"/>
      <sheetName val="RobW"/>
      <sheetName val="Rodrigo"/>
      <sheetName val="Sam"/>
      <sheetName val="Santiago"/>
      <sheetName val="Scotty"/>
      <sheetName val="Sean"/>
      <sheetName val="Shawn"/>
      <sheetName val="SimonC"/>
      <sheetName val="Simone"/>
      <sheetName val="SimonS"/>
      <sheetName val="Stallone"/>
      <sheetName val="Stanley"/>
      <sheetName val="SteveB"/>
      <sheetName val="StevenD"/>
      <sheetName val="TomI"/>
      <sheetName val="TonyH"/>
      <sheetName val="TonyS"/>
      <sheetName val="Trevor"/>
      <sheetName val="Tristan"/>
      <sheetName val="Tyrone"/>
      <sheetName val="Vicki"/>
      <sheetName val="Victor"/>
      <sheetName val="VinayS"/>
      <sheetName val="VinayV"/>
      <sheetName val="Vince"/>
      <sheetName val="Vishal"/>
      <sheetName val="Vito"/>
      <sheetName val="Wilson"/>
      <sheetName val="Yogi"/>
      <sheetName val="Zachary"/>
      <sheetName val="LiamM"/>
      <sheetName val="Luka"/>
      <sheetName val="Teresa"/>
      <sheetName val="TomP"/>
      <sheetName val="DanielA"/>
      <sheetName val="Rocco"/>
      <sheetName val="ChrisN"/>
      <sheetName val="EricK"/>
      <sheetName val="Timo"/>
      <sheetName val="JoeD"/>
      <sheetName val="EddyM"/>
      <sheetName val="Kumar"/>
      <sheetName val="KevinS"/>
      <sheetName val="SteveR"/>
      <sheetName val="Jerry"/>
      <sheetName val="Neha"/>
      <sheetName val="JohnO"/>
      <sheetName val="Jay"/>
      <sheetName val="Smiffy"/>
      <sheetName val="Jubin"/>
      <sheetName val="Monticcilo"/>
      <sheetName val="Jenny"/>
      <sheetName val="Kayden"/>
      <sheetName val="Nuno (174)"/>
      <sheetName val="Nuno (6)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B22">
            <v>3</v>
          </cell>
        </row>
        <row r="23">
          <cell r="B23">
            <v>4</v>
          </cell>
        </row>
        <row r="24">
          <cell r="B24">
            <v>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15"/>
  <sheetViews>
    <sheetView zoomScaleNormal="100" workbookViewId="0">
      <pane xSplit="1" ySplit="1" topLeftCell="B2" activePane="bottomRight" state="frozen"/>
      <selection pane="topRight" activeCell="F1" sqref="F1"/>
      <selection pane="bottomLeft" activeCell="A89" sqref="A89"/>
      <selection pane="bottomRight"/>
    </sheetView>
  </sheetViews>
  <sheetFormatPr defaultColWidth="8.42578125" defaultRowHeight="12.75"/>
  <sheetData>
    <row r="1" spans="1:4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2552</v>
      </c>
      <c r="B2" t="s">
        <v>2553</v>
      </c>
      <c r="C2" t="s">
        <v>2554</v>
      </c>
      <c r="D2" t="s">
        <v>2555</v>
      </c>
      <c r="E2" t="s">
        <v>2556</v>
      </c>
      <c r="F2" t="s">
        <v>2557</v>
      </c>
      <c r="G2" t="s">
        <v>2558</v>
      </c>
      <c r="H2" t="s">
        <v>2559</v>
      </c>
      <c r="I2" t="s">
        <v>2560</v>
      </c>
      <c r="J2" t="s">
        <v>2561</v>
      </c>
      <c r="K2" t="s">
        <v>2562</v>
      </c>
      <c r="L2" t="s">
        <v>2552</v>
      </c>
      <c r="M2" t="s">
        <v>2563</v>
      </c>
      <c r="N2" t="s">
        <v>2564</v>
      </c>
      <c r="O2" t="s">
        <v>2565</v>
      </c>
      <c r="P2" t="s">
        <v>2566</v>
      </c>
      <c r="Q2" t="s">
        <v>2567</v>
      </c>
      <c r="R2" t="s">
        <v>2568</v>
      </c>
      <c r="S2" t="s">
        <v>2569</v>
      </c>
      <c r="T2" t="s">
        <v>2570</v>
      </c>
      <c r="U2" t="s">
        <v>2571</v>
      </c>
      <c r="V2" t="s">
        <v>2552</v>
      </c>
      <c r="W2" t="s">
        <v>2572</v>
      </c>
      <c r="X2" t="s">
        <v>2573</v>
      </c>
      <c r="Y2" t="s">
        <v>2574</v>
      </c>
      <c r="Z2" t="s">
        <v>2575</v>
      </c>
      <c r="AA2" t="s">
        <v>2576</v>
      </c>
      <c r="AB2" t="s">
        <v>2577</v>
      </c>
      <c r="AC2" t="s">
        <v>2578</v>
      </c>
      <c r="AD2" t="s">
        <v>2579</v>
      </c>
      <c r="AE2" t="s">
        <v>2580</v>
      </c>
      <c r="AF2" t="s">
        <v>2581</v>
      </c>
      <c r="AG2" t="s">
        <v>2582</v>
      </c>
      <c r="AH2" t="s">
        <v>2583</v>
      </c>
      <c r="AI2" t="s">
        <v>2584</v>
      </c>
      <c r="AJ2" t="s">
        <v>2585</v>
      </c>
      <c r="AK2" t="s">
        <v>2586</v>
      </c>
      <c r="AL2" t="s">
        <v>2587</v>
      </c>
      <c r="AM2" t="s">
        <v>2588</v>
      </c>
      <c r="AN2" s="1" t="s">
        <v>2589</v>
      </c>
      <c r="AO2" t="s">
        <v>2590</v>
      </c>
    </row>
    <row r="3" spans="1:41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s="2" t="s">
        <v>48</v>
      </c>
      <c r="I3" s="2" t="s">
        <v>49</v>
      </c>
      <c r="J3" t="s">
        <v>50</v>
      </c>
      <c r="K3" t="s">
        <v>51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s="2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70</v>
      </c>
      <c r="AJ3" t="s">
        <v>75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</row>
    <row r="4" spans="1:41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s="2" t="s">
        <v>89</v>
      </c>
      <c r="J4" t="s">
        <v>90</v>
      </c>
      <c r="K4" t="s">
        <v>91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</row>
    <row r="5" spans="1:41">
      <c r="A5" t="s">
        <v>122</v>
      </c>
      <c r="B5" t="s">
        <v>123</v>
      </c>
      <c r="C5" t="s">
        <v>124</v>
      </c>
      <c r="D5" t="s">
        <v>125</v>
      </c>
      <c r="E5" t="s">
        <v>126</v>
      </c>
      <c r="F5" t="s">
        <v>127</v>
      </c>
      <c r="G5" t="s">
        <v>128</v>
      </c>
      <c r="H5" t="s">
        <v>129</v>
      </c>
      <c r="I5" s="2" t="s">
        <v>130</v>
      </c>
      <c r="J5" t="s">
        <v>131</v>
      </c>
      <c r="K5" t="s">
        <v>132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133</v>
      </c>
      <c r="AB5" t="s">
        <v>148</v>
      </c>
      <c r="AC5" t="s">
        <v>149</v>
      </c>
      <c r="AD5" t="s">
        <v>150</v>
      </c>
      <c r="AE5" t="s">
        <v>151</v>
      </c>
      <c r="AF5" t="s">
        <v>131</v>
      </c>
      <c r="AG5" t="s">
        <v>152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</row>
    <row r="6" spans="1:41">
      <c r="A6" t="s">
        <v>161</v>
      </c>
      <c r="B6" t="s">
        <v>162</v>
      </c>
      <c r="C6" t="s">
        <v>163</v>
      </c>
      <c r="D6" t="s">
        <v>164</v>
      </c>
      <c r="E6" t="s">
        <v>165</v>
      </c>
      <c r="F6" t="s">
        <v>166</v>
      </c>
      <c r="G6" t="s">
        <v>167</v>
      </c>
      <c r="H6" s="2" t="s">
        <v>168</v>
      </c>
      <c r="I6" s="2" t="s">
        <v>169</v>
      </c>
      <c r="J6" t="s">
        <v>170</v>
      </c>
      <c r="K6" t="s">
        <v>171</v>
      </c>
      <c r="L6" t="s">
        <v>172</v>
      </c>
      <c r="M6" t="s">
        <v>173</v>
      </c>
      <c r="N6" t="s">
        <v>174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s="2" t="s">
        <v>183</v>
      </c>
      <c r="X6" t="s">
        <v>184</v>
      </c>
      <c r="Y6" t="s">
        <v>185</v>
      </c>
      <c r="Z6" t="s">
        <v>186</v>
      </c>
      <c r="AA6" t="s">
        <v>172</v>
      </c>
      <c r="AB6" t="s">
        <v>187</v>
      </c>
      <c r="AC6" t="s">
        <v>188</v>
      </c>
      <c r="AD6" t="s">
        <v>189</v>
      </c>
      <c r="AE6" t="s">
        <v>172</v>
      </c>
      <c r="AF6" t="s">
        <v>170</v>
      </c>
      <c r="AG6" t="s">
        <v>171</v>
      </c>
      <c r="AH6" t="s">
        <v>190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</row>
    <row r="7" spans="1:41">
      <c r="A7" t="s">
        <v>198</v>
      </c>
      <c r="B7" t="s">
        <v>199</v>
      </c>
      <c r="C7" t="s">
        <v>200</v>
      </c>
      <c r="D7" t="s">
        <v>201</v>
      </c>
      <c r="E7" t="s">
        <v>202</v>
      </c>
      <c r="F7" t="s">
        <v>203</v>
      </c>
      <c r="G7" t="s">
        <v>204</v>
      </c>
      <c r="H7" s="2" t="s">
        <v>205</v>
      </c>
      <c r="I7" s="2" t="s">
        <v>206</v>
      </c>
      <c r="J7" t="s">
        <v>207</v>
      </c>
      <c r="K7" t="s">
        <v>208</v>
      </c>
      <c r="L7" t="s">
        <v>209</v>
      </c>
      <c r="M7" t="s">
        <v>210</v>
      </c>
      <c r="N7" t="s">
        <v>211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207</v>
      </c>
      <c r="AG7" t="s">
        <v>229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</row>
    <row r="8" spans="1:41">
      <c r="A8" t="s">
        <v>238</v>
      </c>
      <c r="B8" t="s">
        <v>239</v>
      </c>
      <c r="C8" t="s">
        <v>240</v>
      </c>
      <c r="D8" t="s">
        <v>241</v>
      </c>
      <c r="E8" t="s">
        <v>238</v>
      </c>
      <c r="F8" t="s">
        <v>242</v>
      </c>
      <c r="G8" t="s">
        <v>238</v>
      </c>
      <c r="H8" s="2" t="s">
        <v>243</v>
      </c>
      <c r="I8" s="2" t="s">
        <v>244</v>
      </c>
      <c r="J8" t="s">
        <v>245</v>
      </c>
      <c r="K8" t="s">
        <v>246</v>
      </c>
      <c r="L8" t="s">
        <v>245</v>
      </c>
      <c r="M8" t="s">
        <v>245</v>
      </c>
      <c r="N8" t="s">
        <v>245</v>
      </c>
      <c r="O8" t="s">
        <v>247</v>
      </c>
      <c r="P8" t="s">
        <v>245</v>
      </c>
      <c r="Q8" t="s">
        <v>248</v>
      </c>
      <c r="R8" t="s">
        <v>249</v>
      </c>
      <c r="S8" t="s">
        <v>250</v>
      </c>
      <c r="T8" t="s">
        <v>238</v>
      </c>
      <c r="U8" t="s">
        <v>251</v>
      </c>
      <c r="V8" t="s">
        <v>245</v>
      </c>
      <c r="W8" s="2" t="s">
        <v>252</v>
      </c>
      <c r="X8" t="s">
        <v>253</v>
      </c>
      <c r="Y8" t="s">
        <v>254</v>
      </c>
      <c r="Z8" t="s">
        <v>255</v>
      </c>
      <c r="AA8" t="s">
        <v>245</v>
      </c>
      <c r="AB8" t="s">
        <v>256</v>
      </c>
      <c r="AC8" t="s">
        <v>257</v>
      </c>
      <c r="AD8" t="s">
        <v>238</v>
      </c>
      <c r="AE8" t="s">
        <v>258</v>
      </c>
      <c r="AF8" t="s">
        <v>245</v>
      </c>
      <c r="AG8" t="s">
        <v>246</v>
      </c>
      <c r="AH8" t="s">
        <v>245</v>
      </c>
      <c r="AI8" t="s">
        <v>238</v>
      </c>
      <c r="AJ8" t="s">
        <v>238</v>
      </c>
      <c r="AK8" t="s">
        <v>259</v>
      </c>
      <c r="AL8" t="s">
        <v>238</v>
      </c>
      <c r="AM8" t="s">
        <v>260</v>
      </c>
      <c r="AN8" t="s">
        <v>261</v>
      </c>
      <c r="AO8" t="s">
        <v>262</v>
      </c>
    </row>
    <row r="9" spans="1:41">
      <c r="A9" t="s">
        <v>263</v>
      </c>
      <c r="B9" t="s">
        <v>264</v>
      </c>
      <c r="C9" t="s">
        <v>265</v>
      </c>
      <c r="D9" t="s">
        <v>266</v>
      </c>
      <c r="E9" t="s">
        <v>267</v>
      </c>
      <c r="F9" t="s">
        <v>268</v>
      </c>
      <c r="G9" t="s">
        <v>269</v>
      </c>
      <c r="H9" s="2" t="s">
        <v>270</v>
      </c>
      <c r="I9" s="2" t="s">
        <v>271</v>
      </c>
      <c r="J9" t="s">
        <v>272</v>
      </c>
      <c r="K9" t="s">
        <v>273</v>
      </c>
      <c r="L9" t="s">
        <v>274</v>
      </c>
      <c r="M9" t="s">
        <v>275</v>
      </c>
      <c r="N9" t="s">
        <v>276</v>
      </c>
      <c r="O9" t="s">
        <v>277</v>
      </c>
      <c r="P9" t="s">
        <v>274</v>
      </c>
      <c r="Q9" t="s">
        <v>278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s="2" t="s">
        <v>284</v>
      </c>
      <c r="X9" t="s">
        <v>285</v>
      </c>
      <c r="Y9" t="s">
        <v>268</v>
      </c>
      <c r="Z9" t="s">
        <v>286</v>
      </c>
      <c r="AA9" t="s">
        <v>274</v>
      </c>
      <c r="AB9" t="s">
        <v>287</v>
      </c>
      <c r="AC9" t="s">
        <v>272</v>
      </c>
      <c r="AD9" t="s">
        <v>288</v>
      </c>
      <c r="AE9" t="s">
        <v>272</v>
      </c>
      <c r="AF9" t="s">
        <v>272</v>
      </c>
      <c r="AG9" t="s">
        <v>273</v>
      </c>
      <c r="AH9" t="s">
        <v>273</v>
      </c>
      <c r="AI9" t="s">
        <v>288</v>
      </c>
      <c r="AJ9" t="s">
        <v>286</v>
      </c>
      <c r="AK9" t="s">
        <v>289</v>
      </c>
      <c r="AL9" t="s">
        <v>269</v>
      </c>
      <c r="AM9" t="s">
        <v>290</v>
      </c>
      <c r="AN9" t="s">
        <v>268</v>
      </c>
      <c r="AO9" t="s">
        <v>80</v>
      </c>
    </row>
    <row r="10" spans="1:41">
      <c r="A10" t="s">
        <v>291</v>
      </c>
      <c r="B10" t="s">
        <v>292</v>
      </c>
      <c r="C10" t="s">
        <v>293</v>
      </c>
      <c r="D10" t="s">
        <v>294</v>
      </c>
      <c r="E10" t="s">
        <v>295</v>
      </c>
      <c r="F10" t="s">
        <v>296</v>
      </c>
      <c r="G10" t="s">
        <v>297</v>
      </c>
      <c r="H10" s="2" t="s">
        <v>298</v>
      </c>
      <c r="I10" s="2" t="s">
        <v>299</v>
      </c>
      <c r="J10" t="s">
        <v>291</v>
      </c>
      <c r="K10" t="s">
        <v>300</v>
      </c>
      <c r="L10" t="s">
        <v>301</v>
      </c>
      <c r="M10" t="s">
        <v>302</v>
      </c>
      <c r="N10" t="s">
        <v>297</v>
      </c>
      <c r="O10" t="s">
        <v>303</v>
      </c>
      <c r="P10" t="s">
        <v>301</v>
      </c>
      <c r="Q10" t="s">
        <v>304</v>
      </c>
      <c r="R10" t="s">
        <v>305</v>
      </c>
      <c r="S10" t="s">
        <v>306</v>
      </c>
      <c r="T10" t="s">
        <v>307</v>
      </c>
      <c r="U10" t="s">
        <v>292</v>
      </c>
      <c r="V10" t="s">
        <v>308</v>
      </c>
      <c r="W10" s="2" t="s">
        <v>309</v>
      </c>
      <c r="X10" t="s">
        <v>310</v>
      </c>
      <c r="Y10" t="s">
        <v>311</v>
      </c>
      <c r="Z10" t="s">
        <v>292</v>
      </c>
      <c r="AA10" t="s">
        <v>312</v>
      </c>
      <c r="AB10" t="s">
        <v>313</v>
      </c>
      <c r="AC10" t="s">
        <v>306</v>
      </c>
      <c r="AD10" t="s">
        <v>297</v>
      </c>
      <c r="AE10" t="s">
        <v>297</v>
      </c>
      <c r="AF10" t="s">
        <v>314</v>
      </c>
      <c r="AG10" t="s">
        <v>300</v>
      </c>
      <c r="AH10" t="s">
        <v>291</v>
      </c>
      <c r="AI10" t="s">
        <v>297</v>
      </c>
      <c r="AJ10" t="s">
        <v>315</v>
      </c>
      <c r="AK10" t="s">
        <v>316</v>
      </c>
      <c r="AL10" t="s">
        <v>295</v>
      </c>
      <c r="AM10" t="s">
        <v>317</v>
      </c>
      <c r="AN10" t="s">
        <v>318</v>
      </c>
      <c r="AO10" t="s">
        <v>319</v>
      </c>
    </row>
    <row r="11" spans="1:41">
      <c r="A11" t="s">
        <v>320</v>
      </c>
      <c r="B11" t="s">
        <v>321</v>
      </c>
      <c r="C11" t="s">
        <v>322</v>
      </c>
      <c r="D11" t="s">
        <v>323</v>
      </c>
      <c r="E11" t="s">
        <v>324</v>
      </c>
      <c r="F11" t="s">
        <v>325</v>
      </c>
      <c r="G11" t="s">
        <v>308</v>
      </c>
      <c r="H11" s="2" t="s">
        <v>326</v>
      </c>
      <c r="I11" s="2" t="s">
        <v>327</v>
      </c>
      <c r="J11" t="s">
        <v>320</v>
      </c>
      <c r="K11" t="s">
        <v>328</v>
      </c>
      <c r="L11" t="s">
        <v>328</v>
      </c>
      <c r="M11" t="s">
        <v>320</v>
      </c>
      <c r="N11" t="s">
        <v>328</v>
      </c>
      <c r="O11" t="s">
        <v>329</v>
      </c>
      <c r="P11" t="s">
        <v>312</v>
      </c>
      <c r="Q11" t="s">
        <v>330</v>
      </c>
      <c r="R11" t="s">
        <v>331</v>
      </c>
      <c r="S11" t="s">
        <v>332</v>
      </c>
      <c r="T11" t="s">
        <v>333</v>
      </c>
      <c r="U11" t="s">
        <v>334</v>
      </c>
      <c r="V11" t="s">
        <v>328</v>
      </c>
      <c r="W11" s="2" t="s">
        <v>335</v>
      </c>
      <c r="X11" t="s">
        <v>292</v>
      </c>
      <c r="Y11" t="s">
        <v>325</v>
      </c>
      <c r="Z11" t="s">
        <v>336</v>
      </c>
      <c r="AA11" t="s">
        <v>328</v>
      </c>
      <c r="AB11" t="s">
        <v>337</v>
      </c>
      <c r="AC11" t="s">
        <v>300</v>
      </c>
      <c r="AD11" t="s">
        <v>328</v>
      </c>
      <c r="AE11" t="s">
        <v>328</v>
      </c>
      <c r="AF11" t="s">
        <v>338</v>
      </c>
      <c r="AG11" t="s">
        <v>328</v>
      </c>
      <c r="AH11" t="s">
        <v>320</v>
      </c>
      <c r="AI11" t="s">
        <v>308</v>
      </c>
      <c r="AJ11" t="s">
        <v>328</v>
      </c>
      <c r="AK11" t="s">
        <v>339</v>
      </c>
      <c r="AL11" t="s">
        <v>308</v>
      </c>
      <c r="AM11" t="s">
        <v>340</v>
      </c>
      <c r="AN11" t="s">
        <v>341</v>
      </c>
      <c r="AO11" t="s">
        <v>342</v>
      </c>
    </row>
    <row r="12" spans="1:41">
      <c r="A12" t="s">
        <v>343</v>
      </c>
      <c r="B12" t="s">
        <v>344</v>
      </c>
      <c r="C12" t="s">
        <v>345</v>
      </c>
      <c r="D12" t="s">
        <v>346</v>
      </c>
      <c r="E12" t="s">
        <v>347</v>
      </c>
      <c r="F12" t="s">
        <v>348</v>
      </c>
      <c r="G12" t="s">
        <v>349</v>
      </c>
      <c r="H12" s="2" t="s">
        <v>350</v>
      </c>
      <c r="I12" s="2" t="s">
        <v>351</v>
      </c>
      <c r="J12" t="s">
        <v>343</v>
      </c>
      <c r="K12" t="s">
        <v>336</v>
      </c>
      <c r="L12" t="s">
        <v>352</v>
      </c>
      <c r="M12" t="s">
        <v>308</v>
      </c>
      <c r="N12" t="s">
        <v>353</v>
      </c>
      <c r="O12" t="s">
        <v>354</v>
      </c>
      <c r="P12" t="s">
        <v>343</v>
      </c>
      <c r="Q12" t="s">
        <v>355</v>
      </c>
      <c r="R12" t="s">
        <v>356</v>
      </c>
      <c r="S12" t="s">
        <v>357</v>
      </c>
      <c r="T12" t="s">
        <v>358</v>
      </c>
      <c r="U12" t="s">
        <v>359</v>
      </c>
      <c r="V12" t="s">
        <v>338</v>
      </c>
      <c r="W12" s="2" t="s">
        <v>360</v>
      </c>
      <c r="X12" t="s">
        <v>361</v>
      </c>
      <c r="Y12" t="s">
        <v>362</v>
      </c>
      <c r="Z12" t="s">
        <v>363</v>
      </c>
      <c r="AA12" t="s">
        <v>340</v>
      </c>
      <c r="AB12" t="s">
        <v>364</v>
      </c>
      <c r="AC12" t="s">
        <v>336</v>
      </c>
      <c r="AD12" t="s">
        <v>349</v>
      </c>
      <c r="AE12" t="s">
        <v>349</v>
      </c>
      <c r="AF12" t="s">
        <v>365</v>
      </c>
      <c r="AG12" t="s">
        <v>336</v>
      </c>
      <c r="AH12" t="s">
        <v>343</v>
      </c>
      <c r="AI12" t="s">
        <v>343</v>
      </c>
      <c r="AJ12" t="s">
        <v>295</v>
      </c>
      <c r="AK12" t="s">
        <v>366</v>
      </c>
      <c r="AL12" t="s">
        <v>367</v>
      </c>
      <c r="AM12" t="s">
        <v>347</v>
      </c>
      <c r="AN12" t="s">
        <v>362</v>
      </c>
      <c r="AO12" t="s">
        <v>368</v>
      </c>
    </row>
    <row r="13" spans="1:41">
      <c r="A13" t="s">
        <v>292</v>
      </c>
      <c r="B13" t="s">
        <v>347</v>
      </c>
      <c r="C13" t="s">
        <v>369</v>
      </c>
      <c r="D13" t="s">
        <v>370</v>
      </c>
      <c r="E13" t="s">
        <v>306</v>
      </c>
      <c r="F13" t="s">
        <v>371</v>
      </c>
      <c r="G13" t="s">
        <v>338</v>
      </c>
      <c r="H13" s="2" t="s">
        <v>372</v>
      </c>
      <c r="I13" s="2" t="s">
        <v>373</v>
      </c>
      <c r="J13" t="s">
        <v>292</v>
      </c>
      <c r="K13" t="s">
        <v>338</v>
      </c>
      <c r="L13" t="s">
        <v>340</v>
      </c>
      <c r="M13" t="s">
        <v>328</v>
      </c>
      <c r="N13" t="s">
        <v>357</v>
      </c>
      <c r="O13" t="s">
        <v>374</v>
      </c>
      <c r="P13" t="s">
        <v>353</v>
      </c>
      <c r="Q13" t="s">
        <v>375</v>
      </c>
      <c r="R13" t="s">
        <v>376</v>
      </c>
      <c r="S13" t="s">
        <v>328</v>
      </c>
      <c r="T13" t="s">
        <v>377</v>
      </c>
      <c r="U13" t="s">
        <v>340</v>
      </c>
      <c r="V13" t="s">
        <v>312</v>
      </c>
      <c r="W13" s="2" t="s">
        <v>378</v>
      </c>
      <c r="X13" t="s">
        <v>338</v>
      </c>
      <c r="Y13" t="s">
        <v>379</v>
      </c>
      <c r="Z13" t="s">
        <v>340</v>
      </c>
      <c r="AA13" t="s">
        <v>334</v>
      </c>
      <c r="AB13" t="s">
        <v>380</v>
      </c>
      <c r="AC13" t="s">
        <v>338</v>
      </c>
      <c r="AD13" t="s">
        <v>357</v>
      </c>
      <c r="AE13" t="s">
        <v>363</v>
      </c>
      <c r="AF13" t="s">
        <v>363</v>
      </c>
      <c r="AG13" t="s">
        <v>338</v>
      </c>
      <c r="AH13" t="s">
        <v>292</v>
      </c>
      <c r="AI13" t="s">
        <v>338</v>
      </c>
      <c r="AJ13" t="s">
        <v>321</v>
      </c>
      <c r="AK13" t="s">
        <v>381</v>
      </c>
      <c r="AL13" t="s">
        <v>306</v>
      </c>
      <c r="AM13" t="s">
        <v>367</v>
      </c>
      <c r="AN13" t="s">
        <v>325</v>
      </c>
      <c r="AO13" t="s">
        <v>382</v>
      </c>
    </row>
    <row r="14" spans="1:41">
      <c r="A14" t="s">
        <v>383</v>
      </c>
      <c r="B14" t="s">
        <v>384</v>
      </c>
      <c r="C14" t="s">
        <v>385</v>
      </c>
      <c r="D14" t="s">
        <v>386</v>
      </c>
      <c r="E14" t="s">
        <v>387</v>
      </c>
      <c r="F14" t="s">
        <v>388</v>
      </c>
      <c r="G14" t="s">
        <v>389</v>
      </c>
      <c r="H14" s="2" t="s">
        <v>390</v>
      </c>
      <c r="I14" s="2" t="s">
        <v>391</v>
      </c>
      <c r="J14" t="s">
        <v>383</v>
      </c>
      <c r="K14" t="s">
        <v>392</v>
      </c>
      <c r="L14" t="s">
        <v>393</v>
      </c>
      <c r="M14" t="s">
        <v>394</v>
      </c>
      <c r="N14" t="s">
        <v>395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s="2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383</v>
      </c>
      <c r="AI14" t="s">
        <v>389</v>
      </c>
      <c r="AJ14" t="s">
        <v>415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</row>
    <row r="15" spans="1:41">
      <c r="A15" t="s">
        <v>421</v>
      </c>
      <c r="B15" t="s">
        <v>422</v>
      </c>
      <c r="C15" t="s">
        <v>423</v>
      </c>
      <c r="D15" t="s">
        <v>424</v>
      </c>
      <c r="E15" t="s">
        <v>425</v>
      </c>
      <c r="F15" t="s">
        <v>426</v>
      </c>
      <c r="G15" t="s">
        <v>427</v>
      </c>
      <c r="H15" s="2" t="s">
        <v>428</v>
      </c>
      <c r="I15" s="2" t="s">
        <v>429</v>
      </c>
      <c r="J15" t="s">
        <v>421</v>
      </c>
      <c r="K15" t="s">
        <v>430</v>
      </c>
      <c r="L15" t="s">
        <v>421</v>
      </c>
      <c r="M15" t="s">
        <v>421</v>
      </c>
      <c r="N15" t="s">
        <v>431</v>
      </c>
      <c r="O15" t="s">
        <v>432</v>
      </c>
      <c r="P15" t="s">
        <v>433</v>
      </c>
      <c r="Q15" t="s">
        <v>434</v>
      </c>
      <c r="R15" t="s">
        <v>435</v>
      </c>
      <c r="S15" t="s">
        <v>421</v>
      </c>
      <c r="T15" t="s">
        <v>436</v>
      </c>
      <c r="U15" t="s">
        <v>437</v>
      </c>
      <c r="V15" t="s">
        <v>438</v>
      </c>
      <c r="W15" s="2" t="s">
        <v>439</v>
      </c>
      <c r="X15" t="s">
        <v>440</v>
      </c>
      <c r="Y15" t="s">
        <v>441</v>
      </c>
      <c r="Z15" t="s">
        <v>338</v>
      </c>
      <c r="AA15" t="s">
        <v>338</v>
      </c>
      <c r="AB15" t="s">
        <v>442</v>
      </c>
      <c r="AC15" t="s">
        <v>443</v>
      </c>
      <c r="AD15" t="s">
        <v>338</v>
      </c>
      <c r="AE15" t="s">
        <v>338</v>
      </c>
      <c r="AF15" t="s">
        <v>444</v>
      </c>
      <c r="AG15" t="s">
        <v>430</v>
      </c>
      <c r="AH15" t="s">
        <v>421</v>
      </c>
      <c r="AI15" t="s">
        <v>431</v>
      </c>
      <c r="AJ15" t="s">
        <v>338</v>
      </c>
      <c r="AK15" t="s">
        <v>445</v>
      </c>
      <c r="AL15" t="s">
        <v>338</v>
      </c>
      <c r="AM15" t="s">
        <v>446</v>
      </c>
      <c r="AN15" t="s">
        <v>311</v>
      </c>
      <c r="AO15" t="s">
        <v>447</v>
      </c>
    </row>
    <row r="18" spans="1:41">
      <c r="A18" t="s">
        <v>448</v>
      </c>
      <c r="B18" t="s">
        <v>449</v>
      </c>
      <c r="C18" t="s">
        <v>450</v>
      </c>
      <c r="D18" t="s">
        <v>451</v>
      </c>
      <c r="E18" t="s">
        <v>367</v>
      </c>
      <c r="F18" t="s">
        <v>452</v>
      </c>
      <c r="G18" t="s">
        <v>453</v>
      </c>
      <c r="H18" s="2" t="s">
        <v>454</v>
      </c>
      <c r="I18" t="s">
        <v>448</v>
      </c>
      <c r="J18" t="s">
        <v>455</v>
      </c>
      <c r="K18" t="s">
        <v>456</v>
      </c>
      <c r="L18" t="s">
        <v>457</v>
      </c>
      <c r="M18" t="s">
        <v>458</v>
      </c>
      <c r="N18" t="s">
        <v>459</v>
      </c>
      <c r="O18" t="s">
        <v>460</v>
      </c>
      <c r="P18" t="s">
        <v>448</v>
      </c>
      <c r="Q18" t="s">
        <v>461</v>
      </c>
      <c r="R18" t="s">
        <v>462</v>
      </c>
      <c r="S18" t="s">
        <v>463</v>
      </c>
      <c r="T18" t="s">
        <v>464</v>
      </c>
      <c r="U18" t="s">
        <v>448</v>
      </c>
      <c r="V18" t="s">
        <v>465</v>
      </c>
      <c r="W18" s="2" t="s">
        <v>466</v>
      </c>
      <c r="X18" t="s">
        <v>467</v>
      </c>
      <c r="Y18" t="s">
        <v>452</v>
      </c>
      <c r="Z18" t="s">
        <v>468</v>
      </c>
      <c r="AA18" t="s">
        <v>457</v>
      </c>
      <c r="AB18" t="s">
        <v>469</v>
      </c>
      <c r="AC18" t="s">
        <v>470</v>
      </c>
      <c r="AD18" t="s">
        <v>465</v>
      </c>
      <c r="AE18" t="s">
        <v>471</v>
      </c>
      <c r="AF18" t="s">
        <v>455</v>
      </c>
      <c r="AG18" t="s">
        <v>456</v>
      </c>
      <c r="AH18" t="s">
        <v>455</v>
      </c>
      <c r="AI18" t="s">
        <v>448</v>
      </c>
      <c r="AJ18" t="s">
        <v>472</v>
      </c>
      <c r="AK18" t="s">
        <v>473</v>
      </c>
      <c r="AL18" t="s">
        <v>474</v>
      </c>
      <c r="AM18" t="s">
        <v>475</v>
      </c>
      <c r="AN18" t="s">
        <v>476</v>
      </c>
      <c r="AO18" t="s">
        <v>477</v>
      </c>
    </row>
    <row r="19" spans="1:41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s="2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490</v>
      </c>
      <c r="O19" t="s">
        <v>491</v>
      </c>
      <c r="P19" t="s">
        <v>478</v>
      </c>
      <c r="Q19" t="s">
        <v>492</v>
      </c>
      <c r="R19" t="s">
        <v>493</v>
      </c>
      <c r="S19" t="s">
        <v>494</v>
      </c>
      <c r="T19" t="s">
        <v>495</v>
      </c>
      <c r="U19" t="s">
        <v>496</v>
      </c>
      <c r="V19" t="s">
        <v>490</v>
      </c>
      <c r="W19" s="2" t="s">
        <v>497</v>
      </c>
      <c r="X19" t="s">
        <v>498</v>
      </c>
      <c r="Y19" t="s">
        <v>483</v>
      </c>
      <c r="Z19" t="s">
        <v>499</v>
      </c>
      <c r="AA19" t="s">
        <v>488</v>
      </c>
      <c r="AB19" t="s">
        <v>500</v>
      </c>
      <c r="AC19" t="s">
        <v>501</v>
      </c>
      <c r="AD19" t="s">
        <v>502</v>
      </c>
      <c r="AE19" t="s">
        <v>490</v>
      </c>
      <c r="AF19" t="s">
        <v>486</v>
      </c>
      <c r="AG19" t="s">
        <v>487</v>
      </c>
      <c r="AH19" t="s">
        <v>486</v>
      </c>
      <c r="AI19" t="s">
        <v>478</v>
      </c>
      <c r="AJ19" t="s">
        <v>503</v>
      </c>
      <c r="AK19" t="s">
        <v>504</v>
      </c>
      <c r="AL19" t="s">
        <v>505</v>
      </c>
      <c r="AM19" t="s">
        <v>506</v>
      </c>
      <c r="AN19" t="s">
        <v>507</v>
      </c>
      <c r="AO19" t="s">
        <v>508</v>
      </c>
    </row>
    <row r="20" spans="1:41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459</v>
      </c>
      <c r="H20" s="2" t="s">
        <v>515</v>
      </c>
      <c r="I20" t="s">
        <v>509</v>
      </c>
      <c r="J20" t="s">
        <v>516</v>
      </c>
      <c r="K20" t="s">
        <v>517</v>
      </c>
      <c r="L20" t="s">
        <v>518</v>
      </c>
      <c r="M20" t="s">
        <v>519</v>
      </c>
      <c r="N20" t="s">
        <v>510</v>
      </c>
      <c r="O20" t="s">
        <v>520</v>
      </c>
      <c r="P20" t="s">
        <v>509</v>
      </c>
      <c r="Q20" t="s">
        <v>521</v>
      </c>
      <c r="R20" t="s">
        <v>522</v>
      </c>
      <c r="S20" t="s">
        <v>523</v>
      </c>
      <c r="T20" t="s">
        <v>524</v>
      </c>
      <c r="U20" t="s">
        <v>525</v>
      </c>
      <c r="V20" t="s">
        <v>510</v>
      </c>
      <c r="W20" s="2" t="s">
        <v>526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510</v>
      </c>
      <c r="AF20" t="s">
        <v>516</v>
      </c>
      <c r="AG20" t="s">
        <v>534</v>
      </c>
      <c r="AH20" t="s">
        <v>535</v>
      </c>
      <c r="AI20" t="s">
        <v>509</v>
      </c>
      <c r="AJ20" t="s">
        <v>536</v>
      </c>
      <c r="AK20" t="s">
        <v>537</v>
      </c>
      <c r="AL20" t="s">
        <v>538</v>
      </c>
      <c r="AM20" t="s">
        <v>539</v>
      </c>
      <c r="AN20" t="s">
        <v>514</v>
      </c>
      <c r="AO20" t="s">
        <v>540</v>
      </c>
    </row>
    <row r="21" spans="1:41">
      <c r="A21" t="s">
        <v>541</v>
      </c>
      <c r="B21" t="s">
        <v>542</v>
      </c>
      <c r="C21" t="s">
        <v>543</v>
      </c>
      <c r="D21" t="s">
        <v>544</v>
      </c>
      <c r="E21" t="s">
        <v>545</v>
      </c>
      <c r="F21" t="s">
        <v>546</v>
      </c>
      <c r="G21" t="s">
        <v>547</v>
      </c>
      <c r="H21" s="2" t="s">
        <v>548</v>
      </c>
      <c r="I21" t="s">
        <v>541</v>
      </c>
      <c r="J21" t="s">
        <v>549</v>
      </c>
      <c r="K21" t="s">
        <v>550</v>
      </c>
      <c r="L21" t="s">
        <v>551</v>
      </c>
      <c r="M21" t="s">
        <v>552</v>
      </c>
      <c r="N21" t="s">
        <v>553</v>
      </c>
      <c r="O21" t="s">
        <v>554</v>
      </c>
      <c r="P21" t="s">
        <v>541</v>
      </c>
      <c r="Q21" t="s">
        <v>555</v>
      </c>
      <c r="R21" t="s">
        <v>556</v>
      </c>
      <c r="S21" t="s">
        <v>557</v>
      </c>
      <c r="T21" t="s">
        <v>558</v>
      </c>
      <c r="U21" t="s">
        <v>559</v>
      </c>
      <c r="V21" t="s">
        <v>553</v>
      </c>
      <c r="W21" s="2" t="s">
        <v>560</v>
      </c>
      <c r="X21" t="s">
        <v>561</v>
      </c>
      <c r="Y21" t="s">
        <v>562</v>
      </c>
      <c r="Z21" t="s">
        <v>563</v>
      </c>
      <c r="AA21" t="s">
        <v>551</v>
      </c>
      <c r="AB21" t="s">
        <v>564</v>
      </c>
      <c r="AC21" t="s">
        <v>565</v>
      </c>
      <c r="AD21" t="s">
        <v>566</v>
      </c>
      <c r="AE21" t="s">
        <v>567</v>
      </c>
      <c r="AF21" t="s">
        <v>568</v>
      </c>
      <c r="AG21" t="s">
        <v>550</v>
      </c>
      <c r="AH21" t="s">
        <v>568</v>
      </c>
      <c r="AI21" t="s">
        <v>541</v>
      </c>
      <c r="AJ21" t="s">
        <v>551</v>
      </c>
      <c r="AK21" t="s">
        <v>569</v>
      </c>
      <c r="AL21" t="s">
        <v>570</v>
      </c>
      <c r="AM21" t="s">
        <v>571</v>
      </c>
      <c r="AN21" t="s">
        <v>572</v>
      </c>
      <c r="AO21" t="s">
        <v>573</v>
      </c>
    </row>
    <row r="22" spans="1:41">
      <c r="A22" t="s">
        <v>574</v>
      </c>
      <c r="B22" t="s">
        <v>575</v>
      </c>
      <c r="C22" t="s">
        <v>576</v>
      </c>
      <c r="D22" t="s">
        <v>577</v>
      </c>
      <c r="E22" t="s">
        <v>578</v>
      </c>
      <c r="F22" t="s">
        <v>579</v>
      </c>
      <c r="G22" t="s">
        <v>580</v>
      </c>
      <c r="H22" s="2" t="s">
        <v>581</v>
      </c>
      <c r="I22" t="s">
        <v>574</v>
      </c>
      <c r="J22" t="s">
        <v>582</v>
      </c>
      <c r="K22" t="s">
        <v>583</v>
      </c>
      <c r="L22" t="s">
        <v>535</v>
      </c>
      <c r="M22" t="s">
        <v>584</v>
      </c>
      <c r="N22" t="s">
        <v>585</v>
      </c>
      <c r="O22" t="s">
        <v>586</v>
      </c>
      <c r="P22" t="s">
        <v>574</v>
      </c>
      <c r="Q22" t="s">
        <v>587</v>
      </c>
      <c r="R22" t="s">
        <v>588</v>
      </c>
      <c r="S22" t="s">
        <v>589</v>
      </c>
      <c r="T22" t="s">
        <v>590</v>
      </c>
      <c r="U22" t="s">
        <v>591</v>
      </c>
      <c r="V22" t="s">
        <v>592</v>
      </c>
      <c r="W22" s="2" t="s">
        <v>593</v>
      </c>
      <c r="X22" t="s">
        <v>594</v>
      </c>
      <c r="Y22" t="s">
        <v>595</v>
      </c>
      <c r="Z22" t="s">
        <v>596</v>
      </c>
      <c r="AA22" t="s">
        <v>597</v>
      </c>
      <c r="AB22" t="s">
        <v>598</v>
      </c>
      <c r="AC22" t="s">
        <v>599</v>
      </c>
      <c r="AD22" t="s">
        <v>600</v>
      </c>
      <c r="AE22" t="s">
        <v>601</v>
      </c>
      <c r="AF22" t="s">
        <v>582</v>
      </c>
      <c r="AG22" t="s">
        <v>602</v>
      </c>
      <c r="AH22" t="s">
        <v>582</v>
      </c>
      <c r="AI22" t="s">
        <v>574</v>
      </c>
      <c r="AJ22" t="s">
        <v>535</v>
      </c>
      <c r="AK22" t="s">
        <v>603</v>
      </c>
      <c r="AL22" t="s">
        <v>604</v>
      </c>
      <c r="AM22" t="s">
        <v>605</v>
      </c>
      <c r="AN22" t="s">
        <v>606</v>
      </c>
      <c r="AO22" t="s">
        <v>607</v>
      </c>
    </row>
    <row r="23" spans="1:41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s="2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620</v>
      </c>
      <c r="O23" t="s">
        <v>621</v>
      </c>
      <c r="P23" t="s">
        <v>608</v>
      </c>
      <c r="Q23" t="s">
        <v>622</v>
      </c>
      <c r="R23" t="s">
        <v>623</v>
      </c>
      <c r="S23" t="s">
        <v>624</v>
      </c>
      <c r="T23" t="s">
        <v>625</v>
      </c>
      <c r="U23" t="s">
        <v>626</v>
      </c>
      <c r="V23" t="s">
        <v>620</v>
      </c>
      <c r="W23" s="2" t="s">
        <v>627</v>
      </c>
      <c r="X23" t="s">
        <v>628</v>
      </c>
      <c r="Y23" t="s">
        <v>613</v>
      </c>
      <c r="Z23" t="s">
        <v>629</v>
      </c>
      <c r="AA23" t="s">
        <v>618</v>
      </c>
      <c r="AB23" t="s">
        <v>630</v>
      </c>
      <c r="AC23" t="s">
        <v>631</v>
      </c>
      <c r="AD23" t="s">
        <v>632</v>
      </c>
      <c r="AE23" t="s">
        <v>633</v>
      </c>
      <c r="AF23" t="s">
        <v>616</v>
      </c>
      <c r="AG23" t="s">
        <v>634</v>
      </c>
      <c r="AH23" t="s">
        <v>616</v>
      </c>
      <c r="AI23" t="s">
        <v>608</v>
      </c>
      <c r="AJ23" t="s">
        <v>618</v>
      </c>
      <c r="AK23" t="s">
        <v>635</v>
      </c>
      <c r="AL23" t="s">
        <v>636</v>
      </c>
      <c r="AM23" t="s">
        <v>637</v>
      </c>
      <c r="AN23" t="s">
        <v>638</v>
      </c>
      <c r="AO23" t="s">
        <v>639</v>
      </c>
    </row>
    <row r="24" spans="1:41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s="2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652</v>
      </c>
      <c r="O24" t="s">
        <v>653</v>
      </c>
      <c r="P24" t="s">
        <v>640</v>
      </c>
      <c r="Q24" t="s">
        <v>654</v>
      </c>
      <c r="R24" t="s">
        <v>655</v>
      </c>
      <c r="S24" t="s">
        <v>656</v>
      </c>
      <c r="T24" t="s">
        <v>657</v>
      </c>
      <c r="U24" t="s">
        <v>658</v>
      </c>
      <c r="V24" t="s">
        <v>657</v>
      </c>
      <c r="W24" s="2" t="s">
        <v>659</v>
      </c>
      <c r="X24" t="s">
        <v>660</v>
      </c>
      <c r="Y24" t="s">
        <v>661</v>
      </c>
      <c r="Z24" t="s">
        <v>662</v>
      </c>
      <c r="AA24" t="s">
        <v>650</v>
      </c>
      <c r="AB24" t="s">
        <v>663</v>
      </c>
      <c r="AC24" t="s">
        <v>649</v>
      </c>
      <c r="AD24" t="s">
        <v>657</v>
      </c>
      <c r="AE24" t="s">
        <v>652</v>
      </c>
      <c r="AF24" t="s">
        <v>648</v>
      </c>
      <c r="AG24" t="s">
        <v>649</v>
      </c>
      <c r="AH24" t="s">
        <v>664</v>
      </c>
      <c r="AI24" t="s">
        <v>640</v>
      </c>
      <c r="AJ24" t="s">
        <v>665</v>
      </c>
      <c r="AK24" t="s">
        <v>666</v>
      </c>
      <c r="AL24" t="s">
        <v>667</v>
      </c>
      <c r="AM24" t="s">
        <v>668</v>
      </c>
      <c r="AN24" t="s">
        <v>669</v>
      </c>
      <c r="AO24" t="s">
        <v>670</v>
      </c>
    </row>
    <row r="25" spans="1:41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s="2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679</v>
      </c>
      <c r="O25" t="s">
        <v>680</v>
      </c>
      <c r="P25" t="s">
        <v>671</v>
      </c>
      <c r="Q25" t="s">
        <v>681</v>
      </c>
      <c r="R25" t="s">
        <v>682</v>
      </c>
      <c r="S25" t="s">
        <v>671</v>
      </c>
      <c r="T25" t="s">
        <v>671</v>
      </c>
      <c r="U25" t="s">
        <v>671</v>
      </c>
      <c r="V25" t="s">
        <v>676</v>
      </c>
      <c r="W25" t="s">
        <v>683</v>
      </c>
      <c r="X25" t="s">
        <v>684</v>
      </c>
      <c r="Y25" t="s">
        <v>685</v>
      </c>
      <c r="Z25" t="s">
        <v>671</v>
      </c>
      <c r="AA25" t="s">
        <v>671</v>
      </c>
      <c r="AB25" t="s">
        <v>686</v>
      </c>
      <c r="AC25" t="s">
        <v>687</v>
      </c>
      <c r="AD25" t="s">
        <v>671</v>
      </c>
      <c r="AE25" t="s">
        <v>688</v>
      </c>
      <c r="AF25" t="s">
        <v>671</v>
      </c>
      <c r="AG25" t="s">
        <v>671</v>
      </c>
      <c r="AH25" t="s">
        <v>671</v>
      </c>
      <c r="AI25" t="s">
        <v>689</v>
      </c>
      <c r="AJ25" t="s">
        <v>690</v>
      </c>
      <c r="AK25" t="s">
        <v>691</v>
      </c>
      <c r="AL25" t="s">
        <v>692</v>
      </c>
      <c r="AM25" t="s">
        <v>693</v>
      </c>
      <c r="AN25" t="s">
        <v>694</v>
      </c>
      <c r="AO25" t="s">
        <v>695</v>
      </c>
    </row>
    <row r="26" spans="1:41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s="2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704</v>
      </c>
      <c r="O26" t="s">
        <v>705</v>
      </c>
      <c r="P26" t="s">
        <v>696</v>
      </c>
      <c r="Q26" t="s">
        <v>706</v>
      </c>
      <c r="R26" t="s">
        <v>707</v>
      </c>
      <c r="S26" t="s">
        <v>696</v>
      </c>
      <c r="T26" t="s">
        <v>708</v>
      </c>
      <c r="U26" t="s">
        <v>696</v>
      </c>
      <c r="V26" t="s">
        <v>696</v>
      </c>
      <c r="W26" t="s">
        <v>709</v>
      </c>
      <c r="X26" t="s">
        <v>463</v>
      </c>
      <c r="Y26" t="s">
        <v>710</v>
      </c>
      <c r="Z26" t="s">
        <v>711</v>
      </c>
      <c r="AA26" t="s">
        <v>696</v>
      </c>
      <c r="AB26" t="s">
        <v>712</v>
      </c>
      <c r="AC26" t="s">
        <v>713</v>
      </c>
      <c r="AD26" t="s">
        <v>700</v>
      </c>
      <c r="AE26" t="s">
        <v>696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714</v>
      </c>
      <c r="AL26" t="s">
        <v>715</v>
      </c>
      <c r="AM26" t="s">
        <v>716</v>
      </c>
      <c r="AN26" t="s">
        <v>717</v>
      </c>
      <c r="AO26" t="s">
        <v>718</v>
      </c>
    </row>
    <row r="27" spans="1:41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s="2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725</v>
      </c>
      <c r="O27" t="s">
        <v>726</v>
      </c>
      <c r="P27" t="s">
        <v>727</v>
      </c>
      <c r="Q27" t="s">
        <v>728</v>
      </c>
      <c r="R27" t="s">
        <v>729</v>
      </c>
      <c r="S27" t="s">
        <v>730</v>
      </c>
      <c r="T27" t="s">
        <v>510</v>
      </c>
      <c r="U27" t="s">
        <v>510</v>
      </c>
      <c r="V27" t="s">
        <v>510</v>
      </c>
      <c r="W27" t="s">
        <v>731</v>
      </c>
      <c r="X27" t="s">
        <v>732</v>
      </c>
      <c r="Y27" t="s">
        <v>733</v>
      </c>
      <c r="Z27" t="s">
        <v>510</v>
      </c>
      <c r="AA27" t="s">
        <v>510</v>
      </c>
      <c r="AB27" t="s">
        <v>734</v>
      </c>
      <c r="AC27" t="s">
        <v>510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735</v>
      </c>
      <c r="AK27" t="s">
        <v>736</v>
      </c>
      <c r="AL27" t="s">
        <v>510</v>
      </c>
      <c r="AM27" t="s">
        <v>737</v>
      </c>
      <c r="AN27" t="s">
        <v>738</v>
      </c>
      <c r="AO27" t="s">
        <v>739</v>
      </c>
    </row>
    <row r="28" spans="1:41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s="2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748</v>
      </c>
      <c r="O28" t="s">
        <v>749</v>
      </c>
      <c r="P28" t="s">
        <v>740</v>
      </c>
      <c r="Q28" t="s">
        <v>750</v>
      </c>
      <c r="R28" t="s">
        <v>751</v>
      </c>
      <c r="S28" t="s">
        <v>752</v>
      </c>
      <c r="T28" t="s">
        <v>740</v>
      </c>
      <c r="U28" t="s">
        <v>740</v>
      </c>
      <c r="V28" t="s">
        <v>740</v>
      </c>
      <c r="W28" t="s">
        <v>753</v>
      </c>
      <c r="X28" t="s">
        <v>754</v>
      </c>
      <c r="Y28" t="s">
        <v>755</v>
      </c>
      <c r="Z28" t="s">
        <v>740</v>
      </c>
      <c r="AA28" t="s">
        <v>740</v>
      </c>
      <c r="AB28" t="s">
        <v>756</v>
      </c>
      <c r="AC28" t="s">
        <v>757</v>
      </c>
      <c r="AD28" t="s">
        <v>745</v>
      </c>
      <c r="AE28" t="s">
        <v>740</v>
      </c>
      <c r="AF28" t="s">
        <v>740</v>
      </c>
      <c r="AG28" t="s">
        <v>740</v>
      </c>
      <c r="AH28" t="s">
        <v>740</v>
      </c>
      <c r="AI28" t="s">
        <v>745</v>
      </c>
      <c r="AJ28" t="s">
        <v>758</v>
      </c>
      <c r="AK28" t="s">
        <v>759</v>
      </c>
      <c r="AL28" t="s">
        <v>760</v>
      </c>
      <c r="AM28" t="s">
        <v>761</v>
      </c>
      <c r="AN28" t="s">
        <v>762</v>
      </c>
      <c r="AO28" t="s">
        <v>763</v>
      </c>
    </row>
    <row r="29" spans="1:41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s="2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773</v>
      </c>
      <c r="P29" t="s">
        <v>769</v>
      </c>
      <c r="Q29" t="s">
        <v>774</v>
      </c>
      <c r="R29" t="s">
        <v>775</v>
      </c>
      <c r="S29" t="s">
        <v>776</v>
      </c>
      <c r="T29" t="s">
        <v>772</v>
      </c>
      <c r="U29" t="s">
        <v>777</v>
      </c>
      <c r="V29" t="s">
        <v>778</v>
      </c>
      <c r="W29" t="s">
        <v>779</v>
      </c>
      <c r="X29" t="s">
        <v>780</v>
      </c>
      <c r="Y29" t="s">
        <v>781</v>
      </c>
      <c r="Z29" t="s">
        <v>782</v>
      </c>
      <c r="AA29" t="s">
        <v>769</v>
      </c>
      <c r="AB29" t="s">
        <v>783</v>
      </c>
      <c r="AC29" t="s">
        <v>765</v>
      </c>
      <c r="AD29" t="s">
        <v>769</v>
      </c>
      <c r="AE29" t="s">
        <v>769</v>
      </c>
      <c r="AF29" t="s">
        <v>765</v>
      </c>
      <c r="AG29" t="s">
        <v>776</v>
      </c>
      <c r="AH29" t="s">
        <v>765</v>
      </c>
      <c r="AI29" t="s">
        <v>764</v>
      </c>
      <c r="AJ29" t="s">
        <v>784</v>
      </c>
      <c r="AK29" t="s">
        <v>785</v>
      </c>
      <c r="AL29" t="s">
        <v>764</v>
      </c>
      <c r="AM29" t="s">
        <v>786</v>
      </c>
      <c r="AN29" t="s">
        <v>787</v>
      </c>
      <c r="AO29" t="s">
        <v>788</v>
      </c>
    </row>
    <row r="30" spans="1:41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s="2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798</v>
      </c>
      <c r="O30" t="s">
        <v>799</v>
      </c>
      <c r="P30" t="s">
        <v>789</v>
      </c>
      <c r="Q30" t="s">
        <v>800</v>
      </c>
      <c r="R30" t="s">
        <v>801</v>
      </c>
      <c r="S30" t="s">
        <v>802</v>
      </c>
      <c r="T30" t="s">
        <v>789</v>
      </c>
      <c r="U30" t="s">
        <v>802</v>
      </c>
      <c r="V30" t="s">
        <v>803</v>
      </c>
      <c r="W30" t="s">
        <v>804</v>
      </c>
      <c r="X30" t="s">
        <v>805</v>
      </c>
      <c r="Y30" t="s">
        <v>806</v>
      </c>
      <c r="Z30" t="s">
        <v>807</v>
      </c>
      <c r="AA30" t="s">
        <v>789</v>
      </c>
      <c r="AB30" t="s">
        <v>808</v>
      </c>
      <c r="AC30" t="s">
        <v>809</v>
      </c>
      <c r="AD30" t="s">
        <v>789</v>
      </c>
      <c r="AE30" t="s">
        <v>810</v>
      </c>
      <c r="AF30" t="s">
        <v>789</v>
      </c>
      <c r="AG30" t="s">
        <v>802</v>
      </c>
      <c r="AH30" t="s">
        <v>789</v>
      </c>
      <c r="AI30" t="s">
        <v>789</v>
      </c>
      <c r="AJ30" t="s">
        <v>811</v>
      </c>
      <c r="AK30" t="s">
        <v>812</v>
      </c>
      <c r="AL30" t="s">
        <v>813</v>
      </c>
      <c r="AM30" t="s">
        <v>814</v>
      </c>
      <c r="AN30" t="s">
        <v>815</v>
      </c>
      <c r="AO30" t="s">
        <v>816</v>
      </c>
    </row>
    <row r="31" spans="1:41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s="2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826</v>
      </c>
      <c r="O31" t="s">
        <v>827</v>
      </c>
      <c r="P31" t="s">
        <v>817</v>
      </c>
      <c r="Q31" t="s">
        <v>828</v>
      </c>
      <c r="R31" t="s">
        <v>829</v>
      </c>
      <c r="S31" t="s">
        <v>830</v>
      </c>
      <c r="T31" t="s">
        <v>817</v>
      </c>
      <c r="U31" t="s">
        <v>830</v>
      </c>
      <c r="V31" t="s">
        <v>831</v>
      </c>
      <c r="W31" t="s">
        <v>832</v>
      </c>
      <c r="X31" t="s">
        <v>833</v>
      </c>
      <c r="Y31" t="s">
        <v>834</v>
      </c>
      <c r="Z31" t="s">
        <v>835</v>
      </c>
      <c r="AA31" t="s">
        <v>817</v>
      </c>
      <c r="AB31" t="s">
        <v>836</v>
      </c>
      <c r="AC31" t="s">
        <v>796</v>
      </c>
      <c r="AD31" t="s">
        <v>817</v>
      </c>
      <c r="AE31" t="s">
        <v>837</v>
      </c>
      <c r="AF31" t="s">
        <v>817</v>
      </c>
      <c r="AG31" t="s">
        <v>830</v>
      </c>
      <c r="AH31" t="s">
        <v>817</v>
      </c>
      <c r="AI31" t="s">
        <v>817</v>
      </c>
      <c r="AJ31" t="s">
        <v>838</v>
      </c>
      <c r="AK31" t="s">
        <v>839</v>
      </c>
      <c r="AL31" t="s">
        <v>840</v>
      </c>
      <c r="AM31" t="s">
        <v>841</v>
      </c>
      <c r="AN31" t="s">
        <v>842</v>
      </c>
      <c r="AO31" t="s">
        <v>843</v>
      </c>
    </row>
    <row r="32" spans="1:41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s="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853</v>
      </c>
      <c r="O32" t="s">
        <v>854</v>
      </c>
      <c r="P32" t="s">
        <v>844</v>
      </c>
      <c r="Q32" t="s">
        <v>855</v>
      </c>
      <c r="R32" t="s">
        <v>856</v>
      </c>
      <c r="S32" t="s">
        <v>844</v>
      </c>
      <c r="T32" t="s">
        <v>857</v>
      </c>
      <c r="U32" t="s">
        <v>858</v>
      </c>
      <c r="V32" t="s">
        <v>850</v>
      </c>
      <c r="W32" t="s">
        <v>859</v>
      </c>
      <c r="X32" t="s">
        <v>860</v>
      </c>
      <c r="Y32" t="s">
        <v>861</v>
      </c>
      <c r="Z32" t="s">
        <v>862</v>
      </c>
      <c r="AA32" t="s">
        <v>844</v>
      </c>
      <c r="AB32" t="s">
        <v>863</v>
      </c>
      <c r="AC32" t="s">
        <v>864</v>
      </c>
      <c r="AD32" t="s">
        <v>850</v>
      </c>
      <c r="AE32" t="s">
        <v>844</v>
      </c>
      <c r="AF32" t="s">
        <v>865</v>
      </c>
      <c r="AG32" t="s">
        <v>844</v>
      </c>
      <c r="AH32" t="s">
        <v>865</v>
      </c>
      <c r="AI32" t="s">
        <v>850</v>
      </c>
      <c r="AJ32" t="s">
        <v>844</v>
      </c>
      <c r="AK32" t="s">
        <v>866</v>
      </c>
      <c r="AL32" t="s">
        <v>867</v>
      </c>
      <c r="AM32" t="s">
        <v>868</v>
      </c>
      <c r="AN32" t="s">
        <v>869</v>
      </c>
      <c r="AO32" t="s">
        <v>870</v>
      </c>
    </row>
    <row r="33" spans="1:41">
      <c r="A33" t="s">
        <v>871</v>
      </c>
      <c r="B33" t="s">
        <v>872</v>
      </c>
      <c r="C33" t="s">
        <v>873</v>
      </c>
      <c r="D33" t="s">
        <v>874</v>
      </c>
      <c r="E33" t="s">
        <v>495</v>
      </c>
      <c r="F33" t="s">
        <v>875</v>
      </c>
      <c r="G33" t="s">
        <v>876</v>
      </c>
      <c r="H33" s="2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879</v>
      </c>
      <c r="O33" t="s">
        <v>880</v>
      </c>
      <c r="P33" t="s">
        <v>871</v>
      </c>
      <c r="Q33" t="s">
        <v>881</v>
      </c>
      <c r="R33" t="s">
        <v>882</v>
      </c>
      <c r="S33" t="s">
        <v>883</v>
      </c>
      <c r="T33" t="s">
        <v>871</v>
      </c>
      <c r="U33" t="s">
        <v>871</v>
      </c>
      <c r="V33" t="s">
        <v>876</v>
      </c>
      <c r="W33" t="s">
        <v>884</v>
      </c>
      <c r="X33" t="s">
        <v>885</v>
      </c>
      <c r="Y33" t="s">
        <v>886</v>
      </c>
      <c r="Z33" t="s">
        <v>876</v>
      </c>
      <c r="AA33" t="s">
        <v>871</v>
      </c>
      <c r="AB33" t="s">
        <v>887</v>
      </c>
      <c r="AC33" t="s">
        <v>888</v>
      </c>
      <c r="AD33" t="s">
        <v>876</v>
      </c>
      <c r="AE33" t="s">
        <v>871</v>
      </c>
      <c r="AF33" t="s">
        <v>871</v>
      </c>
      <c r="AG33" t="s">
        <v>871</v>
      </c>
      <c r="AH33" t="s">
        <v>871</v>
      </c>
      <c r="AI33" t="s">
        <v>871</v>
      </c>
      <c r="AJ33" t="s">
        <v>889</v>
      </c>
      <c r="AK33" t="s">
        <v>890</v>
      </c>
      <c r="AL33" t="s">
        <v>891</v>
      </c>
      <c r="AM33" t="s">
        <v>892</v>
      </c>
      <c r="AN33" t="s">
        <v>893</v>
      </c>
      <c r="AO33" t="s">
        <v>894</v>
      </c>
    </row>
    <row r="34" spans="1:41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s="2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895</v>
      </c>
      <c r="O34" t="s">
        <v>903</v>
      </c>
      <c r="P34" t="s">
        <v>899</v>
      </c>
      <c r="Q34" t="s">
        <v>904</v>
      </c>
      <c r="R34" t="s">
        <v>905</v>
      </c>
      <c r="S34" t="s">
        <v>899</v>
      </c>
      <c r="T34" t="s">
        <v>899</v>
      </c>
      <c r="U34" t="s">
        <v>899</v>
      </c>
      <c r="V34" t="s">
        <v>906</v>
      </c>
      <c r="W34" t="s">
        <v>907</v>
      </c>
      <c r="X34" t="s">
        <v>908</v>
      </c>
      <c r="Y34" t="s">
        <v>909</v>
      </c>
      <c r="Z34" t="s">
        <v>906</v>
      </c>
      <c r="AA34" t="s">
        <v>899</v>
      </c>
      <c r="AB34" t="s">
        <v>910</v>
      </c>
      <c r="AC34" t="s">
        <v>911</v>
      </c>
      <c r="AD34" t="s">
        <v>912</v>
      </c>
      <c r="AE34" t="s">
        <v>895</v>
      </c>
      <c r="AF34" t="s">
        <v>899</v>
      </c>
      <c r="AG34" t="s">
        <v>899</v>
      </c>
      <c r="AH34" t="s">
        <v>895</v>
      </c>
      <c r="AI34" t="s">
        <v>895</v>
      </c>
      <c r="AJ34" t="s">
        <v>913</v>
      </c>
      <c r="AK34" t="s">
        <v>914</v>
      </c>
      <c r="AL34" t="s">
        <v>915</v>
      </c>
      <c r="AM34" t="s">
        <v>916</v>
      </c>
      <c r="AN34" t="s">
        <v>917</v>
      </c>
      <c r="AO34" t="s">
        <v>918</v>
      </c>
    </row>
    <row r="35" spans="1:41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s="2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927</v>
      </c>
      <c r="P35" t="s">
        <v>919</v>
      </c>
      <c r="Q35" t="s">
        <v>928</v>
      </c>
      <c r="R35" t="s">
        <v>929</v>
      </c>
      <c r="S35" t="s">
        <v>919</v>
      </c>
      <c r="T35" t="s">
        <v>930</v>
      </c>
      <c r="U35" t="s">
        <v>931</v>
      </c>
      <c r="V35" t="s">
        <v>919</v>
      </c>
      <c r="W35" t="s">
        <v>932</v>
      </c>
      <c r="X35" t="s">
        <v>933</v>
      </c>
      <c r="Y35" t="s">
        <v>934</v>
      </c>
      <c r="Z35" t="s">
        <v>919</v>
      </c>
      <c r="AA35" t="s">
        <v>919</v>
      </c>
      <c r="AB35" t="s">
        <v>935</v>
      </c>
      <c r="AC35" t="s">
        <v>902</v>
      </c>
      <c r="AD35" t="s">
        <v>919</v>
      </c>
      <c r="AE35" t="s">
        <v>936</v>
      </c>
      <c r="AF35" t="s">
        <v>919</v>
      </c>
      <c r="AG35" t="s">
        <v>919</v>
      </c>
      <c r="AH35" t="s">
        <v>919</v>
      </c>
      <c r="AI35" t="s">
        <v>919</v>
      </c>
      <c r="AJ35" t="s">
        <v>937</v>
      </c>
      <c r="AK35" t="s">
        <v>938</v>
      </c>
      <c r="AL35" t="s">
        <v>939</v>
      </c>
      <c r="AM35" t="s">
        <v>940</v>
      </c>
      <c r="AN35" t="s">
        <v>941</v>
      </c>
      <c r="AO35" t="s">
        <v>942</v>
      </c>
    </row>
    <row r="36" spans="1:41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s="2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952</v>
      </c>
      <c r="O36" t="s">
        <v>953</v>
      </c>
      <c r="P36" t="s">
        <v>954</v>
      </c>
      <c r="Q36" t="s">
        <v>955</v>
      </c>
      <c r="R36" t="s">
        <v>956</v>
      </c>
      <c r="S36" t="s">
        <v>943</v>
      </c>
      <c r="T36" t="s">
        <v>949</v>
      </c>
      <c r="U36" t="s">
        <v>949</v>
      </c>
      <c r="V36" t="s">
        <v>957</v>
      </c>
      <c r="W36" t="s">
        <v>958</v>
      </c>
      <c r="X36" t="s">
        <v>959</v>
      </c>
      <c r="Y36" t="s">
        <v>960</v>
      </c>
      <c r="Z36" t="s">
        <v>961</v>
      </c>
      <c r="AA36" t="s">
        <v>949</v>
      </c>
      <c r="AB36" t="s">
        <v>962</v>
      </c>
      <c r="AC36" t="s">
        <v>963</v>
      </c>
      <c r="AD36" t="s">
        <v>954</v>
      </c>
      <c r="AE36" t="s">
        <v>943</v>
      </c>
      <c r="AF36" t="s">
        <v>943</v>
      </c>
      <c r="AG36" t="s">
        <v>943</v>
      </c>
      <c r="AH36" t="s">
        <v>943</v>
      </c>
      <c r="AI36" t="s">
        <v>957</v>
      </c>
      <c r="AJ36" t="s">
        <v>964</v>
      </c>
      <c r="AK36" t="s">
        <v>965</v>
      </c>
      <c r="AL36" t="s">
        <v>966</v>
      </c>
      <c r="AM36" t="s">
        <v>967</v>
      </c>
      <c r="AN36" t="s">
        <v>968</v>
      </c>
      <c r="AO36" t="s">
        <v>969</v>
      </c>
    </row>
    <row r="37" spans="1:41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s="2" t="s">
        <v>977</v>
      </c>
      <c r="I37" s="2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980</v>
      </c>
      <c r="O37" t="s">
        <v>981</v>
      </c>
      <c r="P37" t="s">
        <v>970</v>
      </c>
      <c r="Q37" t="s">
        <v>982</v>
      </c>
      <c r="R37" t="s">
        <v>983</v>
      </c>
      <c r="S37" t="s">
        <v>984</v>
      </c>
      <c r="T37" t="s">
        <v>985</v>
      </c>
      <c r="U37" t="s">
        <v>986</v>
      </c>
      <c r="V37" t="s">
        <v>987</v>
      </c>
      <c r="W37" s="2" t="s">
        <v>988</v>
      </c>
      <c r="X37" t="s">
        <v>974</v>
      </c>
      <c r="Y37" t="s">
        <v>989</v>
      </c>
      <c r="Z37" t="s">
        <v>985</v>
      </c>
      <c r="AA37" t="s">
        <v>990</v>
      </c>
      <c r="AB37" t="s">
        <v>991</v>
      </c>
      <c r="AC37" t="s">
        <v>992</v>
      </c>
      <c r="AD37" t="s">
        <v>993</v>
      </c>
      <c r="AE37" t="s">
        <v>994</v>
      </c>
      <c r="AF37" t="s">
        <v>995</v>
      </c>
      <c r="AG37" t="s">
        <v>996</v>
      </c>
      <c r="AH37" t="s">
        <v>997</v>
      </c>
      <c r="AI37" t="s">
        <v>998</v>
      </c>
      <c r="AJ37" t="s">
        <v>990</v>
      </c>
      <c r="AK37" t="s">
        <v>999</v>
      </c>
      <c r="AL37" t="s">
        <v>1000</v>
      </c>
      <c r="AM37" t="s">
        <v>1001</v>
      </c>
      <c r="AN37" t="s">
        <v>1002</v>
      </c>
      <c r="AO37" t="s">
        <v>1003</v>
      </c>
    </row>
    <row r="38" spans="1:41">
      <c r="A38" s="1" t="s">
        <v>1004</v>
      </c>
      <c r="B38" t="s">
        <v>1005</v>
      </c>
      <c r="C38" t="s">
        <v>1006</v>
      </c>
      <c r="D38" t="s">
        <v>1007</v>
      </c>
      <c r="E38" t="s">
        <v>1008</v>
      </c>
      <c r="F38" t="s">
        <v>1009</v>
      </c>
      <c r="G38" t="s">
        <v>1010</v>
      </c>
      <c r="H38" s="2" t="s">
        <v>1011</v>
      </c>
      <c r="I38" s="2" t="s">
        <v>1012</v>
      </c>
      <c r="J38" t="s">
        <v>1013</v>
      </c>
      <c r="K38" t="s">
        <v>1014</v>
      </c>
      <c r="L38" t="s">
        <v>1015</v>
      </c>
      <c r="M38" t="s">
        <v>1016</v>
      </c>
      <c r="N38" t="s">
        <v>1017</v>
      </c>
      <c r="O38" t="s">
        <v>1004</v>
      </c>
      <c r="P38" t="s">
        <v>1015</v>
      </c>
      <c r="Q38" t="s">
        <v>1018</v>
      </c>
      <c r="R38" t="s">
        <v>1019</v>
      </c>
      <c r="S38" t="s">
        <v>1020</v>
      </c>
      <c r="T38" t="s">
        <v>1004</v>
      </c>
      <c r="U38" t="s">
        <v>1021</v>
      </c>
      <c r="V38" t="s">
        <v>1004</v>
      </c>
      <c r="W38" s="2" t="s">
        <v>1022</v>
      </c>
      <c r="X38" t="s">
        <v>1013</v>
      </c>
      <c r="Y38" t="s">
        <v>1023</v>
      </c>
      <c r="Z38" t="s">
        <v>1013</v>
      </c>
      <c r="AA38" t="s">
        <v>1004</v>
      </c>
      <c r="AB38" t="s">
        <v>1024</v>
      </c>
      <c r="AC38" t="s">
        <v>1004</v>
      </c>
      <c r="AD38" t="s">
        <v>1025</v>
      </c>
      <c r="AE38" t="s">
        <v>1004</v>
      </c>
      <c r="AF38" t="s">
        <v>1023</v>
      </c>
      <c r="AG38" t="s">
        <v>1026</v>
      </c>
      <c r="AH38" t="s">
        <v>1013</v>
      </c>
      <c r="AI38" t="s">
        <v>1004</v>
      </c>
      <c r="AJ38" t="s">
        <v>1027</v>
      </c>
      <c r="AK38" t="s">
        <v>1028</v>
      </c>
      <c r="AL38" t="s">
        <v>1029</v>
      </c>
      <c r="AM38" t="s">
        <v>1004</v>
      </c>
      <c r="AN38" t="s">
        <v>1030</v>
      </c>
      <c r="AO38" t="s">
        <v>1031</v>
      </c>
    </row>
    <row r="39" spans="1:41">
      <c r="A39" s="1" t="s">
        <v>1032</v>
      </c>
      <c r="B39" t="s">
        <v>1033</v>
      </c>
      <c r="C39" t="s">
        <v>1034</v>
      </c>
      <c r="D39" t="s">
        <v>1035</v>
      </c>
      <c r="E39" t="s">
        <v>1036</v>
      </c>
      <c r="F39" t="s">
        <v>1037</v>
      </c>
      <c r="G39" t="s">
        <v>1032</v>
      </c>
      <c r="H39" s="2" t="s">
        <v>1038</v>
      </c>
      <c r="I39" s="2" t="s">
        <v>1039</v>
      </c>
      <c r="J39" t="s">
        <v>1040</v>
      </c>
      <c r="K39" t="s">
        <v>1041</v>
      </c>
      <c r="L39" t="s">
        <v>1042</v>
      </c>
      <c r="M39" t="s">
        <v>1043</v>
      </c>
      <c r="N39" t="s">
        <v>1044</v>
      </c>
      <c r="O39" t="s">
        <v>1045</v>
      </c>
      <c r="P39" t="s">
        <v>1046</v>
      </c>
      <c r="Q39" t="s">
        <v>1047</v>
      </c>
      <c r="R39" t="s">
        <v>1048</v>
      </c>
      <c r="S39" t="s">
        <v>1049</v>
      </c>
      <c r="T39" t="s">
        <v>1050</v>
      </c>
      <c r="U39" t="s">
        <v>1051</v>
      </c>
      <c r="V39" t="s">
        <v>1032</v>
      </c>
      <c r="W39" s="2" t="s">
        <v>1052</v>
      </c>
      <c r="X39" t="s">
        <v>1040</v>
      </c>
      <c r="Y39" t="s">
        <v>1053</v>
      </c>
      <c r="Z39" t="s">
        <v>1054</v>
      </c>
      <c r="AA39" t="s">
        <v>1032</v>
      </c>
      <c r="AB39" t="s">
        <v>1055</v>
      </c>
      <c r="AC39" t="s">
        <v>1056</v>
      </c>
      <c r="AD39" t="s">
        <v>1057</v>
      </c>
      <c r="AE39" t="s">
        <v>1058</v>
      </c>
      <c r="AF39" t="s">
        <v>1059</v>
      </c>
      <c r="AG39" t="s">
        <v>1041</v>
      </c>
      <c r="AH39" t="s">
        <v>1060</v>
      </c>
      <c r="AI39" t="s">
        <v>1050</v>
      </c>
      <c r="AJ39" t="s">
        <v>1061</v>
      </c>
      <c r="AK39" t="s">
        <v>1062</v>
      </c>
      <c r="AL39" t="s">
        <v>1063</v>
      </c>
      <c r="AM39" t="s">
        <v>1032</v>
      </c>
      <c r="AN39" t="s">
        <v>1064</v>
      </c>
      <c r="AO39" t="s">
        <v>1065</v>
      </c>
    </row>
    <row r="40" spans="1:41">
      <c r="A40" t="s">
        <v>1066</v>
      </c>
      <c r="B40" t="s">
        <v>1067</v>
      </c>
      <c r="C40" t="s">
        <v>1068</v>
      </c>
      <c r="D40" t="s">
        <v>1069</v>
      </c>
      <c r="E40" t="s">
        <v>1070</v>
      </c>
      <c r="F40" t="s">
        <v>1071</v>
      </c>
      <c r="G40" t="s">
        <v>1072</v>
      </c>
      <c r="H40" s="2" t="s">
        <v>1073</v>
      </c>
      <c r="I40" s="2" t="s">
        <v>1073</v>
      </c>
      <c r="J40" t="s">
        <v>1074</v>
      </c>
      <c r="K40" t="s">
        <v>1075</v>
      </c>
      <c r="L40" t="s">
        <v>1076</v>
      </c>
      <c r="M40" t="s">
        <v>1077</v>
      </c>
      <c r="N40" t="s">
        <v>1078</v>
      </c>
      <c r="O40" t="s">
        <v>1079</v>
      </c>
      <c r="P40" t="s">
        <v>1076</v>
      </c>
      <c r="Q40" t="s">
        <v>1080</v>
      </c>
      <c r="R40" t="s">
        <v>1081</v>
      </c>
      <c r="S40" t="s">
        <v>1082</v>
      </c>
      <c r="T40" t="s">
        <v>1083</v>
      </c>
      <c r="U40" t="s">
        <v>1084</v>
      </c>
      <c r="V40" t="s">
        <v>1085</v>
      </c>
      <c r="W40" s="2" t="s">
        <v>1086</v>
      </c>
      <c r="X40" t="s">
        <v>1087</v>
      </c>
      <c r="Y40" t="s">
        <v>1088</v>
      </c>
      <c r="Z40" t="s">
        <v>1089</v>
      </c>
      <c r="AA40" t="s">
        <v>1090</v>
      </c>
      <c r="AB40" t="s">
        <v>1091</v>
      </c>
      <c r="AC40" t="s">
        <v>1092</v>
      </c>
      <c r="AD40" t="s">
        <v>1093</v>
      </c>
      <c r="AE40" t="s">
        <v>1090</v>
      </c>
      <c r="AF40" t="s">
        <v>1088</v>
      </c>
      <c r="AG40" t="s">
        <v>1094</v>
      </c>
      <c r="AH40" t="s">
        <v>1095</v>
      </c>
      <c r="AI40" t="s">
        <v>1096</v>
      </c>
      <c r="AJ40" t="s">
        <v>1076</v>
      </c>
      <c r="AK40" t="s">
        <v>1097</v>
      </c>
      <c r="AL40" t="s">
        <v>1098</v>
      </c>
      <c r="AM40" t="s">
        <v>1099</v>
      </c>
      <c r="AN40" t="s">
        <v>1100</v>
      </c>
      <c r="AO40" t="s">
        <v>1101</v>
      </c>
    </row>
    <row r="41" spans="1:41">
      <c r="A41" t="s">
        <v>1102</v>
      </c>
      <c r="B41" t="s">
        <v>1103</v>
      </c>
      <c r="C41" t="s">
        <v>1104</v>
      </c>
      <c r="D41" t="s">
        <v>1105</v>
      </c>
      <c r="E41" t="s">
        <v>1106</v>
      </c>
      <c r="F41" t="s">
        <v>1107</v>
      </c>
      <c r="G41" t="s">
        <v>1108</v>
      </c>
      <c r="H41" s="2" t="s">
        <v>1109</v>
      </c>
      <c r="I41" s="2" t="s">
        <v>1109</v>
      </c>
      <c r="J41" t="s">
        <v>1110</v>
      </c>
      <c r="K41" t="s">
        <v>1111</v>
      </c>
      <c r="L41" t="s">
        <v>1112</v>
      </c>
      <c r="M41" t="s">
        <v>1113</v>
      </c>
      <c r="N41" t="s">
        <v>1114</v>
      </c>
      <c r="O41" t="s">
        <v>1115</v>
      </c>
      <c r="P41" t="s">
        <v>1112</v>
      </c>
      <c r="Q41" t="s">
        <v>1116</v>
      </c>
      <c r="R41" t="s">
        <v>1117</v>
      </c>
      <c r="S41" t="s">
        <v>1118</v>
      </c>
      <c r="T41" t="s">
        <v>1119</v>
      </c>
      <c r="U41" t="s">
        <v>1102</v>
      </c>
      <c r="V41" t="s">
        <v>1119</v>
      </c>
      <c r="W41" s="2" t="s">
        <v>1120</v>
      </c>
      <c r="X41" t="s">
        <v>1110</v>
      </c>
      <c r="Y41" t="s">
        <v>1121</v>
      </c>
      <c r="Z41" t="s">
        <v>1122</v>
      </c>
      <c r="AA41" t="s">
        <v>1119</v>
      </c>
      <c r="AB41" t="s">
        <v>1123</v>
      </c>
      <c r="AC41" t="s">
        <v>1124</v>
      </c>
      <c r="AD41" t="s">
        <v>1125</v>
      </c>
      <c r="AE41" t="s">
        <v>1119</v>
      </c>
      <c r="AF41" t="s">
        <v>1121</v>
      </c>
      <c r="AG41" t="s">
        <v>1126</v>
      </c>
      <c r="AH41" t="s">
        <v>1110</v>
      </c>
      <c r="AI41" t="s">
        <v>1119</v>
      </c>
      <c r="AJ41" t="s">
        <v>1112</v>
      </c>
      <c r="AK41" t="s">
        <v>1127</v>
      </c>
      <c r="AL41" t="s">
        <v>1128</v>
      </c>
      <c r="AM41" t="s">
        <v>1129</v>
      </c>
      <c r="AN41" t="s">
        <v>1130</v>
      </c>
      <c r="AO41" t="s">
        <v>1131</v>
      </c>
    </row>
    <row r="42" spans="1:41">
      <c r="A42" t="s">
        <v>1132</v>
      </c>
      <c r="B42" t="s">
        <v>1133</v>
      </c>
      <c r="C42" t="s">
        <v>1134</v>
      </c>
      <c r="D42" t="s">
        <v>1135</v>
      </c>
      <c r="E42" t="s">
        <v>1136</v>
      </c>
      <c r="F42" t="s">
        <v>1137</v>
      </c>
      <c r="G42" t="s">
        <v>1132</v>
      </c>
      <c r="H42" s="2" t="s">
        <v>1138</v>
      </c>
      <c r="I42" s="2" t="s">
        <v>1138</v>
      </c>
      <c r="J42" t="s">
        <v>1139</v>
      </c>
      <c r="K42" t="s">
        <v>1140</v>
      </c>
      <c r="L42" t="s">
        <v>1132</v>
      </c>
      <c r="M42" t="s">
        <v>1132</v>
      </c>
      <c r="N42" t="s">
        <v>1132</v>
      </c>
      <c r="O42" t="s">
        <v>1141</v>
      </c>
      <c r="P42" t="s">
        <v>1132</v>
      </c>
      <c r="Q42" t="s">
        <v>1142</v>
      </c>
      <c r="R42" t="s">
        <v>1143</v>
      </c>
      <c r="S42" t="s">
        <v>1144</v>
      </c>
      <c r="T42" t="s">
        <v>1132</v>
      </c>
      <c r="U42" t="s">
        <v>1132</v>
      </c>
      <c r="V42" t="s">
        <v>1145</v>
      </c>
      <c r="W42" s="2" t="s">
        <v>1146</v>
      </c>
      <c r="X42" t="s">
        <v>1139</v>
      </c>
      <c r="Y42" t="s">
        <v>1147</v>
      </c>
      <c r="Z42" t="s">
        <v>1148</v>
      </c>
      <c r="AA42" t="s">
        <v>1132</v>
      </c>
      <c r="AB42" t="s">
        <v>1149</v>
      </c>
      <c r="AC42" t="s">
        <v>1150</v>
      </c>
      <c r="AD42" t="s">
        <v>1132</v>
      </c>
      <c r="AE42" t="s">
        <v>1150</v>
      </c>
      <c r="AF42" t="s">
        <v>1147</v>
      </c>
      <c r="AG42" t="s">
        <v>1140</v>
      </c>
      <c r="AH42" t="s">
        <v>1151</v>
      </c>
      <c r="AI42" t="s">
        <v>1132</v>
      </c>
      <c r="AJ42" t="s">
        <v>1132</v>
      </c>
      <c r="AK42" t="s">
        <v>1152</v>
      </c>
      <c r="AL42" t="s">
        <v>1153</v>
      </c>
      <c r="AM42" t="s">
        <v>1154</v>
      </c>
      <c r="AN42" t="s">
        <v>1155</v>
      </c>
      <c r="AO42" t="s">
        <v>1156</v>
      </c>
    </row>
    <row r="43" spans="1:41">
      <c r="A43" s="1" t="s">
        <v>1157</v>
      </c>
      <c r="B43" t="s">
        <v>1158</v>
      </c>
      <c r="C43" t="s">
        <v>1159</v>
      </c>
      <c r="D43" t="s">
        <v>1160</v>
      </c>
      <c r="E43" t="s">
        <v>1161</v>
      </c>
      <c r="F43" t="s">
        <v>1162</v>
      </c>
      <c r="G43" t="s">
        <v>1163</v>
      </c>
      <c r="H43" s="2" t="s">
        <v>1164</v>
      </c>
      <c r="I43" s="2" t="s">
        <v>1164</v>
      </c>
      <c r="J43" t="s">
        <v>1165</v>
      </c>
      <c r="K43" t="s">
        <v>1166</v>
      </c>
      <c r="L43" t="s">
        <v>1167</v>
      </c>
      <c r="M43" t="s">
        <v>1168</v>
      </c>
      <c r="N43" t="s">
        <v>1169</v>
      </c>
      <c r="O43" t="s">
        <v>1170</v>
      </c>
      <c r="P43" t="s">
        <v>1167</v>
      </c>
      <c r="Q43" t="s">
        <v>1171</v>
      </c>
      <c r="R43" t="s">
        <v>1172</v>
      </c>
      <c r="S43" t="s">
        <v>1173</v>
      </c>
      <c r="T43" t="s">
        <v>1174</v>
      </c>
      <c r="U43" t="s">
        <v>1175</v>
      </c>
      <c r="V43" t="s">
        <v>1176</v>
      </c>
      <c r="W43" s="2" t="s">
        <v>1177</v>
      </c>
      <c r="X43" t="s">
        <v>1178</v>
      </c>
      <c r="Y43" t="s">
        <v>1179</v>
      </c>
      <c r="Z43" t="s">
        <v>1180</v>
      </c>
      <c r="AA43" t="s">
        <v>1167</v>
      </c>
      <c r="AB43" t="s">
        <v>1181</v>
      </c>
      <c r="AC43" t="s">
        <v>1182</v>
      </c>
      <c r="AD43" t="s">
        <v>1183</v>
      </c>
      <c r="AE43" t="s">
        <v>1184</v>
      </c>
      <c r="AF43" t="s">
        <v>1185</v>
      </c>
      <c r="AG43" t="s">
        <v>1186</v>
      </c>
      <c r="AH43" t="s">
        <v>1187</v>
      </c>
      <c r="AI43" t="s">
        <v>1188</v>
      </c>
      <c r="AJ43" t="s">
        <v>1189</v>
      </c>
      <c r="AK43" t="s">
        <v>1190</v>
      </c>
      <c r="AL43" t="s">
        <v>1191</v>
      </c>
      <c r="AM43" t="s">
        <v>1157</v>
      </c>
      <c r="AN43" t="s">
        <v>1192</v>
      </c>
      <c r="AO43" t="s">
        <v>1193</v>
      </c>
    </row>
    <row r="44" spans="1:41">
      <c r="A44" t="s">
        <v>1194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s="2" t="s">
        <v>1201</v>
      </c>
      <c r="I44" s="2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1207</v>
      </c>
      <c r="O44" t="s">
        <v>1208</v>
      </c>
      <c r="P44" t="s">
        <v>1209</v>
      </c>
      <c r="Q44" t="s">
        <v>1210</v>
      </c>
      <c r="R44" t="s">
        <v>1211</v>
      </c>
      <c r="S44" t="s">
        <v>1212</v>
      </c>
      <c r="T44" t="s">
        <v>1194</v>
      </c>
      <c r="U44" t="s">
        <v>1194</v>
      </c>
      <c r="V44" t="s">
        <v>1213</v>
      </c>
      <c r="W44" s="2" t="s">
        <v>1214</v>
      </c>
      <c r="X44" t="s">
        <v>1215</v>
      </c>
      <c r="Y44" t="s">
        <v>1216</v>
      </c>
      <c r="Z44" t="s">
        <v>1217</v>
      </c>
      <c r="AA44" t="s">
        <v>1205</v>
      </c>
      <c r="AB44" t="s">
        <v>1218</v>
      </c>
      <c r="AC44" t="s">
        <v>1219</v>
      </c>
      <c r="AD44" t="s">
        <v>1200</v>
      </c>
      <c r="AE44" t="s">
        <v>1220</v>
      </c>
      <c r="AF44" t="s">
        <v>1216</v>
      </c>
      <c r="AG44" t="s">
        <v>1204</v>
      </c>
      <c r="AH44" t="s">
        <v>1203</v>
      </c>
      <c r="AI44" t="s">
        <v>1200</v>
      </c>
      <c r="AJ44" t="s">
        <v>1205</v>
      </c>
      <c r="AK44" t="s">
        <v>1221</v>
      </c>
      <c r="AL44" t="s">
        <v>1198</v>
      </c>
      <c r="AM44" t="s">
        <v>1222</v>
      </c>
      <c r="AN44" t="s">
        <v>1223</v>
      </c>
      <c r="AO44" t="s">
        <v>1224</v>
      </c>
    </row>
    <row r="45" spans="1:41">
      <c r="A45" s="1" t="s">
        <v>1225</v>
      </c>
      <c r="B45" t="s">
        <v>1226</v>
      </c>
      <c r="C45" t="s">
        <v>1227</v>
      </c>
      <c r="D45" t="s">
        <v>1228</v>
      </c>
      <c r="E45" t="s">
        <v>1229</v>
      </c>
      <c r="F45" t="s">
        <v>1230</v>
      </c>
      <c r="G45" t="s">
        <v>1231</v>
      </c>
      <c r="H45" s="2" t="s">
        <v>1232</v>
      </c>
      <c r="I45" s="2" t="s">
        <v>1233</v>
      </c>
      <c r="J45" t="s">
        <v>1234</v>
      </c>
      <c r="K45" t="s">
        <v>1234</v>
      </c>
      <c r="L45" t="s">
        <v>1225</v>
      </c>
      <c r="M45" t="s">
        <v>1235</v>
      </c>
      <c r="N45" t="s">
        <v>1225</v>
      </c>
      <c r="O45" t="s">
        <v>1236</v>
      </c>
      <c r="P45" t="s">
        <v>1225</v>
      </c>
      <c r="Q45" t="s">
        <v>1237</v>
      </c>
      <c r="R45" t="s">
        <v>1238</v>
      </c>
      <c r="S45" t="s">
        <v>1239</v>
      </c>
      <c r="T45" t="s">
        <v>1240</v>
      </c>
      <c r="U45" t="s">
        <v>1241</v>
      </c>
      <c r="V45" t="s">
        <v>1242</v>
      </c>
      <c r="W45" s="2" t="s">
        <v>1243</v>
      </c>
      <c r="X45" t="s">
        <v>1240</v>
      </c>
      <c r="Y45" t="s">
        <v>1244</v>
      </c>
      <c r="Z45" t="s">
        <v>1240</v>
      </c>
      <c r="AA45" t="s">
        <v>1240</v>
      </c>
      <c r="AB45" t="s">
        <v>1245</v>
      </c>
      <c r="AC45" t="s">
        <v>1240</v>
      </c>
      <c r="AD45" t="s">
        <v>1246</v>
      </c>
      <c r="AE45" t="s">
        <v>1242</v>
      </c>
      <c r="AF45" t="s">
        <v>1247</v>
      </c>
      <c r="AG45" t="s">
        <v>1234</v>
      </c>
      <c r="AH45" t="s">
        <v>1234</v>
      </c>
      <c r="AI45" t="s">
        <v>1248</v>
      </c>
      <c r="AJ45" t="s">
        <v>1240</v>
      </c>
      <c r="AK45" t="s">
        <v>1249</v>
      </c>
      <c r="AL45" t="s">
        <v>1229</v>
      </c>
      <c r="AM45" t="s">
        <v>1240</v>
      </c>
      <c r="AN45" t="s">
        <v>1250</v>
      </c>
      <c r="AO45" t="s">
        <v>1251</v>
      </c>
    </row>
    <row r="46" spans="1:41">
      <c r="A46" s="1" t="s">
        <v>1252</v>
      </c>
      <c r="B46" t="s">
        <v>1253</v>
      </c>
      <c r="C46" t="s">
        <v>1254</v>
      </c>
      <c r="D46" t="s">
        <v>1252</v>
      </c>
      <c r="E46" t="s">
        <v>1252</v>
      </c>
      <c r="F46" t="s">
        <v>1255</v>
      </c>
      <c r="G46" t="s">
        <v>1256</v>
      </c>
      <c r="H46" s="2" t="s">
        <v>1257</v>
      </c>
      <c r="I46" s="2" t="s">
        <v>1258</v>
      </c>
      <c r="J46" t="s">
        <v>1259</v>
      </c>
      <c r="K46" s="1" t="s">
        <v>1260</v>
      </c>
      <c r="L46" s="1" t="s">
        <v>1261</v>
      </c>
      <c r="M46" t="s">
        <v>1262</v>
      </c>
      <c r="N46" t="s">
        <v>1263</v>
      </c>
      <c r="O46" t="s">
        <v>1264</v>
      </c>
      <c r="P46" s="1" t="s">
        <v>1265</v>
      </c>
      <c r="Q46" t="s">
        <v>1252</v>
      </c>
      <c r="R46" t="s">
        <v>1266</v>
      </c>
      <c r="S46" t="s">
        <v>1267</v>
      </c>
      <c r="T46" t="s">
        <v>1268</v>
      </c>
      <c r="U46" t="s">
        <v>1269</v>
      </c>
      <c r="V46" s="1" t="s">
        <v>2886</v>
      </c>
      <c r="W46" s="2" t="s">
        <v>1270</v>
      </c>
      <c r="X46" t="s">
        <v>1271</v>
      </c>
      <c r="Y46" t="s">
        <v>1272</v>
      </c>
      <c r="Z46" t="s">
        <v>1271</v>
      </c>
      <c r="AA46" s="1" t="s">
        <v>1261</v>
      </c>
      <c r="AB46" t="s">
        <v>1273</v>
      </c>
      <c r="AC46" s="1" t="s">
        <v>1274</v>
      </c>
      <c r="AD46" s="1" t="s">
        <v>1256</v>
      </c>
      <c r="AE46" t="s">
        <v>1275</v>
      </c>
      <c r="AF46" t="s">
        <v>1276</v>
      </c>
      <c r="AG46" t="s">
        <v>1260</v>
      </c>
      <c r="AH46" t="s">
        <v>1252</v>
      </c>
      <c r="AI46" t="s">
        <v>1277</v>
      </c>
      <c r="AJ46" t="s">
        <v>1252</v>
      </c>
      <c r="AK46" t="s">
        <v>1278</v>
      </c>
      <c r="AL46" t="s">
        <v>1279</v>
      </c>
      <c r="AM46" s="1" t="s">
        <v>1280</v>
      </c>
      <c r="AN46" t="s">
        <v>1281</v>
      </c>
      <c r="AO46" t="s">
        <v>1282</v>
      </c>
    </row>
    <row r="47" spans="1:41">
      <c r="A47" t="s">
        <v>1283</v>
      </c>
      <c r="B47" t="s">
        <v>1284</v>
      </c>
      <c r="C47" t="s">
        <v>1285</v>
      </c>
      <c r="D47" t="s">
        <v>1286</v>
      </c>
      <c r="E47" t="s">
        <v>1287</v>
      </c>
      <c r="F47" t="s">
        <v>1288</v>
      </c>
      <c r="G47" t="s">
        <v>1289</v>
      </c>
      <c r="H47" s="2" t="s">
        <v>1290</v>
      </c>
      <c r="I47" s="2" t="s">
        <v>1291</v>
      </c>
      <c r="J47" t="s">
        <v>1292</v>
      </c>
      <c r="K47" t="s">
        <v>1293</v>
      </c>
      <c r="L47" t="s">
        <v>1283</v>
      </c>
      <c r="M47" t="s">
        <v>1283</v>
      </c>
      <c r="N47" t="s">
        <v>1294</v>
      </c>
      <c r="O47" t="s">
        <v>1295</v>
      </c>
      <c r="P47" t="s">
        <v>1296</v>
      </c>
      <c r="Q47" t="s">
        <v>1297</v>
      </c>
      <c r="R47" t="s">
        <v>1298</v>
      </c>
      <c r="S47" t="s">
        <v>1299</v>
      </c>
      <c r="T47" t="s">
        <v>1300</v>
      </c>
      <c r="U47" t="s">
        <v>1296</v>
      </c>
      <c r="V47" t="s">
        <v>1300</v>
      </c>
      <c r="W47" s="2" t="s">
        <v>1301</v>
      </c>
      <c r="X47" t="s">
        <v>1302</v>
      </c>
      <c r="Y47" t="s">
        <v>1303</v>
      </c>
      <c r="Z47" t="s">
        <v>1304</v>
      </c>
      <c r="AA47" t="s">
        <v>1283</v>
      </c>
      <c r="AB47" t="s">
        <v>1305</v>
      </c>
      <c r="AC47" t="s">
        <v>1300</v>
      </c>
      <c r="AD47" t="s">
        <v>1306</v>
      </c>
      <c r="AE47" t="s">
        <v>1307</v>
      </c>
      <c r="AF47" t="s">
        <v>1303</v>
      </c>
      <c r="AG47" t="s">
        <v>1308</v>
      </c>
      <c r="AH47" t="s">
        <v>1292</v>
      </c>
      <c r="AI47" t="s">
        <v>1300</v>
      </c>
      <c r="AJ47" t="s">
        <v>1283</v>
      </c>
      <c r="AK47" t="s">
        <v>1309</v>
      </c>
      <c r="AL47" t="s">
        <v>1287</v>
      </c>
      <c r="AM47" t="s">
        <v>1310</v>
      </c>
      <c r="AN47" t="s">
        <v>1311</v>
      </c>
      <c r="AO47" t="s">
        <v>1312</v>
      </c>
    </row>
    <row r="48" spans="1:41">
      <c r="A48" t="s">
        <v>1313</v>
      </c>
      <c r="B48" t="s">
        <v>1314</v>
      </c>
      <c r="C48" t="s">
        <v>1315</v>
      </c>
      <c r="D48" t="s">
        <v>1313</v>
      </c>
      <c r="E48" t="s">
        <v>1316</v>
      </c>
      <c r="F48" t="s">
        <v>1317</v>
      </c>
      <c r="G48" t="s">
        <v>1318</v>
      </c>
      <c r="H48" s="2" t="s">
        <v>1319</v>
      </c>
      <c r="I48" s="2" t="s">
        <v>1320</v>
      </c>
      <c r="J48" t="s">
        <v>1321</v>
      </c>
      <c r="K48" t="s">
        <v>1322</v>
      </c>
      <c r="L48" t="s">
        <v>1323</v>
      </c>
      <c r="M48" t="s">
        <v>1324</v>
      </c>
      <c r="N48" t="s">
        <v>1325</v>
      </c>
      <c r="O48" t="s">
        <v>1326</v>
      </c>
      <c r="P48" t="s">
        <v>1327</v>
      </c>
      <c r="Q48" t="s">
        <v>1328</v>
      </c>
      <c r="R48" t="s">
        <v>1329</v>
      </c>
      <c r="S48" t="s">
        <v>1330</v>
      </c>
      <c r="T48" t="s">
        <v>1331</v>
      </c>
      <c r="U48" t="s">
        <v>1323</v>
      </c>
      <c r="V48" t="s">
        <v>1332</v>
      </c>
      <c r="W48" s="2" t="s">
        <v>1333</v>
      </c>
      <c r="X48" t="s">
        <v>1334</v>
      </c>
      <c r="Y48" t="s">
        <v>1335</v>
      </c>
      <c r="Z48" t="s">
        <v>1336</v>
      </c>
      <c r="AA48" t="s">
        <v>1324</v>
      </c>
      <c r="AB48" t="s">
        <v>1337</v>
      </c>
      <c r="AC48" t="s">
        <v>1338</v>
      </c>
      <c r="AD48" t="s">
        <v>1339</v>
      </c>
      <c r="AE48" t="s">
        <v>1332</v>
      </c>
      <c r="AF48" t="s">
        <v>1340</v>
      </c>
      <c r="AG48" t="s">
        <v>1322</v>
      </c>
      <c r="AH48" t="s">
        <v>1321</v>
      </c>
      <c r="AI48" t="s">
        <v>1341</v>
      </c>
      <c r="AJ48" t="s">
        <v>1342</v>
      </c>
      <c r="AK48" t="s">
        <v>1343</v>
      </c>
      <c r="AL48" t="s">
        <v>1344</v>
      </c>
      <c r="AM48" t="s">
        <v>1345</v>
      </c>
      <c r="AN48" t="s">
        <v>1346</v>
      </c>
      <c r="AO48" t="s">
        <v>1347</v>
      </c>
    </row>
    <row r="49" spans="1:41">
      <c r="A49" t="s">
        <v>1348</v>
      </c>
      <c r="B49" t="s">
        <v>1349</v>
      </c>
      <c r="C49" t="s">
        <v>1350</v>
      </c>
      <c r="D49" t="s">
        <v>1351</v>
      </c>
      <c r="E49" t="s">
        <v>1352</v>
      </c>
      <c r="F49" t="s">
        <v>1353</v>
      </c>
      <c r="G49" t="s">
        <v>1354</v>
      </c>
      <c r="H49" s="2" t="s">
        <v>1355</v>
      </c>
      <c r="I49" s="2" t="s">
        <v>1356</v>
      </c>
      <c r="J49" t="s">
        <v>1357</v>
      </c>
      <c r="K49" t="s">
        <v>1358</v>
      </c>
      <c r="L49" t="s">
        <v>1359</v>
      </c>
      <c r="M49" t="s">
        <v>1360</v>
      </c>
      <c r="N49" t="s">
        <v>1361</v>
      </c>
      <c r="O49" t="s">
        <v>1362</v>
      </c>
      <c r="P49" t="s">
        <v>1363</v>
      </c>
      <c r="Q49" t="s">
        <v>1364</v>
      </c>
      <c r="R49" t="s">
        <v>1365</v>
      </c>
      <c r="S49" t="s">
        <v>1366</v>
      </c>
      <c r="T49" t="s">
        <v>1367</v>
      </c>
      <c r="U49" t="s">
        <v>1368</v>
      </c>
      <c r="V49" t="s">
        <v>1369</v>
      </c>
      <c r="W49" s="2" t="s">
        <v>1370</v>
      </c>
      <c r="X49" t="s">
        <v>1371</v>
      </c>
      <c r="Y49" t="s">
        <v>1372</v>
      </c>
      <c r="Z49" t="s">
        <v>1373</v>
      </c>
      <c r="AA49" t="s">
        <v>1374</v>
      </c>
      <c r="AB49" t="s">
        <v>1375</v>
      </c>
      <c r="AC49" t="s">
        <v>1376</v>
      </c>
      <c r="AD49" t="s">
        <v>1377</v>
      </c>
      <c r="AE49" t="s">
        <v>1378</v>
      </c>
      <c r="AF49" t="s">
        <v>1372</v>
      </c>
      <c r="AG49" t="s">
        <v>1379</v>
      </c>
      <c r="AH49" t="s">
        <v>1380</v>
      </c>
      <c r="AI49" t="s">
        <v>1381</v>
      </c>
      <c r="AJ49" t="s">
        <v>1359</v>
      </c>
      <c r="AK49" t="s">
        <v>1382</v>
      </c>
      <c r="AL49" t="s">
        <v>1383</v>
      </c>
      <c r="AM49" t="s">
        <v>1384</v>
      </c>
      <c r="AN49" t="s">
        <v>1385</v>
      </c>
      <c r="AO49" t="s">
        <v>1386</v>
      </c>
    </row>
    <row r="50" spans="1:41">
      <c r="A50" s="1" t="s">
        <v>1387</v>
      </c>
      <c r="B50" t="s">
        <v>1388</v>
      </c>
      <c r="C50" t="s">
        <v>1389</v>
      </c>
      <c r="D50" t="s">
        <v>1390</v>
      </c>
      <c r="E50" t="s">
        <v>1391</v>
      </c>
      <c r="F50" t="s">
        <v>1392</v>
      </c>
      <c r="G50" t="s">
        <v>1393</v>
      </c>
      <c r="H50" s="2" t="s">
        <v>1394</v>
      </c>
      <c r="I50" s="2" t="s">
        <v>1395</v>
      </c>
      <c r="J50" t="s">
        <v>1396</v>
      </c>
      <c r="K50" t="s">
        <v>1397</v>
      </c>
      <c r="L50" t="s">
        <v>1398</v>
      </c>
      <c r="M50" t="s">
        <v>1399</v>
      </c>
      <c r="N50" t="s">
        <v>1400</v>
      </c>
      <c r="O50" t="s">
        <v>1401</v>
      </c>
      <c r="P50" t="s">
        <v>1402</v>
      </c>
      <c r="Q50" t="s">
        <v>1403</v>
      </c>
      <c r="R50" t="s">
        <v>1404</v>
      </c>
      <c r="S50" t="s">
        <v>1405</v>
      </c>
      <c r="T50" t="s">
        <v>1406</v>
      </c>
      <c r="U50" t="s">
        <v>1387</v>
      </c>
      <c r="V50" t="s">
        <v>1407</v>
      </c>
      <c r="W50" s="2" t="s">
        <v>1408</v>
      </c>
      <c r="X50" t="s">
        <v>1409</v>
      </c>
      <c r="Y50" t="s">
        <v>1410</v>
      </c>
      <c r="Z50" t="s">
        <v>1411</v>
      </c>
      <c r="AA50" t="s">
        <v>1412</v>
      </c>
      <c r="AB50" t="s">
        <v>1413</v>
      </c>
      <c r="AC50" t="s">
        <v>1414</v>
      </c>
      <c r="AD50" t="s">
        <v>1415</v>
      </c>
      <c r="AE50" t="s">
        <v>1416</v>
      </c>
      <c r="AF50" t="s">
        <v>1410</v>
      </c>
      <c r="AG50" t="s">
        <v>1417</v>
      </c>
      <c r="AH50" t="s">
        <v>1396</v>
      </c>
      <c r="AI50" t="s">
        <v>1418</v>
      </c>
      <c r="AJ50" t="s">
        <v>1412</v>
      </c>
      <c r="AK50" t="s">
        <v>1419</v>
      </c>
      <c r="AL50" t="s">
        <v>1420</v>
      </c>
      <c r="AM50" t="s">
        <v>1387</v>
      </c>
      <c r="AN50" t="s">
        <v>1421</v>
      </c>
      <c r="AO50" t="s">
        <v>1422</v>
      </c>
    </row>
    <row r="51" spans="1:41">
      <c r="A51" s="1" t="s">
        <v>1423</v>
      </c>
      <c r="B51" t="s">
        <v>1423</v>
      </c>
      <c r="C51" t="s">
        <v>1424</v>
      </c>
      <c r="D51" t="s">
        <v>1425</v>
      </c>
      <c r="E51" t="s">
        <v>1426</v>
      </c>
      <c r="F51" t="s">
        <v>1427</v>
      </c>
      <c r="G51" t="s">
        <v>1428</v>
      </c>
      <c r="H51" s="2" t="s">
        <v>1429</v>
      </c>
      <c r="I51" s="2" t="s">
        <v>1429</v>
      </c>
      <c r="J51" t="s">
        <v>1430</v>
      </c>
      <c r="K51" t="s">
        <v>1431</v>
      </c>
      <c r="L51" t="s">
        <v>1432</v>
      </c>
      <c r="M51" t="s">
        <v>1433</v>
      </c>
      <c r="N51" t="s">
        <v>1434</v>
      </c>
      <c r="O51" t="s">
        <v>1435</v>
      </c>
      <c r="P51" t="s">
        <v>1436</v>
      </c>
      <c r="Q51" t="s">
        <v>1437</v>
      </c>
      <c r="R51" t="s">
        <v>1438</v>
      </c>
      <c r="S51" t="s">
        <v>1439</v>
      </c>
      <c r="T51" t="s">
        <v>1423</v>
      </c>
      <c r="U51" t="s">
        <v>1423</v>
      </c>
      <c r="V51" t="s">
        <v>1440</v>
      </c>
      <c r="W51" s="2" t="s">
        <v>1441</v>
      </c>
      <c r="X51" t="s">
        <v>1442</v>
      </c>
      <c r="Y51" t="s">
        <v>1443</v>
      </c>
      <c r="Z51" t="s">
        <v>1444</v>
      </c>
      <c r="AA51" t="s">
        <v>1423</v>
      </c>
      <c r="AB51" t="s">
        <v>1445</v>
      </c>
      <c r="AC51" t="s">
        <v>1446</v>
      </c>
      <c r="AD51" t="s">
        <v>1447</v>
      </c>
      <c r="AE51" t="s">
        <v>1448</v>
      </c>
      <c r="AF51" t="s">
        <v>1443</v>
      </c>
      <c r="AG51" t="s">
        <v>1431</v>
      </c>
      <c r="AH51" t="s">
        <v>1449</v>
      </c>
      <c r="AI51" t="s">
        <v>1450</v>
      </c>
      <c r="AJ51" t="s">
        <v>1451</v>
      </c>
      <c r="AK51" t="s">
        <v>1452</v>
      </c>
      <c r="AL51" t="s">
        <v>1453</v>
      </c>
      <c r="AM51" t="s">
        <v>1423</v>
      </c>
      <c r="AN51" t="s">
        <v>1454</v>
      </c>
      <c r="AO51" t="s">
        <v>1455</v>
      </c>
    </row>
    <row r="52" spans="1:41">
      <c r="A52" t="s">
        <v>1456</v>
      </c>
      <c r="B52" t="s">
        <v>1457</v>
      </c>
      <c r="C52" t="s">
        <v>1458</v>
      </c>
      <c r="D52" t="s">
        <v>1459</v>
      </c>
      <c r="E52" t="s">
        <v>1460</v>
      </c>
      <c r="F52" t="s">
        <v>1461</v>
      </c>
      <c r="G52" t="s">
        <v>1462</v>
      </c>
      <c r="H52" s="2" t="s">
        <v>1463</v>
      </c>
      <c r="I52" s="2" t="s">
        <v>1464</v>
      </c>
      <c r="J52" t="s">
        <v>1465</v>
      </c>
      <c r="K52" t="s">
        <v>1466</v>
      </c>
      <c r="L52" t="s">
        <v>1467</v>
      </c>
      <c r="M52" t="s">
        <v>1468</v>
      </c>
      <c r="N52" t="s">
        <v>1469</v>
      </c>
      <c r="O52" t="s">
        <v>1470</v>
      </c>
      <c r="P52" t="s">
        <v>1471</v>
      </c>
      <c r="Q52" t="s">
        <v>1472</v>
      </c>
      <c r="R52" t="s">
        <v>1473</v>
      </c>
      <c r="S52" t="s">
        <v>1474</v>
      </c>
      <c r="T52" t="s">
        <v>1475</v>
      </c>
      <c r="U52" t="s">
        <v>1476</v>
      </c>
      <c r="V52" t="s">
        <v>1477</v>
      </c>
      <c r="W52" s="2" t="s">
        <v>1478</v>
      </c>
      <c r="X52" t="s">
        <v>1479</v>
      </c>
      <c r="Y52" t="s">
        <v>1480</v>
      </c>
      <c r="Z52" t="s">
        <v>1481</v>
      </c>
      <c r="AA52" t="s">
        <v>1467</v>
      </c>
      <c r="AB52" t="s">
        <v>1482</v>
      </c>
      <c r="AC52" t="s">
        <v>1483</v>
      </c>
      <c r="AD52" t="s">
        <v>1484</v>
      </c>
      <c r="AE52" t="s">
        <v>1477</v>
      </c>
      <c r="AF52" t="s">
        <v>1485</v>
      </c>
      <c r="AG52" t="s">
        <v>1486</v>
      </c>
      <c r="AH52" t="s">
        <v>1487</v>
      </c>
      <c r="AI52" t="s">
        <v>1488</v>
      </c>
      <c r="AJ52" t="s">
        <v>1467</v>
      </c>
      <c r="AK52" t="s">
        <v>1489</v>
      </c>
      <c r="AL52" t="s">
        <v>1490</v>
      </c>
      <c r="AM52" t="s">
        <v>1491</v>
      </c>
      <c r="AN52" t="s">
        <v>1492</v>
      </c>
      <c r="AO52" t="s">
        <v>1493</v>
      </c>
    </row>
    <row r="53" spans="1:41">
      <c r="A53" s="1" t="s">
        <v>2617</v>
      </c>
      <c r="B53" t="s">
        <v>2619</v>
      </c>
      <c r="C53" t="s">
        <v>2620</v>
      </c>
      <c r="D53" t="s">
        <v>2621</v>
      </c>
      <c r="E53" t="s">
        <v>2622</v>
      </c>
      <c r="F53" t="s">
        <v>2623</v>
      </c>
      <c r="G53" t="s">
        <v>2624</v>
      </c>
      <c r="H53" t="s">
        <v>2625</v>
      </c>
      <c r="I53" t="s">
        <v>2626</v>
      </c>
      <c r="J53" t="s">
        <v>2627</v>
      </c>
      <c r="K53" t="s">
        <v>2628</v>
      </c>
      <c r="L53" t="s">
        <v>2629</v>
      </c>
      <c r="M53" t="s">
        <v>2630</v>
      </c>
      <c r="N53" t="s">
        <v>2631</v>
      </c>
      <c r="O53" t="s">
        <v>2632</v>
      </c>
      <c r="P53" t="s">
        <v>2633</v>
      </c>
      <c r="Q53" t="s">
        <v>2634</v>
      </c>
      <c r="R53" t="s">
        <v>2635</v>
      </c>
      <c r="S53" t="s">
        <v>2636</v>
      </c>
      <c r="T53" t="s">
        <v>2617</v>
      </c>
      <c r="U53" t="s">
        <v>2637</v>
      </c>
      <c r="V53" t="s">
        <v>2617</v>
      </c>
      <c r="W53" t="s">
        <v>2638</v>
      </c>
      <c r="X53" t="s">
        <v>2639</v>
      </c>
      <c r="Y53" t="s">
        <v>2640</v>
      </c>
      <c r="Z53" s="1" t="s">
        <v>2649</v>
      </c>
      <c r="AA53" t="s">
        <v>2617</v>
      </c>
      <c r="AB53" t="s">
        <v>2641</v>
      </c>
      <c r="AC53" t="s">
        <v>2642</v>
      </c>
      <c r="AD53" t="s">
        <v>2643</v>
      </c>
      <c r="AE53" t="s">
        <v>2617</v>
      </c>
      <c r="AF53" t="s">
        <v>2640</v>
      </c>
      <c r="AG53" t="s">
        <v>2628</v>
      </c>
      <c r="AH53" t="s">
        <v>2627</v>
      </c>
      <c r="AI53" t="s">
        <v>2644</v>
      </c>
      <c r="AJ53" t="s">
        <v>2629</v>
      </c>
      <c r="AK53" t="s">
        <v>2645</v>
      </c>
      <c r="AL53" t="s">
        <v>2646</v>
      </c>
      <c r="AM53" t="s">
        <v>2617</v>
      </c>
      <c r="AN53" t="s">
        <v>2647</v>
      </c>
      <c r="AO53" t="s">
        <v>2648</v>
      </c>
    </row>
    <row r="54" spans="1:41">
      <c r="A54" s="1" t="s">
        <v>1494</v>
      </c>
      <c r="B54" t="s">
        <v>1495</v>
      </c>
      <c r="C54" t="s">
        <v>1496</v>
      </c>
      <c r="D54" t="s">
        <v>1494</v>
      </c>
      <c r="E54" t="s">
        <v>1494</v>
      </c>
      <c r="F54" t="s">
        <v>1497</v>
      </c>
      <c r="G54" t="s">
        <v>1498</v>
      </c>
      <c r="H54" s="2" t="s">
        <v>1499</v>
      </c>
      <c r="I54" s="2" t="s">
        <v>1500</v>
      </c>
      <c r="J54" t="s">
        <v>1501</v>
      </c>
      <c r="K54" t="s">
        <v>1494</v>
      </c>
      <c r="L54" t="s">
        <v>1494</v>
      </c>
      <c r="M54" t="s">
        <v>1494</v>
      </c>
      <c r="N54" t="s">
        <v>1502</v>
      </c>
      <c r="O54" t="s">
        <v>1503</v>
      </c>
      <c r="P54" t="s">
        <v>1494</v>
      </c>
      <c r="Q54" t="s">
        <v>1504</v>
      </c>
      <c r="R54" t="s">
        <v>1505</v>
      </c>
      <c r="S54" t="s">
        <v>1494</v>
      </c>
      <c r="T54" t="s">
        <v>1494</v>
      </c>
      <c r="U54" t="s">
        <v>1494</v>
      </c>
      <c r="V54" t="s">
        <v>1506</v>
      </c>
      <c r="W54" s="2" t="s">
        <v>1507</v>
      </c>
      <c r="X54" t="s">
        <v>1508</v>
      </c>
      <c r="Y54" t="s">
        <v>1509</v>
      </c>
      <c r="Z54" t="s">
        <v>1510</v>
      </c>
      <c r="AA54" t="s">
        <v>1494</v>
      </c>
      <c r="AB54" t="s">
        <v>1511</v>
      </c>
      <c r="AC54" t="s">
        <v>1512</v>
      </c>
      <c r="AD54" t="s">
        <v>1513</v>
      </c>
      <c r="AE54" t="s">
        <v>1514</v>
      </c>
      <c r="AF54" t="s">
        <v>1509</v>
      </c>
      <c r="AG54" t="s">
        <v>1494</v>
      </c>
      <c r="AH54" t="s">
        <v>1494</v>
      </c>
      <c r="AI54" t="s">
        <v>1515</v>
      </c>
      <c r="AJ54" t="s">
        <v>1510</v>
      </c>
      <c r="AK54" t="s">
        <v>1516</v>
      </c>
      <c r="AL54" t="s">
        <v>1517</v>
      </c>
      <c r="AM54" t="s">
        <v>1518</v>
      </c>
      <c r="AN54" t="s">
        <v>1519</v>
      </c>
      <c r="AO54" t="s">
        <v>1520</v>
      </c>
    </row>
    <row r="55" spans="1:41">
      <c r="A55" t="s">
        <v>1521</v>
      </c>
      <c r="B55" t="s">
        <v>1522</v>
      </c>
      <c r="C55" t="s">
        <v>1523</v>
      </c>
      <c r="D55" t="s">
        <v>1524</v>
      </c>
      <c r="E55" t="s">
        <v>1525</v>
      </c>
      <c r="F55" t="s">
        <v>1526</v>
      </c>
      <c r="G55" t="s">
        <v>1527</v>
      </c>
      <c r="H55" s="2" t="s">
        <v>1528</v>
      </c>
      <c r="I55" s="2" t="s">
        <v>1529</v>
      </c>
      <c r="J55" t="s">
        <v>1530</v>
      </c>
      <c r="K55" t="s">
        <v>1531</v>
      </c>
      <c r="L55" t="s">
        <v>1532</v>
      </c>
      <c r="M55" t="s">
        <v>1533</v>
      </c>
      <c r="N55" t="s">
        <v>1534</v>
      </c>
      <c r="O55" t="s">
        <v>1535</v>
      </c>
      <c r="P55" t="s">
        <v>1532</v>
      </c>
      <c r="Q55" t="s">
        <v>1536</v>
      </c>
      <c r="R55" t="s">
        <v>1537</v>
      </c>
      <c r="S55" t="s">
        <v>1538</v>
      </c>
      <c r="T55" t="s">
        <v>1539</v>
      </c>
      <c r="U55" t="s">
        <v>1521</v>
      </c>
      <c r="V55" t="s">
        <v>1540</v>
      </c>
      <c r="W55" s="2" t="s">
        <v>1541</v>
      </c>
      <c r="X55" t="s">
        <v>1542</v>
      </c>
      <c r="Y55" t="s">
        <v>1543</v>
      </c>
      <c r="Z55" t="s">
        <v>1544</v>
      </c>
      <c r="AA55" t="s">
        <v>1545</v>
      </c>
      <c r="AB55" t="s">
        <v>1546</v>
      </c>
      <c r="AC55" t="s">
        <v>1547</v>
      </c>
      <c r="AD55" t="s">
        <v>1548</v>
      </c>
      <c r="AE55" t="s">
        <v>1549</v>
      </c>
      <c r="AF55" t="s">
        <v>1550</v>
      </c>
      <c r="AG55" t="s">
        <v>1551</v>
      </c>
      <c r="AH55" t="s">
        <v>1552</v>
      </c>
      <c r="AI55" t="s">
        <v>1553</v>
      </c>
      <c r="AJ55" t="s">
        <v>1532</v>
      </c>
      <c r="AK55" t="s">
        <v>1554</v>
      </c>
      <c r="AL55" t="s">
        <v>1555</v>
      </c>
      <c r="AM55" t="s">
        <v>1521</v>
      </c>
      <c r="AN55" t="s">
        <v>1556</v>
      </c>
      <c r="AO55" t="s">
        <v>1557</v>
      </c>
    </row>
    <row r="56" spans="1:41">
      <c r="A56" s="1" t="s">
        <v>1558</v>
      </c>
      <c r="B56" t="s">
        <v>1559</v>
      </c>
      <c r="C56" t="s">
        <v>1560</v>
      </c>
      <c r="D56" t="s">
        <v>1561</v>
      </c>
      <c r="E56" t="s">
        <v>1562</v>
      </c>
      <c r="F56" t="s">
        <v>1563</v>
      </c>
      <c r="G56" t="s">
        <v>1564</v>
      </c>
      <c r="H56" s="2" t="s">
        <v>1565</v>
      </c>
      <c r="I56" s="2" t="s">
        <v>1566</v>
      </c>
      <c r="J56" t="s">
        <v>1567</v>
      </c>
      <c r="K56" t="s">
        <v>1568</v>
      </c>
      <c r="L56" t="s">
        <v>1569</v>
      </c>
      <c r="M56" t="s">
        <v>1570</v>
      </c>
      <c r="N56" t="s">
        <v>1571</v>
      </c>
      <c r="O56" t="s">
        <v>1572</v>
      </c>
      <c r="P56" t="s">
        <v>1569</v>
      </c>
      <c r="Q56" t="s">
        <v>1573</v>
      </c>
      <c r="R56" t="s">
        <v>1574</v>
      </c>
      <c r="S56" t="s">
        <v>1575</v>
      </c>
      <c r="T56" t="s">
        <v>1576</v>
      </c>
      <c r="U56" t="s">
        <v>1577</v>
      </c>
      <c r="V56" t="s">
        <v>1578</v>
      </c>
      <c r="W56" s="2" t="s">
        <v>1579</v>
      </c>
      <c r="X56" t="s">
        <v>1580</v>
      </c>
      <c r="Y56" t="s">
        <v>1581</v>
      </c>
      <c r="Z56" t="s">
        <v>1582</v>
      </c>
      <c r="AA56" t="s">
        <v>1583</v>
      </c>
      <c r="AB56" t="s">
        <v>1584</v>
      </c>
      <c r="AC56" t="s">
        <v>1585</v>
      </c>
      <c r="AD56" t="s">
        <v>1586</v>
      </c>
      <c r="AE56" t="s">
        <v>1587</v>
      </c>
      <c r="AF56" t="s">
        <v>1581</v>
      </c>
      <c r="AG56" t="s">
        <v>1588</v>
      </c>
      <c r="AH56" t="s">
        <v>1589</v>
      </c>
      <c r="AI56" t="s">
        <v>1590</v>
      </c>
      <c r="AJ56" t="s">
        <v>1591</v>
      </c>
      <c r="AK56" t="s">
        <v>1592</v>
      </c>
      <c r="AL56" t="s">
        <v>1593</v>
      </c>
      <c r="AM56" t="s">
        <v>1594</v>
      </c>
      <c r="AN56" t="s">
        <v>1595</v>
      </c>
      <c r="AO56" t="s">
        <v>1596</v>
      </c>
    </row>
    <row r="57" spans="1:41">
      <c r="A57" t="s">
        <v>1597</v>
      </c>
      <c r="B57" t="s">
        <v>1598</v>
      </c>
      <c r="C57" t="s">
        <v>1599</v>
      </c>
      <c r="D57" t="s">
        <v>1600</v>
      </c>
      <c r="E57" t="s">
        <v>1601</v>
      </c>
      <c r="F57" t="s">
        <v>1602</v>
      </c>
      <c r="G57" t="s">
        <v>1603</v>
      </c>
      <c r="H57" s="2" t="s">
        <v>1604</v>
      </c>
      <c r="I57" s="2" t="s">
        <v>1604</v>
      </c>
      <c r="J57" t="s">
        <v>1605</v>
      </c>
      <c r="K57" t="s">
        <v>1606</v>
      </c>
      <c r="L57" t="s">
        <v>1607</v>
      </c>
      <c r="M57" t="s">
        <v>1608</v>
      </c>
      <c r="N57" t="s">
        <v>1609</v>
      </c>
      <c r="O57" t="s">
        <v>1610</v>
      </c>
      <c r="P57" t="s">
        <v>1607</v>
      </c>
      <c r="Q57" t="s">
        <v>1611</v>
      </c>
      <c r="R57" t="s">
        <v>1612</v>
      </c>
      <c r="S57" t="s">
        <v>1613</v>
      </c>
      <c r="T57" t="s">
        <v>1614</v>
      </c>
      <c r="U57" t="s">
        <v>1615</v>
      </c>
      <c r="V57" t="s">
        <v>1616</v>
      </c>
      <c r="W57" s="2" t="s">
        <v>1617</v>
      </c>
      <c r="X57" t="s">
        <v>1618</v>
      </c>
      <c r="Y57" t="s">
        <v>1619</v>
      </c>
      <c r="Z57" t="s">
        <v>1620</v>
      </c>
      <c r="AA57" t="s">
        <v>1621</v>
      </c>
      <c r="AB57" t="s">
        <v>1622</v>
      </c>
      <c r="AC57" t="s">
        <v>1623</v>
      </c>
      <c r="AD57" t="s">
        <v>1624</v>
      </c>
      <c r="AE57" t="s">
        <v>1625</v>
      </c>
      <c r="AF57" t="s">
        <v>1626</v>
      </c>
      <c r="AG57" t="s">
        <v>1627</v>
      </c>
      <c r="AH57" t="s">
        <v>1628</v>
      </c>
      <c r="AI57" t="s">
        <v>1629</v>
      </c>
      <c r="AJ57" t="s">
        <v>1607</v>
      </c>
      <c r="AK57" t="s">
        <v>1630</v>
      </c>
      <c r="AL57" t="s">
        <v>1631</v>
      </c>
      <c r="AM57" t="s">
        <v>1632</v>
      </c>
      <c r="AN57" t="s">
        <v>1633</v>
      </c>
      <c r="AO57" t="s">
        <v>1634</v>
      </c>
    </row>
    <row r="58" spans="1:41">
      <c r="A58" s="1" t="s">
        <v>1635</v>
      </c>
      <c r="B58" t="s">
        <v>1636</v>
      </c>
      <c r="C58" t="s">
        <v>1637</v>
      </c>
      <c r="D58" t="s">
        <v>1638</v>
      </c>
      <c r="E58" t="s">
        <v>1639</v>
      </c>
      <c r="F58" t="s">
        <v>1640</v>
      </c>
      <c r="G58" t="s">
        <v>1641</v>
      </c>
      <c r="H58" s="2" t="s">
        <v>1642</v>
      </c>
      <c r="I58" s="2" t="s">
        <v>1643</v>
      </c>
      <c r="J58" t="s">
        <v>1644</v>
      </c>
      <c r="K58" s="1" t="s">
        <v>1645</v>
      </c>
      <c r="L58" t="s">
        <v>1646</v>
      </c>
      <c r="M58" t="s">
        <v>1647</v>
      </c>
      <c r="N58" t="s">
        <v>1648</v>
      </c>
      <c r="O58" t="s">
        <v>1649</v>
      </c>
      <c r="P58" t="s">
        <v>1650</v>
      </c>
      <c r="Q58" t="s">
        <v>1651</v>
      </c>
      <c r="R58" t="s">
        <v>1652</v>
      </c>
      <c r="S58" t="s">
        <v>1653</v>
      </c>
      <c r="T58" t="s">
        <v>1654</v>
      </c>
      <c r="U58" t="s">
        <v>1655</v>
      </c>
      <c r="V58" t="s">
        <v>1656</v>
      </c>
      <c r="W58" s="2" t="s">
        <v>1657</v>
      </c>
      <c r="X58" t="s">
        <v>1658</v>
      </c>
      <c r="Y58" t="s">
        <v>1659</v>
      </c>
      <c r="Z58" t="s">
        <v>1660</v>
      </c>
      <c r="AA58" t="s">
        <v>1661</v>
      </c>
      <c r="AB58" t="s">
        <v>1662</v>
      </c>
      <c r="AC58" s="1" t="s">
        <v>1663</v>
      </c>
      <c r="AD58" t="s">
        <v>1664</v>
      </c>
      <c r="AE58" t="s">
        <v>1665</v>
      </c>
      <c r="AF58" t="s">
        <v>1666</v>
      </c>
      <c r="AG58" t="s">
        <v>1667</v>
      </c>
      <c r="AH58" t="s">
        <v>1668</v>
      </c>
      <c r="AI58" t="s">
        <v>1664</v>
      </c>
      <c r="AJ58" t="s">
        <v>1669</v>
      </c>
      <c r="AK58" t="s">
        <v>1670</v>
      </c>
      <c r="AL58" t="s">
        <v>1671</v>
      </c>
      <c r="AM58" t="s">
        <v>1672</v>
      </c>
      <c r="AN58" t="s">
        <v>1673</v>
      </c>
      <c r="AO58" t="s">
        <v>1674</v>
      </c>
    </row>
    <row r="59" spans="1:41">
      <c r="A59" s="1" t="s">
        <v>1675</v>
      </c>
      <c r="B59" t="s">
        <v>1676</v>
      </c>
      <c r="C59" t="s">
        <v>1677</v>
      </c>
      <c r="D59" t="s">
        <v>1678</v>
      </c>
      <c r="E59" t="s">
        <v>1679</v>
      </c>
      <c r="F59" t="s">
        <v>1680</v>
      </c>
      <c r="G59" t="s">
        <v>1681</v>
      </c>
      <c r="H59" s="2" t="s">
        <v>1682</v>
      </c>
      <c r="I59" s="2" t="s">
        <v>1683</v>
      </c>
      <c r="J59" t="s">
        <v>1684</v>
      </c>
      <c r="K59" s="1" t="s">
        <v>1685</v>
      </c>
      <c r="L59" t="s">
        <v>1686</v>
      </c>
      <c r="M59" t="s">
        <v>1687</v>
      </c>
      <c r="N59" t="s">
        <v>1688</v>
      </c>
      <c r="O59" t="s">
        <v>1689</v>
      </c>
      <c r="P59" t="s">
        <v>1690</v>
      </c>
      <c r="Q59" t="s">
        <v>1691</v>
      </c>
      <c r="R59" t="s">
        <v>1692</v>
      </c>
      <c r="S59" t="s">
        <v>1693</v>
      </c>
      <c r="T59" t="s">
        <v>1694</v>
      </c>
      <c r="U59" t="s">
        <v>1695</v>
      </c>
      <c r="V59" t="s">
        <v>1696</v>
      </c>
      <c r="W59" s="2" t="s">
        <v>1697</v>
      </c>
      <c r="X59" t="s">
        <v>1698</v>
      </c>
      <c r="Y59" t="s">
        <v>1699</v>
      </c>
      <c r="Z59" t="s">
        <v>1700</v>
      </c>
      <c r="AA59" t="s">
        <v>1701</v>
      </c>
      <c r="AB59" t="s">
        <v>1702</v>
      </c>
      <c r="AC59" s="1" t="s">
        <v>1703</v>
      </c>
      <c r="AD59" t="s">
        <v>1704</v>
      </c>
      <c r="AE59" t="s">
        <v>1705</v>
      </c>
      <c r="AF59" t="s">
        <v>1699</v>
      </c>
      <c r="AG59" t="s">
        <v>1706</v>
      </c>
      <c r="AH59" t="s">
        <v>1684</v>
      </c>
      <c r="AI59" t="s">
        <v>1707</v>
      </c>
      <c r="AJ59" t="s">
        <v>1708</v>
      </c>
      <c r="AK59" t="s">
        <v>1709</v>
      </c>
      <c r="AL59" t="s">
        <v>1710</v>
      </c>
      <c r="AM59" t="s">
        <v>1711</v>
      </c>
      <c r="AN59" t="s">
        <v>1712</v>
      </c>
      <c r="AO59" t="s">
        <v>1713</v>
      </c>
    </row>
    <row r="60" spans="1:41">
      <c r="A60" s="1" t="s">
        <v>1714</v>
      </c>
      <c r="B60" t="s">
        <v>1715</v>
      </c>
      <c r="C60" t="s">
        <v>1716</v>
      </c>
      <c r="D60" t="s">
        <v>1717</v>
      </c>
      <c r="E60" t="s">
        <v>1718</v>
      </c>
      <c r="F60" t="s">
        <v>1719</v>
      </c>
      <c r="G60" t="s">
        <v>1720</v>
      </c>
      <c r="H60" s="2" t="s">
        <v>1721</v>
      </c>
      <c r="I60" s="2" t="s">
        <v>1722</v>
      </c>
      <c r="J60" t="s">
        <v>1723</v>
      </c>
      <c r="K60" t="s">
        <v>1723</v>
      </c>
      <c r="L60" t="s">
        <v>1723</v>
      </c>
      <c r="M60" t="s">
        <v>1724</v>
      </c>
      <c r="N60" t="s">
        <v>1725</v>
      </c>
      <c r="O60" t="s">
        <v>1726</v>
      </c>
      <c r="P60" t="s">
        <v>1723</v>
      </c>
      <c r="Q60" t="s">
        <v>1727</v>
      </c>
      <c r="R60" t="s">
        <v>1728</v>
      </c>
      <c r="S60" t="s">
        <v>1729</v>
      </c>
      <c r="T60" t="s">
        <v>1730</v>
      </c>
      <c r="U60" t="s">
        <v>1731</v>
      </c>
      <c r="V60" t="s">
        <v>1732</v>
      </c>
      <c r="W60" s="2" t="s">
        <v>1733</v>
      </c>
      <c r="X60" t="s">
        <v>1734</v>
      </c>
      <c r="Y60" t="s">
        <v>1735</v>
      </c>
      <c r="Z60" t="s">
        <v>1732</v>
      </c>
      <c r="AA60" t="s">
        <v>1723</v>
      </c>
      <c r="AB60" t="s">
        <v>1736</v>
      </c>
      <c r="AC60" t="s">
        <v>1730</v>
      </c>
      <c r="AD60" t="s">
        <v>1737</v>
      </c>
      <c r="AE60" t="s">
        <v>1732</v>
      </c>
      <c r="AF60" t="s">
        <v>1735</v>
      </c>
      <c r="AG60" t="s">
        <v>1723</v>
      </c>
      <c r="AH60" t="s">
        <v>1734</v>
      </c>
      <c r="AI60" t="s">
        <v>1730</v>
      </c>
      <c r="AJ60" t="s">
        <v>1738</v>
      </c>
      <c r="AK60" t="s">
        <v>1739</v>
      </c>
      <c r="AL60" t="s">
        <v>1740</v>
      </c>
      <c r="AM60" t="s">
        <v>1714</v>
      </c>
      <c r="AN60" t="s">
        <v>1741</v>
      </c>
      <c r="AO60" t="s">
        <v>1742</v>
      </c>
    </row>
    <row r="61" spans="1:41">
      <c r="A61" s="1" t="s">
        <v>1743</v>
      </c>
      <c r="B61" t="s">
        <v>1744</v>
      </c>
      <c r="C61" t="s">
        <v>1745</v>
      </c>
      <c r="D61" t="s">
        <v>1746</v>
      </c>
      <c r="E61" t="s">
        <v>1747</v>
      </c>
      <c r="F61" t="s">
        <v>1748</v>
      </c>
      <c r="G61" t="s">
        <v>1749</v>
      </c>
      <c r="H61" s="2" t="s">
        <v>1750</v>
      </c>
      <c r="I61" s="2" t="s">
        <v>1751</v>
      </c>
      <c r="J61" t="s">
        <v>1752</v>
      </c>
      <c r="K61" t="s">
        <v>1753</v>
      </c>
      <c r="L61" t="s">
        <v>1754</v>
      </c>
      <c r="M61" t="s">
        <v>1755</v>
      </c>
      <c r="N61" t="s">
        <v>1756</v>
      </c>
      <c r="O61" t="s">
        <v>1757</v>
      </c>
      <c r="P61" t="s">
        <v>1758</v>
      </c>
      <c r="Q61" t="s">
        <v>1759</v>
      </c>
      <c r="R61" t="s">
        <v>1760</v>
      </c>
      <c r="S61" t="s">
        <v>1761</v>
      </c>
      <c r="T61" t="s">
        <v>1743</v>
      </c>
      <c r="U61" t="s">
        <v>1762</v>
      </c>
      <c r="V61" t="s">
        <v>1743</v>
      </c>
      <c r="W61" s="2" t="s">
        <v>1763</v>
      </c>
      <c r="X61" t="s">
        <v>1752</v>
      </c>
      <c r="Y61" t="s">
        <v>1764</v>
      </c>
      <c r="Z61" t="s">
        <v>1765</v>
      </c>
      <c r="AA61" t="s">
        <v>1766</v>
      </c>
      <c r="AB61" t="s">
        <v>1767</v>
      </c>
      <c r="AC61" t="s">
        <v>1743</v>
      </c>
      <c r="AD61" t="s">
        <v>1768</v>
      </c>
      <c r="AE61" t="s">
        <v>1743</v>
      </c>
      <c r="AF61" t="s">
        <v>1769</v>
      </c>
      <c r="AG61" t="s">
        <v>1770</v>
      </c>
      <c r="AH61" t="s">
        <v>1771</v>
      </c>
      <c r="AI61" t="s">
        <v>1743</v>
      </c>
      <c r="AJ61" t="s">
        <v>1772</v>
      </c>
      <c r="AK61" t="s">
        <v>1773</v>
      </c>
      <c r="AL61" t="s">
        <v>1774</v>
      </c>
      <c r="AM61" t="s">
        <v>1775</v>
      </c>
      <c r="AN61" t="s">
        <v>1776</v>
      </c>
      <c r="AO61" t="s">
        <v>1777</v>
      </c>
    </row>
    <row r="62" spans="1:41">
      <c r="A62" t="s">
        <v>1778</v>
      </c>
      <c r="B62" t="s">
        <v>1779</v>
      </c>
      <c r="C62" t="s">
        <v>1780</v>
      </c>
      <c r="D62" t="s">
        <v>1778</v>
      </c>
      <c r="E62" t="s">
        <v>1781</v>
      </c>
      <c r="F62" t="s">
        <v>1782</v>
      </c>
      <c r="G62" t="s">
        <v>1783</v>
      </c>
      <c r="H62" s="2" t="s">
        <v>1784</v>
      </c>
      <c r="I62" s="2" t="s">
        <v>1785</v>
      </c>
      <c r="J62" t="s">
        <v>1786</v>
      </c>
      <c r="K62" t="s">
        <v>1787</v>
      </c>
      <c r="L62" t="s">
        <v>1788</v>
      </c>
      <c r="M62" t="s">
        <v>1789</v>
      </c>
      <c r="N62" t="s">
        <v>1778</v>
      </c>
      <c r="O62" t="s">
        <v>1790</v>
      </c>
      <c r="P62" t="s">
        <v>1791</v>
      </c>
      <c r="Q62" t="s">
        <v>1792</v>
      </c>
      <c r="R62" t="s">
        <v>1793</v>
      </c>
      <c r="S62" t="s">
        <v>1794</v>
      </c>
      <c r="T62" t="s">
        <v>1795</v>
      </c>
      <c r="U62" t="s">
        <v>1778</v>
      </c>
      <c r="V62" t="s">
        <v>1796</v>
      </c>
      <c r="W62" s="2" t="s">
        <v>1797</v>
      </c>
      <c r="X62" t="s">
        <v>1798</v>
      </c>
      <c r="Y62" t="s">
        <v>1799</v>
      </c>
      <c r="Z62" t="s">
        <v>1800</v>
      </c>
      <c r="AA62" t="s">
        <v>1801</v>
      </c>
      <c r="AB62" t="s">
        <v>1802</v>
      </c>
      <c r="AC62" t="s">
        <v>1803</v>
      </c>
      <c r="AD62" t="s">
        <v>1783</v>
      </c>
      <c r="AE62" t="s">
        <v>1804</v>
      </c>
      <c r="AF62" t="s">
        <v>1805</v>
      </c>
      <c r="AG62" t="s">
        <v>1806</v>
      </c>
      <c r="AH62" t="s">
        <v>1778</v>
      </c>
      <c r="AI62" t="s">
        <v>1796</v>
      </c>
      <c r="AJ62" t="s">
        <v>1801</v>
      </c>
      <c r="AK62" t="s">
        <v>1807</v>
      </c>
      <c r="AL62" t="s">
        <v>1781</v>
      </c>
      <c r="AM62" t="s">
        <v>1808</v>
      </c>
      <c r="AN62" t="s">
        <v>1809</v>
      </c>
      <c r="AO62" t="s">
        <v>1810</v>
      </c>
    </row>
    <row r="63" spans="1:41">
      <c r="A63" s="1" t="s">
        <v>2616</v>
      </c>
      <c r="B63" t="s">
        <v>2650</v>
      </c>
      <c r="C63" t="s">
        <v>2651</v>
      </c>
      <c r="D63" t="s">
        <v>2652</v>
      </c>
      <c r="E63" t="s">
        <v>2653</v>
      </c>
      <c r="F63" t="s">
        <v>2654</v>
      </c>
      <c r="G63" t="s">
        <v>2655</v>
      </c>
      <c r="H63" t="s">
        <v>2656</v>
      </c>
      <c r="I63" t="s">
        <v>2657</v>
      </c>
      <c r="J63" t="s">
        <v>2658</v>
      </c>
      <c r="K63" t="s">
        <v>2659</v>
      </c>
      <c r="L63" t="s">
        <v>2660</v>
      </c>
      <c r="M63" t="s">
        <v>2661</v>
      </c>
      <c r="N63" t="s">
        <v>2662</v>
      </c>
      <c r="O63" t="s">
        <v>2663</v>
      </c>
      <c r="P63" t="s">
        <v>2660</v>
      </c>
      <c r="Q63" t="s">
        <v>2664</v>
      </c>
      <c r="R63" t="s">
        <v>2665</v>
      </c>
      <c r="S63" t="s">
        <v>2666</v>
      </c>
      <c r="T63" t="s">
        <v>2616</v>
      </c>
      <c r="U63" t="s">
        <v>2667</v>
      </c>
      <c r="V63" t="s">
        <v>2616</v>
      </c>
      <c r="W63" t="s">
        <v>2668</v>
      </c>
      <c r="X63" t="s">
        <v>2669</v>
      </c>
      <c r="Y63" t="s">
        <v>2670</v>
      </c>
      <c r="Z63" t="s">
        <v>2671</v>
      </c>
      <c r="AA63" t="s">
        <v>2616</v>
      </c>
      <c r="AB63" t="s">
        <v>2672</v>
      </c>
      <c r="AC63" t="s">
        <v>2616</v>
      </c>
      <c r="AD63" t="s">
        <v>2673</v>
      </c>
      <c r="AE63" t="s">
        <v>2616</v>
      </c>
      <c r="AF63" t="s">
        <v>2670</v>
      </c>
      <c r="AG63" t="s">
        <v>2659</v>
      </c>
      <c r="AH63" t="s">
        <v>2658</v>
      </c>
      <c r="AI63" t="s">
        <v>2616</v>
      </c>
      <c r="AJ63" t="s">
        <v>2660</v>
      </c>
      <c r="AK63" t="s">
        <v>2674</v>
      </c>
      <c r="AL63" t="s">
        <v>2675</v>
      </c>
      <c r="AM63" t="s">
        <v>2616</v>
      </c>
      <c r="AN63" t="s">
        <v>2676</v>
      </c>
      <c r="AO63" t="s">
        <v>2677</v>
      </c>
    </row>
    <row r="64" spans="1:41">
      <c r="A64" s="1" t="s">
        <v>1811</v>
      </c>
      <c r="B64" t="s">
        <v>1812</v>
      </c>
      <c r="C64" t="s">
        <v>1813</v>
      </c>
      <c r="D64" t="s">
        <v>1814</v>
      </c>
      <c r="E64" t="s">
        <v>1815</v>
      </c>
      <c r="F64" t="s">
        <v>1816</v>
      </c>
      <c r="G64" t="s">
        <v>1817</v>
      </c>
      <c r="H64" s="2" t="s">
        <v>1818</v>
      </c>
      <c r="I64" s="2" t="s">
        <v>1819</v>
      </c>
      <c r="J64" t="s">
        <v>1820</v>
      </c>
      <c r="K64" t="s">
        <v>1821</v>
      </c>
      <c r="L64" t="s">
        <v>1822</v>
      </c>
      <c r="M64" t="s">
        <v>1822</v>
      </c>
      <c r="N64" t="s">
        <v>1823</v>
      </c>
      <c r="O64" t="s">
        <v>1824</v>
      </c>
      <c r="P64" t="s">
        <v>1822</v>
      </c>
      <c r="Q64" t="s">
        <v>1825</v>
      </c>
      <c r="R64" t="s">
        <v>1826</v>
      </c>
      <c r="S64" t="s">
        <v>1827</v>
      </c>
      <c r="T64" t="s">
        <v>1828</v>
      </c>
      <c r="U64" t="s">
        <v>1814</v>
      </c>
      <c r="V64" t="s">
        <v>1829</v>
      </c>
      <c r="W64" s="2" t="s">
        <v>1830</v>
      </c>
      <c r="X64" t="s">
        <v>1831</v>
      </c>
      <c r="Y64" t="s">
        <v>1832</v>
      </c>
      <c r="Z64" t="s">
        <v>1833</v>
      </c>
      <c r="AA64" t="s">
        <v>1822</v>
      </c>
      <c r="AB64" t="s">
        <v>1834</v>
      </c>
      <c r="AC64" t="s">
        <v>1835</v>
      </c>
      <c r="AD64" t="s">
        <v>1836</v>
      </c>
      <c r="AE64" t="s">
        <v>1829</v>
      </c>
      <c r="AF64" t="s">
        <v>1837</v>
      </c>
      <c r="AG64" t="s">
        <v>1838</v>
      </c>
      <c r="AH64" t="s">
        <v>1820</v>
      </c>
      <c r="AI64" t="s">
        <v>1829</v>
      </c>
      <c r="AJ64" t="s">
        <v>1839</v>
      </c>
      <c r="AK64" t="s">
        <v>1840</v>
      </c>
      <c r="AL64" t="s">
        <v>1841</v>
      </c>
      <c r="AM64" t="s">
        <v>1842</v>
      </c>
      <c r="AN64" t="s">
        <v>1843</v>
      </c>
      <c r="AO64" t="s">
        <v>1844</v>
      </c>
    </row>
    <row r="65" spans="1:41">
      <c r="A65" s="1" t="s">
        <v>2618</v>
      </c>
      <c r="B65" t="s">
        <v>2678</v>
      </c>
      <c r="C65" t="s">
        <v>2679</v>
      </c>
      <c r="D65" t="s">
        <v>2680</v>
      </c>
      <c r="E65" t="s">
        <v>2681</v>
      </c>
      <c r="F65" t="s">
        <v>2682</v>
      </c>
      <c r="G65" t="s">
        <v>2683</v>
      </c>
      <c r="H65" t="s">
        <v>2684</v>
      </c>
      <c r="I65" t="s">
        <v>2685</v>
      </c>
      <c r="J65" t="s">
        <v>2686</v>
      </c>
      <c r="K65" t="s">
        <v>2687</v>
      </c>
      <c r="L65" t="s">
        <v>2688</v>
      </c>
      <c r="M65" t="s">
        <v>2689</v>
      </c>
      <c r="N65" t="s">
        <v>2690</v>
      </c>
      <c r="O65" t="s">
        <v>2691</v>
      </c>
      <c r="P65" t="s">
        <v>2618</v>
      </c>
      <c r="Q65" t="s">
        <v>2692</v>
      </c>
      <c r="R65" t="s">
        <v>2693</v>
      </c>
      <c r="S65" t="s">
        <v>2694</v>
      </c>
      <c r="T65" t="s">
        <v>2618</v>
      </c>
      <c r="U65" t="s">
        <v>2695</v>
      </c>
      <c r="V65" t="s">
        <v>2618</v>
      </c>
      <c r="W65" t="s">
        <v>2696</v>
      </c>
      <c r="X65" t="s">
        <v>2686</v>
      </c>
      <c r="Y65" t="s">
        <v>2697</v>
      </c>
      <c r="Z65" t="s">
        <v>2698</v>
      </c>
      <c r="AA65" t="s">
        <v>2618</v>
      </c>
      <c r="AB65" t="s">
        <v>2699</v>
      </c>
      <c r="AC65" t="s">
        <v>2700</v>
      </c>
      <c r="AD65" t="s">
        <v>2701</v>
      </c>
      <c r="AE65" t="s">
        <v>2618</v>
      </c>
      <c r="AF65" t="s">
        <v>2702</v>
      </c>
      <c r="AG65" t="s">
        <v>2703</v>
      </c>
      <c r="AH65" t="s">
        <v>2618</v>
      </c>
      <c r="AI65" t="s">
        <v>2618</v>
      </c>
      <c r="AJ65" t="s">
        <v>2688</v>
      </c>
      <c r="AK65" t="s">
        <v>2704</v>
      </c>
      <c r="AL65" t="s">
        <v>2705</v>
      </c>
      <c r="AM65" t="s">
        <v>2706</v>
      </c>
      <c r="AN65" t="s">
        <v>2707</v>
      </c>
      <c r="AO65" t="s">
        <v>2708</v>
      </c>
    </row>
    <row r="66" spans="1:41">
      <c r="A66" t="s">
        <v>1845</v>
      </c>
      <c r="B66" t="s">
        <v>1846</v>
      </c>
      <c r="C66" t="s">
        <v>1847</v>
      </c>
      <c r="D66" t="s">
        <v>1848</v>
      </c>
      <c r="E66" t="s">
        <v>1849</v>
      </c>
      <c r="F66" t="s">
        <v>1850</v>
      </c>
      <c r="G66" t="s">
        <v>1851</v>
      </c>
      <c r="H66" s="2" t="s">
        <v>1852</v>
      </c>
      <c r="I66" s="2" t="s">
        <v>1853</v>
      </c>
      <c r="J66" t="s">
        <v>1854</v>
      </c>
      <c r="K66" t="s">
        <v>1855</v>
      </c>
      <c r="L66" t="s">
        <v>1845</v>
      </c>
      <c r="M66" t="s">
        <v>1856</v>
      </c>
      <c r="N66" t="s">
        <v>1857</v>
      </c>
      <c r="O66" t="s">
        <v>1858</v>
      </c>
      <c r="P66" t="s">
        <v>1845</v>
      </c>
      <c r="Q66" t="s">
        <v>1859</v>
      </c>
      <c r="R66" t="s">
        <v>1860</v>
      </c>
      <c r="S66" t="s">
        <v>1861</v>
      </c>
      <c r="T66" t="s">
        <v>1862</v>
      </c>
      <c r="U66" t="s">
        <v>1845</v>
      </c>
      <c r="V66" t="s">
        <v>1863</v>
      </c>
      <c r="W66" s="2" t="s">
        <v>1864</v>
      </c>
      <c r="X66" t="s">
        <v>1865</v>
      </c>
      <c r="Y66" t="s">
        <v>1866</v>
      </c>
      <c r="Z66" t="s">
        <v>1867</v>
      </c>
      <c r="AA66" t="s">
        <v>1845</v>
      </c>
      <c r="AB66" t="s">
        <v>1868</v>
      </c>
      <c r="AC66" t="s">
        <v>1861</v>
      </c>
      <c r="AD66" t="s">
        <v>1869</v>
      </c>
      <c r="AE66" t="s">
        <v>1861</v>
      </c>
      <c r="AF66" t="s">
        <v>1870</v>
      </c>
      <c r="AG66" t="s">
        <v>1871</v>
      </c>
      <c r="AH66" t="s">
        <v>1865</v>
      </c>
      <c r="AI66" t="s">
        <v>1869</v>
      </c>
      <c r="AJ66" t="s">
        <v>1845</v>
      </c>
      <c r="AK66" t="s">
        <v>1872</v>
      </c>
      <c r="AL66" t="s">
        <v>1873</v>
      </c>
      <c r="AM66" t="s">
        <v>1874</v>
      </c>
      <c r="AN66" t="s">
        <v>1875</v>
      </c>
      <c r="AO66" t="s">
        <v>1876</v>
      </c>
    </row>
    <row r="67" spans="1:41">
      <c r="A67" t="s">
        <v>1877</v>
      </c>
      <c r="B67" t="s">
        <v>1878</v>
      </c>
      <c r="C67" t="s">
        <v>1879</v>
      </c>
      <c r="D67" t="s">
        <v>1880</v>
      </c>
      <c r="E67" t="s">
        <v>1881</v>
      </c>
      <c r="F67" t="s">
        <v>1882</v>
      </c>
      <c r="G67" t="s">
        <v>1883</v>
      </c>
      <c r="H67" s="2" t="s">
        <v>1884</v>
      </c>
      <c r="I67" s="2" t="s">
        <v>1885</v>
      </c>
      <c r="J67" t="s">
        <v>1886</v>
      </c>
      <c r="K67" t="s">
        <v>1887</v>
      </c>
      <c r="L67" t="s">
        <v>1888</v>
      </c>
      <c r="M67" t="s">
        <v>1889</v>
      </c>
      <c r="N67" t="s">
        <v>1890</v>
      </c>
      <c r="O67" t="s">
        <v>1891</v>
      </c>
      <c r="P67" t="s">
        <v>1888</v>
      </c>
      <c r="Q67" t="s">
        <v>1892</v>
      </c>
      <c r="R67" t="s">
        <v>1893</v>
      </c>
      <c r="S67" t="s">
        <v>1877</v>
      </c>
      <c r="T67" t="s">
        <v>1894</v>
      </c>
      <c r="U67" t="s">
        <v>1877</v>
      </c>
      <c r="V67" t="s">
        <v>1895</v>
      </c>
      <c r="W67" s="2" t="s">
        <v>1896</v>
      </c>
      <c r="X67" t="s">
        <v>1886</v>
      </c>
      <c r="Y67" t="s">
        <v>1897</v>
      </c>
      <c r="Z67" t="s">
        <v>1898</v>
      </c>
      <c r="AA67" t="s">
        <v>1894</v>
      </c>
      <c r="AB67" t="s">
        <v>1899</v>
      </c>
      <c r="AC67" t="s">
        <v>1894</v>
      </c>
      <c r="AD67" t="s">
        <v>1900</v>
      </c>
      <c r="AE67" t="s">
        <v>1894</v>
      </c>
      <c r="AF67" t="s">
        <v>1901</v>
      </c>
      <c r="AG67" t="s">
        <v>1902</v>
      </c>
      <c r="AH67" t="s">
        <v>1886</v>
      </c>
      <c r="AI67" t="s">
        <v>1900</v>
      </c>
      <c r="AJ67" t="s">
        <v>1888</v>
      </c>
      <c r="AK67" t="s">
        <v>1903</v>
      </c>
      <c r="AL67" t="s">
        <v>1881</v>
      </c>
      <c r="AM67" t="s">
        <v>1904</v>
      </c>
      <c r="AN67" t="s">
        <v>1905</v>
      </c>
      <c r="AO67" t="s">
        <v>1906</v>
      </c>
    </row>
    <row r="68" spans="1:41">
      <c r="A68" s="1" t="s">
        <v>1907</v>
      </c>
      <c r="B68" t="s">
        <v>1908</v>
      </c>
      <c r="C68" t="s">
        <v>1909</v>
      </c>
      <c r="D68" t="s">
        <v>1910</v>
      </c>
      <c r="E68" t="s">
        <v>1911</v>
      </c>
      <c r="F68" t="s">
        <v>1912</v>
      </c>
      <c r="G68" t="s">
        <v>1913</v>
      </c>
      <c r="H68" s="2" t="s">
        <v>1914</v>
      </c>
      <c r="I68" s="2" t="s">
        <v>1914</v>
      </c>
      <c r="J68" t="s">
        <v>1915</v>
      </c>
      <c r="K68" t="s">
        <v>1916</v>
      </c>
      <c r="L68" t="s">
        <v>1917</v>
      </c>
      <c r="M68" t="s">
        <v>1918</v>
      </c>
      <c r="N68" t="s">
        <v>1919</v>
      </c>
      <c r="O68" t="s">
        <v>1920</v>
      </c>
      <c r="P68" t="s">
        <v>1921</v>
      </c>
      <c r="Q68" t="s">
        <v>1922</v>
      </c>
      <c r="R68" t="s">
        <v>1923</v>
      </c>
      <c r="S68" t="s">
        <v>1924</v>
      </c>
      <c r="T68" t="s">
        <v>1925</v>
      </c>
      <c r="U68" t="s">
        <v>1926</v>
      </c>
      <c r="V68" t="s">
        <v>1927</v>
      </c>
      <c r="W68" s="2" t="s">
        <v>1928</v>
      </c>
      <c r="X68" t="s">
        <v>1929</v>
      </c>
      <c r="Y68" t="s">
        <v>1930</v>
      </c>
      <c r="Z68" t="s">
        <v>1931</v>
      </c>
      <c r="AA68" t="s">
        <v>1917</v>
      </c>
      <c r="AB68" t="s">
        <v>1932</v>
      </c>
      <c r="AC68" t="s">
        <v>1933</v>
      </c>
      <c r="AD68" t="s">
        <v>1934</v>
      </c>
      <c r="AE68" t="s">
        <v>1935</v>
      </c>
      <c r="AF68" t="s">
        <v>1930</v>
      </c>
      <c r="AG68" t="s">
        <v>1916</v>
      </c>
      <c r="AH68" t="s">
        <v>1915</v>
      </c>
      <c r="AI68" t="s">
        <v>1936</v>
      </c>
      <c r="AJ68" t="s">
        <v>1937</v>
      </c>
      <c r="AK68" t="s">
        <v>1938</v>
      </c>
      <c r="AL68" t="s">
        <v>1911</v>
      </c>
      <c r="AM68" t="s">
        <v>1939</v>
      </c>
      <c r="AN68" t="s">
        <v>1940</v>
      </c>
      <c r="AO68" t="s">
        <v>1941</v>
      </c>
    </row>
    <row r="69" spans="1:41">
      <c r="A69" t="s">
        <v>1942</v>
      </c>
      <c r="B69" t="s">
        <v>1943</v>
      </c>
      <c r="C69" t="s">
        <v>1944</v>
      </c>
      <c r="D69" t="s">
        <v>1945</v>
      </c>
      <c r="E69" t="s">
        <v>1946</v>
      </c>
      <c r="F69" t="s">
        <v>1947</v>
      </c>
      <c r="G69" t="s">
        <v>1948</v>
      </c>
      <c r="H69" s="2" t="s">
        <v>1949</v>
      </c>
      <c r="I69" s="2" t="s">
        <v>1950</v>
      </c>
      <c r="J69" t="s">
        <v>1951</v>
      </c>
      <c r="K69" t="s">
        <v>1952</v>
      </c>
      <c r="L69" t="s">
        <v>1953</v>
      </c>
      <c r="M69" t="s">
        <v>1953</v>
      </c>
      <c r="N69" t="s">
        <v>1954</v>
      </c>
      <c r="O69" t="s">
        <v>1955</v>
      </c>
      <c r="P69" t="s">
        <v>1956</v>
      </c>
      <c r="Q69" t="s">
        <v>1957</v>
      </c>
      <c r="R69" t="s">
        <v>1958</v>
      </c>
      <c r="S69" t="s">
        <v>1959</v>
      </c>
      <c r="T69" t="s">
        <v>1960</v>
      </c>
      <c r="U69" t="s">
        <v>1961</v>
      </c>
      <c r="V69" t="s">
        <v>1942</v>
      </c>
      <c r="W69" s="2" t="s">
        <v>1962</v>
      </c>
      <c r="X69" t="s">
        <v>1951</v>
      </c>
      <c r="Y69" t="s">
        <v>1963</v>
      </c>
      <c r="Z69" t="s">
        <v>1964</v>
      </c>
      <c r="AA69" t="s">
        <v>1956</v>
      </c>
      <c r="AB69" t="s">
        <v>1965</v>
      </c>
      <c r="AC69" t="s">
        <v>1966</v>
      </c>
      <c r="AD69" t="s">
        <v>1948</v>
      </c>
      <c r="AE69" t="s">
        <v>1960</v>
      </c>
      <c r="AF69" t="s">
        <v>1963</v>
      </c>
      <c r="AG69" t="s">
        <v>1967</v>
      </c>
      <c r="AH69" t="s">
        <v>1951</v>
      </c>
      <c r="AI69" t="s">
        <v>1960</v>
      </c>
      <c r="AJ69" t="s">
        <v>1968</v>
      </c>
      <c r="AK69" t="s">
        <v>1969</v>
      </c>
      <c r="AL69" t="s">
        <v>1970</v>
      </c>
      <c r="AM69" t="s">
        <v>1971</v>
      </c>
      <c r="AN69" t="s">
        <v>1972</v>
      </c>
      <c r="AO69" t="s">
        <v>1973</v>
      </c>
    </row>
    <row r="70" spans="1:41">
      <c r="A70" t="s">
        <v>1974</v>
      </c>
      <c r="B70" t="s">
        <v>1974</v>
      </c>
      <c r="C70" t="s">
        <v>1974</v>
      </c>
      <c r="D70" t="s">
        <v>1974</v>
      </c>
      <c r="E70" t="s">
        <v>1974</v>
      </c>
      <c r="F70" t="s">
        <v>1974</v>
      </c>
      <c r="G70" t="s">
        <v>1974</v>
      </c>
      <c r="H70" t="s">
        <v>1974</v>
      </c>
      <c r="I70" t="s">
        <v>1974</v>
      </c>
      <c r="J70" t="s">
        <v>1974</v>
      </c>
      <c r="K70" t="s">
        <v>1974</v>
      </c>
      <c r="L70" t="s">
        <v>1974</v>
      </c>
      <c r="M70" t="s">
        <v>1975</v>
      </c>
      <c r="N70" t="s">
        <v>1974</v>
      </c>
      <c r="O70" t="s">
        <v>1974</v>
      </c>
      <c r="P70" t="s">
        <v>1974</v>
      </c>
      <c r="Q70" t="s">
        <v>1974</v>
      </c>
      <c r="R70" t="s">
        <v>1974</v>
      </c>
      <c r="S70" t="s">
        <v>1974</v>
      </c>
      <c r="T70" t="s">
        <v>1974</v>
      </c>
      <c r="U70" t="s">
        <v>1974</v>
      </c>
      <c r="V70" t="s">
        <v>1974</v>
      </c>
      <c r="W70" t="s">
        <v>1976</v>
      </c>
      <c r="X70" t="s">
        <v>1974</v>
      </c>
      <c r="Y70" t="s">
        <v>1974</v>
      </c>
      <c r="Z70" t="s">
        <v>1974</v>
      </c>
      <c r="AA70" t="s">
        <v>1974</v>
      </c>
      <c r="AB70" t="s">
        <v>1977</v>
      </c>
      <c r="AC70" t="s">
        <v>1974</v>
      </c>
      <c r="AD70" t="s">
        <v>1974</v>
      </c>
      <c r="AE70" t="s">
        <v>1974</v>
      </c>
      <c r="AF70" t="s">
        <v>1974</v>
      </c>
      <c r="AG70" t="s">
        <v>1974</v>
      </c>
      <c r="AH70" t="s">
        <v>1974</v>
      </c>
      <c r="AI70" t="s">
        <v>1974</v>
      </c>
      <c r="AJ70" t="s">
        <v>1974</v>
      </c>
      <c r="AK70" t="s">
        <v>1978</v>
      </c>
      <c r="AL70" t="s">
        <v>1975</v>
      </c>
      <c r="AM70" t="s">
        <v>1974</v>
      </c>
      <c r="AN70" t="s">
        <v>1974</v>
      </c>
      <c r="AO70" t="s">
        <v>1979</v>
      </c>
    </row>
    <row r="71" spans="1:41">
      <c r="A71" t="s">
        <v>1980</v>
      </c>
      <c r="B71" t="s">
        <v>1980</v>
      </c>
      <c r="C71" t="s">
        <v>1980</v>
      </c>
      <c r="D71" t="s">
        <v>1980</v>
      </c>
      <c r="E71" t="s">
        <v>1980</v>
      </c>
      <c r="F71" t="s">
        <v>1980</v>
      </c>
      <c r="G71" t="s">
        <v>1980</v>
      </c>
      <c r="H71" t="s">
        <v>1980</v>
      </c>
      <c r="I71" t="s">
        <v>1980</v>
      </c>
      <c r="J71" t="s">
        <v>1980</v>
      </c>
      <c r="K71" t="s">
        <v>1980</v>
      </c>
      <c r="L71" t="s">
        <v>1980</v>
      </c>
      <c r="M71" t="s">
        <v>1981</v>
      </c>
      <c r="N71" t="s">
        <v>1980</v>
      </c>
      <c r="O71" t="s">
        <v>1980</v>
      </c>
      <c r="P71" t="s">
        <v>1980</v>
      </c>
      <c r="Q71" t="s">
        <v>1980</v>
      </c>
      <c r="R71" t="s">
        <v>1980</v>
      </c>
      <c r="S71" t="s">
        <v>1980</v>
      </c>
      <c r="T71" t="s">
        <v>1980</v>
      </c>
      <c r="U71" t="s">
        <v>1980</v>
      </c>
      <c r="V71" t="s">
        <v>1980</v>
      </c>
      <c r="W71" t="s">
        <v>1982</v>
      </c>
      <c r="X71" t="s">
        <v>1980</v>
      </c>
      <c r="Y71" t="s">
        <v>1980</v>
      </c>
      <c r="Z71" t="s">
        <v>1980</v>
      </c>
      <c r="AA71" t="s">
        <v>1980</v>
      </c>
      <c r="AB71" t="s">
        <v>1983</v>
      </c>
      <c r="AC71" t="s">
        <v>1980</v>
      </c>
      <c r="AD71" t="s">
        <v>1980</v>
      </c>
      <c r="AE71" t="s">
        <v>1980</v>
      </c>
      <c r="AF71" t="s">
        <v>1980</v>
      </c>
      <c r="AG71" t="s">
        <v>1980</v>
      </c>
      <c r="AH71" t="s">
        <v>1980</v>
      </c>
      <c r="AI71" t="s">
        <v>1980</v>
      </c>
      <c r="AJ71" t="s">
        <v>1980</v>
      </c>
      <c r="AK71" t="s">
        <v>1984</v>
      </c>
      <c r="AL71" t="s">
        <v>1981</v>
      </c>
      <c r="AM71" t="s">
        <v>1980</v>
      </c>
      <c r="AN71" t="s">
        <v>1980</v>
      </c>
      <c r="AO71" t="s">
        <v>1985</v>
      </c>
    </row>
    <row r="72" spans="1:41">
      <c r="A72" t="s">
        <v>1986</v>
      </c>
      <c r="B72" t="s">
        <v>1986</v>
      </c>
      <c r="C72" t="s">
        <v>1986</v>
      </c>
      <c r="D72" t="s">
        <v>1986</v>
      </c>
      <c r="E72" t="s">
        <v>1986</v>
      </c>
      <c r="F72" t="s">
        <v>1986</v>
      </c>
      <c r="G72" t="s">
        <v>1986</v>
      </c>
      <c r="H72" t="s">
        <v>1986</v>
      </c>
      <c r="I72" t="s">
        <v>1986</v>
      </c>
      <c r="J72" t="s">
        <v>1986</v>
      </c>
      <c r="K72" t="s">
        <v>1986</v>
      </c>
      <c r="L72" t="s">
        <v>1986</v>
      </c>
      <c r="M72" t="s">
        <v>1987</v>
      </c>
      <c r="N72" t="s">
        <v>1986</v>
      </c>
      <c r="O72" t="s">
        <v>1986</v>
      </c>
      <c r="P72" t="s">
        <v>1986</v>
      </c>
      <c r="Q72" t="s">
        <v>1986</v>
      </c>
      <c r="R72" t="s">
        <v>1986</v>
      </c>
      <c r="S72" t="s">
        <v>1986</v>
      </c>
      <c r="T72" t="s">
        <v>1986</v>
      </c>
      <c r="U72" t="s">
        <v>1986</v>
      </c>
      <c r="V72" t="s">
        <v>1986</v>
      </c>
      <c r="W72" t="s">
        <v>1988</v>
      </c>
      <c r="X72" t="s">
        <v>1986</v>
      </c>
      <c r="Y72" t="s">
        <v>1986</v>
      </c>
      <c r="Z72" t="s">
        <v>1986</v>
      </c>
      <c r="AA72" t="s">
        <v>1986</v>
      </c>
      <c r="AB72" t="s">
        <v>1989</v>
      </c>
      <c r="AC72" t="s">
        <v>1986</v>
      </c>
      <c r="AD72" t="s">
        <v>1986</v>
      </c>
      <c r="AE72" t="s">
        <v>1986</v>
      </c>
      <c r="AF72" t="s">
        <v>1986</v>
      </c>
      <c r="AG72" t="s">
        <v>1986</v>
      </c>
      <c r="AH72" t="s">
        <v>1986</v>
      </c>
      <c r="AI72" t="s">
        <v>1986</v>
      </c>
      <c r="AJ72" t="s">
        <v>1986</v>
      </c>
      <c r="AK72" t="s">
        <v>1990</v>
      </c>
      <c r="AL72" t="s">
        <v>1987</v>
      </c>
      <c r="AM72" t="s">
        <v>1986</v>
      </c>
      <c r="AN72" t="s">
        <v>1986</v>
      </c>
      <c r="AO72" t="s">
        <v>1991</v>
      </c>
    </row>
    <row r="73" spans="1:41">
      <c r="A73" t="s">
        <v>1992</v>
      </c>
      <c r="B73" t="s">
        <v>1992</v>
      </c>
      <c r="C73" t="s">
        <v>1992</v>
      </c>
      <c r="D73" t="s">
        <v>1992</v>
      </c>
      <c r="E73" t="s">
        <v>1992</v>
      </c>
      <c r="F73" t="s">
        <v>1992</v>
      </c>
      <c r="G73" t="s">
        <v>1992</v>
      </c>
      <c r="H73" t="s">
        <v>1992</v>
      </c>
      <c r="I73" t="s">
        <v>1992</v>
      </c>
      <c r="J73" t="s">
        <v>1992</v>
      </c>
      <c r="K73" t="s">
        <v>1992</v>
      </c>
      <c r="L73" t="s">
        <v>1992</v>
      </c>
      <c r="M73" t="s">
        <v>1993</v>
      </c>
      <c r="N73" t="s">
        <v>1992</v>
      </c>
      <c r="O73" t="s">
        <v>1992</v>
      </c>
      <c r="P73" t="s">
        <v>1992</v>
      </c>
      <c r="Q73" t="s">
        <v>1992</v>
      </c>
      <c r="R73" t="s">
        <v>1992</v>
      </c>
      <c r="S73" t="s">
        <v>1992</v>
      </c>
      <c r="T73" t="s">
        <v>1992</v>
      </c>
      <c r="U73" t="s">
        <v>1992</v>
      </c>
      <c r="V73" t="s">
        <v>1992</v>
      </c>
      <c r="W73" t="s">
        <v>1994</v>
      </c>
      <c r="X73" t="s">
        <v>1992</v>
      </c>
      <c r="Y73" t="s">
        <v>1992</v>
      </c>
      <c r="Z73" t="s">
        <v>1992</v>
      </c>
      <c r="AA73" t="s">
        <v>1992</v>
      </c>
      <c r="AB73" t="s">
        <v>1995</v>
      </c>
      <c r="AC73" t="s">
        <v>1992</v>
      </c>
      <c r="AD73" t="s">
        <v>1992</v>
      </c>
      <c r="AE73" t="s">
        <v>1992</v>
      </c>
      <c r="AF73" t="s">
        <v>1992</v>
      </c>
      <c r="AG73" t="s">
        <v>1992</v>
      </c>
      <c r="AH73" t="s">
        <v>1992</v>
      </c>
      <c r="AI73" t="s">
        <v>1992</v>
      </c>
      <c r="AJ73" t="s">
        <v>1992</v>
      </c>
      <c r="AK73" t="s">
        <v>1996</v>
      </c>
      <c r="AL73" t="s">
        <v>1993</v>
      </c>
      <c r="AM73" t="s">
        <v>1992</v>
      </c>
      <c r="AN73" t="s">
        <v>1992</v>
      </c>
      <c r="AO73" t="s">
        <v>1997</v>
      </c>
    </row>
    <row r="74" spans="1:41">
      <c r="A74" t="s">
        <v>1998</v>
      </c>
      <c r="B74" t="s">
        <v>1998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1999</v>
      </c>
      <c r="N74" t="s">
        <v>1998</v>
      </c>
      <c r="O74" t="s">
        <v>1998</v>
      </c>
      <c r="P74" t="s">
        <v>1998</v>
      </c>
      <c r="Q74" t="s">
        <v>2000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2001</v>
      </c>
      <c r="X74" t="s">
        <v>1998</v>
      </c>
      <c r="Y74" t="s">
        <v>1998</v>
      </c>
      <c r="Z74" t="s">
        <v>2002</v>
      </c>
      <c r="AA74" t="s">
        <v>1998</v>
      </c>
      <c r="AB74" t="s">
        <v>2003</v>
      </c>
      <c r="AC74" t="s">
        <v>1998</v>
      </c>
      <c r="AD74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2004</v>
      </c>
      <c r="AL74" t="s">
        <v>1999</v>
      </c>
      <c r="AM74" t="s">
        <v>1998</v>
      </c>
      <c r="AN74" t="s">
        <v>1998</v>
      </c>
      <c r="AO74" t="s">
        <v>2005</v>
      </c>
    </row>
    <row r="75" spans="1:41">
      <c r="A75" t="s">
        <v>2006</v>
      </c>
      <c r="B75" t="s">
        <v>2006</v>
      </c>
      <c r="C75" t="s">
        <v>2006</v>
      </c>
      <c r="D75" t="s">
        <v>2006</v>
      </c>
      <c r="E75" t="s">
        <v>2006</v>
      </c>
      <c r="F75" t="s">
        <v>2006</v>
      </c>
      <c r="G75" t="s">
        <v>2006</v>
      </c>
      <c r="H75" t="s">
        <v>2006</v>
      </c>
      <c r="I75" t="s">
        <v>2006</v>
      </c>
      <c r="J75" t="s">
        <v>2006</v>
      </c>
      <c r="K75" t="s">
        <v>2006</v>
      </c>
      <c r="L75" t="s">
        <v>2006</v>
      </c>
      <c r="M75" t="s">
        <v>2007</v>
      </c>
      <c r="N75" t="s">
        <v>2006</v>
      </c>
      <c r="O75" t="s">
        <v>2006</v>
      </c>
      <c r="P75" t="s">
        <v>2006</v>
      </c>
      <c r="Q75" t="s">
        <v>2008</v>
      </c>
      <c r="R75" t="s">
        <v>2006</v>
      </c>
      <c r="S75" t="s">
        <v>2006</v>
      </c>
      <c r="T75" t="s">
        <v>2006</v>
      </c>
      <c r="U75" t="s">
        <v>2006</v>
      </c>
      <c r="V75" t="s">
        <v>2006</v>
      </c>
      <c r="W75" t="s">
        <v>2009</v>
      </c>
      <c r="X75" t="s">
        <v>2006</v>
      </c>
      <c r="Y75" t="s">
        <v>2006</v>
      </c>
      <c r="Z75" t="s">
        <v>2010</v>
      </c>
      <c r="AA75" t="s">
        <v>2006</v>
      </c>
      <c r="AB75" t="s">
        <v>2011</v>
      </c>
      <c r="AC75" t="s">
        <v>2006</v>
      </c>
      <c r="AD75" t="s">
        <v>2006</v>
      </c>
      <c r="AE75" t="s">
        <v>2006</v>
      </c>
      <c r="AF75" t="s">
        <v>2006</v>
      </c>
      <c r="AG75" t="s">
        <v>2006</v>
      </c>
      <c r="AH75" t="s">
        <v>2006</v>
      </c>
      <c r="AI75" t="s">
        <v>2006</v>
      </c>
      <c r="AJ75" t="s">
        <v>2006</v>
      </c>
      <c r="AK75" t="s">
        <v>2012</v>
      </c>
      <c r="AL75" t="s">
        <v>2007</v>
      </c>
      <c r="AM75" t="s">
        <v>2006</v>
      </c>
      <c r="AN75" t="s">
        <v>2006</v>
      </c>
      <c r="AO75" t="s">
        <v>2013</v>
      </c>
    </row>
    <row r="76" spans="1:41">
      <c r="A76" t="s">
        <v>2014</v>
      </c>
      <c r="B76" t="s">
        <v>2014</v>
      </c>
      <c r="C76" t="s">
        <v>2014</v>
      </c>
      <c r="D76" t="s">
        <v>2014</v>
      </c>
      <c r="E76" t="s">
        <v>2014</v>
      </c>
      <c r="F76" t="s">
        <v>2014</v>
      </c>
      <c r="G76" t="s">
        <v>2014</v>
      </c>
      <c r="H76" t="s">
        <v>2014</v>
      </c>
      <c r="I76" t="s">
        <v>2014</v>
      </c>
      <c r="J76" t="s">
        <v>2014</v>
      </c>
      <c r="K76" t="s">
        <v>2014</v>
      </c>
      <c r="L76" t="s">
        <v>2014</v>
      </c>
      <c r="M76" t="s">
        <v>2015</v>
      </c>
      <c r="N76" t="s">
        <v>2014</v>
      </c>
      <c r="O76" t="s">
        <v>2014</v>
      </c>
      <c r="P76" t="s">
        <v>2014</v>
      </c>
      <c r="Q76" t="s">
        <v>2016</v>
      </c>
      <c r="R76" t="s">
        <v>2014</v>
      </c>
      <c r="S76" t="s">
        <v>2014</v>
      </c>
      <c r="T76" t="s">
        <v>2014</v>
      </c>
      <c r="U76" t="s">
        <v>2014</v>
      </c>
      <c r="V76" t="s">
        <v>2014</v>
      </c>
      <c r="W76" t="s">
        <v>2017</v>
      </c>
      <c r="X76" t="s">
        <v>2014</v>
      </c>
      <c r="Y76" t="s">
        <v>2014</v>
      </c>
      <c r="Z76" t="s">
        <v>2014</v>
      </c>
      <c r="AA76" t="s">
        <v>2014</v>
      </c>
      <c r="AB76" t="s">
        <v>2018</v>
      </c>
      <c r="AC76" t="s">
        <v>2014</v>
      </c>
      <c r="AD76" t="s">
        <v>2014</v>
      </c>
      <c r="AE76" t="s">
        <v>2014</v>
      </c>
      <c r="AF76" t="s">
        <v>2014</v>
      </c>
      <c r="AG76" t="s">
        <v>2014</v>
      </c>
      <c r="AH76" t="s">
        <v>2014</v>
      </c>
      <c r="AI76" t="s">
        <v>2014</v>
      </c>
      <c r="AJ76" t="s">
        <v>2014</v>
      </c>
      <c r="AK76" t="s">
        <v>2019</v>
      </c>
      <c r="AL76" t="s">
        <v>2015</v>
      </c>
      <c r="AM76" t="s">
        <v>2014</v>
      </c>
      <c r="AN76" t="s">
        <v>2014</v>
      </c>
      <c r="AO76" t="s">
        <v>2020</v>
      </c>
    </row>
    <row r="77" spans="1:41">
      <c r="A77" t="s">
        <v>2021</v>
      </c>
      <c r="B77" t="s">
        <v>2021</v>
      </c>
      <c r="C77" t="s">
        <v>2021</v>
      </c>
      <c r="D77" t="s">
        <v>2021</v>
      </c>
      <c r="E77" t="s">
        <v>2021</v>
      </c>
      <c r="F77" t="s">
        <v>2021</v>
      </c>
      <c r="G77" t="s">
        <v>2021</v>
      </c>
      <c r="H77" t="s">
        <v>2021</v>
      </c>
      <c r="I77" t="s">
        <v>2021</v>
      </c>
      <c r="J77" t="s">
        <v>2021</v>
      </c>
      <c r="K77" t="s">
        <v>2021</v>
      </c>
      <c r="L77" t="s">
        <v>2021</v>
      </c>
      <c r="M77" t="s">
        <v>2022</v>
      </c>
      <c r="N77" t="s">
        <v>2021</v>
      </c>
      <c r="O77" t="s">
        <v>2021</v>
      </c>
      <c r="P77" t="s">
        <v>2021</v>
      </c>
      <c r="Q77" t="s">
        <v>2023</v>
      </c>
      <c r="R77" t="s">
        <v>2021</v>
      </c>
      <c r="S77" t="s">
        <v>2021</v>
      </c>
      <c r="T77" t="s">
        <v>2021</v>
      </c>
      <c r="U77" t="s">
        <v>2021</v>
      </c>
      <c r="V77" t="s">
        <v>2021</v>
      </c>
      <c r="W77" t="s">
        <v>2024</v>
      </c>
      <c r="X77" t="s">
        <v>2021</v>
      </c>
      <c r="Y77" t="s">
        <v>2021</v>
      </c>
      <c r="Z77" t="s">
        <v>2021</v>
      </c>
      <c r="AA77" t="s">
        <v>2021</v>
      </c>
      <c r="AB77" t="s">
        <v>2025</v>
      </c>
      <c r="AC77" t="s">
        <v>2021</v>
      </c>
      <c r="AD77" t="s">
        <v>2021</v>
      </c>
      <c r="AE77" t="s">
        <v>2021</v>
      </c>
      <c r="AF77" t="s">
        <v>2021</v>
      </c>
      <c r="AG77" t="s">
        <v>2021</v>
      </c>
      <c r="AH77" t="s">
        <v>2021</v>
      </c>
      <c r="AI77" t="s">
        <v>2021</v>
      </c>
      <c r="AJ77" t="s">
        <v>2021</v>
      </c>
      <c r="AK77" t="s">
        <v>2026</v>
      </c>
      <c r="AL77" t="s">
        <v>2022</v>
      </c>
      <c r="AM77" t="s">
        <v>2021</v>
      </c>
      <c r="AN77" t="s">
        <v>2021</v>
      </c>
      <c r="AO77" t="s">
        <v>2027</v>
      </c>
    </row>
    <row r="78" spans="1:41">
      <c r="A78" t="s">
        <v>2028</v>
      </c>
      <c r="B78" t="s">
        <v>2028</v>
      </c>
      <c r="C78" t="s">
        <v>2028</v>
      </c>
      <c r="D78" t="s">
        <v>2028</v>
      </c>
      <c r="E78" t="s">
        <v>2028</v>
      </c>
      <c r="F78" t="s">
        <v>2028</v>
      </c>
      <c r="G78" t="s">
        <v>2028</v>
      </c>
      <c r="H78" t="s">
        <v>2028</v>
      </c>
      <c r="I78" t="s">
        <v>2028</v>
      </c>
      <c r="J78" t="s">
        <v>2028</v>
      </c>
      <c r="K78" t="s">
        <v>2028</v>
      </c>
      <c r="L78" t="s">
        <v>2028</v>
      </c>
      <c r="M78" t="s">
        <v>2029</v>
      </c>
      <c r="N78" t="s">
        <v>2028</v>
      </c>
      <c r="O78" t="s">
        <v>2028</v>
      </c>
      <c r="P78" t="s">
        <v>2028</v>
      </c>
      <c r="Q78" t="s">
        <v>2030</v>
      </c>
      <c r="R78" t="s">
        <v>2028</v>
      </c>
      <c r="S78" t="s">
        <v>2028</v>
      </c>
      <c r="T78" t="s">
        <v>2028</v>
      </c>
      <c r="U78" t="s">
        <v>2028</v>
      </c>
      <c r="V78" t="s">
        <v>2028</v>
      </c>
      <c r="W78" t="s">
        <v>2031</v>
      </c>
      <c r="X78" t="s">
        <v>2028</v>
      </c>
      <c r="Y78" t="s">
        <v>2028</v>
      </c>
      <c r="Z78" t="s">
        <v>2028</v>
      </c>
      <c r="AA78" t="s">
        <v>2028</v>
      </c>
      <c r="AB78" t="s">
        <v>2032</v>
      </c>
      <c r="AC78" t="s">
        <v>2028</v>
      </c>
      <c r="AD78" t="s">
        <v>2028</v>
      </c>
      <c r="AE78" t="s">
        <v>2028</v>
      </c>
      <c r="AF78" t="s">
        <v>2028</v>
      </c>
      <c r="AG78" t="s">
        <v>2028</v>
      </c>
      <c r="AH78" t="s">
        <v>2028</v>
      </c>
      <c r="AI78" t="s">
        <v>2028</v>
      </c>
      <c r="AJ78" t="s">
        <v>2028</v>
      </c>
      <c r="AK78" t="s">
        <v>2033</v>
      </c>
      <c r="AL78" t="s">
        <v>2029</v>
      </c>
      <c r="AM78" t="s">
        <v>2028</v>
      </c>
      <c r="AN78" t="s">
        <v>2028</v>
      </c>
      <c r="AO78" t="s">
        <v>2034</v>
      </c>
    </row>
    <row r="79" spans="1:41">
      <c r="A79" t="s">
        <v>2035</v>
      </c>
      <c r="B79" t="s">
        <v>2035</v>
      </c>
      <c r="C79" t="s">
        <v>2035</v>
      </c>
      <c r="D79" t="s">
        <v>2035</v>
      </c>
      <c r="E79" t="s">
        <v>2035</v>
      </c>
      <c r="F79" t="s">
        <v>2035</v>
      </c>
      <c r="G79" t="s">
        <v>2035</v>
      </c>
      <c r="H79" t="s">
        <v>2035</v>
      </c>
      <c r="I79" t="s">
        <v>2035</v>
      </c>
      <c r="J79" t="s">
        <v>2035</v>
      </c>
      <c r="K79" t="s">
        <v>2035</v>
      </c>
      <c r="L79" t="s">
        <v>2035</v>
      </c>
      <c r="M79" t="s">
        <v>2036</v>
      </c>
      <c r="N79" t="s">
        <v>2035</v>
      </c>
      <c r="O79" t="s">
        <v>2035</v>
      </c>
      <c r="P79" t="s">
        <v>2035</v>
      </c>
      <c r="Q79" t="s">
        <v>2037</v>
      </c>
      <c r="R79" t="s">
        <v>2035</v>
      </c>
      <c r="S79" t="s">
        <v>2035</v>
      </c>
      <c r="T79" t="s">
        <v>2035</v>
      </c>
      <c r="U79" t="s">
        <v>2035</v>
      </c>
      <c r="V79" t="s">
        <v>2035</v>
      </c>
      <c r="W79" t="s">
        <v>2038</v>
      </c>
      <c r="X79" t="s">
        <v>2035</v>
      </c>
      <c r="Y79" t="s">
        <v>2035</v>
      </c>
      <c r="Z79" t="s">
        <v>2035</v>
      </c>
      <c r="AA79" t="s">
        <v>2035</v>
      </c>
      <c r="AB79" t="s">
        <v>2039</v>
      </c>
      <c r="AC79" t="s">
        <v>2035</v>
      </c>
      <c r="AD79" t="s">
        <v>2035</v>
      </c>
      <c r="AE79" t="s">
        <v>2035</v>
      </c>
      <c r="AF79" t="s">
        <v>2035</v>
      </c>
      <c r="AG79" t="s">
        <v>2035</v>
      </c>
      <c r="AH79" t="s">
        <v>2035</v>
      </c>
      <c r="AI79" t="s">
        <v>2035</v>
      </c>
      <c r="AJ79" t="s">
        <v>2035</v>
      </c>
      <c r="AK79" t="s">
        <v>2040</v>
      </c>
      <c r="AL79" t="s">
        <v>2036</v>
      </c>
      <c r="AM79" t="s">
        <v>2035</v>
      </c>
      <c r="AN79" t="s">
        <v>2035</v>
      </c>
      <c r="AO79" t="s">
        <v>2041</v>
      </c>
    </row>
    <row r="80" spans="1:41">
      <c r="A80" t="s">
        <v>2042</v>
      </c>
      <c r="B80" t="s">
        <v>2042</v>
      </c>
      <c r="C80" t="s">
        <v>2042</v>
      </c>
      <c r="D80" t="s">
        <v>2042</v>
      </c>
      <c r="E80" t="s">
        <v>2042</v>
      </c>
      <c r="F80" t="s">
        <v>2042</v>
      </c>
      <c r="G80" t="s">
        <v>2042</v>
      </c>
      <c r="H80" t="s">
        <v>2042</v>
      </c>
      <c r="I80" t="s">
        <v>2042</v>
      </c>
      <c r="J80" t="s">
        <v>2042</v>
      </c>
      <c r="K80" t="s">
        <v>2042</v>
      </c>
      <c r="L80" t="s">
        <v>2042</v>
      </c>
      <c r="M80" t="s">
        <v>2043</v>
      </c>
      <c r="N80" t="s">
        <v>2042</v>
      </c>
      <c r="O80" t="s">
        <v>2042</v>
      </c>
      <c r="P80" t="s">
        <v>2042</v>
      </c>
      <c r="Q80" t="s">
        <v>2044</v>
      </c>
      <c r="R80" t="s">
        <v>2042</v>
      </c>
      <c r="S80" t="s">
        <v>2042</v>
      </c>
      <c r="T80" t="s">
        <v>2042</v>
      </c>
      <c r="U80" t="s">
        <v>2042</v>
      </c>
      <c r="V80" t="s">
        <v>2042</v>
      </c>
      <c r="W80" t="s">
        <v>2045</v>
      </c>
      <c r="X80" t="s">
        <v>2042</v>
      </c>
      <c r="Y80" t="s">
        <v>2042</v>
      </c>
      <c r="Z80" t="s">
        <v>2042</v>
      </c>
      <c r="AA80" t="s">
        <v>2042</v>
      </c>
      <c r="AB80" t="s">
        <v>2046</v>
      </c>
      <c r="AC80" t="s">
        <v>2042</v>
      </c>
      <c r="AD80" t="s">
        <v>2042</v>
      </c>
      <c r="AE80" t="s">
        <v>2042</v>
      </c>
      <c r="AF80" t="s">
        <v>2042</v>
      </c>
      <c r="AG80" t="s">
        <v>2042</v>
      </c>
      <c r="AH80" t="s">
        <v>2042</v>
      </c>
      <c r="AI80" t="s">
        <v>2042</v>
      </c>
      <c r="AJ80" t="s">
        <v>2042</v>
      </c>
      <c r="AK80" t="s">
        <v>2047</v>
      </c>
      <c r="AL80" t="s">
        <v>2043</v>
      </c>
      <c r="AM80" t="s">
        <v>2042</v>
      </c>
      <c r="AN80" t="s">
        <v>2042</v>
      </c>
      <c r="AO80" t="s">
        <v>2048</v>
      </c>
    </row>
    <row r="81" spans="1:41">
      <c r="A81" t="s">
        <v>2049</v>
      </c>
      <c r="B81" t="s">
        <v>2049</v>
      </c>
      <c r="C81" t="s">
        <v>2049</v>
      </c>
      <c r="D81" t="s">
        <v>2049</v>
      </c>
      <c r="E81" t="s">
        <v>2049</v>
      </c>
      <c r="F81" t="s">
        <v>2049</v>
      </c>
      <c r="G81" t="s">
        <v>2049</v>
      </c>
      <c r="H81" t="s">
        <v>2049</v>
      </c>
      <c r="I81" t="s">
        <v>2049</v>
      </c>
      <c r="J81" t="s">
        <v>2049</v>
      </c>
      <c r="K81" t="s">
        <v>2049</v>
      </c>
      <c r="L81" t="s">
        <v>2049</v>
      </c>
      <c r="M81" t="s">
        <v>2050</v>
      </c>
      <c r="N81" t="s">
        <v>2049</v>
      </c>
      <c r="O81" t="s">
        <v>2049</v>
      </c>
      <c r="P81" t="s">
        <v>2049</v>
      </c>
      <c r="Q81" t="s">
        <v>2051</v>
      </c>
      <c r="R81" t="s">
        <v>2049</v>
      </c>
      <c r="S81" t="s">
        <v>2049</v>
      </c>
      <c r="T81" t="s">
        <v>2049</v>
      </c>
      <c r="U81" t="s">
        <v>2049</v>
      </c>
      <c r="V81" t="s">
        <v>2049</v>
      </c>
      <c r="W81" t="s">
        <v>2052</v>
      </c>
      <c r="X81" t="s">
        <v>2049</v>
      </c>
      <c r="Y81" t="s">
        <v>2049</v>
      </c>
      <c r="Z81" t="s">
        <v>2049</v>
      </c>
      <c r="AA81" t="s">
        <v>2049</v>
      </c>
      <c r="AB81" t="s">
        <v>2053</v>
      </c>
      <c r="AC81" t="s">
        <v>2049</v>
      </c>
      <c r="AD81" t="s">
        <v>2049</v>
      </c>
      <c r="AE81" t="s">
        <v>2049</v>
      </c>
      <c r="AF81" t="s">
        <v>2049</v>
      </c>
      <c r="AG81" t="s">
        <v>2049</v>
      </c>
      <c r="AH81" t="s">
        <v>2049</v>
      </c>
      <c r="AI81" t="s">
        <v>2049</v>
      </c>
      <c r="AJ81" t="s">
        <v>2049</v>
      </c>
      <c r="AK81" t="s">
        <v>2054</v>
      </c>
      <c r="AL81" t="s">
        <v>2050</v>
      </c>
      <c r="AM81" t="s">
        <v>2049</v>
      </c>
      <c r="AN81" t="s">
        <v>2049</v>
      </c>
      <c r="AO81" t="s">
        <v>2055</v>
      </c>
    </row>
    <row r="82" spans="1:41">
      <c r="A82" t="s">
        <v>2056</v>
      </c>
      <c r="B82" t="s">
        <v>2056</v>
      </c>
      <c r="C82" t="s">
        <v>2056</v>
      </c>
      <c r="D82" t="s">
        <v>2056</v>
      </c>
      <c r="E82" t="s">
        <v>2056</v>
      </c>
      <c r="F82" t="s">
        <v>2056</v>
      </c>
      <c r="G82" t="s">
        <v>2056</v>
      </c>
      <c r="H82" t="s">
        <v>2056</v>
      </c>
      <c r="I82" t="s">
        <v>2056</v>
      </c>
      <c r="J82" t="s">
        <v>2056</v>
      </c>
      <c r="K82" t="s">
        <v>2056</v>
      </c>
      <c r="L82" t="s">
        <v>2056</v>
      </c>
      <c r="M82" t="s">
        <v>2057</v>
      </c>
      <c r="N82" t="s">
        <v>2056</v>
      </c>
      <c r="O82" t="s">
        <v>2056</v>
      </c>
      <c r="P82" t="s">
        <v>2056</v>
      </c>
      <c r="Q82" t="s">
        <v>2058</v>
      </c>
      <c r="R82" t="s">
        <v>2056</v>
      </c>
      <c r="S82" t="s">
        <v>2056</v>
      </c>
      <c r="T82" t="s">
        <v>2056</v>
      </c>
      <c r="U82" t="s">
        <v>2056</v>
      </c>
      <c r="V82" t="s">
        <v>2056</v>
      </c>
      <c r="W82" t="s">
        <v>2059</v>
      </c>
      <c r="X82" t="s">
        <v>2056</v>
      </c>
      <c r="Y82" t="s">
        <v>2056</v>
      </c>
      <c r="Z82" t="s">
        <v>2060</v>
      </c>
      <c r="AA82" t="s">
        <v>2056</v>
      </c>
      <c r="AB82" t="s">
        <v>2061</v>
      </c>
      <c r="AC82" t="s">
        <v>2056</v>
      </c>
      <c r="AD82" t="s">
        <v>2056</v>
      </c>
      <c r="AE82" t="s">
        <v>2056</v>
      </c>
      <c r="AF82" t="s">
        <v>2056</v>
      </c>
      <c r="AG82" t="s">
        <v>2056</v>
      </c>
      <c r="AH82" t="s">
        <v>2056</v>
      </c>
      <c r="AI82" t="s">
        <v>2056</v>
      </c>
      <c r="AJ82" t="s">
        <v>2056</v>
      </c>
      <c r="AK82" t="s">
        <v>2062</v>
      </c>
      <c r="AL82" t="s">
        <v>2057</v>
      </c>
      <c r="AM82" t="s">
        <v>2056</v>
      </c>
      <c r="AN82" t="s">
        <v>2056</v>
      </c>
      <c r="AO82" t="s">
        <v>2063</v>
      </c>
    </row>
    <row r="83" spans="1:41">
      <c r="A83" t="s">
        <v>2064</v>
      </c>
      <c r="B83" t="s">
        <v>2064</v>
      </c>
      <c r="C83" t="s">
        <v>2064</v>
      </c>
      <c r="D83" t="s">
        <v>2064</v>
      </c>
      <c r="E83" t="s">
        <v>2064</v>
      </c>
      <c r="F83" t="s">
        <v>2064</v>
      </c>
      <c r="G83" t="s">
        <v>2064</v>
      </c>
      <c r="H83" t="s">
        <v>2064</v>
      </c>
      <c r="I83" t="s">
        <v>2064</v>
      </c>
      <c r="J83" t="s">
        <v>2064</v>
      </c>
      <c r="K83" t="s">
        <v>2064</v>
      </c>
      <c r="L83" t="s">
        <v>2064</v>
      </c>
      <c r="M83" t="s">
        <v>2065</v>
      </c>
      <c r="N83" t="s">
        <v>2064</v>
      </c>
      <c r="O83" t="s">
        <v>2064</v>
      </c>
      <c r="P83" t="s">
        <v>2064</v>
      </c>
      <c r="Q83" t="s">
        <v>2066</v>
      </c>
      <c r="R83" t="s">
        <v>2064</v>
      </c>
      <c r="S83" t="s">
        <v>2064</v>
      </c>
      <c r="T83" t="s">
        <v>2064</v>
      </c>
      <c r="U83" t="s">
        <v>2064</v>
      </c>
      <c r="V83" t="s">
        <v>2064</v>
      </c>
      <c r="W83" t="s">
        <v>2067</v>
      </c>
      <c r="X83" t="s">
        <v>2064</v>
      </c>
      <c r="Y83" t="s">
        <v>2064</v>
      </c>
      <c r="Z83" t="s">
        <v>2068</v>
      </c>
      <c r="AA83" t="s">
        <v>2064</v>
      </c>
      <c r="AB83" t="s">
        <v>2069</v>
      </c>
      <c r="AC83" t="s">
        <v>2064</v>
      </c>
      <c r="AD83" t="s">
        <v>2064</v>
      </c>
      <c r="AE83" t="s">
        <v>2064</v>
      </c>
      <c r="AF83" t="s">
        <v>2064</v>
      </c>
      <c r="AG83" t="s">
        <v>2064</v>
      </c>
      <c r="AH83" t="s">
        <v>2064</v>
      </c>
      <c r="AI83" t="s">
        <v>2064</v>
      </c>
      <c r="AJ83" t="s">
        <v>2064</v>
      </c>
      <c r="AK83" t="s">
        <v>2070</v>
      </c>
      <c r="AL83" t="s">
        <v>2065</v>
      </c>
      <c r="AM83" t="s">
        <v>2064</v>
      </c>
      <c r="AN83" t="s">
        <v>2064</v>
      </c>
      <c r="AO83" t="s">
        <v>2071</v>
      </c>
    </row>
    <row r="84" spans="1:41">
      <c r="A84" t="s">
        <v>2072</v>
      </c>
      <c r="B84" t="s">
        <v>2072</v>
      </c>
      <c r="C84" t="s">
        <v>2072</v>
      </c>
      <c r="D84" t="s">
        <v>2072</v>
      </c>
      <c r="E84" t="s">
        <v>2072</v>
      </c>
      <c r="F84" t="s">
        <v>2072</v>
      </c>
      <c r="G84" t="s">
        <v>2072</v>
      </c>
      <c r="H84" t="s">
        <v>2072</v>
      </c>
      <c r="I84" t="s">
        <v>2072</v>
      </c>
      <c r="J84" t="s">
        <v>2072</v>
      </c>
      <c r="K84" t="s">
        <v>2072</v>
      </c>
      <c r="L84" t="s">
        <v>2072</v>
      </c>
      <c r="M84" t="s">
        <v>2073</v>
      </c>
      <c r="N84" t="s">
        <v>2072</v>
      </c>
      <c r="O84" t="s">
        <v>2072</v>
      </c>
      <c r="P84" t="s">
        <v>2072</v>
      </c>
      <c r="Q84" t="s">
        <v>2072</v>
      </c>
      <c r="R84" t="s">
        <v>2072</v>
      </c>
      <c r="S84" t="s">
        <v>2072</v>
      </c>
      <c r="T84" t="s">
        <v>2072</v>
      </c>
      <c r="U84" t="s">
        <v>2072</v>
      </c>
      <c r="V84" t="s">
        <v>2072</v>
      </c>
      <c r="W84" t="s">
        <v>2074</v>
      </c>
      <c r="X84" t="s">
        <v>2072</v>
      </c>
      <c r="Y84" t="s">
        <v>2072</v>
      </c>
      <c r="Z84" t="s">
        <v>2075</v>
      </c>
      <c r="AA84" t="s">
        <v>2072</v>
      </c>
      <c r="AB84" t="s">
        <v>2076</v>
      </c>
      <c r="AC84" t="s">
        <v>2072</v>
      </c>
      <c r="AD84" t="s">
        <v>2072</v>
      </c>
      <c r="AE84" t="s">
        <v>2072</v>
      </c>
      <c r="AF84" t="s">
        <v>2072</v>
      </c>
      <c r="AG84" t="s">
        <v>2072</v>
      </c>
      <c r="AH84" t="s">
        <v>2072</v>
      </c>
      <c r="AI84" t="s">
        <v>2072</v>
      </c>
      <c r="AJ84" t="s">
        <v>2072</v>
      </c>
      <c r="AK84" t="s">
        <v>2077</v>
      </c>
      <c r="AL84" t="s">
        <v>2073</v>
      </c>
      <c r="AM84" t="s">
        <v>2072</v>
      </c>
      <c r="AN84" t="s">
        <v>2072</v>
      </c>
      <c r="AO84" t="s">
        <v>2078</v>
      </c>
    </row>
    <row r="85" spans="1:41">
      <c r="A85" t="s">
        <v>2079</v>
      </c>
      <c r="B85" t="s">
        <v>2079</v>
      </c>
      <c r="C85" t="s">
        <v>2079</v>
      </c>
      <c r="D85" t="s">
        <v>2079</v>
      </c>
      <c r="E85" t="s">
        <v>2079</v>
      </c>
      <c r="F85" t="s">
        <v>2079</v>
      </c>
      <c r="G85" t="s">
        <v>2079</v>
      </c>
      <c r="H85" t="s">
        <v>2079</v>
      </c>
      <c r="I85" t="s">
        <v>2079</v>
      </c>
      <c r="J85" t="s">
        <v>2079</v>
      </c>
      <c r="K85" t="s">
        <v>2079</v>
      </c>
      <c r="L85" t="s">
        <v>2079</v>
      </c>
      <c r="M85" t="s">
        <v>2080</v>
      </c>
      <c r="N85" t="s">
        <v>2079</v>
      </c>
      <c r="O85" t="s">
        <v>2079</v>
      </c>
      <c r="P85" t="s">
        <v>2079</v>
      </c>
      <c r="Q85" t="s">
        <v>2079</v>
      </c>
      <c r="R85" t="s">
        <v>2079</v>
      </c>
      <c r="S85" t="s">
        <v>2079</v>
      </c>
      <c r="T85" t="s">
        <v>2079</v>
      </c>
      <c r="U85" t="s">
        <v>2079</v>
      </c>
      <c r="V85" t="s">
        <v>2079</v>
      </c>
      <c r="W85" t="s">
        <v>2081</v>
      </c>
      <c r="X85" t="s">
        <v>2079</v>
      </c>
      <c r="Y85" t="s">
        <v>2079</v>
      </c>
      <c r="Z85" t="s">
        <v>2075</v>
      </c>
      <c r="AA85" t="s">
        <v>2079</v>
      </c>
      <c r="AB85" t="s">
        <v>2082</v>
      </c>
      <c r="AC85" t="s">
        <v>2079</v>
      </c>
      <c r="AD85" t="s">
        <v>2079</v>
      </c>
      <c r="AE85" t="s">
        <v>2079</v>
      </c>
      <c r="AF85" t="s">
        <v>2079</v>
      </c>
      <c r="AG85" t="s">
        <v>2079</v>
      </c>
      <c r="AH85" t="s">
        <v>2079</v>
      </c>
      <c r="AI85" t="s">
        <v>2079</v>
      </c>
      <c r="AJ85" t="s">
        <v>2079</v>
      </c>
      <c r="AK85" t="s">
        <v>2083</v>
      </c>
      <c r="AL85" t="s">
        <v>2080</v>
      </c>
      <c r="AM85" t="s">
        <v>2079</v>
      </c>
      <c r="AN85" t="s">
        <v>2079</v>
      </c>
      <c r="AO85" t="s">
        <v>2084</v>
      </c>
    </row>
    <row r="86" spans="1:41">
      <c r="A86" t="s">
        <v>2085</v>
      </c>
      <c r="B86" t="s">
        <v>2086</v>
      </c>
      <c r="C86" t="s">
        <v>2085</v>
      </c>
      <c r="D86" t="s">
        <v>2085</v>
      </c>
      <c r="E86" t="s">
        <v>2087</v>
      </c>
      <c r="F86" t="s">
        <v>2085</v>
      </c>
      <c r="G86" t="s">
        <v>2088</v>
      </c>
      <c r="H86" t="s">
        <v>2089</v>
      </c>
      <c r="I86" t="s">
        <v>2085</v>
      </c>
      <c r="J86" t="s">
        <v>2085</v>
      </c>
      <c r="K86" t="s">
        <v>2090</v>
      </c>
      <c r="L86" t="s">
        <v>2090</v>
      </c>
      <c r="M86" t="s">
        <v>2085</v>
      </c>
      <c r="N86" t="s">
        <v>2085</v>
      </c>
      <c r="O86" t="s">
        <v>2091</v>
      </c>
      <c r="P86" t="s">
        <v>2085</v>
      </c>
      <c r="Q86" t="s">
        <v>2092</v>
      </c>
      <c r="R86" t="s">
        <v>2085</v>
      </c>
      <c r="S86" t="s">
        <v>2093</v>
      </c>
      <c r="T86" t="s">
        <v>2085</v>
      </c>
      <c r="U86" t="s">
        <v>2085</v>
      </c>
      <c r="V86" t="s">
        <v>2085</v>
      </c>
      <c r="W86" t="s">
        <v>2094</v>
      </c>
      <c r="X86" t="s">
        <v>2095</v>
      </c>
      <c r="Y86" t="s">
        <v>2096</v>
      </c>
      <c r="Z86" t="s">
        <v>2097</v>
      </c>
      <c r="AA86" t="s">
        <v>2090</v>
      </c>
      <c r="AB86" t="s">
        <v>2098</v>
      </c>
      <c r="AC86" t="s">
        <v>2085</v>
      </c>
      <c r="AD86" t="s">
        <v>2085</v>
      </c>
      <c r="AE86" t="s">
        <v>2099</v>
      </c>
      <c r="AF86" t="s">
        <v>2100</v>
      </c>
      <c r="AG86" t="s">
        <v>2090</v>
      </c>
      <c r="AH86" t="s">
        <v>2085</v>
      </c>
      <c r="AI86" t="s">
        <v>2085</v>
      </c>
      <c r="AJ86" t="s">
        <v>2085</v>
      </c>
      <c r="AK86" t="s">
        <v>2101</v>
      </c>
      <c r="AL86" t="s">
        <v>2088</v>
      </c>
      <c r="AM86" t="s">
        <v>2102</v>
      </c>
      <c r="AN86" t="s">
        <v>2103</v>
      </c>
      <c r="AO86" t="s">
        <v>2104</v>
      </c>
    </row>
    <row r="87" spans="1:41">
      <c r="A87" t="s">
        <v>2105</v>
      </c>
      <c r="B87" t="s">
        <v>2106</v>
      </c>
      <c r="C87" t="s">
        <v>2105</v>
      </c>
      <c r="D87" t="s">
        <v>2105</v>
      </c>
      <c r="E87" t="s">
        <v>2107</v>
      </c>
      <c r="F87" t="s">
        <v>2105</v>
      </c>
      <c r="G87" t="s">
        <v>2108</v>
      </c>
      <c r="H87" t="s">
        <v>2109</v>
      </c>
      <c r="I87" t="s">
        <v>2105</v>
      </c>
      <c r="J87" t="s">
        <v>2105</v>
      </c>
      <c r="K87" t="s">
        <v>2110</v>
      </c>
      <c r="L87" t="s">
        <v>2110</v>
      </c>
      <c r="M87" t="s">
        <v>2105</v>
      </c>
      <c r="N87" t="s">
        <v>2105</v>
      </c>
      <c r="O87" t="s">
        <v>2111</v>
      </c>
      <c r="P87" t="s">
        <v>2105</v>
      </c>
      <c r="Q87" t="s">
        <v>2112</v>
      </c>
      <c r="R87" t="s">
        <v>2105</v>
      </c>
      <c r="S87" t="s">
        <v>2113</v>
      </c>
      <c r="T87" t="s">
        <v>2105</v>
      </c>
      <c r="U87" t="s">
        <v>2105</v>
      </c>
      <c r="V87" t="s">
        <v>2105</v>
      </c>
      <c r="W87" t="s">
        <v>2114</v>
      </c>
      <c r="X87" t="s">
        <v>2115</v>
      </c>
      <c r="Y87" t="s">
        <v>2116</v>
      </c>
      <c r="Z87" t="s">
        <v>2117</v>
      </c>
      <c r="AA87" t="s">
        <v>2110</v>
      </c>
      <c r="AB87" t="s">
        <v>2118</v>
      </c>
      <c r="AC87" t="s">
        <v>2105</v>
      </c>
      <c r="AD87" t="s">
        <v>2105</v>
      </c>
      <c r="AE87" t="s">
        <v>2119</v>
      </c>
      <c r="AF87" t="s">
        <v>2120</v>
      </c>
      <c r="AG87" t="s">
        <v>2110</v>
      </c>
      <c r="AH87" t="s">
        <v>2105</v>
      </c>
      <c r="AI87" t="s">
        <v>2105</v>
      </c>
      <c r="AJ87" t="s">
        <v>2105</v>
      </c>
      <c r="AK87" t="s">
        <v>2121</v>
      </c>
      <c r="AL87" t="s">
        <v>2108</v>
      </c>
      <c r="AM87" t="s">
        <v>2122</v>
      </c>
      <c r="AN87" t="s">
        <v>2123</v>
      </c>
      <c r="AO87" t="s">
        <v>2124</v>
      </c>
    </row>
    <row r="88" spans="1:41">
      <c r="A88" t="s">
        <v>2125</v>
      </c>
      <c r="B88" t="s">
        <v>2126</v>
      </c>
      <c r="C88" t="s">
        <v>2125</v>
      </c>
      <c r="D88" t="s">
        <v>2125</v>
      </c>
      <c r="E88" t="s">
        <v>2127</v>
      </c>
      <c r="F88" t="s">
        <v>2125</v>
      </c>
      <c r="G88" t="s">
        <v>2128</v>
      </c>
      <c r="H88" t="s">
        <v>2129</v>
      </c>
      <c r="I88" t="s">
        <v>2125</v>
      </c>
      <c r="J88" t="s">
        <v>2125</v>
      </c>
      <c r="K88" t="s">
        <v>2130</v>
      </c>
      <c r="L88" t="s">
        <v>2130</v>
      </c>
      <c r="M88" t="s">
        <v>2125</v>
      </c>
      <c r="N88" t="s">
        <v>2125</v>
      </c>
      <c r="O88" t="s">
        <v>2131</v>
      </c>
      <c r="P88" t="s">
        <v>2125</v>
      </c>
      <c r="Q88" t="s">
        <v>2132</v>
      </c>
      <c r="R88" t="s">
        <v>2125</v>
      </c>
      <c r="S88" t="s">
        <v>2133</v>
      </c>
      <c r="T88" t="s">
        <v>2125</v>
      </c>
      <c r="U88" t="s">
        <v>2125</v>
      </c>
      <c r="V88" t="s">
        <v>2125</v>
      </c>
      <c r="W88" t="s">
        <v>2134</v>
      </c>
      <c r="X88" t="s">
        <v>2135</v>
      </c>
      <c r="Y88" t="s">
        <v>2136</v>
      </c>
      <c r="Z88" t="s">
        <v>2137</v>
      </c>
      <c r="AA88" t="s">
        <v>2130</v>
      </c>
      <c r="AB88" t="s">
        <v>2138</v>
      </c>
      <c r="AC88" t="s">
        <v>2125</v>
      </c>
      <c r="AD88" t="s">
        <v>2125</v>
      </c>
      <c r="AE88" t="s">
        <v>2139</v>
      </c>
      <c r="AF88" t="s">
        <v>2140</v>
      </c>
      <c r="AG88" t="s">
        <v>2130</v>
      </c>
      <c r="AH88" t="s">
        <v>2125</v>
      </c>
      <c r="AI88" t="s">
        <v>2125</v>
      </c>
      <c r="AJ88" t="s">
        <v>2125</v>
      </c>
      <c r="AK88" t="s">
        <v>2141</v>
      </c>
      <c r="AL88" t="s">
        <v>2128</v>
      </c>
      <c r="AM88" t="s">
        <v>2142</v>
      </c>
      <c r="AN88" t="s">
        <v>2143</v>
      </c>
      <c r="AO88" t="s">
        <v>2144</v>
      </c>
    </row>
    <row r="89" spans="1:41">
      <c r="A89" t="s">
        <v>2145</v>
      </c>
      <c r="B89" t="s">
        <v>2146</v>
      </c>
      <c r="C89" t="s">
        <v>2145</v>
      </c>
      <c r="D89" t="s">
        <v>2145</v>
      </c>
      <c r="E89" t="s">
        <v>2147</v>
      </c>
      <c r="F89" t="s">
        <v>2145</v>
      </c>
      <c r="G89" t="s">
        <v>2148</v>
      </c>
      <c r="H89" t="s">
        <v>2149</v>
      </c>
      <c r="I89" t="s">
        <v>2145</v>
      </c>
      <c r="J89" t="s">
        <v>2145</v>
      </c>
      <c r="K89" t="s">
        <v>2150</v>
      </c>
      <c r="L89" t="s">
        <v>2150</v>
      </c>
      <c r="M89" t="s">
        <v>2145</v>
      </c>
      <c r="N89" t="s">
        <v>2145</v>
      </c>
      <c r="O89" t="s">
        <v>2151</v>
      </c>
      <c r="P89" t="s">
        <v>2145</v>
      </c>
      <c r="Q89" t="s">
        <v>2152</v>
      </c>
      <c r="R89" t="s">
        <v>2145</v>
      </c>
      <c r="S89" t="s">
        <v>2153</v>
      </c>
      <c r="T89" t="s">
        <v>2145</v>
      </c>
      <c r="U89" t="s">
        <v>2145</v>
      </c>
      <c r="V89" t="s">
        <v>2145</v>
      </c>
      <c r="W89" t="s">
        <v>2154</v>
      </c>
      <c r="X89" t="s">
        <v>2155</v>
      </c>
      <c r="Y89" t="s">
        <v>2156</v>
      </c>
      <c r="Z89" t="s">
        <v>2157</v>
      </c>
      <c r="AA89" t="s">
        <v>2150</v>
      </c>
      <c r="AB89" t="s">
        <v>2158</v>
      </c>
      <c r="AC89" t="s">
        <v>2145</v>
      </c>
      <c r="AD89" t="s">
        <v>2145</v>
      </c>
      <c r="AE89" t="s">
        <v>2159</v>
      </c>
      <c r="AF89" t="s">
        <v>2160</v>
      </c>
      <c r="AG89" t="s">
        <v>2150</v>
      </c>
      <c r="AH89" t="s">
        <v>2145</v>
      </c>
      <c r="AI89" t="s">
        <v>2145</v>
      </c>
      <c r="AJ89" t="s">
        <v>2145</v>
      </c>
      <c r="AK89" t="s">
        <v>2161</v>
      </c>
      <c r="AL89" t="s">
        <v>2148</v>
      </c>
      <c r="AM89" t="s">
        <v>2162</v>
      </c>
      <c r="AN89" t="s">
        <v>2163</v>
      </c>
      <c r="AO89" t="s">
        <v>2164</v>
      </c>
    </row>
    <row r="90" spans="1:41">
      <c r="A90" t="s">
        <v>2165</v>
      </c>
      <c r="B90" t="s">
        <v>2166</v>
      </c>
      <c r="C90" t="s">
        <v>2165</v>
      </c>
      <c r="D90" t="s">
        <v>2165</v>
      </c>
      <c r="E90" t="s">
        <v>2167</v>
      </c>
      <c r="F90" t="s">
        <v>2165</v>
      </c>
      <c r="G90" t="s">
        <v>2168</v>
      </c>
      <c r="H90" t="s">
        <v>2169</v>
      </c>
      <c r="I90" t="s">
        <v>2165</v>
      </c>
      <c r="J90" t="s">
        <v>2165</v>
      </c>
      <c r="K90" t="s">
        <v>2170</v>
      </c>
      <c r="L90" t="s">
        <v>2170</v>
      </c>
      <c r="M90" t="s">
        <v>2165</v>
      </c>
      <c r="N90" t="s">
        <v>2165</v>
      </c>
      <c r="O90" t="s">
        <v>2171</v>
      </c>
      <c r="P90" t="s">
        <v>2165</v>
      </c>
      <c r="Q90" t="s">
        <v>2172</v>
      </c>
      <c r="R90" t="s">
        <v>2165</v>
      </c>
      <c r="S90" t="s">
        <v>2173</v>
      </c>
      <c r="T90" t="s">
        <v>2165</v>
      </c>
      <c r="U90" t="s">
        <v>2165</v>
      </c>
      <c r="V90" t="s">
        <v>2165</v>
      </c>
      <c r="W90" t="s">
        <v>2174</v>
      </c>
      <c r="X90" t="s">
        <v>2175</v>
      </c>
      <c r="Y90" t="s">
        <v>2176</v>
      </c>
      <c r="Z90" t="s">
        <v>2177</v>
      </c>
      <c r="AA90" t="s">
        <v>2170</v>
      </c>
      <c r="AB90" t="s">
        <v>2178</v>
      </c>
      <c r="AC90" t="s">
        <v>2165</v>
      </c>
      <c r="AD90" t="s">
        <v>2165</v>
      </c>
      <c r="AE90" t="s">
        <v>2179</v>
      </c>
      <c r="AF90" t="s">
        <v>2180</v>
      </c>
      <c r="AG90" t="s">
        <v>2170</v>
      </c>
      <c r="AH90" t="s">
        <v>2165</v>
      </c>
      <c r="AI90" t="s">
        <v>2165</v>
      </c>
      <c r="AJ90" t="s">
        <v>2165</v>
      </c>
      <c r="AK90" t="s">
        <v>2181</v>
      </c>
      <c r="AL90" t="s">
        <v>2168</v>
      </c>
      <c r="AM90" t="s">
        <v>2182</v>
      </c>
      <c r="AN90" t="s">
        <v>2183</v>
      </c>
      <c r="AO90" t="s">
        <v>2184</v>
      </c>
    </row>
    <row r="91" spans="1:41">
      <c r="A91" t="s">
        <v>2185</v>
      </c>
      <c r="B91" t="s">
        <v>2186</v>
      </c>
      <c r="C91" t="s">
        <v>2185</v>
      </c>
      <c r="D91" t="s">
        <v>2185</v>
      </c>
      <c r="E91" t="s">
        <v>2187</v>
      </c>
      <c r="F91" t="s">
        <v>2185</v>
      </c>
      <c r="G91" t="s">
        <v>2188</v>
      </c>
      <c r="H91" t="s">
        <v>2189</v>
      </c>
      <c r="I91" t="s">
        <v>2185</v>
      </c>
      <c r="J91" t="s">
        <v>2185</v>
      </c>
      <c r="K91" t="s">
        <v>2190</v>
      </c>
      <c r="L91" t="s">
        <v>2190</v>
      </c>
      <c r="M91" t="s">
        <v>2185</v>
      </c>
      <c r="N91" t="s">
        <v>2185</v>
      </c>
      <c r="O91" t="s">
        <v>2191</v>
      </c>
      <c r="P91" t="s">
        <v>2185</v>
      </c>
      <c r="Q91" t="s">
        <v>2192</v>
      </c>
      <c r="R91" t="s">
        <v>2185</v>
      </c>
      <c r="S91" t="s">
        <v>2193</v>
      </c>
      <c r="T91" t="s">
        <v>2185</v>
      </c>
      <c r="U91" t="s">
        <v>2185</v>
      </c>
      <c r="V91" t="s">
        <v>2185</v>
      </c>
      <c r="W91" t="s">
        <v>2194</v>
      </c>
      <c r="X91" t="s">
        <v>2195</v>
      </c>
      <c r="Y91" t="s">
        <v>2196</v>
      </c>
      <c r="Z91" t="s">
        <v>2197</v>
      </c>
      <c r="AA91" t="s">
        <v>2190</v>
      </c>
      <c r="AB91" t="s">
        <v>2198</v>
      </c>
      <c r="AC91" t="s">
        <v>2185</v>
      </c>
      <c r="AD91" t="s">
        <v>2185</v>
      </c>
      <c r="AE91" t="s">
        <v>2199</v>
      </c>
      <c r="AF91" t="s">
        <v>2200</v>
      </c>
      <c r="AG91" t="s">
        <v>2190</v>
      </c>
      <c r="AH91" t="s">
        <v>2185</v>
      </c>
      <c r="AI91" t="s">
        <v>2185</v>
      </c>
      <c r="AJ91" t="s">
        <v>2185</v>
      </c>
      <c r="AK91" t="s">
        <v>2201</v>
      </c>
      <c r="AL91" t="s">
        <v>2188</v>
      </c>
      <c r="AM91" t="s">
        <v>2202</v>
      </c>
      <c r="AN91" t="s">
        <v>2203</v>
      </c>
      <c r="AO91" t="s">
        <v>2204</v>
      </c>
    </row>
    <row r="92" spans="1:41">
      <c r="A92" t="s">
        <v>2205</v>
      </c>
      <c r="B92" t="s">
        <v>2206</v>
      </c>
      <c r="C92" t="s">
        <v>2205</v>
      </c>
      <c r="D92" t="s">
        <v>2205</v>
      </c>
      <c r="E92" t="s">
        <v>2207</v>
      </c>
      <c r="F92" t="s">
        <v>2205</v>
      </c>
      <c r="G92" t="s">
        <v>2208</v>
      </c>
      <c r="H92" t="s">
        <v>2209</v>
      </c>
      <c r="I92" t="s">
        <v>2205</v>
      </c>
      <c r="J92" t="s">
        <v>2205</v>
      </c>
      <c r="K92" t="s">
        <v>2210</v>
      </c>
      <c r="L92" t="s">
        <v>2210</v>
      </c>
      <c r="M92" t="s">
        <v>2205</v>
      </c>
      <c r="N92" t="s">
        <v>2205</v>
      </c>
      <c r="O92" t="s">
        <v>2211</v>
      </c>
      <c r="P92" t="s">
        <v>2205</v>
      </c>
      <c r="Q92" t="s">
        <v>2212</v>
      </c>
      <c r="R92" t="s">
        <v>2205</v>
      </c>
      <c r="S92" t="s">
        <v>2213</v>
      </c>
      <c r="T92" t="s">
        <v>2205</v>
      </c>
      <c r="U92" t="s">
        <v>2205</v>
      </c>
      <c r="V92" t="s">
        <v>2205</v>
      </c>
      <c r="W92" t="s">
        <v>2214</v>
      </c>
      <c r="X92" t="s">
        <v>2215</v>
      </c>
      <c r="Y92" t="s">
        <v>2216</v>
      </c>
      <c r="Z92" t="s">
        <v>2217</v>
      </c>
      <c r="AA92" t="s">
        <v>2210</v>
      </c>
      <c r="AB92" t="s">
        <v>2218</v>
      </c>
      <c r="AC92" t="s">
        <v>2205</v>
      </c>
      <c r="AD92" t="s">
        <v>2205</v>
      </c>
      <c r="AE92" t="s">
        <v>2219</v>
      </c>
      <c r="AF92" t="s">
        <v>2220</v>
      </c>
      <c r="AG92" t="s">
        <v>2210</v>
      </c>
      <c r="AH92" t="s">
        <v>2205</v>
      </c>
      <c r="AI92" t="s">
        <v>2205</v>
      </c>
      <c r="AJ92" t="s">
        <v>2205</v>
      </c>
      <c r="AK92" t="s">
        <v>2221</v>
      </c>
      <c r="AL92" t="s">
        <v>2208</v>
      </c>
      <c r="AM92" t="s">
        <v>2222</v>
      </c>
      <c r="AN92" t="s">
        <v>2223</v>
      </c>
      <c r="AO92" t="s">
        <v>2224</v>
      </c>
    </row>
    <row r="93" spans="1:41">
      <c r="A93" t="s">
        <v>2225</v>
      </c>
      <c r="B93" t="s">
        <v>2226</v>
      </c>
      <c r="C93" t="s">
        <v>2225</v>
      </c>
      <c r="D93" t="s">
        <v>2225</v>
      </c>
      <c r="E93" t="s">
        <v>2227</v>
      </c>
      <c r="F93" t="s">
        <v>2225</v>
      </c>
      <c r="G93" t="s">
        <v>2228</v>
      </c>
      <c r="H93" t="s">
        <v>2229</v>
      </c>
      <c r="I93" t="s">
        <v>2225</v>
      </c>
      <c r="J93" t="s">
        <v>2225</v>
      </c>
      <c r="K93" t="s">
        <v>2230</v>
      </c>
      <c r="L93" t="s">
        <v>2230</v>
      </c>
      <c r="M93" t="s">
        <v>2225</v>
      </c>
      <c r="N93" t="s">
        <v>2225</v>
      </c>
      <c r="O93" t="s">
        <v>2231</v>
      </c>
      <c r="P93" t="s">
        <v>2225</v>
      </c>
      <c r="Q93" t="s">
        <v>2232</v>
      </c>
      <c r="R93" t="s">
        <v>2225</v>
      </c>
      <c r="S93" t="s">
        <v>2233</v>
      </c>
      <c r="T93" t="s">
        <v>2225</v>
      </c>
      <c r="U93" t="s">
        <v>2225</v>
      </c>
      <c r="V93" t="s">
        <v>2225</v>
      </c>
      <c r="W93" t="s">
        <v>2234</v>
      </c>
      <c r="X93" t="s">
        <v>2235</v>
      </c>
      <c r="Y93" t="s">
        <v>2236</v>
      </c>
      <c r="Z93" t="s">
        <v>2237</v>
      </c>
      <c r="AA93" t="s">
        <v>2230</v>
      </c>
      <c r="AB93" t="s">
        <v>2238</v>
      </c>
      <c r="AC93" t="s">
        <v>2225</v>
      </c>
      <c r="AD93" t="s">
        <v>2225</v>
      </c>
      <c r="AE93" t="s">
        <v>2239</v>
      </c>
      <c r="AF93" t="s">
        <v>2240</v>
      </c>
      <c r="AG93" t="s">
        <v>2230</v>
      </c>
      <c r="AH93" t="s">
        <v>2225</v>
      </c>
      <c r="AI93" t="s">
        <v>2225</v>
      </c>
      <c r="AJ93" t="s">
        <v>2225</v>
      </c>
      <c r="AK93" t="s">
        <v>2241</v>
      </c>
      <c r="AL93" t="s">
        <v>2228</v>
      </c>
      <c r="AM93" t="s">
        <v>2242</v>
      </c>
      <c r="AN93" t="s">
        <v>2243</v>
      </c>
      <c r="AO93" t="s">
        <v>2244</v>
      </c>
    </row>
    <row r="94" spans="1:41">
      <c r="A94" t="s">
        <v>2245</v>
      </c>
      <c r="B94" t="s">
        <v>2246</v>
      </c>
      <c r="C94" t="s">
        <v>2245</v>
      </c>
      <c r="D94" t="s">
        <v>2245</v>
      </c>
      <c r="E94" t="s">
        <v>2247</v>
      </c>
      <c r="F94" t="s">
        <v>2245</v>
      </c>
      <c r="G94" t="s">
        <v>2248</v>
      </c>
      <c r="H94" t="s">
        <v>2249</v>
      </c>
      <c r="I94" t="s">
        <v>2245</v>
      </c>
      <c r="J94" t="s">
        <v>2245</v>
      </c>
      <c r="K94" t="s">
        <v>2250</v>
      </c>
      <c r="L94" t="s">
        <v>2250</v>
      </c>
      <c r="M94" t="s">
        <v>2245</v>
      </c>
      <c r="N94" t="s">
        <v>2245</v>
      </c>
      <c r="O94" t="s">
        <v>2251</v>
      </c>
      <c r="P94" t="s">
        <v>2245</v>
      </c>
      <c r="Q94" t="s">
        <v>2252</v>
      </c>
      <c r="R94" t="s">
        <v>2245</v>
      </c>
      <c r="S94" t="s">
        <v>2253</v>
      </c>
      <c r="T94" t="s">
        <v>2245</v>
      </c>
      <c r="U94" t="s">
        <v>2245</v>
      </c>
      <c r="V94" t="s">
        <v>2245</v>
      </c>
      <c r="W94" t="s">
        <v>2254</v>
      </c>
      <c r="X94" t="s">
        <v>2255</v>
      </c>
      <c r="Y94" t="s">
        <v>2256</v>
      </c>
      <c r="Z94" t="s">
        <v>2257</v>
      </c>
      <c r="AA94" t="s">
        <v>2250</v>
      </c>
      <c r="AB94" t="s">
        <v>2258</v>
      </c>
      <c r="AC94" t="s">
        <v>2245</v>
      </c>
      <c r="AD94" t="s">
        <v>2245</v>
      </c>
      <c r="AE94" t="s">
        <v>2259</v>
      </c>
      <c r="AF94" t="s">
        <v>2260</v>
      </c>
      <c r="AG94" t="s">
        <v>2250</v>
      </c>
      <c r="AH94" t="s">
        <v>2245</v>
      </c>
      <c r="AI94" t="s">
        <v>2245</v>
      </c>
      <c r="AJ94" t="s">
        <v>2245</v>
      </c>
      <c r="AK94" t="s">
        <v>2261</v>
      </c>
      <c r="AL94" t="s">
        <v>2248</v>
      </c>
      <c r="AM94" t="s">
        <v>2262</v>
      </c>
      <c r="AN94" t="s">
        <v>2263</v>
      </c>
      <c r="AO94" t="s">
        <v>2264</v>
      </c>
    </row>
    <row r="95" spans="1:41">
      <c r="A95" t="s">
        <v>2265</v>
      </c>
      <c r="B95" t="s">
        <v>2266</v>
      </c>
      <c r="C95" t="s">
        <v>2265</v>
      </c>
      <c r="D95" t="s">
        <v>2265</v>
      </c>
      <c r="E95" t="s">
        <v>2267</v>
      </c>
      <c r="F95" t="s">
        <v>2265</v>
      </c>
      <c r="G95" t="s">
        <v>2268</v>
      </c>
      <c r="H95" t="s">
        <v>2269</v>
      </c>
      <c r="I95" t="s">
        <v>2265</v>
      </c>
      <c r="J95" t="s">
        <v>2265</v>
      </c>
      <c r="K95" t="s">
        <v>2270</v>
      </c>
      <c r="L95" t="s">
        <v>2270</v>
      </c>
      <c r="M95" t="s">
        <v>2265</v>
      </c>
      <c r="N95" t="s">
        <v>2265</v>
      </c>
      <c r="O95" t="s">
        <v>2271</v>
      </c>
      <c r="P95" t="s">
        <v>2265</v>
      </c>
      <c r="Q95" t="s">
        <v>2272</v>
      </c>
      <c r="R95" t="s">
        <v>2265</v>
      </c>
      <c r="S95" t="s">
        <v>2273</v>
      </c>
      <c r="T95" t="s">
        <v>2265</v>
      </c>
      <c r="U95" t="s">
        <v>2265</v>
      </c>
      <c r="V95" t="s">
        <v>2265</v>
      </c>
      <c r="W95" t="s">
        <v>2274</v>
      </c>
      <c r="X95" t="s">
        <v>2275</v>
      </c>
      <c r="Y95" t="s">
        <v>2276</v>
      </c>
      <c r="Z95" t="s">
        <v>2277</v>
      </c>
      <c r="AA95" t="s">
        <v>2270</v>
      </c>
      <c r="AB95" t="s">
        <v>2278</v>
      </c>
      <c r="AC95" t="s">
        <v>2265</v>
      </c>
      <c r="AD95" t="s">
        <v>2265</v>
      </c>
      <c r="AE95" t="s">
        <v>2279</v>
      </c>
      <c r="AF95" t="s">
        <v>2280</v>
      </c>
      <c r="AG95" t="s">
        <v>2270</v>
      </c>
      <c r="AH95" t="s">
        <v>2265</v>
      </c>
      <c r="AI95" t="s">
        <v>2265</v>
      </c>
      <c r="AJ95" t="s">
        <v>2265</v>
      </c>
      <c r="AK95" t="s">
        <v>2281</v>
      </c>
      <c r="AL95" t="s">
        <v>2268</v>
      </c>
      <c r="AM95" t="s">
        <v>2282</v>
      </c>
      <c r="AN95" t="s">
        <v>2283</v>
      </c>
      <c r="AO95" t="s">
        <v>2284</v>
      </c>
    </row>
    <row r="96" spans="1:41">
      <c r="A96" t="s">
        <v>2285</v>
      </c>
      <c r="B96" t="s">
        <v>2286</v>
      </c>
      <c r="C96" t="s">
        <v>2285</v>
      </c>
      <c r="D96" t="s">
        <v>2285</v>
      </c>
      <c r="E96" t="s">
        <v>2287</v>
      </c>
      <c r="F96" t="s">
        <v>2285</v>
      </c>
      <c r="G96" t="s">
        <v>2288</v>
      </c>
      <c r="H96" t="s">
        <v>2289</v>
      </c>
      <c r="I96" t="s">
        <v>2285</v>
      </c>
      <c r="J96" t="s">
        <v>2285</v>
      </c>
      <c r="K96" t="s">
        <v>2290</v>
      </c>
      <c r="L96" t="s">
        <v>2290</v>
      </c>
      <c r="M96" t="s">
        <v>2285</v>
      </c>
      <c r="N96" t="s">
        <v>2285</v>
      </c>
      <c r="O96" t="s">
        <v>2291</v>
      </c>
      <c r="P96" t="s">
        <v>2285</v>
      </c>
      <c r="Q96" t="s">
        <v>2292</v>
      </c>
      <c r="R96" t="s">
        <v>2285</v>
      </c>
      <c r="S96" t="s">
        <v>2293</v>
      </c>
      <c r="T96" t="s">
        <v>2285</v>
      </c>
      <c r="U96" t="s">
        <v>2285</v>
      </c>
      <c r="V96" t="s">
        <v>2285</v>
      </c>
      <c r="W96" t="s">
        <v>2294</v>
      </c>
      <c r="X96" t="s">
        <v>2295</v>
      </c>
      <c r="Y96" t="s">
        <v>2296</v>
      </c>
      <c r="Z96" t="s">
        <v>2297</v>
      </c>
      <c r="AA96" t="s">
        <v>2290</v>
      </c>
      <c r="AB96" t="s">
        <v>2298</v>
      </c>
      <c r="AC96" t="s">
        <v>2285</v>
      </c>
      <c r="AD96" t="s">
        <v>2285</v>
      </c>
      <c r="AE96" t="s">
        <v>2299</v>
      </c>
      <c r="AF96" t="s">
        <v>2300</v>
      </c>
      <c r="AG96" t="s">
        <v>2290</v>
      </c>
      <c r="AH96" t="s">
        <v>2285</v>
      </c>
      <c r="AI96" t="s">
        <v>2285</v>
      </c>
      <c r="AJ96" t="s">
        <v>2285</v>
      </c>
      <c r="AK96" t="s">
        <v>2301</v>
      </c>
      <c r="AL96" t="s">
        <v>2288</v>
      </c>
      <c r="AM96" t="s">
        <v>2302</v>
      </c>
      <c r="AN96" t="s">
        <v>2303</v>
      </c>
      <c r="AO96" t="s">
        <v>2304</v>
      </c>
    </row>
    <row r="97" spans="1:41">
      <c r="A97" t="s">
        <v>2305</v>
      </c>
      <c r="B97" t="s">
        <v>2306</v>
      </c>
      <c r="C97" t="s">
        <v>2305</v>
      </c>
      <c r="D97" t="s">
        <v>2305</v>
      </c>
      <c r="E97" t="s">
        <v>2307</v>
      </c>
      <c r="F97" t="s">
        <v>2305</v>
      </c>
      <c r="G97" t="s">
        <v>2308</v>
      </c>
      <c r="H97" t="s">
        <v>2309</v>
      </c>
      <c r="I97" t="s">
        <v>2305</v>
      </c>
      <c r="J97" t="s">
        <v>2305</v>
      </c>
      <c r="K97" t="s">
        <v>2310</v>
      </c>
      <c r="L97" t="s">
        <v>2310</v>
      </c>
      <c r="M97" t="s">
        <v>2305</v>
      </c>
      <c r="N97" t="s">
        <v>2305</v>
      </c>
      <c r="O97" t="s">
        <v>2311</v>
      </c>
      <c r="P97" t="s">
        <v>2305</v>
      </c>
      <c r="Q97" t="s">
        <v>2312</v>
      </c>
      <c r="R97" t="s">
        <v>2305</v>
      </c>
      <c r="S97" t="s">
        <v>2313</v>
      </c>
      <c r="T97" t="s">
        <v>2305</v>
      </c>
      <c r="U97" t="s">
        <v>2305</v>
      </c>
      <c r="V97" t="s">
        <v>2305</v>
      </c>
      <c r="W97" t="s">
        <v>2314</v>
      </c>
      <c r="X97" t="s">
        <v>2315</v>
      </c>
      <c r="Y97" t="s">
        <v>2316</v>
      </c>
      <c r="Z97" t="s">
        <v>2317</v>
      </c>
      <c r="AA97" t="s">
        <v>2310</v>
      </c>
      <c r="AB97" t="s">
        <v>2318</v>
      </c>
      <c r="AC97" t="s">
        <v>2305</v>
      </c>
      <c r="AD97" t="s">
        <v>2305</v>
      </c>
      <c r="AE97" t="s">
        <v>2319</v>
      </c>
      <c r="AF97" t="s">
        <v>2320</v>
      </c>
      <c r="AG97" t="s">
        <v>2310</v>
      </c>
      <c r="AH97" t="s">
        <v>2305</v>
      </c>
      <c r="AI97" t="s">
        <v>2305</v>
      </c>
      <c r="AJ97" t="s">
        <v>2305</v>
      </c>
      <c r="AK97" t="s">
        <v>2321</v>
      </c>
      <c r="AL97" t="s">
        <v>2308</v>
      </c>
      <c r="AM97" t="s">
        <v>2322</v>
      </c>
      <c r="AN97" t="s">
        <v>2323</v>
      </c>
      <c r="AO97" t="s">
        <v>2324</v>
      </c>
    </row>
    <row r="98" spans="1:41">
      <c r="A98" t="s">
        <v>2325</v>
      </c>
      <c r="B98" t="s">
        <v>2326</v>
      </c>
      <c r="C98" t="s">
        <v>2325</v>
      </c>
      <c r="D98" t="s">
        <v>2325</v>
      </c>
      <c r="E98" t="s">
        <v>2327</v>
      </c>
      <c r="F98" t="s">
        <v>2325</v>
      </c>
      <c r="G98" t="s">
        <v>2328</v>
      </c>
      <c r="H98" t="s">
        <v>2329</v>
      </c>
      <c r="I98" t="s">
        <v>2325</v>
      </c>
      <c r="J98" t="s">
        <v>2325</v>
      </c>
      <c r="K98" t="s">
        <v>2330</v>
      </c>
      <c r="L98" t="s">
        <v>2330</v>
      </c>
      <c r="M98" t="s">
        <v>2325</v>
      </c>
      <c r="N98" t="s">
        <v>2325</v>
      </c>
      <c r="O98" t="s">
        <v>2331</v>
      </c>
      <c r="P98" t="s">
        <v>2325</v>
      </c>
      <c r="Q98" t="s">
        <v>2332</v>
      </c>
      <c r="R98" t="s">
        <v>2325</v>
      </c>
      <c r="S98" t="s">
        <v>2333</v>
      </c>
      <c r="T98" t="s">
        <v>2325</v>
      </c>
      <c r="U98" t="s">
        <v>2325</v>
      </c>
      <c r="V98" t="s">
        <v>2325</v>
      </c>
      <c r="W98" s="2" t="s">
        <v>2334</v>
      </c>
      <c r="X98" t="s">
        <v>2335</v>
      </c>
      <c r="Y98" t="s">
        <v>2336</v>
      </c>
      <c r="Z98" t="s">
        <v>2337</v>
      </c>
      <c r="AA98" t="s">
        <v>2330</v>
      </c>
      <c r="AB98" t="s">
        <v>2338</v>
      </c>
      <c r="AC98" t="s">
        <v>2325</v>
      </c>
      <c r="AD98" t="s">
        <v>2325</v>
      </c>
      <c r="AE98" t="s">
        <v>2339</v>
      </c>
      <c r="AF98" t="s">
        <v>2340</v>
      </c>
      <c r="AG98" t="s">
        <v>2330</v>
      </c>
      <c r="AH98" t="s">
        <v>2325</v>
      </c>
      <c r="AI98" t="s">
        <v>2325</v>
      </c>
      <c r="AJ98" t="s">
        <v>2325</v>
      </c>
      <c r="AK98" t="s">
        <v>2341</v>
      </c>
      <c r="AL98" t="s">
        <v>2328</v>
      </c>
      <c r="AM98" t="s">
        <v>2342</v>
      </c>
      <c r="AN98" t="s">
        <v>2343</v>
      </c>
      <c r="AO98" t="s">
        <v>2344</v>
      </c>
    </row>
    <row r="99" spans="1:41">
      <c r="A99" t="s">
        <v>2345</v>
      </c>
      <c r="B99" t="s">
        <v>2346</v>
      </c>
      <c r="C99" t="s">
        <v>2345</v>
      </c>
      <c r="D99" t="s">
        <v>2345</v>
      </c>
      <c r="E99" t="s">
        <v>2347</v>
      </c>
      <c r="F99" t="s">
        <v>2345</v>
      </c>
      <c r="G99" t="s">
        <v>2348</v>
      </c>
      <c r="H99" t="s">
        <v>2349</v>
      </c>
      <c r="I99" t="s">
        <v>2345</v>
      </c>
      <c r="J99" t="s">
        <v>2345</v>
      </c>
      <c r="K99" t="s">
        <v>2350</v>
      </c>
      <c r="L99" t="s">
        <v>2350</v>
      </c>
      <c r="M99" t="s">
        <v>2345</v>
      </c>
      <c r="N99" t="s">
        <v>2345</v>
      </c>
      <c r="O99" t="s">
        <v>2351</v>
      </c>
      <c r="P99" t="s">
        <v>2345</v>
      </c>
      <c r="Q99" t="s">
        <v>2352</v>
      </c>
      <c r="R99" t="s">
        <v>2345</v>
      </c>
      <c r="S99" t="s">
        <v>2353</v>
      </c>
      <c r="T99" t="s">
        <v>2345</v>
      </c>
      <c r="U99" t="s">
        <v>2345</v>
      </c>
      <c r="V99" t="s">
        <v>2345</v>
      </c>
      <c r="W99" s="2" t="s">
        <v>2354</v>
      </c>
      <c r="X99" t="s">
        <v>2355</v>
      </c>
      <c r="Y99" t="s">
        <v>2356</v>
      </c>
      <c r="Z99" t="s">
        <v>2357</v>
      </c>
      <c r="AA99" t="s">
        <v>2350</v>
      </c>
      <c r="AB99" t="s">
        <v>2358</v>
      </c>
      <c r="AC99" t="s">
        <v>2345</v>
      </c>
      <c r="AD99" t="s">
        <v>2345</v>
      </c>
      <c r="AE99" t="s">
        <v>2359</v>
      </c>
      <c r="AF99" t="s">
        <v>2360</v>
      </c>
      <c r="AG99" t="s">
        <v>2350</v>
      </c>
      <c r="AH99" t="s">
        <v>2345</v>
      </c>
      <c r="AI99" t="s">
        <v>2345</v>
      </c>
      <c r="AJ99" t="s">
        <v>2345</v>
      </c>
      <c r="AK99" t="s">
        <v>2361</v>
      </c>
      <c r="AL99" t="s">
        <v>2348</v>
      </c>
      <c r="AM99" t="s">
        <v>2362</v>
      </c>
      <c r="AN99" t="s">
        <v>2363</v>
      </c>
      <c r="AO99" t="s">
        <v>2364</v>
      </c>
    </row>
    <row r="100" spans="1:41">
      <c r="A100" t="s">
        <v>2365</v>
      </c>
      <c r="B100" t="s">
        <v>2366</v>
      </c>
      <c r="C100" t="s">
        <v>2365</v>
      </c>
      <c r="D100" t="s">
        <v>2365</v>
      </c>
      <c r="E100" t="s">
        <v>2367</v>
      </c>
      <c r="F100" t="s">
        <v>2365</v>
      </c>
      <c r="G100" t="s">
        <v>2368</v>
      </c>
      <c r="H100" t="s">
        <v>2369</v>
      </c>
      <c r="I100" t="s">
        <v>2365</v>
      </c>
      <c r="J100" t="s">
        <v>2365</v>
      </c>
      <c r="K100" t="s">
        <v>2368</v>
      </c>
      <c r="L100" t="s">
        <v>2370</v>
      </c>
      <c r="M100" t="s">
        <v>2371</v>
      </c>
      <c r="N100" t="s">
        <v>2365</v>
      </c>
      <c r="O100" t="s">
        <v>2372</v>
      </c>
      <c r="P100" t="s">
        <v>2365</v>
      </c>
      <c r="Q100" t="s">
        <v>2373</v>
      </c>
      <c r="R100" t="s">
        <v>2365</v>
      </c>
      <c r="S100" t="s">
        <v>2371</v>
      </c>
      <c r="T100" t="s">
        <v>2365</v>
      </c>
      <c r="U100" t="s">
        <v>2365</v>
      </c>
      <c r="V100" t="s">
        <v>2365</v>
      </c>
      <c r="W100" s="2" t="s">
        <v>2374</v>
      </c>
      <c r="X100" t="s">
        <v>2368</v>
      </c>
      <c r="Y100" t="s">
        <v>2375</v>
      </c>
      <c r="Z100" t="s">
        <v>2370</v>
      </c>
      <c r="AA100" t="s">
        <v>2370</v>
      </c>
      <c r="AB100" t="s">
        <v>2376</v>
      </c>
      <c r="AC100" t="s">
        <v>2365</v>
      </c>
      <c r="AD100" t="s">
        <v>2365</v>
      </c>
      <c r="AE100" t="s">
        <v>2368</v>
      </c>
      <c r="AF100" t="s">
        <v>2377</v>
      </c>
      <c r="AG100" t="s">
        <v>2368</v>
      </c>
      <c r="AH100" t="s">
        <v>2365</v>
      </c>
      <c r="AI100" t="s">
        <v>2365</v>
      </c>
      <c r="AJ100" t="s">
        <v>2365</v>
      </c>
      <c r="AK100" t="s">
        <v>2378</v>
      </c>
      <c r="AL100" t="s">
        <v>2367</v>
      </c>
      <c r="AM100" t="s">
        <v>2379</v>
      </c>
      <c r="AN100" t="s">
        <v>2380</v>
      </c>
      <c r="AO100" t="s">
        <v>2381</v>
      </c>
    </row>
    <row r="101" spans="1:41">
      <c r="A101" t="s">
        <v>2382</v>
      </c>
      <c r="B101" t="s">
        <v>2383</v>
      </c>
      <c r="C101" t="s">
        <v>2382</v>
      </c>
      <c r="D101" t="s">
        <v>2382</v>
      </c>
      <c r="E101" t="s">
        <v>2384</v>
      </c>
      <c r="F101" t="s">
        <v>2382</v>
      </c>
      <c r="G101" t="s">
        <v>2385</v>
      </c>
      <c r="H101" t="s">
        <v>2386</v>
      </c>
      <c r="I101" t="s">
        <v>2382</v>
      </c>
      <c r="J101" t="s">
        <v>2382</v>
      </c>
      <c r="K101" t="s">
        <v>2385</v>
      </c>
      <c r="L101" t="s">
        <v>2387</v>
      </c>
      <c r="M101" t="s">
        <v>2388</v>
      </c>
      <c r="N101" t="s">
        <v>2382</v>
      </c>
      <c r="O101" t="s">
        <v>2389</v>
      </c>
      <c r="P101" t="s">
        <v>2382</v>
      </c>
      <c r="Q101" t="s">
        <v>2390</v>
      </c>
      <c r="R101" t="s">
        <v>2382</v>
      </c>
      <c r="S101" t="s">
        <v>2388</v>
      </c>
      <c r="T101" t="s">
        <v>2382</v>
      </c>
      <c r="U101" t="s">
        <v>2382</v>
      </c>
      <c r="V101" t="s">
        <v>2382</v>
      </c>
      <c r="W101" s="2" t="s">
        <v>2391</v>
      </c>
      <c r="X101" t="s">
        <v>2385</v>
      </c>
      <c r="Y101" t="s">
        <v>2392</v>
      </c>
      <c r="Z101" t="s">
        <v>2387</v>
      </c>
      <c r="AA101" t="s">
        <v>2387</v>
      </c>
      <c r="AB101" t="s">
        <v>2393</v>
      </c>
      <c r="AC101" t="s">
        <v>2382</v>
      </c>
      <c r="AD101" t="s">
        <v>2382</v>
      </c>
      <c r="AE101" t="s">
        <v>2385</v>
      </c>
      <c r="AF101" t="s">
        <v>2394</v>
      </c>
      <c r="AG101" t="s">
        <v>2385</v>
      </c>
      <c r="AH101" t="s">
        <v>2382</v>
      </c>
      <c r="AI101" t="s">
        <v>2382</v>
      </c>
      <c r="AJ101" t="s">
        <v>2382</v>
      </c>
      <c r="AK101" t="s">
        <v>2395</v>
      </c>
      <c r="AL101" t="s">
        <v>2384</v>
      </c>
      <c r="AM101" t="s">
        <v>2396</v>
      </c>
      <c r="AN101" t="s">
        <v>2397</v>
      </c>
      <c r="AO101" t="s">
        <v>2398</v>
      </c>
    </row>
    <row r="102" spans="1:41">
      <c r="A102" s="1" t="s">
        <v>2591</v>
      </c>
      <c r="B102" t="s">
        <v>2591</v>
      </c>
      <c r="C102" t="s">
        <v>2592</v>
      </c>
      <c r="D102" t="s">
        <v>2593</v>
      </c>
      <c r="E102" t="s">
        <v>2591</v>
      </c>
      <c r="F102" t="s">
        <v>2594</v>
      </c>
      <c r="G102" t="s">
        <v>2595</v>
      </c>
      <c r="H102" t="s">
        <v>2596</v>
      </c>
      <c r="I102" t="s">
        <v>2597</v>
      </c>
      <c r="J102" t="s">
        <v>2598</v>
      </c>
      <c r="K102" t="s">
        <v>2591</v>
      </c>
      <c r="L102" t="s">
        <v>2591</v>
      </c>
      <c r="M102" s="1" t="s">
        <v>2885</v>
      </c>
      <c r="N102" t="s">
        <v>2591</v>
      </c>
      <c r="O102" t="s">
        <v>2599</v>
      </c>
      <c r="P102" t="s">
        <v>2600</v>
      </c>
      <c r="Q102" t="s">
        <v>2601</v>
      </c>
      <c r="R102" t="s">
        <v>2602</v>
      </c>
      <c r="S102" t="s">
        <v>2591</v>
      </c>
      <c r="T102" t="s">
        <v>2603</v>
      </c>
      <c r="U102" t="s">
        <v>2604</v>
      </c>
      <c r="V102" t="s">
        <v>2605</v>
      </c>
      <c r="W102" s="2" t="s">
        <v>2606</v>
      </c>
      <c r="X102" t="s">
        <v>2607</v>
      </c>
      <c r="Y102" t="s">
        <v>2594</v>
      </c>
      <c r="Z102" t="s">
        <v>2591</v>
      </c>
      <c r="AA102" t="s">
        <v>2591</v>
      </c>
      <c r="AB102" t="s">
        <v>2608</v>
      </c>
      <c r="AC102" t="s">
        <v>2591</v>
      </c>
      <c r="AD102" t="s">
        <v>2591</v>
      </c>
      <c r="AE102" t="s">
        <v>2609</v>
      </c>
      <c r="AF102" t="s">
        <v>2610</v>
      </c>
      <c r="AG102" t="s">
        <v>2591</v>
      </c>
      <c r="AH102" t="s">
        <v>2591</v>
      </c>
      <c r="AI102" t="s">
        <v>2611</v>
      </c>
      <c r="AJ102" t="s">
        <v>2591</v>
      </c>
      <c r="AK102" t="s">
        <v>2612</v>
      </c>
      <c r="AL102" t="s">
        <v>2613</v>
      </c>
      <c r="AM102" t="s">
        <v>2591</v>
      </c>
      <c r="AN102" t="s">
        <v>2614</v>
      </c>
      <c r="AO102" t="s">
        <v>2615</v>
      </c>
    </row>
    <row r="103" spans="1:41">
      <c r="A103" s="1" t="s">
        <v>2399</v>
      </c>
      <c r="B103" s="1" t="s">
        <v>2400</v>
      </c>
      <c r="C103" s="1" t="s">
        <v>2401</v>
      </c>
      <c r="D103" s="1" t="s">
        <v>2402</v>
      </c>
      <c r="E103" s="1" t="s">
        <v>2399</v>
      </c>
      <c r="F103" s="1" t="s">
        <v>2403</v>
      </c>
      <c r="G103" s="1" t="s">
        <v>2404</v>
      </c>
      <c r="H103" s="2" t="s">
        <v>2405</v>
      </c>
      <c r="I103" s="2" t="s">
        <v>2405</v>
      </c>
      <c r="J103" s="1" t="s">
        <v>2406</v>
      </c>
      <c r="K103" s="1" t="s">
        <v>2407</v>
      </c>
      <c r="L103" s="1" t="s">
        <v>2408</v>
      </c>
      <c r="M103" s="1" t="s">
        <v>2408</v>
      </c>
      <c r="N103" s="1" t="s">
        <v>2399</v>
      </c>
      <c r="O103" s="1" t="s">
        <v>2409</v>
      </c>
      <c r="P103" s="1" t="s">
        <v>2408</v>
      </c>
      <c r="Q103" s="1" t="s">
        <v>2410</v>
      </c>
      <c r="R103" s="1" t="s">
        <v>2411</v>
      </c>
      <c r="S103" s="1" t="s">
        <v>2408</v>
      </c>
      <c r="T103" s="1" t="s">
        <v>2399</v>
      </c>
      <c r="U103" s="1" t="s">
        <v>2399</v>
      </c>
      <c r="V103" s="1" t="s">
        <v>2412</v>
      </c>
      <c r="W103" s="2" t="s">
        <v>2413</v>
      </c>
      <c r="X103" s="1" t="s">
        <v>2414</v>
      </c>
      <c r="Y103" s="1" t="s">
        <v>2415</v>
      </c>
      <c r="Z103" s="1" t="s">
        <v>2399</v>
      </c>
      <c r="AA103" s="1" t="s">
        <v>2408</v>
      </c>
      <c r="AB103" s="1" t="s">
        <v>2416</v>
      </c>
      <c r="AC103" s="1" t="s">
        <v>2417</v>
      </c>
      <c r="AD103" s="1" t="s">
        <v>2418</v>
      </c>
      <c r="AE103" s="1" t="s">
        <v>2419</v>
      </c>
      <c r="AF103" s="1" t="s">
        <v>2415</v>
      </c>
      <c r="AG103" s="1" t="s">
        <v>2420</v>
      </c>
      <c r="AH103" s="1" t="s">
        <v>2408</v>
      </c>
      <c r="AI103" s="1" t="s">
        <v>2399</v>
      </c>
      <c r="AJ103" s="1" t="s">
        <v>2399</v>
      </c>
      <c r="AK103" s="1" t="s">
        <v>2421</v>
      </c>
      <c r="AL103" s="1" t="s">
        <v>2422</v>
      </c>
      <c r="AM103" s="1" t="s">
        <v>2399</v>
      </c>
      <c r="AN103" s="1" t="s">
        <v>2403</v>
      </c>
      <c r="AO103" s="1" t="s">
        <v>2423</v>
      </c>
    </row>
    <row r="104" spans="1:41">
      <c r="A104" s="1" t="s">
        <v>2709</v>
      </c>
      <c r="B104" t="s">
        <v>2718</v>
      </c>
      <c r="C104" t="s">
        <v>2719</v>
      </c>
      <c r="D104" t="s">
        <v>2720</v>
      </c>
      <c r="E104" t="s">
        <v>2721</v>
      </c>
      <c r="F104" t="s">
        <v>2722</v>
      </c>
      <c r="G104" t="s">
        <v>2723</v>
      </c>
      <c r="H104" s="2" t="s">
        <v>2724</v>
      </c>
      <c r="I104" s="2" t="s">
        <v>2724</v>
      </c>
      <c r="J104" t="s">
        <v>2721</v>
      </c>
      <c r="K104" t="s">
        <v>2725</v>
      </c>
      <c r="L104" t="s">
        <v>2721</v>
      </c>
      <c r="M104" t="s">
        <v>2726</v>
      </c>
      <c r="N104" t="s">
        <v>2727</v>
      </c>
      <c r="O104" t="s">
        <v>2728</v>
      </c>
      <c r="P104" t="s">
        <v>2721</v>
      </c>
      <c r="Q104" t="s">
        <v>2729</v>
      </c>
      <c r="R104" t="s">
        <v>2730</v>
      </c>
      <c r="S104" t="s">
        <v>2731</v>
      </c>
      <c r="T104" t="s">
        <v>2721</v>
      </c>
      <c r="U104" t="s">
        <v>2721</v>
      </c>
      <c r="V104" t="s">
        <v>2732</v>
      </c>
      <c r="W104" s="2" t="s">
        <v>2733</v>
      </c>
      <c r="X104" t="s">
        <v>2734</v>
      </c>
      <c r="Y104" t="s">
        <v>2735</v>
      </c>
      <c r="Z104" t="s">
        <v>2709</v>
      </c>
      <c r="AA104" t="s">
        <v>2721</v>
      </c>
      <c r="AB104" t="s">
        <v>2736</v>
      </c>
      <c r="AC104" t="s">
        <v>2737</v>
      </c>
      <c r="AD104" t="s">
        <v>2738</v>
      </c>
      <c r="AE104" t="s">
        <v>2721</v>
      </c>
      <c r="AF104" t="s">
        <v>2735</v>
      </c>
      <c r="AG104" t="s">
        <v>2739</v>
      </c>
      <c r="AH104" t="s">
        <v>2721</v>
      </c>
      <c r="AI104" t="s">
        <v>2732</v>
      </c>
      <c r="AJ104" t="s">
        <v>2721</v>
      </c>
      <c r="AK104" t="s">
        <v>2740</v>
      </c>
      <c r="AL104" t="s">
        <v>2721</v>
      </c>
      <c r="AM104" t="s">
        <v>2721</v>
      </c>
      <c r="AN104" t="s">
        <v>2741</v>
      </c>
      <c r="AO104" t="s">
        <v>2742</v>
      </c>
    </row>
    <row r="105" spans="1:41">
      <c r="A105" s="1" t="s">
        <v>2710</v>
      </c>
      <c r="B105" t="s">
        <v>2743</v>
      </c>
      <c r="C105" t="s">
        <v>2744</v>
      </c>
      <c r="D105" t="s">
        <v>2745</v>
      </c>
      <c r="E105" t="s">
        <v>2746</v>
      </c>
      <c r="F105" t="s">
        <v>2747</v>
      </c>
      <c r="G105" t="s">
        <v>2710</v>
      </c>
      <c r="H105" s="2" t="s">
        <v>2748</v>
      </c>
      <c r="I105" s="2" t="s">
        <v>2749</v>
      </c>
      <c r="J105" t="s">
        <v>2710</v>
      </c>
      <c r="K105" t="s">
        <v>2710</v>
      </c>
      <c r="L105" t="s">
        <v>2710</v>
      </c>
      <c r="M105" t="s">
        <v>2710</v>
      </c>
      <c r="N105" t="s">
        <v>2710</v>
      </c>
      <c r="O105" t="s">
        <v>2750</v>
      </c>
      <c r="P105" t="s">
        <v>2710</v>
      </c>
      <c r="Q105" t="s">
        <v>2751</v>
      </c>
      <c r="R105" t="s">
        <v>2752</v>
      </c>
      <c r="S105" t="s">
        <v>2710</v>
      </c>
      <c r="T105" t="s">
        <v>2710</v>
      </c>
      <c r="U105" t="s">
        <v>2710</v>
      </c>
      <c r="V105" t="s">
        <v>2753</v>
      </c>
      <c r="W105" s="2" t="s">
        <v>2754</v>
      </c>
      <c r="X105" t="s">
        <v>2755</v>
      </c>
      <c r="Y105" t="s">
        <v>2756</v>
      </c>
      <c r="Z105" t="s">
        <v>2710</v>
      </c>
      <c r="AA105" t="s">
        <v>2710</v>
      </c>
      <c r="AB105" t="s">
        <v>2757</v>
      </c>
      <c r="AC105" t="s">
        <v>2710</v>
      </c>
      <c r="AD105" t="s">
        <v>2758</v>
      </c>
      <c r="AE105" t="s">
        <v>2710</v>
      </c>
      <c r="AF105" t="s">
        <v>2759</v>
      </c>
      <c r="AG105" t="s">
        <v>2710</v>
      </c>
      <c r="AH105" t="s">
        <v>2710</v>
      </c>
      <c r="AI105" t="s">
        <v>2710</v>
      </c>
      <c r="AJ105" t="s">
        <v>2710</v>
      </c>
      <c r="AK105" t="s">
        <v>2760</v>
      </c>
      <c r="AL105" t="s">
        <v>2710</v>
      </c>
      <c r="AM105" t="s">
        <v>2710</v>
      </c>
      <c r="AN105" t="s">
        <v>2756</v>
      </c>
      <c r="AO105" t="s">
        <v>2761</v>
      </c>
    </row>
    <row r="106" spans="1:41">
      <c r="A106" s="1" t="s">
        <v>2711</v>
      </c>
      <c r="B106" s="1" t="s">
        <v>2711</v>
      </c>
      <c r="C106" s="1" t="s">
        <v>2762</v>
      </c>
      <c r="D106" s="1" t="s">
        <v>2763</v>
      </c>
      <c r="E106" s="1" t="s">
        <v>2711</v>
      </c>
      <c r="F106" s="1" t="s">
        <v>2764</v>
      </c>
      <c r="G106" s="1" t="s">
        <v>2711</v>
      </c>
      <c r="H106" s="2" t="s">
        <v>2765</v>
      </c>
      <c r="I106" s="2" t="s">
        <v>2766</v>
      </c>
      <c r="J106" s="1" t="s">
        <v>2711</v>
      </c>
      <c r="K106" s="1" t="s">
        <v>2711</v>
      </c>
      <c r="L106" s="1" t="s">
        <v>2711</v>
      </c>
      <c r="M106" s="1" t="s">
        <v>2711</v>
      </c>
      <c r="N106" s="1" t="s">
        <v>2767</v>
      </c>
      <c r="O106" s="1" t="s">
        <v>2768</v>
      </c>
      <c r="P106" s="1" t="s">
        <v>2711</v>
      </c>
      <c r="Q106" s="1" t="s">
        <v>2769</v>
      </c>
      <c r="R106" s="1" t="s">
        <v>2770</v>
      </c>
      <c r="S106" s="1" t="s">
        <v>2711</v>
      </c>
      <c r="T106" s="1" t="s">
        <v>2711</v>
      </c>
      <c r="U106" s="1" t="s">
        <v>2711</v>
      </c>
      <c r="V106" s="1" t="s">
        <v>2771</v>
      </c>
      <c r="W106" s="2" t="s">
        <v>2772</v>
      </c>
      <c r="X106" s="1" t="s">
        <v>2773</v>
      </c>
      <c r="Y106" s="1" t="s">
        <v>2764</v>
      </c>
      <c r="Z106" s="1" t="s">
        <v>2711</v>
      </c>
      <c r="AA106" s="1" t="s">
        <v>2711</v>
      </c>
      <c r="AB106" s="1" t="s">
        <v>2774</v>
      </c>
      <c r="AC106" s="1" t="s">
        <v>2711</v>
      </c>
      <c r="AD106" s="1" t="s">
        <v>2771</v>
      </c>
      <c r="AE106" s="1" t="s">
        <v>2711</v>
      </c>
      <c r="AF106" s="1" t="s">
        <v>2764</v>
      </c>
      <c r="AG106" s="1" t="s">
        <v>2711</v>
      </c>
      <c r="AH106" s="1" t="s">
        <v>2711</v>
      </c>
      <c r="AI106" s="1" t="s">
        <v>2767</v>
      </c>
      <c r="AJ106" s="1" t="s">
        <v>2711</v>
      </c>
      <c r="AK106" s="1" t="s">
        <v>2775</v>
      </c>
      <c r="AL106" s="1" t="s">
        <v>2776</v>
      </c>
      <c r="AM106" s="1" t="s">
        <v>2711</v>
      </c>
      <c r="AN106" s="1" t="s">
        <v>2764</v>
      </c>
      <c r="AO106" t="s">
        <v>2777</v>
      </c>
    </row>
    <row r="107" spans="1:41">
      <c r="A107" s="1" t="s">
        <v>2712</v>
      </c>
      <c r="B107" s="1" t="s">
        <v>2778</v>
      </c>
      <c r="C107" s="1" t="s">
        <v>2779</v>
      </c>
      <c r="D107" s="1" t="s">
        <v>2780</v>
      </c>
      <c r="E107" s="1" t="s">
        <v>2712</v>
      </c>
      <c r="F107" s="1" t="s">
        <v>2781</v>
      </c>
      <c r="G107" s="1" t="s">
        <v>2782</v>
      </c>
      <c r="H107" s="2" t="s">
        <v>2783</v>
      </c>
      <c r="I107" s="2" t="s">
        <v>2783</v>
      </c>
      <c r="J107" s="1" t="s">
        <v>2712</v>
      </c>
      <c r="K107" s="1" t="s">
        <v>2782</v>
      </c>
      <c r="L107" s="1" t="s">
        <v>2712</v>
      </c>
      <c r="M107" s="1" t="s">
        <v>2784</v>
      </c>
      <c r="N107" s="1" t="s">
        <v>2712</v>
      </c>
      <c r="O107" s="1" t="s">
        <v>2785</v>
      </c>
      <c r="P107" s="1" t="s">
        <v>2712</v>
      </c>
      <c r="Q107" s="1" t="s">
        <v>2786</v>
      </c>
      <c r="R107" s="1" t="s">
        <v>2787</v>
      </c>
      <c r="S107" s="1" t="s">
        <v>2712</v>
      </c>
      <c r="T107" s="1" t="s">
        <v>2712</v>
      </c>
      <c r="U107" s="1" t="s">
        <v>2782</v>
      </c>
      <c r="V107" s="1" t="s">
        <v>2788</v>
      </c>
      <c r="W107" s="2" t="s">
        <v>2789</v>
      </c>
      <c r="X107" s="1" t="s">
        <v>2790</v>
      </c>
      <c r="Y107" s="1" t="s">
        <v>2781</v>
      </c>
      <c r="Z107" s="1" t="s">
        <v>2712</v>
      </c>
      <c r="AA107" s="1" t="s">
        <v>2712</v>
      </c>
      <c r="AB107" s="1" t="s">
        <v>2791</v>
      </c>
      <c r="AC107" s="1" t="s">
        <v>2712</v>
      </c>
      <c r="AD107" s="1" t="s">
        <v>2792</v>
      </c>
      <c r="AE107" s="1" t="s">
        <v>2712</v>
      </c>
      <c r="AF107" s="1" t="s">
        <v>2781</v>
      </c>
      <c r="AG107" s="1" t="s">
        <v>2782</v>
      </c>
      <c r="AH107" s="1" t="s">
        <v>2712</v>
      </c>
      <c r="AI107" s="1" t="s">
        <v>2793</v>
      </c>
      <c r="AJ107" s="1" t="s">
        <v>2712</v>
      </c>
      <c r="AK107" s="1" t="s">
        <v>2794</v>
      </c>
      <c r="AL107" s="1" t="s">
        <v>2712</v>
      </c>
      <c r="AM107" s="1" t="s">
        <v>2795</v>
      </c>
      <c r="AN107" s="1" t="s">
        <v>2796</v>
      </c>
      <c r="AO107" t="s">
        <v>2797</v>
      </c>
    </row>
    <row r="108" spans="1:41">
      <c r="A108" s="1" t="s">
        <v>2713</v>
      </c>
      <c r="B108" s="1" t="s">
        <v>2798</v>
      </c>
      <c r="C108" s="1" t="s">
        <v>2799</v>
      </c>
      <c r="D108" s="1" t="s">
        <v>2800</v>
      </c>
      <c r="E108" s="1" t="s">
        <v>2713</v>
      </c>
      <c r="F108" s="1" t="s">
        <v>2801</v>
      </c>
      <c r="G108" s="1" t="s">
        <v>2713</v>
      </c>
      <c r="H108" s="2" t="s">
        <v>2802</v>
      </c>
      <c r="I108" s="2" t="s">
        <v>2802</v>
      </c>
      <c r="J108" s="1" t="s">
        <v>2713</v>
      </c>
      <c r="K108" s="1" t="s">
        <v>2713</v>
      </c>
      <c r="L108" s="1" t="s">
        <v>2713</v>
      </c>
      <c r="M108" s="1" t="s">
        <v>2713</v>
      </c>
      <c r="N108" s="1" t="s">
        <v>2713</v>
      </c>
      <c r="O108" s="1" t="s">
        <v>2803</v>
      </c>
      <c r="P108" s="1" t="s">
        <v>2713</v>
      </c>
      <c r="Q108" s="1" t="s">
        <v>2804</v>
      </c>
      <c r="R108" s="1" t="s">
        <v>2805</v>
      </c>
      <c r="S108" s="1" t="s">
        <v>2713</v>
      </c>
      <c r="T108" s="1" t="s">
        <v>2713</v>
      </c>
      <c r="U108" s="1" t="s">
        <v>2713</v>
      </c>
      <c r="V108" s="1" t="s">
        <v>2713</v>
      </c>
      <c r="W108" s="2" t="s">
        <v>2806</v>
      </c>
      <c r="X108" s="1" t="s">
        <v>2807</v>
      </c>
      <c r="Y108" s="1" t="s">
        <v>2801</v>
      </c>
      <c r="Z108" s="1" t="s">
        <v>2713</v>
      </c>
      <c r="AA108" s="1" t="s">
        <v>2713</v>
      </c>
      <c r="AB108" s="1" t="s">
        <v>2799</v>
      </c>
      <c r="AC108" s="1" t="s">
        <v>2808</v>
      </c>
      <c r="AD108" s="1" t="s">
        <v>2713</v>
      </c>
      <c r="AE108" s="1" t="s">
        <v>2713</v>
      </c>
      <c r="AF108" s="1" t="s">
        <v>2801</v>
      </c>
      <c r="AG108" s="1" t="s">
        <v>2713</v>
      </c>
      <c r="AH108" s="1" t="s">
        <v>2713</v>
      </c>
      <c r="AI108" s="1" t="s">
        <v>2713</v>
      </c>
      <c r="AJ108" s="1" t="s">
        <v>2713</v>
      </c>
      <c r="AK108" s="1" t="s">
        <v>2809</v>
      </c>
      <c r="AL108" s="1" t="s">
        <v>2713</v>
      </c>
      <c r="AM108" s="1" t="s">
        <v>2713</v>
      </c>
      <c r="AN108" s="1" t="s">
        <v>2801</v>
      </c>
      <c r="AO108" t="s">
        <v>2810</v>
      </c>
    </row>
    <row r="109" spans="1:41">
      <c r="A109" s="1" t="s">
        <v>2714</v>
      </c>
      <c r="B109" s="1" t="s">
        <v>2811</v>
      </c>
      <c r="C109" s="1" t="s">
        <v>2812</v>
      </c>
      <c r="D109" s="1" t="s">
        <v>2813</v>
      </c>
      <c r="E109" s="1" t="s">
        <v>2814</v>
      </c>
      <c r="F109" s="1" t="s">
        <v>2815</v>
      </c>
      <c r="G109" s="1" t="s">
        <v>2714</v>
      </c>
      <c r="H109" s="2" t="s">
        <v>2816</v>
      </c>
      <c r="I109" s="2" t="s">
        <v>2817</v>
      </c>
      <c r="J109" s="1" t="s">
        <v>2714</v>
      </c>
      <c r="K109" s="1" t="s">
        <v>2714</v>
      </c>
      <c r="L109" s="1" t="s">
        <v>2818</v>
      </c>
      <c r="M109" s="1" t="s">
        <v>2714</v>
      </c>
      <c r="N109" s="1" t="s">
        <v>2819</v>
      </c>
      <c r="O109" s="1" t="s">
        <v>2820</v>
      </c>
      <c r="P109" s="1" t="s">
        <v>2714</v>
      </c>
      <c r="Q109" s="1" t="s">
        <v>2821</v>
      </c>
      <c r="R109" s="1" t="s">
        <v>2822</v>
      </c>
      <c r="S109" s="1" t="s">
        <v>2714</v>
      </c>
      <c r="T109" s="1" t="s">
        <v>2714</v>
      </c>
      <c r="U109" s="1" t="s">
        <v>2818</v>
      </c>
      <c r="V109" s="1" t="s">
        <v>2823</v>
      </c>
      <c r="W109" s="2" t="s">
        <v>2824</v>
      </c>
      <c r="X109" s="1" t="s">
        <v>2825</v>
      </c>
      <c r="Y109" s="1" t="s">
        <v>2815</v>
      </c>
      <c r="Z109" s="1" t="s">
        <v>2714</v>
      </c>
      <c r="AA109" s="1" t="s">
        <v>2714</v>
      </c>
      <c r="AB109" s="1" t="s">
        <v>2826</v>
      </c>
      <c r="AC109" s="1" t="s">
        <v>2714</v>
      </c>
      <c r="AD109" s="1" t="s">
        <v>2827</v>
      </c>
      <c r="AE109" s="1" t="s">
        <v>2714</v>
      </c>
      <c r="AF109" s="1" t="s">
        <v>2815</v>
      </c>
      <c r="AG109" s="1" t="s">
        <v>2714</v>
      </c>
      <c r="AH109" s="1" t="s">
        <v>2714</v>
      </c>
      <c r="AI109" s="1" t="s">
        <v>2827</v>
      </c>
      <c r="AJ109" s="1" t="s">
        <v>2714</v>
      </c>
      <c r="AK109" s="1" t="s">
        <v>2828</v>
      </c>
      <c r="AL109" s="1" t="s">
        <v>2714</v>
      </c>
      <c r="AM109" s="1" t="s">
        <v>2714</v>
      </c>
      <c r="AN109" s="1" t="s">
        <v>2829</v>
      </c>
      <c r="AO109" t="s">
        <v>2830</v>
      </c>
    </row>
    <row r="110" spans="1:41">
      <c r="A110" s="1" t="s">
        <v>2715</v>
      </c>
      <c r="B110" s="1" t="s">
        <v>2715</v>
      </c>
      <c r="C110" s="1" t="s">
        <v>2831</v>
      </c>
      <c r="D110" s="1" t="s">
        <v>2832</v>
      </c>
      <c r="E110" s="1" t="s">
        <v>2833</v>
      </c>
      <c r="F110" s="1" t="s">
        <v>2834</v>
      </c>
      <c r="G110" s="1" t="s">
        <v>2715</v>
      </c>
      <c r="H110" s="2" t="s">
        <v>2835</v>
      </c>
      <c r="I110" s="2" t="s">
        <v>2836</v>
      </c>
      <c r="J110" s="1" t="s">
        <v>2715</v>
      </c>
      <c r="K110" s="1" t="s">
        <v>2715</v>
      </c>
      <c r="L110" s="1" t="s">
        <v>2715</v>
      </c>
      <c r="M110" s="1" t="s">
        <v>2715</v>
      </c>
      <c r="N110" s="1" t="s">
        <v>2715</v>
      </c>
      <c r="O110" s="1" t="s">
        <v>2837</v>
      </c>
      <c r="P110" s="1" t="s">
        <v>2715</v>
      </c>
      <c r="Q110" s="1" t="s">
        <v>2838</v>
      </c>
      <c r="R110" s="1" t="s">
        <v>2839</v>
      </c>
      <c r="S110" s="1" t="s">
        <v>2715</v>
      </c>
      <c r="T110" s="1" t="s">
        <v>2715</v>
      </c>
      <c r="U110" s="1" t="s">
        <v>2715</v>
      </c>
      <c r="V110" s="1" t="s">
        <v>2715</v>
      </c>
      <c r="W110" s="2" t="s">
        <v>2840</v>
      </c>
      <c r="X110" s="1" t="s">
        <v>2841</v>
      </c>
      <c r="Y110" s="1" t="s">
        <v>2834</v>
      </c>
      <c r="Z110" s="1" t="s">
        <v>2715</v>
      </c>
      <c r="AA110" s="1" t="s">
        <v>2715</v>
      </c>
      <c r="AB110" s="1" t="s">
        <v>2842</v>
      </c>
      <c r="AC110" s="1" t="s">
        <v>2715</v>
      </c>
      <c r="AD110" s="1" t="s">
        <v>2715</v>
      </c>
      <c r="AE110" s="1" t="s">
        <v>2715</v>
      </c>
      <c r="AF110" s="1" t="s">
        <v>2834</v>
      </c>
      <c r="AG110" s="1" t="s">
        <v>2715</v>
      </c>
      <c r="AH110" s="1" t="s">
        <v>2715</v>
      </c>
      <c r="AI110" s="1" t="s">
        <v>2715</v>
      </c>
      <c r="AJ110" s="1" t="s">
        <v>2715</v>
      </c>
      <c r="AK110" s="1" t="s">
        <v>2843</v>
      </c>
      <c r="AL110" s="1" t="s">
        <v>2715</v>
      </c>
      <c r="AM110" s="1" t="s">
        <v>2715</v>
      </c>
      <c r="AN110" s="1" t="s">
        <v>2844</v>
      </c>
      <c r="AO110" t="s">
        <v>2715</v>
      </c>
    </row>
    <row r="111" spans="1:41">
      <c r="A111" s="1" t="s">
        <v>2716</v>
      </c>
      <c r="B111" s="1" t="s">
        <v>2845</v>
      </c>
      <c r="C111" s="1" t="s">
        <v>2846</v>
      </c>
      <c r="D111" s="1" t="s">
        <v>2847</v>
      </c>
      <c r="E111" s="1" t="s">
        <v>2716</v>
      </c>
      <c r="F111" s="1" t="s">
        <v>2848</v>
      </c>
      <c r="G111" s="1" t="s">
        <v>2716</v>
      </c>
      <c r="H111" s="2" t="s">
        <v>2849</v>
      </c>
      <c r="I111" s="2" t="s">
        <v>2850</v>
      </c>
      <c r="J111" s="1" t="s">
        <v>2716</v>
      </c>
      <c r="K111" s="1" t="s">
        <v>2716</v>
      </c>
      <c r="L111" s="1" t="s">
        <v>2716</v>
      </c>
      <c r="M111" s="1" t="s">
        <v>2851</v>
      </c>
      <c r="N111" s="1" t="s">
        <v>2716</v>
      </c>
      <c r="O111" s="1" t="s">
        <v>2852</v>
      </c>
      <c r="P111" s="1" t="s">
        <v>2716</v>
      </c>
      <c r="Q111" s="1" t="s">
        <v>2853</v>
      </c>
      <c r="R111" s="1" t="s">
        <v>2854</v>
      </c>
      <c r="S111" s="1" t="s">
        <v>2716</v>
      </c>
      <c r="T111" s="1" t="s">
        <v>2851</v>
      </c>
      <c r="U111" s="1" t="s">
        <v>2716</v>
      </c>
      <c r="V111" s="1" t="s">
        <v>2851</v>
      </c>
      <c r="W111" s="2" t="s">
        <v>2855</v>
      </c>
      <c r="X111" s="1" t="s">
        <v>2856</v>
      </c>
      <c r="Y111" s="1" t="s">
        <v>2857</v>
      </c>
      <c r="Z111" s="1" t="s">
        <v>2716</v>
      </c>
      <c r="AA111" s="1" t="s">
        <v>2716</v>
      </c>
      <c r="AB111" s="1" t="s">
        <v>2846</v>
      </c>
      <c r="AC111" s="1" t="s">
        <v>2716</v>
      </c>
      <c r="AD111" s="1" t="s">
        <v>2851</v>
      </c>
      <c r="AE111" s="1" t="s">
        <v>2716</v>
      </c>
      <c r="AF111" s="1" t="s">
        <v>2858</v>
      </c>
      <c r="AG111" s="1" t="s">
        <v>2859</v>
      </c>
      <c r="AH111" s="1" t="s">
        <v>2716</v>
      </c>
      <c r="AI111" s="1" t="s">
        <v>2851</v>
      </c>
      <c r="AJ111" s="1" t="s">
        <v>2716</v>
      </c>
      <c r="AK111" s="1" t="s">
        <v>2860</v>
      </c>
      <c r="AL111" s="1" t="s">
        <v>2716</v>
      </c>
      <c r="AM111" s="1" t="s">
        <v>2716</v>
      </c>
      <c r="AN111" s="1" t="s">
        <v>2861</v>
      </c>
      <c r="AO111" t="s">
        <v>2862</v>
      </c>
    </row>
    <row r="112" spans="1:41">
      <c r="A112" s="1" t="s">
        <v>2717</v>
      </c>
      <c r="B112" s="1" t="s">
        <v>2717</v>
      </c>
      <c r="C112" s="1" t="s">
        <v>2863</v>
      </c>
      <c r="D112" s="1" t="s">
        <v>2864</v>
      </c>
      <c r="E112" s="1" t="s">
        <v>2865</v>
      </c>
      <c r="F112" s="1" t="s">
        <v>2866</v>
      </c>
      <c r="G112" s="1" t="s">
        <v>2717</v>
      </c>
      <c r="H112" s="2" t="s">
        <v>2867</v>
      </c>
      <c r="I112" s="2" t="s">
        <v>2868</v>
      </c>
      <c r="J112" s="1" t="s">
        <v>2717</v>
      </c>
      <c r="K112" s="1" t="s">
        <v>2869</v>
      </c>
      <c r="L112" s="1" t="s">
        <v>2717</v>
      </c>
      <c r="M112" s="1" t="s">
        <v>2717</v>
      </c>
      <c r="N112" s="1" t="s">
        <v>2717</v>
      </c>
      <c r="O112" s="1" t="s">
        <v>2870</v>
      </c>
      <c r="P112" s="1" t="s">
        <v>2717</v>
      </c>
      <c r="Q112" s="1" t="s">
        <v>2871</v>
      </c>
      <c r="R112" s="1" t="s">
        <v>2872</v>
      </c>
      <c r="S112" s="1" t="s">
        <v>2873</v>
      </c>
      <c r="T112" s="1" t="s">
        <v>2717</v>
      </c>
      <c r="U112" s="1" t="s">
        <v>2717</v>
      </c>
      <c r="V112" s="1" t="s">
        <v>2874</v>
      </c>
      <c r="W112" s="2" t="s">
        <v>2875</v>
      </c>
      <c r="X112" s="1" t="s">
        <v>2876</v>
      </c>
      <c r="Y112" s="1" t="s">
        <v>2877</v>
      </c>
      <c r="Z112" s="1" t="s">
        <v>2717</v>
      </c>
      <c r="AA112" s="1" t="s">
        <v>2717</v>
      </c>
      <c r="AB112" s="1" t="s">
        <v>2878</v>
      </c>
      <c r="AC112" s="1" t="s">
        <v>2879</v>
      </c>
      <c r="AD112" s="1" t="s">
        <v>2880</v>
      </c>
      <c r="AE112" s="1" t="s">
        <v>2717</v>
      </c>
      <c r="AF112" s="1" t="s">
        <v>2881</v>
      </c>
      <c r="AG112" s="1" t="s">
        <v>2869</v>
      </c>
      <c r="AH112" s="1" t="s">
        <v>2717</v>
      </c>
      <c r="AI112" s="1" t="s">
        <v>2717</v>
      </c>
      <c r="AJ112" s="1" t="s">
        <v>2717</v>
      </c>
      <c r="AK112" s="1" t="s">
        <v>2882</v>
      </c>
      <c r="AL112" s="1" t="s">
        <v>2717</v>
      </c>
      <c r="AM112" s="1" t="s">
        <v>2717</v>
      </c>
      <c r="AN112" s="1" t="s">
        <v>2883</v>
      </c>
      <c r="AO112" t="s">
        <v>2884</v>
      </c>
    </row>
    <row r="113" spans="1:41">
      <c r="A113" s="1"/>
      <c r="B113" s="1"/>
      <c r="C113" s="1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1">
      <c r="A114" s="1"/>
      <c r="B114" s="1"/>
      <c r="C114" s="1"/>
      <c r="D114" s="1"/>
      <c r="E114" s="1"/>
      <c r="F114" s="1"/>
      <c r="G114" s="1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>
      <c r="A115" t="s">
        <v>2424</v>
      </c>
      <c r="B115" t="s">
        <v>2425</v>
      </c>
      <c r="C115" t="s">
        <v>2426</v>
      </c>
      <c r="D115" t="s">
        <v>2427</v>
      </c>
      <c r="E115" t="s">
        <v>2428</v>
      </c>
      <c r="F115" t="s">
        <v>2429</v>
      </c>
      <c r="G115" t="s">
        <v>2430</v>
      </c>
      <c r="H115" t="s">
        <v>2431</v>
      </c>
      <c r="I115" t="s">
        <v>2432</v>
      </c>
      <c r="J115" t="s">
        <v>2433</v>
      </c>
      <c r="K115" t="s">
        <v>2434</v>
      </c>
      <c r="L115" t="s">
        <v>2435</v>
      </c>
      <c r="M115" t="s">
        <v>2436</v>
      </c>
      <c r="N115" t="s">
        <v>2437</v>
      </c>
      <c r="O115" t="s">
        <v>2438</v>
      </c>
      <c r="P115" t="s">
        <v>2439</v>
      </c>
      <c r="Q115" t="s">
        <v>2440</v>
      </c>
      <c r="R115" t="s">
        <v>2441</v>
      </c>
      <c r="S115" t="s">
        <v>2442</v>
      </c>
      <c r="T115" t="s">
        <v>2443</v>
      </c>
      <c r="U115" t="s">
        <v>2444</v>
      </c>
      <c r="V115" t="s">
        <v>2445</v>
      </c>
      <c r="W115" t="s">
        <v>2446</v>
      </c>
      <c r="X115" t="s">
        <v>2447</v>
      </c>
      <c r="Y115" t="s">
        <v>2448</v>
      </c>
      <c r="Z115" t="s">
        <v>2449</v>
      </c>
      <c r="AA115" t="s">
        <v>2450</v>
      </c>
      <c r="AB115" t="s">
        <v>2451</v>
      </c>
      <c r="AC115" t="s">
        <v>2452</v>
      </c>
      <c r="AD115" t="s">
        <v>2453</v>
      </c>
      <c r="AE115" t="s">
        <v>2454</v>
      </c>
      <c r="AF115" t="s">
        <v>2455</v>
      </c>
      <c r="AG115" t="s">
        <v>2456</v>
      </c>
      <c r="AH115" t="s">
        <v>2457</v>
      </c>
      <c r="AI115" t="s">
        <v>2458</v>
      </c>
      <c r="AJ115" t="s">
        <v>2459</v>
      </c>
      <c r="AK115" t="s">
        <v>2460</v>
      </c>
      <c r="AL115" t="s">
        <v>2461</v>
      </c>
      <c r="AM115" t="s">
        <v>2462</v>
      </c>
      <c r="AN115" t="s">
        <v>2463</v>
      </c>
      <c r="AO115" t="s">
        <v>2464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MJ47"/>
  <sheetViews>
    <sheetView showGridLines="0" zoomScaleNormal="100" workbookViewId="0">
      <selection activeCell="C4" sqref="C4"/>
    </sheetView>
  </sheetViews>
  <sheetFormatPr defaultColWidth="9.140625" defaultRowHeight="12.75"/>
  <cols>
    <col min="1" max="1" width="1.85546875" style="90" customWidth="1"/>
    <col min="2" max="2" width="21.85546875" style="90" customWidth="1"/>
    <col min="3" max="3" width="19.42578125" style="124" customWidth="1"/>
    <col min="4" max="4" width="2.5703125" style="90" customWidth="1"/>
    <col min="5" max="5" width="2.140625" style="90" customWidth="1"/>
    <col min="6" max="6" width="16.28515625" style="90" customWidth="1"/>
    <col min="7" max="7" width="28.5703125" style="90" customWidth="1"/>
    <col min="8" max="8" width="2.5703125" style="90" customWidth="1"/>
    <col min="9" max="1024" width="9.140625" style="90"/>
    <col min="1025" max="16384" width="9.140625" style="94"/>
  </cols>
  <sheetData>
    <row r="2" spans="2:8" ht="15.75">
      <c r="B2" s="91" t="s">
        <v>2465</v>
      </c>
      <c r="C2" s="92"/>
      <c r="D2" s="93"/>
      <c r="F2" s="91" t="s">
        <v>2466</v>
      </c>
      <c r="G2" s="92"/>
      <c r="H2" s="93"/>
    </row>
    <row r="3" spans="2:8">
      <c r="B3" s="95"/>
      <c r="C3" s="96"/>
      <c r="D3" s="97"/>
      <c r="F3" s="95"/>
      <c r="G3" s="96"/>
      <c r="H3" s="97"/>
    </row>
    <row r="4" spans="2:8">
      <c r="B4" s="98" t="s">
        <v>2467</v>
      </c>
      <c r="C4" s="99" t="s">
        <v>0</v>
      </c>
      <c r="D4" s="97"/>
      <c r="F4" s="95"/>
      <c r="G4" s="100"/>
      <c r="H4" s="97"/>
    </row>
    <row r="5" spans="2:8">
      <c r="B5" s="95"/>
      <c r="C5" s="96"/>
      <c r="D5" s="97"/>
      <c r="F5" s="101" t="s">
        <v>2468</v>
      </c>
      <c r="G5" s="102" t="s">
        <v>2469</v>
      </c>
      <c r="H5" s="97"/>
    </row>
    <row r="6" spans="2:8">
      <c r="B6" s="98" t="s">
        <v>2470</v>
      </c>
      <c r="C6" s="99" t="s">
        <v>2471</v>
      </c>
      <c r="D6" s="97"/>
      <c r="F6" s="101" t="s">
        <v>2472</v>
      </c>
      <c r="G6" s="103" t="s">
        <v>2473</v>
      </c>
      <c r="H6" s="97"/>
    </row>
    <row r="7" spans="2:8">
      <c r="B7" s="95"/>
      <c r="C7" s="96"/>
      <c r="D7" s="97"/>
      <c r="F7" s="101" t="s">
        <v>2474</v>
      </c>
      <c r="G7" s="103" t="s">
        <v>2475</v>
      </c>
      <c r="H7" s="97"/>
    </row>
    <row r="8" spans="2:8">
      <c r="B8" s="98" t="s">
        <v>2476</v>
      </c>
      <c r="C8" s="104" t="s">
        <v>2493</v>
      </c>
      <c r="D8" s="97"/>
      <c r="F8" s="101" t="s">
        <v>2478</v>
      </c>
      <c r="G8" s="103" t="s">
        <v>2479</v>
      </c>
      <c r="H8" s="97"/>
    </row>
    <row r="9" spans="2:8">
      <c r="B9" s="95"/>
      <c r="C9" s="96"/>
      <c r="D9" s="97"/>
      <c r="F9" s="101" t="s">
        <v>2480</v>
      </c>
      <c r="G9" s="105" t="s">
        <v>2481</v>
      </c>
      <c r="H9" s="97"/>
    </row>
    <row r="10" spans="2:8">
      <c r="B10" s="98" t="s">
        <v>2482</v>
      </c>
      <c r="C10" s="104" t="s">
        <v>2483</v>
      </c>
      <c r="D10" s="97"/>
      <c r="F10" s="95"/>
      <c r="G10" s="106"/>
      <c r="H10" s="97"/>
    </row>
    <row r="11" spans="2:8">
      <c r="B11" s="107"/>
      <c r="C11" s="108"/>
      <c r="D11" s="109"/>
      <c r="F11" s="107"/>
      <c r="G11" s="108"/>
      <c r="H11" s="109"/>
    </row>
    <row r="12" spans="2:8">
      <c r="B12" s="110"/>
      <c r="C12" s="110"/>
      <c r="D12" s="110"/>
      <c r="E12" s="110"/>
    </row>
    <row r="13" spans="2:8">
      <c r="B13" s="111"/>
      <c r="C13" s="112"/>
      <c r="D13" s="113"/>
      <c r="F13" s="114" t="s">
        <v>2484</v>
      </c>
      <c r="G13" s="114">
        <f>IF(ISERROR(MATCH(C4,lang_list,0)),1,MATCH(C4,lang_list,0))</f>
        <v>1</v>
      </c>
      <c r="H13" s="115"/>
    </row>
    <row r="14" spans="2:8" ht="16.5" thickBot="1">
      <c r="B14" s="95"/>
      <c r="C14" s="116" t="s">
        <v>2481</v>
      </c>
      <c r="D14" s="97"/>
      <c r="F14" s="114" t="s">
        <v>2485</v>
      </c>
      <c r="G14" s="117">
        <f>TIME(VLOOKUP(C8,F16:G39,2,0),VLOOKUP(C10,F41:G44,2,0),0)+IF(C6="Yes",TIME(1,0,0),0)</f>
        <v>0.33333333333333337</v>
      </c>
      <c r="H14" s="115"/>
    </row>
    <row r="15" spans="2:8">
      <c r="B15" s="118" t="str">
        <f>INDEX(T,66,lang)</f>
        <v>England</v>
      </c>
      <c r="C15" s="119">
        <v>104.303</v>
      </c>
      <c r="D15" s="97"/>
      <c r="F15" s="114"/>
      <c r="G15" s="114"/>
      <c r="H15" s="115"/>
    </row>
    <row r="16" spans="2:8">
      <c r="B16" s="118" t="str">
        <f>INDEX(T,40,lang)</f>
        <v>Spain</v>
      </c>
      <c r="C16" s="120">
        <v>88.864000000000004</v>
      </c>
      <c r="D16" s="97"/>
      <c r="F16" s="114" t="s">
        <v>2486</v>
      </c>
      <c r="G16" s="114">
        <v>0</v>
      </c>
      <c r="H16" s="115"/>
    </row>
    <row r="17" spans="2:8">
      <c r="B17" s="118" t="str">
        <f>INDEX(T,41,lang)</f>
        <v>Italy</v>
      </c>
      <c r="C17" s="120">
        <v>88.712000000000003</v>
      </c>
      <c r="D17" s="97"/>
      <c r="F17" s="114" t="s">
        <v>2487</v>
      </c>
      <c r="G17" s="114">
        <v>1</v>
      </c>
      <c r="H17" s="115"/>
    </row>
    <row r="18" spans="2:8">
      <c r="B18" s="118" t="str">
        <f>INDEX(T,52,lang)</f>
        <v>Germany</v>
      </c>
      <c r="C18" s="120">
        <v>85.337999999999994</v>
      </c>
      <c r="D18" s="97"/>
      <c r="F18" s="114" t="s">
        <v>2488</v>
      </c>
      <c r="G18" s="114">
        <v>2</v>
      </c>
      <c r="H18" s="115"/>
    </row>
    <row r="19" spans="2:8">
      <c r="B19" s="118" t="str">
        <f>INDEX(T,62,lang)</f>
        <v>France</v>
      </c>
      <c r="C19" s="120">
        <v>66.664000000000001</v>
      </c>
      <c r="D19" s="97"/>
      <c r="F19" s="114" t="s">
        <v>2489</v>
      </c>
      <c r="G19" s="114">
        <v>3</v>
      </c>
      <c r="H19" s="115"/>
    </row>
    <row r="20" spans="2:8">
      <c r="B20" s="118" t="str">
        <f>INDEX(T,48,lang)</f>
        <v>Netherlands</v>
      </c>
      <c r="C20" s="120">
        <v>61.3</v>
      </c>
      <c r="D20" s="97"/>
      <c r="F20" s="114" t="s">
        <v>2490</v>
      </c>
      <c r="G20" s="114">
        <v>4</v>
      </c>
      <c r="H20" s="115"/>
    </row>
    <row r="21" spans="2:8">
      <c r="B21" s="118" t="str">
        <f>INDEX(T,42,lang)</f>
        <v>Portugal</v>
      </c>
      <c r="C21" s="120">
        <v>56.316000000000003</v>
      </c>
      <c r="D21" s="97"/>
      <c r="F21" s="114" t="s">
        <v>2491</v>
      </c>
      <c r="G21" s="114">
        <v>5</v>
      </c>
      <c r="H21" s="115"/>
    </row>
    <row r="22" spans="2:8">
      <c r="B22" s="118" t="str">
        <f>INDEX(T,67,lang)</f>
        <v>Belgium</v>
      </c>
      <c r="C22" s="120">
        <v>48.6</v>
      </c>
      <c r="D22" s="97"/>
      <c r="F22" s="114" t="s">
        <v>2492</v>
      </c>
      <c r="G22" s="114">
        <v>6</v>
      </c>
      <c r="H22" s="115"/>
    </row>
    <row r="23" spans="2:8">
      <c r="B23" s="118" t="str">
        <f>INDEX(T,46,lang)</f>
        <v>Turkey</v>
      </c>
      <c r="C23" s="120">
        <v>38.6</v>
      </c>
      <c r="D23" s="97"/>
      <c r="F23" s="114" t="s">
        <v>2493</v>
      </c>
      <c r="G23" s="114">
        <v>7</v>
      </c>
      <c r="H23" s="115"/>
    </row>
    <row r="24" spans="2:8">
      <c r="B24" s="118" t="str">
        <f>INDEX(T,50,lang)</f>
        <v>Scotland</v>
      </c>
      <c r="C24" s="120">
        <v>36.049999999999997</v>
      </c>
      <c r="D24" s="97"/>
      <c r="F24" s="114" t="s">
        <v>2494</v>
      </c>
      <c r="G24" s="114">
        <v>8</v>
      </c>
      <c r="H24" s="115"/>
    </row>
    <row r="25" spans="2:8">
      <c r="B25" s="118" t="str">
        <f>INDEX(T,58,lang)</f>
        <v>Czech Republic</v>
      </c>
      <c r="C25" s="120">
        <v>36.049999999999997</v>
      </c>
      <c r="D25" s="97"/>
      <c r="F25" s="114" t="s">
        <v>2495</v>
      </c>
      <c r="G25" s="114">
        <v>9</v>
      </c>
      <c r="H25" s="115"/>
    </row>
    <row r="26" spans="2:8">
      <c r="B26" s="118" t="str">
        <f>INDEX(T,57,lang)</f>
        <v>Switzerland</v>
      </c>
      <c r="C26" s="120">
        <v>32.975000000000001</v>
      </c>
      <c r="D26" s="97"/>
      <c r="F26" s="114" t="s">
        <v>2496</v>
      </c>
      <c r="G26" s="114">
        <v>10</v>
      </c>
      <c r="H26" s="115"/>
    </row>
    <row r="27" spans="2:8">
      <c r="B27" s="118" t="str">
        <f>INDEX(T,61,lang)</f>
        <v>Austria</v>
      </c>
      <c r="C27" s="120">
        <v>32.6</v>
      </c>
      <c r="D27" s="97"/>
      <c r="F27" s="114" t="s">
        <v>2497</v>
      </c>
      <c r="G27" s="114">
        <v>11</v>
      </c>
      <c r="H27" s="115"/>
    </row>
    <row r="28" spans="2:8">
      <c r="B28" s="118" t="str">
        <f>INDEX(T,44,lang)</f>
        <v>Denmark</v>
      </c>
      <c r="C28" s="120">
        <v>31.45</v>
      </c>
      <c r="D28" s="97"/>
      <c r="F28" s="114" t="s">
        <v>2477</v>
      </c>
      <c r="G28" s="114">
        <v>12</v>
      </c>
      <c r="H28" s="115"/>
    </row>
    <row r="29" spans="2:8">
      <c r="B29" s="118" t="str">
        <f>INDEX(T,45,lang)</f>
        <v>Ukraine</v>
      </c>
      <c r="C29" s="120">
        <v>28</v>
      </c>
      <c r="D29" s="97"/>
      <c r="F29" s="114" t="s">
        <v>2498</v>
      </c>
      <c r="G29" s="114">
        <v>13</v>
      </c>
      <c r="H29" s="115"/>
    </row>
    <row r="30" spans="2:8">
      <c r="B30" s="118" t="str">
        <f>INDEX(T,63,lang)</f>
        <v>Serbia</v>
      </c>
      <c r="C30" s="120">
        <v>27.774999999999999</v>
      </c>
      <c r="D30" s="97"/>
      <c r="F30" s="114" t="s">
        <v>2499</v>
      </c>
      <c r="G30" s="114">
        <v>14</v>
      </c>
      <c r="H30" s="115"/>
    </row>
    <row r="31" spans="2:8">
      <c r="B31" s="118" t="str">
        <f>INDEX(T,55,lang)</f>
        <v>Croatia</v>
      </c>
      <c r="C31" s="120">
        <v>25.524999999999999</v>
      </c>
      <c r="D31" s="97"/>
      <c r="F31" s="114" t="s">
        <v>2500</v>
      </c>
      <c r="G31" s="114">
        <v>15</v>
      </c>
      <c r="H31" s="115"/>
    </row>
    <row r="32" spans="2:8">
      <c r="B32" s="118" t="str">
        <f>INDEX(T,64,lang)</f>
        <v>Poland</v>
      </c>
      <c r="C32" s="120">
        <v>25.375</v>
      </c>
      <c r="D32" s="97"/>
      <c r="F32" s="114" t="s">
        <v>2501</v>
      </c>
      <c r="G32" s="114">
        <v>16</v>
      </c>
      <c r="H32" s="115"/>
    </row>
    <row r="33" spans="2:8">
      <c r="B33" s="118" t="str">
        <f>INDEX(T,43,lang)</f>
        <v>Hungary</v>
      </c>
      <c r="C33" s="120">
        <v>21.875</v>
      </c>
      <c r="D33" s="97"/>
      <c r="F33" s="114" t="s">
        <v>2502</v>
      </c>
      <c r="G33" s="114">
        <v>17</v>
      </c>
      <c r="H33" s="115"/>
    </row>
    <row r="34" spans="2:8">
      <c r="B34" s="118" t="str">
        <f>INDEX(T,39,lang)</f>
        <v>Romania</v>
      </c>
      <c r="C34" s="120">
        <v>21.375</v>
      </c>
      <c r="D34" s="97"/>
      <c r="F34" s="114" t="s">
        <v>2503</v>
      </c>
      <c r="G34" s="114">
        <v>18</v>
      </c>
      <c r="H34" s="115"/>
    </row>
    <row r="35" spans="2:8">
      <c r="B35" s="118" t="str">
        <f>INDEX(T,51,lang)</f>
        <v>Slovakia</v>
      </c>
      <c r="C35" s="120">
        <v>19.625</v>
      </c>
      <c r="D35" s="97"/>
      <c r="F35" s="114" t="s">
        <v>2504</v>
      </c>
      <c r="G35" s="114">
        <v>19</v>
      </c>
      <c r="H35" s="115"/>
    </row>
    <row r="36" spans="2:8">
      <c r="B36" s="118" t="str">
        <f>INDEX(T,53,lang)</f>
        <v>Slovenia</v>
      </c>
      <c r="C36" s="120">
        <v>13.25</v>
      </c>
      <c r="D36" s="97"/>
      <c r="F36" s="114" t="s">
        <v>2505</v>
      </c>
      <c r="G36" s="114">
        <v>20</v>
      </c>
      <c r="H36" s="115"/>
    </row>
    <row r="37" spans="2:8">
      <c r="B37" s="118" t="str">
        <f>INDEX(T,65,lang)</f>
        <v>Georgia</v>
      </c>
      <c r="C37" s="120">
        <v>7.625</v>
      </c>
      <c r="D37" s="97"/>
      <c r="F37" s="114" t="s">
        <v>2506</v>
      </c>
      <c r="G37" s="114">
        <v>21</v>
      </c>
      <c r="H37" s="115"/>
    </row>
    <row r="38" spans="2:8">
      <c r="B38" s="118" t="str">
        <f>INDEX(T,38,lang)</f>
        <v>Albania</v>
      </c>
      <c r="C38" s="121">
        <v>7.375</v>
      </c>
      <c r="D38" s="97"/>
      <c r="F38" s="114" t="s">
        <v>2507</v>
      </c>
      <c r="G38" s="114">
        <v>22</v>
      </c>
      <c r="H38" s="115"/>
    </row>
    <row r="39" spans="2:8" hidden="1">
      <c r="B39" s="118"/>
      <c r="C39" s="122"/>
      <c r="D39" s="97"/>
      <c r="F39" s="114" t="s">
        <v>2508</v>
      </c>
      <c r="G39" s="114">
        <v>23</v>
      </c>
      <c r="H39" s="115"/>
    </row>
    <row r="40" spans="2:8" hidden="1">
      <c r="B40" s="118"/>
      <c r="C40" s="122"/>
      <c r="D40" s="97"/>
      <c r="F40" s="114"/>
      <c r="G40" s="114"/>
      <c r="H40" s="115"/>
    </row>
    <row r="41" spans="2:8" hidden="1">
      <c r="B41" s="118"/>
      <c r="C41" s="122"/>
      <c r="D41" s="97"/>
      <c r="F41" s="114" t="s">
        <v>2483</v>
      </c>
      <c r="G41" s="114">
        <v>0</v>
      </c>
      <c r="H41" s="115"/>
    </row>
    <row r="42" spans="2:8" hidden="1">
      <c r="B42" s="118"/>
      <c r="C42" s="122"/>
      <c r="D42" s="97"/>
      <c r="F42" s="114" t="s">
        <v>2509</v>
      </c>
      <c r="G42" s="114">
        <v>15</v>
      </c>
      <c r="H42" s="115"/>
    </row>
    <row r="43" spans="2:8" hidden="1">
      <c r="B43" s="118"/>
      <c r="C43" s="122"/>
      <c r="D43" s="97"/>
      <c r="F43" s="114" t="s">
        <v>2510</v>
      </c>
      <c r="G43" s="114">
        <v>30</v>
      </c>
      <c r="H43" s="115"/>
    </row>
    <row r="44" spans="2:8" hidden="1">
      <c r="B44" s="118"/>
      <c r="C44" s="122"/>
      <c r="D44" s="97"/>
      <c r="F44" s="114" t="s">
        <v>2511</v>
      </c>
      <c r="G44" s="114">
        <v>45</v>
      </c>
      <c r="H44" s="115"/>
    </row>
    <row r="45" spans="2:8" hidden="1">
      <c r="B45" s="118"/>
      <c r="C45" s="122"/>
      <c r="D45" s="97"/>
      <c r="F45" s="114"/>
      <c r="G45" s="114"/>
      <c r="H45" s="115"/>
    </row>
    <row r="46" spans="2:8" hidden="1">
      <c r="B46" s="118"/>
      <c r="C46" s="123"/>
      <c r="D46" s="97"/>
      <c r="F46" s="115" t="s">
        <v>2512</v>
      </c>
      <c r="G46" s="117">
        <f>IF(G4="Type 2",0,1)</f>
        <v>1</v>
      </c>
      <c r="H46" s="115"/>
    </row>
    <row r="47" spans="2:8">
      <c r="B47" s="107"/>
      <c r="C47" s="108"/>
      <c r="D47" s="109"/>
      <c r="F47" s="115"/>
      <c r="G47" s="115"/>
      <c r="H47" s="115"/>
    </row>
  </sheetData>
  <sheetProtection password="B93B" sheet="1" objects="1" scenarios="1"/>
  <dataValidations count="4">
    <dataValidation type="list" allowBlank="1" showInputMessage="1" showErrorMessage="1" sqref="C6">
      <formula1>"Yes,No"</formula1>
      <formula2>0</formula2>
    </dataValidation>
    <dataValidation type="list" allowBlank="1" showInputMessage="1" showErrorMessage="1" sqref="C4">
      <formula1>lang_list</formula1>
      <formula2>0</formula2>
    </dataValidation>
    <dataValidation type="list" allowBlank="1" showInputMessage="1" showErrorMessage="1" promptTitle="Select GTM-time" prompt="Use drop-down List" sqref="C8">
      <formula1>$F$16:$F$39</formula1>
      <formula2>0</formula2>
    </dataValidation>
    <dataValidation type="list" allowBlank="1" showInputMessage="1" showErrorMessage="1" promptTitle="Select Minutes" prompt="Use drop-down List" sqref="C10">
      <formula1>$F$41:$F$44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20"/>
  <sheetViews>
    <sheetView showGridLines="0" zoomScaleNormal="100" workbookViewId="0">
      <selection activeCell="D12" sqref="D12"/>
    </sheetView>
  </sheetViews>
  <sheetFormatPr defaultColWidth="8.42578125" defaultRowHeight="12.75"/>
  <cols>
    <col min="1" max="1" width="1.85546875" customWidth="1"/>
    <col min="3" max="6" width="6" style="3" customWidth="1"/>
    <col min="7" max="7" width="1.85546875" customWidth="1"/>
    <col min="8" max="11" width="16.28515625" customWidth="1"/>
    <col min="12" max="12" width="1.85546875" customWidth="1"/>
  </cols>
  <sheetData>
    <row r="1" spans="2:11" ht="34.5" customHeight="1">
      <c r="B1" s="125" t="s">
        <v>2513</v>
      </c>
      <c r="C1" s="125"/>
      <c r="D1" s="125"/>
      <c r="E1" s="125"/>
      <c r="F1" s="125"/>
      <c r="G1" s="125"/>
      <c r="H1" s="125"/>
      <c r="I1" s="125"/>
      <c r="J1" s="125"/>
      <c r="K1" s="125"/>
    </row>
    <row r="2" spans="2:11" ht="8.25" customHeight="1"/>
    <row r="3" spans="2:11">
      <c r="B3" s="1" t="s">
        <v>2514</v>
      </c>
      <c r="C3" s="126" t="str">
        <f>'UEFA EURO 2024'!BB50</f>
        <v>ABCD</v>
      </c>
      <c r="D3" s="126"/>
      <c r="E3" s="126"/>
      <c r="F3" s="126"/>
    </row>
    <row r="4" spans="2:11" ht="8.25" customHeight="1"/>
    <row r="5" spans="2:11">
      <c r="C5" s="4" t="s">
        <v>2515</v>
      </c>
      <c r="D5" s="4" t="s">
        <v>2516</v>
      </c>
      <c r="E5" s="4" t="s">
        <v>2517</v>
      </c>
      <c r="F5" s="4" t="s">
        <v>2518</v>
      </c>
    </row>
    <row r="6" spans="2:11">
      <c r="B6" s="5" t="s">
        <v>2519</v>
      </c>
      <c r="C6" s="6" t="s">
        <v>2520</v>
      </c>
      <c r="D6" s="7" t="s">
        <v>2521</v>
      </c>
      <c r="E6" s="7" t="s">
        <v>2522</v>
      </c>
      <c r="F6" s="8" t="s">
        <v>2523</v>
      </c>
      <c r="H6" s="9" t="str">
        <f>'UEFA EURO 2024'!BE53</f>
        <v>3A</v>
      </c>
      <c r="I6" s="7" t="str">
        <f>'UEFA EURO 2024'!BF53</f>
        <v>3D</v>
      </c>
      <c r="J6" s="7" t="str">
        <f>'UEFA EURO 2024'!BG53</f>
        <v>3B</v>
      </c>
      <c r="K6" s="8" t="str">
        <f>'UEFA EURO 2024'!BH53</f>
        <v>3C</v>
      </c>
    </row>
    <row r="7" spans="2:11">
      <c r="B7" s="10" t="s">
        <v>2524</v>
      </c>
      <c r="C7" s="11" t="s">
        <v>2520</v>
      </c>
      <c r="D7" s="12" t="s">
        <v>2525</v>
      </c>
      <c r="E7" s="12" t="s">
        <v>2522</v>
      </c>
      <c r="F7" s="13" t="s">
        <v>2523</v>
      </c>
      <c r="H7" s="14" t="str">
        <f>'UEFA EURO 2024'!BE54</f>
        <v>3A</v>
      </c>
      <c r="I7" s="12" t="str">
        <f>'UEFA EURO 2024'!BF54</f>
        <v>3E</v>
      </c>
      <c r="J7" s="12" t="str">
        <f>'UEFA EURO 2024'!BG54</f>
        <v>3B</v>
      </c>
      <c r="K7" s="13" t="str">
        <f>'UEFA EURO 2024'!BH54</f>
        <v>3C</v>
      </c>
    </row>
    <row r="8" spans="2:11">
      <c r="B8" s="10" t="s">
        <v>2526</v>
      </c>
      <c r="C8" s="11" t="s">
        <v>2520</v>
      </c>
      <c r="D8" s="12" t="s">
        <v>2527</v>
      </c>
      <c r="E8" s="12" t="s">
        <v>2522</v>
      </c>
      <c r="F8" s="13" t="s">
        <v>2523</v>
      </c>
      <c r="H8" s="14" t="str">
        <f>'UEFA EURO 2024'!BE55</f>
        <v>3A</v>
      </c>
      <c r="I8" s="12" t="str">
        <f>'UEFA EURO 2024'!BF55</f>
        <v>3F</v>
      </c>
      <c r="J8" s="12" t="str">
        <f>'UEFA EURO 2024'!BG55</f>
        <v>3B</v>
      </c>
      <c r="K8" s="13" t="str">
        <f>'UEFA EURO 2024'!BH55</f>
        <v>3C</v>
      </c>
    </row>
    <row r="9" spans="2:11">
      <c r="B9" s="10" t="s">
        <v>2528</v>
      </c>
      <c r="C9" s="11" t="s">
        <v>2521</v>
      </c>
      <c r="D9" s="12" t="s">
        <v>2525</v>
      </c>
      <c r="E9" s="12" t="s">
        <v>2520</v>
      </c>
      <c r="F9" s="13" t="s">
        <v>2522</v>
      </c>
      <c r="H9" s="14" t="str">
        <f>'UEFA EURO 2024'!BE56</f>
        <v>3D</v>
      </c>
      <c r="I9" s="12" t="str">
        <f>'UEFA EURO 2024'!BF56</f>
        <v>3E</v>
      </c>
      <c r="J9" s="12" t="str">
        <f>'UEFA EURO 2024'!BG56</f>
        <v>3A</v>
      </c>
      <c r="K9" s="13" t="str">
        <f>'UEFA EURO 2024'!BH56</f>
        <v>3B</v>
      </c>
    </row>
    <row r="10" spans="2:11">
      <c r="B10" s="10" t="s">
        <v>2529</v>
      </c>
      <c r="C10" s="11" t="s">
        <v>2521</v>
      </c>
      <c r="D10" s="12" t="s">
        <v>2527</v>
      </c>
      <c r="E10" s="12" t="s">
        <v>2520</v>
      </c>
      <c r="F10" s="13" t="s">
        <v>2522</v>
      </c>
      <c r="H10" s="14" t="str">
        <f>'UEFA EURO 2024'!BE57</f>
        <v>3D</v>
      </c>
      <c r="I10" s="12" t="str">
        <f>'UEFA EURO 2024'!BF57</f>
        <v>3F</v>
      </c>
      <c r="J10" s="12" t="str">
        <f>'UEFA EURO 2024'!BG57</f>
        <v>3A</v>
      </c>
      <c r="K10" s="13" t="str">
        <f>'UEFA EURO 2024'!BH57</f>
        <v>3B</v>
      </c>
    </row>
    <row r="11" spans="2:11">
      <c r="B11" s="10" t="s">
        <v>2530</v>
      </c>
      <c r="C11" s="11" t="s">
        <v>2525</v>
      </c>
      <c r="D11" s="12" t="s">
        <v>2527</v>
      </c>
      <c r="E11" s="12" t="s">
        <v>2522</v>
      </c>
      <c r="F11" s="13" t="s">
        <v>2520</v>
      </c>
      <c r="H11" s="14" t="str">
        <f>'UEFA EURO 2024'!BE58</f>
        <v>3E</v>
      </c>
      <c r="I11" s="12" t="str">
        <f>'UEFA EURO 2024'!BF58</f>
        <v>3F</v>
      </c>
      <c r="J11" s="12" t="str">
        <f>'UEFA EURO 2024'!BG58</f>
        <v>3B</v>
      </c>
      <c r="K11" s="13" t="str">
        <f>'UEFA EURO 2024'!BH58</f>
        <v>3A</v>
      </c>
    </row>
    <row r="12" spans="2:11">
      <c r="B12" s="10" t="s">
        <v>2531</v>
      </c>
      <c r="C12" s="11" t="s">
        <v>2525</v>
      </c>
      <c r="D12" s="12" t="s">
        <v>2521</v>
      </c>
      <c r="E12" s="12" t="s">
        <v>2523</v>
      </c>
      <c r="F12" s="13" t="s">
        <v>2520</v>
      </c>
      <c r="H12" s="14" t="str">
        <f>'UEFA EURO 2024'!BE59</f>
        <v>3E</v>
      </c>
      <c r="I12" s="12" t="str">
        <f>'UEFA EURO 2024'!BF59</f>
        <v>3D</v>
      </c>
      <c r="J12" s="12" t="str">
        <f>'UEFA EURO 2024'!BG59</f>
        <v>3C</v>
      </c>
      <c r="K12" s="13" t="str">
        <f>'UEFA EURO 2024'!BH59</f>
        <v>3A</v>
      </c>
    </row>
    <row r="13" spans="2:11">
      <c r="B13" s="10" t="s">
        <v>2532</v>
      </c>
      <c r="C13" s="11" t="s">
        <v>2527</v>
      </c>
      <c r="D13" s="12" t="s">
        <v>2521</v>
      </c>
      <c r="E13" s="12" t="s">
        <v>2523</v>
      </c>
      <c r="F13" s="13" t="s">
        <v>2520</v>
      </c>
      <c r="H13" s="14" t="str">
        <f>'UEFA EURO 2024'!BE60</f>
        <v>3F</v>
      </c>
      <c r="I13" s="12" t="str">
        <f>'UEFA EURO 2024'!BF60</f>
        <v>3D</v>
      </c>
      <c r="J13" s="12" t="str">
        <f>'UEFA EURO 2024'!BG60</f>
        <v>3C</v>
      </c>
      <c r="K13" s="13" t="str">
        <f>'UEFA EURO 2024'!BH60</f>
        <v>3A</v>
      </c>
    </row>
    <row r="14" spans="2:11">
      <c r="B14" s="10" t="s">
        <v>2533</v>
      </c>
      <c r="C14" s="11" t="s">
        <v>2525</v>
      </c>
      <c r="D14" s="12" t="s">
        <v>2527</v>
      </c>
      <c r="E14" s="12" t="s">
        <v>2523</v>
      </c>
      <c r="F14" s="13" t="s">
        <v>2520</v>
      </c>
      <c r="H14" s="14" t="str">
        <f>'UEFA EURO 2024'!BE61</f>
        <v>3E</v>
      </c>
      <c r="I14" s="12" t="str">
        <f>'UEFA EURO 2024'!BF61</f>
        <v>3F</v>
      </c>
      <c r="J14" s="12" t="str">
        <f>'UEFA EURO 2024'!BG61</f>
        <v>3C</v>
      </c>
      <c r="K14" s="13" t="str">
        <f>'UEFA EURO 2024'!BH61</f>
        <v>3A</v>
      </c>
    </row>
    <row r="15" spans="2:11">
      <c r="B15" s="10" t="s">
        <v>2534</v>
      </c>
      <c r="C15" s="11" t="s">
        <v>2525</v>
      </c>
      <c r="D15" s="12" t="s">
        <v>2527</v>
      </c>
      <c r="E15" s="12" t="s">
        <v>2521</v>
      </c>
      <c r="F15" s="13" t="s">
        <v>2520</v>
      </c>
      <c r="H15" s="14" t="str">
        <f>'UEFA EURO 2024'!BE62</f>
        <v>3E</v>
      </c>
      <c r="I15" s="12" t="str">
        <f>'UEFA EURO 2024'!BF62</f>
        <v>3F</v>
      </c>
      <c r="J15" s="12" t="str">
        <f>'UEFA EURO 2024'!BG62</f>
        <v>3D</v>
      </c>
      <c r="K15" s="13" t="str">
        <f>'UEFA EURO 2024'!BH62</f>
        <v>3A</v>
      </c>
    </row>
    <row r="16" spans="2:11">
      <c r="B16" s="10" t="s">
        <v>2535</v>
      </c>
      <c r="C16" s="11" t="s">
        <v>2525</v>
      </c>
      <c r="D16" s="12" t="s">
        <v>2521</v>
      </c>
      <c r="E16" s="12" t="s">
        <v>2522</v>
      </c>
      <c r="F16" s="13" t="s">
        <v>2523</v>
      </c>
      <c r="H16" s="14" t="str">
        <f>'UEFA EURO 2024'!BE63</f>
        <v>3E</v>
      </c>
      <c r="I16" s="12" t="str">
        <f>'UEFA EURO 2024'!BF63</f>
        <v>3D</v>
      </c>
      <c r="J16" s="12" t="str">
        <f>'UEFA EURO 2024'!BG63</f>
        <v>3B</v>
      </c>
      <c r="K16" s="13" t="str">
        <f>'UEFA EURO 2024'!BH63</f>
        <v>3C</v>
      </c>
    </row>
    <row r="17" spans="2:11">
      <c r="B17" s="10" t="s">
        <v>2536</v>
      </c>
      <c r="C17" s="11" t="s">
        <v>2527</v>
      </c>
      <c r="D17" s="12" t="s">
        <v>2521</v>
      </c>
      <c r="E17" s="12" t="s">
        <v>2523</v>
      </c>
      <c r="F17" s="13" t="s">
        <v>2522</v>
      </c>
      <c r="H17" s="14" t="str">
        <f>'UEFA EURO 2024'!BE64</f>
        <v>3F</v>
      </c>
      <c r="I17" s="12" t="str">
        <f>'UEFA EURO 2024'!BF64</f>
        <v>3D</v>
      </c>
      <c r="J17" s="12" t="str">
        <f>'UEFA EURO 2024'!BG64</f>
        <v>3C</v>
      </c>
      <c r="K17" s="13" t="str">
        <f>'UEFA EURO 2024'!BH64</f>
        <v>3B</v>
      </c>
    </row>
    <row r="18" spans="2:11">
      <c r="B18" s="10" t="s">
        <v>2537</v>
      </c>
      <c r="C18" s="11" t="s">
        <v>2527</v>
      </c>
      <c r="D18" s="12" t="s">
        <v>2525</v>
      </c>
      <c r="E18" s="12" t="s">
        <v>2523</v>
      </c>
      <c r="F18" s="13" t="s">
        <v>2522</v>
      </c>
      <c r="H18" s="14" t="str">
        <f>'UEFA EURO 2024'!BE65</f>
        <v>3F</v>
      </c>
      <c r="I18" s="12" t="str">
        <f>'UEFA EURO 2024'!BF65</f>
        <v>3E</v>
      </c>
      <c r="J18" s="12" t="str">
        <f>'UEFA EURO 2024'!BG65</f>
        <v>3C</v>
      </c>
      <c r="K18" s="13" t="str">
        <f>'UEFA EURO 2024'!BH65</f>
        <v>3B</v>
      </c>
    </row>
    <row r="19" spans="2:11">
      <c r="B19" s="10" t="s">
        <v>2538</v>
      </c>
      <c r="C19" s="11" t="s">
        <v>2527</v>
      </c>
      <c r="D19" s="12" t="s">
        <v>2525</v>
      </c>
      <c r="E19" s="12" t="s">
        <v>2521</v>
      </c>
      <c r="F19" s="13" t="s">
        <v>2522</v>
      </c>
      <c r="H19" s="14" t="str">
        <f>'UEFA EURO 2024'!BE66</f>
        <v>3F</v>
      </c>
      <c r="I19" s="12" t="str">
        <f>'UEFA EURO 2024'!BF66</f>
        <v>3E</v>
      </c>
      <c r="J19" s="12" t="str">
        <f>'UEFA EURO 2024'!BG66</f>
        <v>3D</v>
      </c>
      <c r="K19" s="13" t="str">
        <f>'UEFA EURO 2024'!BH66</f>
        <v>3B</v>
      </c>
    </row>
    <row r="20" spans="2:11">
      <c r="B20" s="15" t="s">
        <v>2539</v>
      </c>
      <c r="C20" s="16" t="s">
        <v>2527</v>
      </c>
      <c r="D20" s="17" t="s">
        <v>2525</v>
      </c>
      <c r="E20" s="17" t="s">
        <v>2521</v>
      </c>
      <c r="F20" s="18" t="s">
        <v>2523</v>
      </c>
      <c r="H20" s="19" t="str">
        <f>'UEFA EURO 2024'!BE67</f>
        <v>3F</v>
      </c>
      <c r="I20" s="17" t="str">
        <f>'UEFA EURO 2024'!BF67</f>
        <v>3E</v>
      </c>
      <c r="J20" s="17" t="str">
        <f>'UEFA EURO 2024'!BG67</f>
        <v>3D</v>
      </c>
      <c r="K20" s="18" t="str">
        <f>'UEFA EURO 2024'!BH67</f>
        <v>3C</v>
      </c>
    </row>
  </sheetData>
  <sheetProtection password="B93B" sheet="1" objects="1" scenarios="1"/>
  <mergeCells count="2">
    <mergeCell ref="B1:K1"/>
    <mergeCell ref="C3:F3"/>
  </mergeCells>
  <conditionalFormatting sqref="B6:F20 H6:K20">
    <cfRule type="expression" dxfId="129" priority="2">
      <formula>IF($B6=$C$3,1,0)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R97"/>
  <sheetViews>
    <sheetView showGridLines="0" tabSelected="1" zoomScale="90" zoomScaleNormal="90" workbookViewId="0">
      <selection activeCell="F10" sqref="F10"/>
    </sheetView>
  </sheetViews>
  <sheetFormatPr defaultColWidth="9.140625" defaultRowHeight="12.75"/>
  <cols>
    <col min="1" max="1" width="4.85546875" style="20" customWidth="1"/>
    <col min="2" max="2" width="5.7109375" style="20" customWidth="1"/>
    <col min="3" max="3" width="11.7109375" style="20" customWidth="1"/>
    <col min="4" max="4" width="7.28515625" style="21" customWidth="1"/>
    <col min="5" max="5" width="22.5703125" style="22" customWidth="1"/>
    <col min="6" max="7" width="4.28515625" style="23" customWidth="1"/>
    <col min="8" max="8" width="22.5703125" style="24" customWidth="1"/>
    <col min="9" max="9" width="7.85546875" style="22" customWidth="1"/>
    <col min="10" max="13" width="3.85546875" style="22" customWidth="1"/>
    <col min="14" max="14" width="3.42578125" style="25" customWidth="1"/>
    <col min="15" max="15" width="14" style="26" customWidth="1"/>
    <col min="16" max="19" width="5.42578125" style="27" customWidth="1"/>
    <col min="20" max="20" width="7.7109375" style="27" customWidth="1"/>
    <col min="21" max="21" width="6.7109375" style="27" customWidth="1"/>
    <col min="22" max="22" width="1.28515625" style="74" customWidth="1"/>
    <col min="23" max="23" width="15.42578125" style="76" hidden="1" customWidth="1"/>
    <col min="24" max="25" width="16" style="78" hidden="1" customWidth="1"/>
    <col min="26" max="26" width="5" style="77" hidden="1" customWidth="1"/>
    <col min="27" max="32" width="6.140625" style="76" hidden="1" customWidth="1"/>
    <col min="33" max="35" width="4.42578125" style="76" hidden="1" customWidth="1"/>
    <col min="36" max="36" width="6.140625" style="76" hidden="1" customWidth="1"/>
    <col min="37" max="40" width="4.42578125" style="76" hidden="1" customWidth="1"/>
    <col min="41" max="41" width="6.140625" style="76" hidden="1" customWidth="1"/>
    <col min="42" max="44" width="4.42578125" style="76" hidden="1" customWidth="1"/>
    <col min="45" max="45" width="6.140625" style="76" hidden="1" customWidth="1"/>
    <col min="46" max="48" width="4.42578125" style="76" hidden="1" customWidth="1"/>
    <col min="49" max="49" width="4.28515625" style="77" hidden="1" customWidth="1"/>
    <col min="50" max="53" width="4.42578125" style="76" hidden="1" customWidth="1"/>
    <col min="54" max="54" width="4.28515625" style="77" hidden="1" customWidth="1"/>
    <col min="55" max="55" width="5.42578125" style="76" hidden="1" customWidth="1"/>
    <col min="56" max="56" width="13.42578125" style="77" hidden="1" customWidth="1"/>
    <col min="57" max="61" width="5.42578125" style="76" hidden="1" customWidth="1"/>
    <col min="62" max="64" width="6" style="76" hidden="1" customWidth="1"/>
    <col min="65" max="65" width="5.42578125" style="76" hidden="1" customWidth="1"/>
    <col min="66" max="67" width="6" style="76" hidden="1" customWidth="1"/>
    <col min="68" max="68" width="7.42578125" style="76" hidden="1" customWidth="1"/>
    <col min="69" max="69" width="8" style="77" hidden="1" customWidth="1"/>
    <col min="70" max="70" width="10" style="77" hidden="1" customWidth="1"/>
    <col min="71" max="71" width="15.28515625" style="77" hidden="1" customWidth="1"/>
    <col min="72" max="76" width="4.7109375" style="76" hidden="1" customWidth="1"/>
    <col min="77" max="77" width="15.28515625" style="77" hidden="1" customWidth="1"/>
    <col min="78" max="79" width="5" style="77" hidden="1" customWidth="1"/>
    <col min="80" max="80" width="2" style="77" hidden="1" customWidth="1"/>
    <col min="81" max="84" width="3.5703125" style="76" hidden="1" customWidth="1"/>
    <col min="85" max="85" width="2.28515625" style="77" hidden="1" customWidth="1"/>
    <col min="86" max="89" width="3.5703125" style="76" hidden="1" customWidth="1"/>
    <col min="90" max="91" width="3.28515625" style="77" hidden="1" customWidth="1"/>
    <col min="92" max="95" width="3.5703125" style="76" hidden="1" customWidth="1"/>
    <col min="96" max="96" width="2.28515625" style="77" hidden="1" customWidth="1"/>
    <col min="97" max="100" width="3.5703125" style="76" hidden="1" customWidth="1"/>
    <col min="101" max="101" width="2.28515625" style="77" hidden="1" customWidth="1"/>
    <col min="102" max="105" width="3.5703125" style="76" hidden="1" customWidth="1"/>
    <col min="106" max="107" width="2.28515625" style="77" hidden="1" customWidth="1"/>
    <col min="108" max="111" width="3.5703125" style="76" hidden="1" customWidth="1"/>
    <col min="112" max="112" width="2.28515625" style="77" hidden="1" customWidth="1"/>
    <col min="113" max="113" width="8" style="77" hidden="1" customWidth="1"/>
    <col min="114" max="114" width="2" style="77" hidden="1" customWidth="1"/>
    <col min="115" max="118" width="3.5703125" style="76" hidden="1" customWidth="1"/>
    <col min="119" max="119" width="2.7109375" style="77" hidden="1" customWidth="1"/>
    <col min="120" max="120" width="8" style="77" hidden="1" customWidth="1"/>
    <col min="121" max="122" width="3" style="77" hidden="1" customWidth="1"/>
    <col min="123" max="126" width="3.5703125" style="76" hidden="1" customWidth="1"/>
    <col min="127" max="128" width="2.28515625" style="77" hidden="1" customWidth="1"/>
    <col min="129" max="129" width="3" style="77" hidden="1" customWidth="1"/>
    <col min="130" max="130" width="10.140625" style="77" hidden="1" customWidth="1"/>
    <col min="131" max="131" width="6.85546875" style="77" hidden="1" customWidth="1"/>
    <col min="132" max="133" width="6" style="77" hidden="1" customWidth="1"/>
    <col min="134" max="134" width="6.85546875" style="77" hidden="1" customWidth="1"/>
    <col min="135" max="138" width="3.5703125" style="76" hidden="1" customWidth="1"/>
    <col min="139" max="139" width="2.28515625" style="77" hidden="1" customWidth="1"/>
    <col min="140" max="143" width="3.5703125" style="76" hidden="1" customWidth="1"/>
    <col min="144" max="145" width="3.28515625" style="77" hidden="1" customWidth="1"/>
    <col min="146" max="149" width="3.5703125" style="76" hidden="1" customWidth="1"/>
    <col min="150" max="150" width="2.28515625" style="77" hidden="1" customWidth="1"/>
    <col min="151" max="151" width="3" style="77" hidden="1" customWidth="1"/>
    <col min="152" max="152" width="3.28515625" style="74" customWidth="1"/>
    <col min="153" max="153" width="19.7109375" style="25" customWidth="1"/>
    <col min="154" max="155" width="3" style="25" customWidth="1"/>
    <col min="156" max="157" width="2" style="25" customWidth="1"/>
    <col min="158" max="158" width="3.28515625" style="25" customWidth="1"/>
    <col min="159" max="159" width="19.7109375" style="25" customWidth="1"/>
    <col min="160" max="161" width="3" style="25" customWidth="1"/>
    <col min="162" max="163" width="2" style="25" customWidth="1"/>
    <col min="164" max="164" width="3.28515625" style="25" customWidth="1"/>
    <col min="165" max="165" width="19.7109375" style="25" customWidth="1"/>
    <col min="166" max="167" width="3" style="25" customWidth="1"/>
    <col min="168" max="169" width="2" style="25" customWidth="1"/>
    <col min="170" max="170" width="3.28515625" style="25" customWidth="1"/>
    <col min="171" max="171" width="19.7109375" style="25" customWidth="1"/>
    <col min="172" max="173" width="3" style="25" customWidth="1"/>
    <col min="174" max="174" width="9.140625" style="25"/>
  </cols>
  <sheetData>
    <row r="1" spans="1:173" ht="46.5">
      <c r="A1" s="127" t="str">
        <f>INDEX(T,2,lang)</f>
        <v>UEFA EURO 2024 Tournament Schedule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X1" s="76"/>
      <c r="Y1" s="76"/>
      <c r="Z1" s="76"/>
      <c r="AW1" s="76"/>
      <c r="BB1" s="76"/>
      <c r="BD1" s="76"/>
      <c r="BF1" s="77"/>
      <c r="BG1" s="77"/>
      <c r="BH1" s="77"/>
      <c r="BN1" s="77"/>
      <c r="BO1" s="77"/>
      <c r="BP1" s="77"/>
      <c r="BT1" s="77"/>
      <c r="BU1" s="77"/>
      <c r="BV1" s="77"/>
      <c r="BW1" s="77"/>
      <c r="BX1" s="77"/>
      <c r="CC1" s="77"/>
      <c r="CD1" s="77"/>
      <c r="CE1" s="77"/>
      <c r="CF1" s="77"/>
      <c r="CH1" s="77"/>
      <c r="CI1" s="77"/>
      <c r="CJ1" s="77"/>
      <c r="CK1" s="77"/>
      <c r="CN1" s="77"/>
      <c r="CO1" s="77"/>
      <c r="CP1" s="77"/>
      <c r="CQ1" s="77"/>
      <c r="CS1" s="77"/>
      <c r="CT1" s="77"/>
      <c r="CU1" s="77"/>
      <c r="CV1" s="77"/>
      <c r="CX1" s="77"/>
      <c r="CY1" s="77"/>
      <c r="CZ1" s="77"/>
      <c r="DA1" s="77"/>
      <c r="DD1" s="77"/>
      <c r="DE1" s="77"/>
      <c r="DF1" s="77"/>
      <c r="DG1" s="77"/>
      <c r="DK1" s="77"/>
      <c r="DL1" s="77"/>
      <c r="DM1" s="77"/>
      <c r="DN1" s="77"/>
      <c r="DS1" s="77"/>
      <c r="DT1" s="77"/>
      <c r="DU1" s="77"/>
      <c r="DV1" s="77"/>
      <c r="EE1" s="77"/>
      <c r="EF1" s="77"/>
      <c r="EG1" s="77"/>
      <c r="EH1" s="77"/>
      <c r="EJ1" s="77"/>
      <c r="EK1" s="77"/>
      <c r="EL1" s="77"/>
      <c r="EM1" s="77"/>
      <c r="EP1" s="77"/>
      <c r="EQ1" s="77"/>
      <c r="ER1" s="77"/>
      <c r="ES1" s="77"/>
    </row>
    <row r="2" spans="1:173" ht="6" hidden="1" customHeight="1">
      <c r="X2" s="76"/>
      <c r="Y2" s="76"/>
      <c r="Z2" s="76"/>
      <c r="AW2" s="76"/>
      <c r="BB2" s="76"/>
      <c r="BD2" s="76"/>
      <c r="BF2" s="77"/>
      <c r="BG2" s="77"/>
      <c r="BH2" s="77"/>
      <c r="BN2" s="77"/>
      <c r="BO2" s="77"/>
      <c r="BP2" s="77"/>
      <c r="BT2" s="77"/>
      <c r="BU2" s="77"/>
      <c r="BV2" s="77"/>
      <c r="BW2" s="77"/>
      <c r="BX2" s="77"/>
      <c r="CC2" s="77"/>
      <c r="CD2" s="77"/>
      <c r="CE2" s="77"/>
      <c r="CF2" s="77"/>
      <c r="CH2" s="77"/>
      <c r="CI2" s="77"/>
      <c r="CJ2" s="77"/>
      <c r="CK2" s="77"/>
      <c r="CN2" s="77"/>
      <c r="CO2" s="77"/>
      <c r="CP2" s="77"/>
      <c r="CQ2" s="77"/>
      <c r="CS2" s="77"/>
      <c r="CT2" s="77"/>
      <c r="CU2" s="77"/>
      <c r="CV2" s="77"/>
      <c r="CX2" s="77"/>
      <c r="CY2" s="77"/>
      <c r="CZ2" s="77"/>
      <c r="DA2" s="77"/>
      <c r="DD2" s="77"/>
      <c r="DE2" s="77"/>
      <c r="DF2" s="77"/>
      <c r="DG2" s="77"/>
      <c r="DK2" s="77"/>
      <c r="DL2" s="77"/>
      <c r="DM2" s="77"/>
      <c r="DN2" s="77"/>
      <c r="DS2" s="77"/>
      <c r="DT2" s="77"/>
      <c r="DU2" s="77"/>
      <c r="DV2" s="77"/>
      <c r="EE2" s="77"/>
      <c r="EF2" s="77"/>
      <c r="EG2" s="77"/>
      <c r="EH2" s="77"/>
      <c r="EJ2" s="77"/>
      <c r="EK2" s="77"/>
      <c r="EL2" s="77"/>
      <c r="EM2" s="77"/>
      <c r="EP2" s="77"/>
      <c r="EQ2" s="77"/>
      <c r="ER2" s="77"/>
      <c r="ES2" s="77"/>
    </row>
    <row r="3" spans="1:173" ht="6" hidden="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X3" s="76"/>
      <c r="Y3" s="76"/>
      <c r="Z3" s="76"/>
      <c r="AW3" s="76"/>
      <c r="BB3" s="76"/>
      <c r="BD3" s="76"/>
      <c r="BF3" s="77"/>
      <c r="BG3" s="77"/>
      <c r="BH3" s="77"/>
      <c r="BN3" s="77"/>
      <c r="BO3" s="77"/>
      <c r="BP3" s="77"/>
      <c r="BT3" s="77"/>
      <c r="BU3" s="77"/>
      <c r="BV3" s="77"/>
      <c r="BW3" s="77"/>
      <c r="BX3" s="77"/>
      <c r="CC3" s="77"/>
      <c r="CD3" s="77"/>
      <c r="CE3" s="77"/>
      <c r="CF3" s="77"/>
      <c r="CH3" s="77"/>
      <c r="CI3" s="77"/>
      <c r="CJ3" s="77"/>
      <c r="CK3" s="77"/>
      <c r="CN3" s="77"/>
      <c r="CO3" s="77"/>
      <c r="CP3" s="77"/>
      <c r="CQ3" s="77"/>
      <c r="CS3" s="77"/>
      <c r="CT3" s="77"/>
      <c r="CU3" s="77"/>
      <c r="CV3" s="77"/>
      <c r="CX3" s="77"/>
      <c r="CY3" s="77"/>
      <c r="CZ3" s="77"/>
      <c r="DA3" s="77"/>
      <c r="DD3" s="77"/>
      <c r="DE3" s="77"/>
      <c r="DF3" s="77"/>
      <c r="DG3" s="77"/>
      <c r="DK3" s="77"/>
      <c r="DL3" s="77"/>
      <c r="DM3" s="77"/>
      <c r="DN3" s="77"/>
      <c r="DS3" s="77"/>
      <c r="DT3" s="77"/>
      <c r="DU3" s="77"/>
      <c r="DV3" s="77"/>
      <c r="EE3" s="77"/>
      <c r="EF3" s="77"/>
      <c r="EG3" s="77"/>
      <c r="EH3" s="77"/>
      <c r="EJ3" s="77"/>
      <c r="EK3" s="77"/>
      <c r="EL3" s="77"/>
      <c r="EM3" s="77"/>
      <c r="EP3" s="77"/>
      <c r="EQ3" s="77"/>
      <c r="ER3" s="77"/>
      <c r="ES3" s="77"/>
    </row>
    <row r="4" spans="1:173" ht="6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73" ht="12.75" customHeight="1">
      <c r="A5" s="28"/>
      <c r="B5" s="28"/>
      <c r="C5" s="81"/>
      <c r="D5" s="81"/>
      <c r="E5" s="81"/>
      <c r="F5"/>
      <c r="G5" s="81"/>
      <c r="H5" s="81"/>
      <c r="I5" s="81"/>
      <c r="J5" s="28"/>
      <c r="K5" s="28"/>
      <c r="L5" s="28"/>
      <c r="M5" s="28"/>
      <c r="CC5" s="77"/>
      <c r="CD5" s="77"/>
      <c r="CE5" s="77"/>
      <c r="CF5" s="77"/>
      <c r="DS5" s="77"/>
      <c r="DT5" s="77"/>
      <c r="DU5" s="77"/>
      <c r="DV5" s="77"/>
      <c r="EE5" s="77"/>
      <c r="EF5" s="77"/>
      <c r="EG5" s="77"/>
      <c r="EH5" s="77"/>
    </row>
    <row r="6" spans="1:173" ht="12.75" customHeight="1">
      <c r="A6" s="28"/>
      <c r="B6" s="28"/>
      <c r="C6" s="81"/>
      <c r="D6" s="81"/>
      <c r="E6" s="81"/>
      <c r="F6"/>
      <c r="G6" s="81"/>
      <c r="H6" s="81"/>
      <c r="I6" s="81"/>
      <c r="J6" s="28"/>
      <c r="K6" s="28"/>
      <c r="L6" s="28"/>
      <c r="M6" s="28"/>
      <c r="T6" s="128"/>
      <c r="U6" s="128"/>
      <c r="W6" s="76" t="s">
        <v>2540</v>
      </c>
      <c r="AA6" s="76" t="s">
        <v>2541</v>
      </c>
      <c r="AB6" s="76" t="s">
        <v>2542</v>
      </c>
      <c r="BC6" s="76" t="s">
        <v>2543</v>
      </c>
      <c r="BD6" s="76" t="s">
        <v>970</v>
      </c>
      <c r="BE6" s="76" t="s">
        <v>320</v>
      </c>
      <c r="BF6" s="76" t="s">
        <v>357</v>
      </c>
      <c r="BG6" s="76" t="s">
        <v>292</v>
      </c>
      <c r="BH6" s="76" t="s">
        <v>2541</v>
      </c>
      <c r="BI6" s="76" t="s">
        <v>2542</v>
      </c>
      <c r="BJ6" s="76" t="s">
        <v>2544</v>
      </c>
      <c r="BK6" s="76" t="s">
        <v>2544</v>
      </c>
      <c r="BM6" s="76" t="s">
        <v>2545</v>
      </c>
      <c r="BN6" s="76" t="s">
        <v>336</v>
      </c>
      <c r="BP6" s="76" t="s">
        <v>2887</v>
      </c>
      <c r="BQ6" s="76" t="s">
        <v>2888</v>
      </c>
      <c r="BR6" s="76" t="s">
        <v>2546</v>
      </c>
      <c r="BT6" s="76" t="s">
        <v>320</v>
      </c>
      <c r="BU6" s="76" t="s">
        <v>357</v>
      </c>
      <c r="BV6" s="76" t="s">
        <v>2541</v>
      </c>
      <c r="BW6" s="76" t="s">
        <v>2542</v>
      </c>
      <c r="BX6" s="76" t="s">
        <v>2547</v>
      </c>
      <c r="CC6" s="77"/>
      <c r="CD6" s="77"/>
      <c r="CE6" s="77"/>
      <c r="CF6" s="77"/>
      <c r="CH6" s="79"/>
      <c r="CI6" s="79"/>
      <c r="CJ6" s="79"/>
      <c r="CK6" s="79"/>
      <c r="CN6" s="79"/>
      <c r="CO6" s="79"/>
      <c r="CP6" s="79"/>
      <c r="CQ6" s="79"/>
      <c r="CS6" s="79"/>
      <c r="CT6" s="79"/>
      <c r="CU6" s="79"/>
      <c r="CV6" s="79"/>
      <c r="CX6" s="79"/>
      <c r="CY6" s="79"/>
      <c r="CZ6" s="79"/>
      <c r="DA6" s="79"/>
      <c r="DD6" s="79"/>
      <c r="DE6" s="79"/>
      <c r="DF6" s="79"/>
      <c r="DG6" s="79"/>
      <c r="DK6" s="79"/>
      <c r="DL6" s="79"/>
      <c r="DM6" s="79"/>
      <c r="DN6" s="79"/>
      <c r="DS6" s="77"/>
      <c r="DT6" s="77"/>
      <c r="DU6" s="77"/>
      <c r="DV6" s="77"/>
      <c r="EE6" s="77"/>
      <c r="EF6" s="77"/>
      <c r="EG6" s="77"/>
      <c r="EH6" s="77"/>
      <c r="EJ6" s="79"/>
      <c r="EK6" s="79"/>
      <c r="EL6" s="79"/>
      <c r="EM6" s="79"/>
      <c r="EP6" s="79"/>
      <c r="EQ6" s="79"/>
      <c r="ER6" s="79"/>
      <c r="ES6" s="79"/>
      <c r="EV6" s="129" t="str">
        <f>INDEX(T,4,lang)</f>
        <v>Round of 16</v>
      </c>
      <c r="EW6" s="129"/>
      <c r="EX6" s="129"/>
      <c r="EY6" s="129"/>
      <c r="FB6" s="129" t="str">
        <f>INDEX(T,5,lang)</f>
        <v>Quarterfinals</v>
      </c>
      <c r="FC6" s="129"/>
      <c r="FD6" s="129"/>
      <c r="FE6" s="129"/>
      <c r="FH6" s="129" t="str">
        <f>INDEX(T,6,lang)</f>
        <v>Semi-Finals</v>
      </c>
      <c r="FI6" s="129"/>
      <c r="FJ6" s="129"/>
      <c r="FK6" s="129"/>
      <c r="FN6" s="129" t="str">
        <f>INDEX(T,8,lang)</f>
        <v>Final</v>
      </c>
      <c r="FO6" s="129"/>
      <c r="FP6" s="129"/>
      <c r="FQ6" s="129"/>
    </row>
    <row r="7" spans="1:173" ht="12.75" customHeight="1">
      <c r="W7" s="76">
        <f>DATE(2024,6,14)+TIME(8,0,0)+gmt_delta</f>
        <v>45457.666666666672</v>
      </c>
      <c r="X7" s="78" t="str">
        <f t="shared" ref="X7:X42" si="0">IF(OR(F10="",G10=""),"",IF(F10&gt;G10,E10&amp;"_win",IF(F10&lt;G10,E10&amp;"_lose",E10&amp;"_draw")))</f>
        <v/>
      </c>
      <c r="Y7" s="78" t="str">
        <f t="shared" ref="Y7:Y42" si="1">IF(X7="","",IF(F10&lt;G10,H10&amp;"_win",IF(F10&gt;G10,H10&amp;"_lose",H10&amp;"_draw")))</f>
        <v/>
      </c>
      <c r="Z7" s="77">
        <f t="shared" ref="Z7:Z42" si="2">IF(X7="",0,IF(VLOOKUP(E10,$BD$8:$BM$53,7,0)=VLOOKUP(H10,$BD$8:$BM$53,7,0),1,0))</f>
        <v>0</v>
      </c>
      <c r="AA7" s="76">
        <f t="shared" ref="AA7:AA42" si="3">Z7*F10</f>
        <v>0</v>
      </c>
      <c r="AB7" s="76">
        <f t="shared" ref="AB7:AB42" si="4">Z7*G10</f>
        <v>0</v>
      </c>
      <c r="AC7" s="76">
        <f t="shared" ref="AC7:AC42" si="5">VLOOKUP(E10,$BY$8:$CA$31,2,0)</f>
        <v>1</v>
      </c>
      <c r="AD7" s="76">
        <f t="shared" ref="AD7:AD42" si="6">VLOOKUP(E10,$BY$8:$CA$31,3,0)</f>
        <v>1</v>
      </c>
      <c r="AE7" s="76">
        <f t="shared" ref="AE7:AE42" si="7">VLOOKUP(H10,$BY$8:$CA$31,3,0)</f>
        <v>2</v>
      </c>
      <c r="AF7" s="76" t="str">
        <f t="shared" ref="AF7:AF42" si="8">AC7&amp;AD7&amp;AE7</f>
        <v>112</v>
      </c>
      <c r="AG7" s="76">
        <f t="shared" ref="AG7:AG42" si="9">IF(OR(F10="",G10=""),0,IF(F10&gt;G10,3,IF(F10&lt;G10,0,1)))</f>
        <v>0</v>
      </c>
      <c r="AH7" s="76">
        <f t="shared" ref="AH7:AH42" si="10">IF(OR(F10="",G10=""),0,F10-G10)</f>
        <v>0</v>
      </c>
      <c r="AI7" s="76">
        <f t="shared" ref="AI7:AI42" si="11">IF(OR(F10="",G10=""),0,F10)</f>
        <v>0</v>
      </c>
      <c r="AJ7" s="76" t="str">
        <f t="shared" ref="AJ7:AJ42" si="12">AC7&amp;AE7&amp;AD7</f>
        <v>121</v>
      </c>
      <c r="AK7" s="76">
        <f t="shared" ref="AK7:AK42" si="13">IF(OR(G10="",F10=""),0,IF(G10&gt;F10,3,IF(G10&lt;F10,0,1)))</f>
        <v>0</v>
      </c>
      <c r="AL7" s="76">
        <f t="shared" ref="AL7:AL42" si="14">IF(OR(G10="",F10=""),0,G10-F10)</f>
        <v>0</v>
      </c>
      <c r="AM7" s="76">
        <f t="shared" ref="AM7:AM42" si="15">IF(OR(G10="",F10=""),0,G10)</f>
        <v>0</v>
      </c>
      <c r="AO7" s="76" t="str">
        <f t="shared" ref="AO7:AO30" si="16">AF7</f>
        <v>112</v>
      </c>
      <c r="AP7" s="76">
        <f t="shared" ref="AP7:AP30" si="17">AG7</f>
        <v>0</v>
      </c>
      <c r="AQ7" s="76">
        <f t="shared" ref="AQ7:AQ30" si="18">AH7</f>
        <v>0</v>
      </c>
      <c r="AR7" s="76">
        <f t="shared" ref="AR7:AR30" si="19">AI7</f>
        <v>0</v>
      </c>
      <c r="AS7" s="76" t="str">
        <f t="shared" ref="AS7:AS30" si="20">AJ7</f>
        <v>121</v>
      </c>
      <c r="AT7" s="76">
        <f t="shared" ref="AT7:AT30" si="21">AK7</f>
        <v>0</v>
      </c>
      <c r="AU7" s="76">
        <f t="shared" ref="AU7:AU30" si="22">AL7</f>
        <v>0</v>
      </c>
      <c r="AV7" s="76">
        <f t="shared" ref="AV7:AV30" si="23">AM7</f>
        <v>0</v>
      </c>
      <c r="AX7" s="76" t="str">
        <f t="shared" ref="AX7:AX42" si="24">AF7</f>
        <v>112</v>
      </c>
      <c r="AY7" s="76">
        <v>0</v>
      </c>
      <c r="AZ7" s="76" t="str">
        <f t="shared" ref="AZ7:AZ42" si="25">AJ7</f>
        <v>121</v>
      </c>
      <c r="BA7" s="76">
        <v>0</v>
      </c>
      <c r="CC7" s="77"/>
      <c r="CD7" s="77"/>
      <c r="CE7" s="77"/>
      <c r="CF7" s="77"/>
      <c r="DI7" s="76" t="s">
        <v>336</v>
      </c>
      <c r="DP7" s="76" t="s">
        <v>336</v>
      </c>
      <c r="DS7" s="77"/>
      <c r="DT7" s="77"/>
      <c r="DU7" s="77"/>
      <c r="DV7" s="77"/>
      <c r="EA7" s="76" t="s">
        <v>2548</v>
      </c>
      <c r="EB7" s="76" t="s">
        <v>2549</v>
      </c>
      <c r="EC7" s="76" t="s">
        <v>2550</v>
      </c>
      <c r="ED7" s="76" t="s">
        <v>336</v>
      </c>
      <c r="EE7" s="77"/>
      <c r="EF7" s="77"/>
      <c r="EG7" s="77"/>
      <c r="EH7" s="77"/>
      <c r="EV7" s="129"/>
      <c r="EW7" s="129"/>
      <c r="EX7" s="129"/>
      <c r="EY7" s="129"/>
      <c r="FB7" s="129"/>
      <c r="FC7" s="129"/>
      <c r="FD7" s="129"/>
      <c r="FE7" s="129"/>
      <c r="FH7" s="129"/>
      <c r="FI7" s="129"/>
      <c r="FJ7" s="129"/>
      <c r="FK7" s="129"/>
      <c r="FN7" s="129"/>
      <c r="FO7" s="129"/>
      <c r="FP7" s="129"/>
      <c r="FQ7" s="129"/>
    </row>
    <row r="8" spans="1:173" ht="12.75" customHeight="1">
      <c r="A8" s="130" t="str">
        <f>INDEX(T,3,lang)</f>
        <v>Group Stage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29"/>
      <c r="M8" s="29"/>
      <c r="O8" s="30" t="str">
        <f>INDEX(T,9,lang) &amp; " " &amp; "A"</f>
        <v>Group A</v>
      </c>
      <c r="P8" s="31" t="str">
        <f>INDEX(T,10,lang)</f>
        <v>PL</v>
      </c>
      <c r="Q8" s="31" t="str">
        <f>INDEX(T,11,lang)</f>
        <v>W</v>
      </c>
      <c r="R8" s="31" t="str">
        <f>INDEX(T,12,lang)</f>
        <v>DRAW</v>
      </c>
      <c r="S8" s="31" t="str">
        <f>INDEX(T,13,lang)</f>
        <v>L</v>
      </c>
      <c r="T8" s="31" t="str">
        <f>INDEX(T,14,lang)</f>
        <v>GF - GA</v>
      </c>
      <c r="U8" s="31" t="str">
        <f>INDEX(T,15,lang)</f>
        <v>PNT</v>
      </c>
      <c r="W8" s="76">
        <f>DATE(2024,6,15)+TIME(2,0,0)+gmt_delta</f>
        <v>45458.416666666672</v>
      </c>
      <c r="X8" s="78" t="str">
        <f t="shared" si="0"/>
        <v/>
      </c>
      <c r="Y8" s="78" t="str">
        <f t="shared" si="1"/>
        <v/>
      </c>
      <c r="Z8" s="77">
        <f t="shared" si="2"/>
        <v>0</v>
      </c>
      <c r="AA8" s="76">
        <f t="shared" si="3"/>
        <v>0</v>
      </c>
      <c r="AB8" s="76">
        <f t="shared" si="4"/>
        <v>0</v>
      </c>
      <c r="AC8" s="76">
        <f t="shared" si="5"/>
        <v>1</v>
      </c>
      <c r="AD8" s="76">
        <f t="shared" si="6"/>
        <v>4</v>
      </c>
      <c r="AE8" s="76">
        <f t="shared" si="7"/>
        <v>3</v>
      </c>
      <c r="AF8" s="76" t="str">
        <f t="shared" si="8"/>
        <v>143</v>
      </c>
      <c r="AG8" s="76">
        <f t="shared" si="9"/>
        <v>0</v>
      </c>
      <c r="AH8" s="76">
        <f t="shared" si="10"/>
        <v>0</v>
      </c>
      <c r="AI8" s="76">
        <f t="shared" si="11"/>
        <v>0</v>
      </c>
      <c r="AJ8" s="76" t="str">
        <f t="shared" si="12"/>
        <v>134</v>
      </c>
      <c r="AK8" s="76">
        <f t="shared" si="13"/>
        <v>0</v>
      </c>
      <c r="AL8" s="76">
        <f t="shared" si="14"/>
        <v>0</v>
      </c>
      <c r="AM8" s="76">
        <f t="shared" si="15"/>
        <v>0</v>
      </c>
      <c r="AO8" s="76" t="str">
        <f t="shared" si="16"/>
        <v>143</v>
      </c>
      <c r="AP8" s="76">
        <f t="shared" si="17"/>
        <v>0</v>
      </c>
      <c r="AQ8" s="76">
        <f t="shared" si="18"/>
        <v>0</v>
      </c>
      <c r="AR8" s="76">
        <f t="shared" si="19"/>
        <v>0</v>
      </c>
      <c r="AS8" s="76" t="str">
        <f t="shared" si="20"/>
        <v>134</v>
      </c>
      <c r="AT8" s="76">
        <f t="shared" si="21"/>
        <v>0</v>
      </c>
      <c r="AU8" s="76">
        <f t="shared" si="22"/>
        <v>0</v>
      </c>
      <c r="AV8" s="76">
        <f t="shared" si="23"/>
        <v>0</v>
      </c>
      <c r="AX8" s="76" t="str">
        <f t="shared" si="24"/>
        <v>143</v>
      </c>
      <c r="AY8" s="76">
        <v>0</v>
      </c>
      <c r="AZ8" s="76" t="str">
        <f t="shared" si="25"/>
        <v>134</v>
      </c>
      <c r="BA8" s="76">
        <v>0</v>
      </c>
      <c r="BC8" s="76">
        <f>DQ8</f>
        <v>1</v>
      </c>
      <c r="BD8" s="77" t="str">
        <f>INDEX(T,52,lang)</f>
        <v>Germany</v>
      </c>
      <c r="BE8" s="76">
        <f>COUNTIF($X$7:$Y$42,"=" &amp; BD8 &amp; "_win")</f>
        <v>0</v>
      </c>
      <c r="BF8" s="76">
        <f>COUNTIF($X$7:$Y$42,"=" &amp; BD8 &amp; "_draw")</f>
        <v>0</v>
      </c>
      <c r="BG8" s="76">
        <f>COUNTIF($X$7:$Y$42,"=" &amp; BD8 &amp; "_lose")</f>
        <v>0</v>
      </c>
      <c r="BH8" s="76">
        <f>SUMIF($E$10:$E$45,$BD8,$F$10:$F$45) + SUMIF($H$10:$H$45,$BD8,$G$10:$G$45)</f>
        <v>0</v>
      </c>
      <c r="BI8" s="76">
        <f>SUMIF($E$10:$E$45,$BD8,$G$10:$G$45) + SUMIF($H$10:$H$45,$BD8,$F$10:$F$45)</f>
        <v>0</v>
      </c>
      <c r="BJ8" s="76">
        <f>BM8*10000</f>
        <v>0</v>
      </c>
      <c r="BK8" s="76">
        <f>BH8-BI8</f>
        <v>0</v>
      </c>
      <c r="BL8" s="76">
        <f>(BK8-BK13)/BK12</f>
        <v>0</v>
      </c>
      <c r="BM8" s="76">
        <f>BE8*3+BF8</f>
        <v>0</v>
      </c>
      <c r="BN8" s="76">
        <f>BT8/BT12*10+BU8/BU12+BX8/BX12*0.1+BV8/BV12*0.01</f>
        <v>0</v>
      </c>
      <c r="BO8" s="76">
        <f>RANK(BN8,$BN$8:$BN$11)</f>
        <v>1</v>
      </c>
      <c r="BP8" s="76">
        <f>IF(VLOOKUP(BD8,db_fifarank,2,0)="",MIN(db_fifarank),VLOOKUP(BD8,db_fifarank,2,0))</f>
        <v>85.337999999999994</v>
      </c>
      <c r="BQ8" s="76">
        <f>0.1*((BP8-$BP$44)/$BP$46-(COUNTIF($BP$8:$BP$41,BP8)-1)/(100-ROW(BP8)))</f>
        <v>8.0433930340046214E-2</v>
      </c>
      <c r="BR8" s="77">
        <f>10000000*BM8/BM12+100000*BN8/BN12+100*BL8+10*BH8/BH12+1*BN8/BN12+BQ8</f>
        <v>8.0433930340046214E-2</v>
      </c>
      <c r="BS8" s="77" t="str">
        <f>IF(SUM(BE8:BG11)=12,O9,INDEX(T,70,lang))</f>
        <v>1A</v>
      </c>
      <c r="BT8" s="76">
        <f>SUMPRODUCT(($X$7:$X$42=BD8&amp;"_win")*($Z$7:$Z$42))+SUMPRODUCT(($Y$7:$Y$42=BD8&amp;"_win")*($Z$7:$Z$42))</f>
        <v>0</v>
      </c>
      <c r="BU8" s="76">
        <f>SUMPRODUCT(($X$7:$X$42=BD8&amp;"_draw")*($Z$7:$Z$42))+SUMPRODUCT(($Y$7:$Y$42=BD8&amp;"_draw")*($Z$7:$Z$42))</f>
        <v>0</v>
      </c>
      <c r="BV8" s="76">
        <f>SUMPRODUCT(($E$10:$E$45=BD8)*($Z$7:$Z$42)*($F$10:$F$45))+SUMPRODUCT(($H$10:$H$45=BD8)*($Z$7:$Z$42)*($G$10:$G$45))</f>
        <v>0</v>
      </c>
      <c r="BW8" s="76">
        <f>SUMPRODUCT(($E$10:$E$45=BD8)*($Z$7:$Z$42)*($G$10:$G$45))+SUMPRODUCT(($H$10:$H$45=BD8)*($Z$7:$Z$42)*($F$10:$F$45))</f>
        <v>0</v>
      </c>
      <c r="BX8" s="76">
        <f>BV8-BW8</f>
        <v>0</v>
      </c>
      <c r="BY8" s="77" t="str">
        <f>BD8</f>
        <v>Germany</v>
      </c>
      <c r="BZ8" s="77">
        <v>1</v>
      </c>
      <c r="CA8" s="77">
        <v>1</v>
      </c>
      <c r="CD8" s="76">
        <f>IFERROR(VLOOKUP("112",$AF$7:$AI$42,2,0),0) + IFERROR(VLOOKUP("112",$AJ$7:$AM$42,2,0),0)</f>
        <v>0</v>
      </c>
      <c r="CE8" s="76">
        <f>IFERROR(VLOOKUP("113",$AF$7:$AI$42,2,0),0) + IFERROR(VLOOKUP("113",$AJ$7:$AM$42,2,0),0)</f>
        <v>0</v>
      </c>
      <c r="CF8" s="76">
        <f>IFERROR(VLOOKUP("114",$AF$7:$AI$42,2,0),0) + IFERROR(VLOOKUP("114",$AJ$7:$AM$42,2,0),0)</f>
        <v>0</v>
      </c>
      <c r="CG8" s="77">
        <f>SUM(CC8:CF8)</f>
        <v>0</v>
      </c>
      <c r="CI8" s="76">
        <f>IFERROR(VLOOKUP("112",$AF$7:$AI$42,3,0),0) + IFERROR(VLOOKUP("112",$AJ$7:$AM$42,3,0),0)</f>
        <v>0</v>
      </c>
      <c r="CJ8" s="76">
        <f>IFERROR(VLOOKUP("113",$AF$7:$AI$42,3,0),0) + IFERROR(VLOOKUP("113",$AJ$7:$AM$42,3,0),0)</f>
        <v>0</v>
      </c>
      <c r="CK8" s="76">
        <f>IFERROR(VLOOKUP("114",$AF$7:$AI$42,3,0),0) + IFERROR(VLOOKUP("114",$AJ$7:$AM$42,3,0),0)</f>
        <v>0</v>
      </c>
      <c r="CL8" s="77">
        <f>SUM(CH8:CK8)</f>
        <v>0</v>
      </c>
      <c r="CM8" s="77">
        <f>RANK(CL8,CL8:CL11)</f>
        <v>1</v>
      </c>
      <c r="CO8" s="76">
        <f>IFERROR(VLOOKUP("112",$AF$7:$AI$42,4,0),0) + IFERROR(VLOOKUP("112",$AJ$7:$AM$42,4,0),0)</f>
        <v>0</v>
      </c>
      <c r="CP8" s="76">
        <f>IFERROR(VLOOKUP("113",$AF$7:$AI$42,4,0),0) + IFERROR(VLOOKUP("113",$AJ$7:$AM$42,4,0),0)</f>
        <v>0</v>
      </c>
      <c r="CQ8" s="76">
        <f>IFERROR(VLOOKUP("114",$AF$7:$AI$42,4,0),0) + IFERROR(VLOOKUP("114",$AJ$7:$AM$42,4,0),0)</f>
        <v>0</v>
      </c>
      <c r="CR8" s="77">
        <f>SUM(CN8:CQ8)</f>
        <v>0</v>
      </c>
      <c r="CT8" s="76">
        <f>IF(CD12=CG8,CD8,0)</f>
        <v>0</v>
      </c>
      <c r="CU8" s="76">
        <f>IF(CE12=CG8,CE8,0)</f>
        <v>0</v>
      </c>
      <c r="CV8" s="76">
        <f>IF(CF12=CG8,CF8,0)</f>
        <v>0</v>
      </c>
      <c r="CW8" s="77">
        <f>SUM(CS8:CV8)</f>
        <v>0</v>
      </c>
      <c r="CY8" s="76">
        <f>IF(CD12=CG8,CI8,0)</f>
        <v>0</v>
      </c>
      <c r="CZ8" s="76">
        <f>IF(CE12=CG8,CJ8,0)</f>
        <v>0</v>
      </c>
      <c r="DA8" s="76">
        <f>IF(CF12=CG8,CK8,0)</f>
        <v>0</v>
      </c>
      <c r="DB8" s="77">
        <f>SUM(CX8:DA8)</f>
        <v>0</v>
      </c>
      <c r="DC8" s="77">
        <f>RANK(DB8,DB8:DB11)</f>
        <v>1</v>
      </c>
      <c r="DE8" s="76">
        <f>IF(CD12=CG8,CO8,0)</f>
        <v>0</v>
      </c>
      <c r="DF8" s="76">
        <f>IF(CE12=CG8,CP8,0)</f>
        <v>0</v>
      </c>
      <c r="DG8" s="76">
        <f>IF(CF12=CG8,CQ8,0)</f>
        <v>0</v>
      </c>
      <c r="DH8" s="77">
        <f>SUM(DD8:DG8)</f>
        <v>0</v>
      </c>
      <c r="DI8" s="77">
        <f>CG8*10000+CW8*100+(5-DC8)+DH8/10</f>
        <v>4</v>
      </c>
      <c r="DJ8" s="77">
        <f>RANK(DI8,DI8:DI11)</f>
        <v>1</v>
      </c>
      <c r="DL8" s="76">
        <f>IF(DL12=DJ8,CD8,0)</f>
        <v>0</v>
      </c>
      <c r="DM8" s="76">
        <f>IF(DM12=DJ8,CE8,0)</f>
        <v>0</v>
      </c>
      <c r="DN8" s="76">
        <f>IF(DN12=DJ8,CF8,0)</f>
        <v>0</v>
      </c>
      <c r="DO8" s="77">
        <f>SUM(DK8:DN8)</f>
        <v>0</v>
      </c>
      <c r="DP8" s="77">
        <f>(5-DJ8)*10000+DO8*100+(5-CM8)+CR8/10+(5-DX8)/100+BQ8/10000</f>
        <v>40004.040008043397</v>
      </c>
      <c r="DQ8" s="77">
        <f>RANK(DP8,DP8:DP11)</f>
        <v>1</v>
      </c>
      <c r="DT8" s="76">
        <f>IFERROR(VLOOKUP("112",$AX$7:$AY$42,2,0),0) + IFERROR(VLOOKUP("112",$AZ$7:$BA$42,2,0),0)</f>
        <v>0</v>
      </c>
      <c r="DU8" s="76">
        <f>IFERROR(VLOOKUP("113",$AX$7:$AY$42,2,0),0) + IFERROR(VLOOKUP("113",$AZ$7:$BA$42,2,0),0)</f>
        <v>0</v>
      </c>
      <c r="DV8" s="76">
        <f>IFERROR(VLOOKUP("114",$AX$7:$AY$42,2,0),0) + IFERROR(VLOOKUP("114",$AZ$7:$BA$42,2,0),0)</f>
        <v>0</v>
      </c>
      <c r="DW8" s="77">
        <f>SUM(DS8:DV8)</f>
        <v>0</v>
      </c>
      <c r="DX8" s="77">
        <f>RANK(DW8,DW8:DW11)</f>
        <v>1</v>
      </c>
      <c r="DZ8" s="77" t="str">
        <f>BD8</f>
        <v>Germany</v>
      </c>
      <c r="EA8" s="77">
        <f>EI8*10000+EO8*100+ET8</f>
        <v>100</v>
      </c>
      <c r="EB8" s="76">
        <f>COUNTIF(EA8:EA11,EA8)</f>
        <v>4</v>
      </c>
      <c r="EC8" s="76">
        <f>COUNTIF(CG8:CG11,CG8)</f>
        <v>4</v>
      </c>
      <c r="ED8" s="77">
        <f>IF(AND(EB8&gt;=2,EC8=2),EA8,-EA8-0.4)</f>
        <v>-100.4</v>
      </c>
      <c r="EF8" s="76">
        <f>IFERROR(VLOOKUP("112",$AO$7:$AR$42,2,0),0) + IFERROR(VLOOKUP("112",$AS$7:$AV$42,2,0),0)</f>
        <v>0</v>
      </c>
      <c r="EG8" s="76">
        <f>IFERROR(VLOOKUP("113",$AO$7:$AR$42,2,0),0) + IFERROR(VLOOKUP("113",$AS$7:$AV$42,2,0),0)</f>
        <v>0</v>
      </c>
      <c r="EH8" s="76">
        <f>IFERROR(VLOOKUP("114",$AO$7:$AR$42,2,0),0) + IFERROR(VLOOKUP("114",$AS$7:$AV$42,2,0),0)</f>
        <v>0</v>
      </c>
      <c r="EI8" s="77">
        <f>SUM(EE8:EH8)</f>
        <v>0</v>
      </c>
      <c r="EK8" s="76">
        <f>IFERROR(VLOOKUP("112",$AO$7:$AR$42,3,0),0) + IFERROR(VLOOKUP("112",$AS$7:$AV$42,3,0),0)</f>
        <v>0</v>
      </c>
      <c r="EL8" s="76">
        <f>IFERROR(VLOOKUP("113",$AO$7:$AR$42,3,0),0) + IFERROR(VLOOKUP("113",$AS$7:$AV$42,3,0),0)</f>
        <v>0</v>
      </c>
      <c r="EM8" s="76">
        <f>IFERROR(VLOOKUP("114",$AO$7:$AR$42,3,0),0) + IFERROR(VLOOKUP("114",$AS$7:$AV$42,3,0),0)</f>
        <v>0</v>
      </c>
      <c r="EN8" s="77">
        <f>SUM(EJ8:EM8)</f>
        <v>0</v>
      </c>
      <c r="EO8" s="77">
        <f>RANK(EN8,EN8:EN11)</f>
        <v>1</v>
      </c>
      <c r="EQ8" s="76">
        <f>IFERROR(VLOOKUP("112",$AO$7:$AR$42,4,0),0) + IFERROR(VLOOKUP("112",$AS$7:$AV$42,4,0),0)</f>
        <v>0</v>
      </c>
      <c r="ER8" s="76">
        <f>IFERROR(VLOOKUP("113",$AO$7:$AR$42,4,0),0) + IFERROR(VLOOKUP("113",$AS$7:$AV$42,4,0),0)</f>
        <v>0</v>
      </c>
      <c r="ES8" s="76">
        <f>IFERROR(VLOOKUP("114",$AO$7:$AR$42,4,0),0) + IFERROR(VLOOKUP("114",$AS$7:$AV$42,4,0),0)</f>
        <v>0</v>
      </c>
      <c r="ET8" s="77">
        <f>SUM(EP8:ES8)</f>
        <v>0</v>
      </c>
      <c r="FC8" s="32"/>
      <c r="FD8" s="32"/>
      <c r="FE8" s="32"/>
      <c r="FI8" s="32"/>
      <c r="FJ8" s="32"/>
      <c r="FK8" s="32"/>
      <c r="FL8" s="32"/>
      <c r="FM8" s="32"/>
      <c r="FN8" s="32"/>
      <c r="FO8" s="32"/>
      <c r="FP8" s="32"/>
      <c r="FQ8" s="32"/>
    </row>
    <row r="9" spans="1:173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29"/>
      <c r="M9" s="29"/>
      <c r="O9" s="33" t="str">
        <f>VLOOKUP(1,BC8:BM11,2,0)</f>
        <v>Germany</v>
      </c>
      <c r="P9" s="34">
        <f>Q9+R9+S9</f>
        <v>0</v>
      </c>
      <c r="Q9" s="34">
        <f>VLOOKUP(1,BC8:BM11,3,0)</f>
        <v>0</v>
      </c>
      <c r="R9" s="34">
        <f>VLOOKUP(1,BC8:BM11,4,0)</f>
        <v>0</v>
      </c>
      <c r="S9" s="34">
        <f>VLOOKUP(1,BC8:BM11,5,0)</f>
        <v>0</v>
      </c>
      <c r="T9" s="34" t="str">
        <f>VLOOKUP(1,BC8:BM11,6,0) &amp; " - " &amp; VLOOKUP(1,BC8:BM11,7,0)</f>
        <v>0 - 0</v>
      </c>
      <c r="U9" s="35">
        <f>Q9*3+R9</f>
        <v>0</v>
      </c>
      <c r="W9" s="76">
        <f>DATE(2024,6,15)+TIME(5,0,0)+gmt_delta</f>
        <v>45458.541666666672</v>
      </c>
      <c r="X9" s="78" t="str">
        <f t="shared" si="0"/>
        <v/>
      </c>
      <c r="Y9" s="78" t="str">
        <f t="shared" si="1"/>
        <v/>
      </c>
      <c r="Z9" s="77">
        <f t="shared" si="2"/>
        <v>0</v>
      </c>
      <c r="AA9" s="76">
        <f t="shared" si="3"/>
        <v>0</v>
      </c>
      <c r="AB9" s="76">
        <f t="shared" si="4"/>
        <v>0</v>
      </c>
      <c r="AC9" s="76">
        <f t="shared" si="5"/>
        <v>2</v>
      </c>
      <c r="AD9" s="76">
        <f t="shared" si="6"/>
        <v>1</v>
      </c>
      <c r="AE9" s="76">
        <f t="shared" si="7"/>
        <v>3</v>
      </c>
      <c r="AF9" s="76" t="str">
        <f t="shared" si="8"/>
        <v>213</v>
      </c>
      <c r="AG9" s="76">
        <f t="shared" si="9"/>
        <v>0</v>
      </c>
      <c r="AH9" s="76">
        <f t="shared" si="10"/>
        <v>0</v>
      </c>
      <c r="AI9" s="76">
        <f t="shared" si="11"/>
        <v>0</v>
      </c>
      <c r="AJ9" s="76" t="str">
        <f t="shared" si="12"/>
        <v>231</v>
      </c>
      <c r="AK9" s="76">
        <f t="shared" si="13"/>
        <v>0</v>
      </c>
      <c r="AL9" s="76">
        <f t="shared" si="14"/>
        <v>0</v>
      </c>
      <c r="AM9" s="76">
        <f t="shared" si="15"/>
        <v>0</v>
      </c>
      <c r="AO9" s="76" t="str">
        <f t="shared" si="16"/>
        <v>213</v>
      </c>
      <c r="AP9" s="76">
        <f t="shared" si="17"/>
        <v>0</v>
      </c>
      <c r="AQ9" s="76">
        <f t="shared" si="18"/>
        <v>0</v>
      </c>
      <c r="AR9" s="76">
        <f t="shared" si="19"/>
        <v>0</v>
      </c>
      <c r="AS9" s="76" t="str">
        <f t="shared" si="20"/>
        <v>231</v>
      </c>
      <c r="AT9" s="76">
        <f t="shared" si="21"/>
        <v>0</v>
      </c>
      <c r="AU9" s="76">
        <f t="shared" si="22"/>
        <v>0</v>
      </c>
      <c r="AV9" s="76">
        <f t="shared" si="23"/>
        <v>0</v>
      </c>
      <c r="AX9" s="76" t="str">
        <f t="shared" si="24"/>
        <v>213</v>
      </c>
      <c r="AY9" s="76">
        <v>0</v>
      </c>
      <c r="AZ9" s="76" t="str">
        <f t="shared" si="25"/>
        <v>231</v>
      </c>
      <c r="BA9" s="76">
        <v>0</v>
      </c>
      <c r="BC9" s="76">
        <f>DQ9</f>
        <v>2</v>
      </c>
      <c r="BD9" s="77" t="str">
        <f>INDEX(T,50,lang)</f>
        <v>Scotland</v>
      </c>
      <c r="BE9" s="76">
        <f>COUNTIF($X$7:$Y$42,"=" &amp; BD9 &amp; "_win")</f>
        <v>0</v>
      </c>
      <c r="BF9" s="76">
        <f>COUNTIF($X$7:$Y$42,"=" &amp; BD9 &amp; "_draw")</f>
        <v>0</v>
      </c>
      <c r="BG9" s="76">
        <f>COUNTIF($X$7:$Y$42,"=" &amp; BD9 &amp; "_lose")</f>
        <v>0</v>
      </c>
      <c r="BH9" s="76">
        <f>SUMIF($E$10:$E$45,$BD9,$F$10:$F$45) + SUMIF($H$10:$H$45,$BD9,$G$10:$G$45)</f>
        <v>0</v>
      </c>
      <c r="BI9" s="76">
        <f>SUMIF($E$10:$E$45,$BD9,$G$10:$G$45) + SUMIF($H$10:$H$45,$BD9,$F$10:$F$45)</f>
        <v>0</v>
      </c>
      <c r="BJ9" s="76">
        <f>BM9*10000</f>
        <v>0</v>
      </c>
      <c r="BK9" s="76">
        <f>BH9-BI9</f>
        <v>0</v>
      </c>
      <c r="BL9" s="76">
        <f>(BK9-BK13)/BK12</f>
        <v>0</v>
      </c>
      <c r="BM9" s="76">
        <f>BE9*3+BF9</f>
        <v>0</v>
      </c>
      <c r="BN9" s="76">
        <f>BT9/BT12*10+BU9/BU12+BX9/BX12*0.1+BV9/BV12*0.01</f>
        <v>0</v>
      </c>
      <c r="BO9" s="76">
        <f>RANK(BN9,$BN$8:$BN$11)</f>
        <v>1</v>
      </c>
      <c r="BP9" s="76">
        <f>IF(VLOOKUP(BD9,db_fifarank,2,0)="",MIN(db_fifarank),VLOOKUP(BD9,db_fifarank,2,0))</f>
        <v>36.049999999999997</v>
      </c>
      <c r="BQ9" s="76">
        <f t="shared" ref="BQ9:BQ11" si="26">0.1*((BP9-$BP$44)/$BP$46-(COUNTIF($BP$8:$BP$41,BP9)-1)/(100-ROW(BP9)))</f>
        <v>2.8484913691458752E-2</v>
      </c>
      <c r="BR9" s="77">
        <f>10000000*BM9/BM12+100000*BN9/BN12+100*BL9+10*BH9/BH12+1*BN9/BN12+BQ9</f>
        <v>2.8484913691458752E-2</v>
      </c>
      <c r="BS9" s="77" t="str">
        <f>IF(SUM(BE8:BG11)=12,O10,INDEX(T,71,lang))</f>
        <v>2A</v>
      </c>
      <c r="BT9" s="76">
        <f>SUMPRODUCT(($X$7:$X$42=BD9&amp;"_win")*($Z$7:$Z$42))+SUMPRODUCT(($Y$7:$Y$42=BD9&amp;"_win")*($Z$7:$Z$42))</f>
        <v>0</v>
      </c>
      <c r="BU9" s="76">
        <f>SUMPRODUCT(($X$7:$X$42=BD9&amp;"_draw")*($Z$7:$Z$42))+SUMPRODUCT(($Y$7:$Y$42=BD9&amp;"_draw")*($Z$7:$Z$42))</f>
        <v>0</v>
      </c>
      <c r="BV9" s="76">
        <f>SUMPRODUCT(($E$10:$E$45=BD9)*($Z$7:$Z$42)*($F$10:$F$45))+SUMPRODUCT(($H$10:$H$45=BD9)*($Z$7:$Z$42)*($G$10:$G$45))</f>
        <v>0</v>
      </c>
      <c r="BW9" s="76">
        <f>SUMPRODUCT(($E$10:$E$45=BD9)*($Z$7:$Z$42)*($G$10:$G$45))+SUMPRODUCT(($H$10:$H$45=BD9)*($Z$7:$Z$42)*($F$10:$F$45))</f>
        <v>0</v>
      </c>
      <c r="BX9" s="76">
        <f>BV9-BW9</f>
        <v>0</v>
      </c>
      <c r="BY9" s="77" t="str">
        <f>BD9</f>
        <v>Scotland</v>
      </c>
      <c r="BZ9" s="77">
        <v>1</v>
      </c>
      <c r="CA9" s="77">
        <v>2</v>
      </c>
      <c r="CC9" s="76">
        <f>IFERROR(VLOOKUP("121",$AF$7:$AI$42,2,0),0) + IFERROR(VLOOKUP("121",$AJ$7:$AM$42,2,0),0)</f>
        <v>0</v>
      </c>
      <c r="CE9" s="76">
        <f>IFERROR(VLOOKUP("123",$AF$7:$AI$42,2,0),0) + IFERROR(VLOOKUP("123",$AJ$7:$AM$42,2,0),0)</f>
        <v>0</v>
      </c>
      <c r="CF9" s="76">
        <f>IFERROR(VLOOKUP("124",$AF$7:$AI$42,2,0),0) + IFERROR(VLOOKUP("124",$AJ$7:$AM$42,2,0),0)</f>
        <v>0</v>
      </c>
      <c r="CG9" s="77">
        <f>SUM(CC9:CF9)</f>
        <v>0</v>
      </c>
      <c r="CH9" s="76">
        <f>IFERROR(VLOOKUP("121",$AF$7:$AI$42,3,0),0) + IFERROR(VLOOKUP("121",$AJ$7:$AM$42,3,0),0)</f>
        <v>0</v>
      </c>
      <c r="CJ9" s="76">
        <f>IFERROR(VLOOKUP("123",$AF$7:$AI$42,3,0),0) + IFERROR(VLOOKUP("123",$AJ$7:$AM$42,3,0),0)</f>
        <v>0</v>
      </c>
      <c r="CK9" s="76">
        <f>IFERROR(VLOOKUP("124",$AF$7:$AI$42,3,0),0) + IFERROR(VLOOKUP("124",$AJ$7:$AM$42,3,0),0)</f>
        <v>0</v>
      </c>
      <c r="CL9" s="77">
        <f>SUM(CH9:CK9)</f>
        <v>0</v>
      </c>
      <c r="CM9" s="77">
        <f>RANK(CL9,CL8:CL11)</f>
        <v>1</v>
      </c>
      <c r="CN9" s="76">
        <f>IFERROR(VLOOKUP("121",$AF$7:$AI$42,4,0),0) + IFERROR(VLOOKUP("121",$AJ$7:$AM$42,4,0),0)</f>
        <v>0</v>
      </c>
      <c r="CP9" s="76">
        <f>IFERROR(VLOOKUP("123",$AF$7:$AI$42,4,0),0) + IFERROR(VLOOKUP("123",$AJ$7:$AM$42,4,0),0)</f>
        <v>0</v>
      </c>
      <c r="CQ9" s="76">
        <f>IFERROR(VLOOKUP("124",$AF$7:$AI$42,4,0),0) + IFERROR(VLOOKUP("124",$AJ$7:$AM$42,4,0),0)</f>
        <v>0</v>
      </c>
      <c r="CR9" s="77">
        <f>SUM(CN9:CQ9)</f>
        <v>0</v>
      </c>
      <c r="CS9" s="76">
        <f>IF(CC12=CG9,CC9,0)</f>
        <v>0</v>
      </c>
      <c r="CU9" s="76">
        <f>IF(CE12=CG9,CE9,0)</f>
        <v>0</v>
      </c>
      <c r="CV9" s="76">
        <f>IF(CF12=CG9,CF9,0)</f>
        <v>0</v>
      </c>
      <c r="CW9" s="77">
        <f>SUM(CS9:CV9)</f>
        <v>0</v>
      </c>
      <c r="CX9" s="76">
        <f>IF(CC12=CG9,CH9,0)</f>
        <v>0</v>
      </c>
      <c r="CZ9" s="76">
        <f>IF(CE12=CG9,CJ9,0)</f>
        <v>0</v>
      </c>
      <c r="DA9" s="76">
        <f>IF(CF12=CG9,CK9,0)</f>
        <v>0</v>
      </c>
      <c r="DB9" s="77">
        <f>SUM(CX9:DA9)</f>
        <v>0</v>
      </c>
      <c r="DC9" s="77">
        <f>RANK(DB9,DB8:DB11)</f>
        <v>1</v>
      </c>
      <c r="DD9" s="76">
        <f>IF(CC12=CG9,CN9,0)</f>
        <v>0</v>
      </c>
      <c r="DF9" s="76">
        <f>IF(CE12=CG9,CP9,0)</f>
        <v>0</v>
      </c>
      <c r="DG9" s="76">
        <f>IF(CF12=CG9,CQ9,0)</f>
        <v>0</v>
      </c>
      <c r="DH9" s="77">
        <f>SUM(DD9:DG9)</f>
        <v>0</v>
      </c>
      <c r="DI9" s="77">
        <f>CG9*10000+CW9*100+(5-DC9)+DH9/10</f>
        <v>4</v>
      </c>
      <c r="DJ9" s="77">
        <f>RANK(DI9,DI8:DI11)</f>
        <v>1</v>
      </c>
      <c r="DK9" s="76">
        <f>IF(DK12=DJ9,CC9,0)</f>
        <v>0</v>
      </c>
      <c r="DM9" s="76">
        <f>IF(DM12=DJ9,CE9,0)</f>
        <v>0</v>
      </c>
      <c r="DN9" s="76">
        <f>IF(DN12=DJ9,CF9,0)</f>
        <v>0</v>
      </c>
      <c r="DO9" s="77">
        <f>SUM(DK9:DN9)</f>
        <v>0</v>
      </c>
      <c r="DP9" s="77">
        <f>(5-DJ9)*10000+DO9*100+(5-CM9)+CR9/10+(5-DX9)/100+BQ9/10000</f>
        <v>40004.040002848495</v>
      </c>
      <c r="DQ9" s="77">
        <f>RANK(DP9,DP8:DP11)</f>
        <v>2</v>
      </c>
      <c r="DS9" s="76">
        <f>IFERROR(VLOOKUP("121",$AX$7:$AY$42,2,0),0) + IFERROR(VLOOKUP("121",$AZ$7:$BA$42,2,0),0)</f>
        <v>0</v>
      </c>
      <c r="DU9" s="76">
        <f>IFERROR(VLOOKUP("123",$AX$7:$AY$42,2,0),0) + IFERROR(VLOOKUP("123",$AZ$7:$BA$42,2,0),0)</f>
        <v>0</v>
      </c>
      <c r="DV9" s="76">
        <f>IFERROR(VLOOKUP("124",$AX$7:$AY$42,2,0),0) + IFERROR(VLOOKUP("124",$AZ$7:$BA$42,2,0),0)</f>
        <v>0</v>
      </c>
      <c r="DW9" s="77">
        <f>SUM(DS9:DV9)</f>
        <v>0</v>
      </c>
      <c r="DX9" s="77">
        <f>RANK(DW9,DW8:DW11)</f>
        <v>1</v>
      </c>
      <c r="DZ9" s="77" t="str">
        <f>BD9</f>
        <v>Scotland</v>
      </c>
      <c r="EA9" s="77">
        <f>EI9*10000+EO9*100+ET9</f>
        <v>100</v>
      </c>
      <c r="EB9" s="76">
        <f>COUNTIF(EA8:EA11,EA9)</f>
        <v>4</v>
      </c>
      <c r="EC9" s="76">
        <f>COUNTIF(CG8:CG11,CG9)</f>
        <v>4</v>
      </c>
      <c r="ED9" s="77">
        <f>IF(AND(EB9&gt;=2,EC9=2),EA9,-EA9-0.3)</f>
        <v>-100.3</v>
      </c>
      <c r="EE9" s="76">
        <f>IFERROR(VLOOKUP("121",$AO$7:$AR$42,2,0),0) + IFERROR(VLOOKUP("121",$AS$7:$AV$42,2,0),0)</f>
        <v>0</v>
      </c>
      <c r="EG9" s="76">
        <f>IFERROR(VLOOKUP("123",$AO$7:$AR$42,2,0),0) + IFERROR(VLOOKUP("123",$AS$7:$AV$42,2,0),0)</f>
        <v>0</v>
      </c>
      <c r="EH9" s="76">
        <f>IFERROR(VLOOKUP("124",$AO$7:$AR$42,2,0),0) + IFERROR(VLOOKUP("124",$AS$7:$AV$42,2,0),0)</f>
        <v>0</v>
      </c>
      <c r="EI9" s="77">
        <f>SUM(EE9:EH9)</f>
        <v>0</v>
      </c>
      <c r="EJ9" s="76">
        <f>IFERROR(VLOOKUP("121",$AO$7:$AR$42,3,0),0) + IFERROR(VLOOKUP("121",$AS$7:$AV$42,3,0),0)</f>
        <v>0</v>
      </c>
      <c r="EL9" s="76">
        <f>IFERROR(VLOOKUP("123",$AO$7:$AR$42,3,0),0) + IFERROR(VLOOKUP("123",$AS$7:$AV$42,3,0),0)</f>
        <v>0</v>
      </c>
      <c r="EM9" s="76">
        <f>IFERROR(VLOOKUP("124",$AO$7:$AR$42,3,0),0) + IFERROR(VLOOKUP("124",$AS$7:$AV$42,3,0),0)</f>
        <v>0</v>
      </c>
      <c r="EN9" s="77">
        <f>SUM(EJ9:EM9)</f>
        <v>0</v>
      </c>
      <c r="EO9" s="77">
        <f>RANK(EN9,EN8:EN11)</f>
        <v>1</v>
      </c>
      <c r="EP9" s="76">
        <f>IFERROR(VLOOKUP("121",$AO$7:$AR$42,4,0),0) + IFERROR(VLOOKUP("121",$AS$7:$AV$42,4,0),0)</f>
        <v>0</v>
      </c>
      <c r="ER9" s="76">
        <f>IFERROR(VLOOKUP("123",$AO$7:$AR$42,4,0),0) + IFERROR(VLOOKUP("123",$AS$7:$AV$42,4,0),0)</f>
        <v>0</v>
      </c>
      <c r="ES9" s="76">
        <f>IFERROR(VLOOKUP("124",$AO$7:$AR$42,4,0),0) + IFERROR(VLOOKUP("124",$AS$7:$AV$42,4,0),0)</f>
        <v>0</v>
      </c>
      <c r="ET9" s="77">
        <f>SUM(EP9:ES9)</f>
        <v>0</v>
      </c>
      <c r="EV9" s="75" t="str">
        <f>VLOOKUP(EV10,$Z$46:$AC$53,2,0)</f>
        <v>Jul 1, 2024   16:00</v>
      </c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</row>
    <row r="10" spans="1:173">
      <c r="A10" s="36">
        <v>1</v>
      </c>
      <c r="B10" s="37" t="str">
        <f t="shared" ref="B10:B45" si="27">INDEX(T,18+INT(MOD(W7-1,7)),lang)</f>
        <v>Fri</v>
      </c>
      <c r="C10" s="38" t="str">
        <f t="shared" ref="C10:C45" si="28">INDEX(T,24+MONTH(W7),lang) &amp; " " &amp; DAY(W7) &amp; ", " &amp; YEAR(W7)</f>
        <v>Jun 14, 2024</v>
      </c>
      <c r="D10" s="39">
        <f t="shared" ref="D10:D45" si="29">TIME(HOUR(W7),MINUTE(W7),0)</f>
        <v>0.66666666666666663</v>
      </c>
      <c r="E10" s="40" t="str">
        <f>BD8</f>
        <v>Germany</v>
      </c>
      <c r="F10" s="41"/>
      <c r="G10" s="42"/>
      <c r="H10" s="43" t="str">
        <f>BD9</f>
        <v>Scotland</v>
      </c>
      <c r="I10" s="131" t="str">
        <f>INDEX(T,103,lang)</f>
        <v>Munich</v>
      </c>
      <c r="J10" s="131"/>
      <c r="K10" s="131"/>
      <c r="L10" s="29"/>
      <c r="M10" s="29"/>
      <c r="O10" s="44" t="str">
        <f>VLOOKUP(2,BC8:BM11,2,0)</f>
        <v>Scotland</v>
      </c>
      <c r="P10" s="45">
        <f>Q10+R10+S10</f>
        <v>0</v>
      </c>
      <c r="Q10" s="45">
        <f>VLOOKUP(2,BC8:BM11,3,0)</f>
        <v>0</v>
      </c>
      <c r="R10" s="45">
        <f>VLOOKUP(2,BC8:BM11,4,0)</f>
        <v>0</v>
      </c>
      <c r="S10" s="45">
        <f>VLOOKUP(2,BC8:BM11,5,0)</f>
        <v>0</v>
      </c>
      <c r="T10" s="45" t="str">
        <f>VLOOKUP(2,BC8:BM11,6,0) &amp; " - " &amp; VLOOKUP(2,BC8:BM11,7,0)</f>
        <v>0 - 0</v>
      </c>
      <c r="U10" s="46">
        <f>Q10*3+R10</f>
        <v>0</v>
      </c>
      <c r="W10" s="76">
        <f>DATE(2024,6,15)+TIME(8,0,0)+gmt_delta</f>
        <v>45458.666666666672</v>
      </c>
      <c r="X10" s="78" t="str">
        <f t="shared" si="0"/>
        <v/>
      </c>
      <c r="Y10" s="78" t="str">
        <f t="shared" si="1"/>
        <v/>
      </c>
      <c r="Z10" s="77">
        <f t="shared" si="2"/>
        <v>0</v>
      </c>
      <c r="AA10" s="76">
        <f t="shared" si="3"/>
        <v>0</v>
      </c>
      <c r="AB10" s="76">
        <f t="shared" si="4"/>
        <v>0</v>
      </c>
      <c r="AC10" s="76">
        <f t="shared" si="5"/>
        <v>2</v>
      </c>
      <c r="AD10" s="76">
        <f t="shared" si="6"/>
        <v>2</v>
      </c>
      <c r="AE10" s="76">
        <f t="shared" si="7"/>
        <v>4</v>
      </c>
      <c r="AF10" s="76" t="str">
        <f t="shared" si="8"/>
        <v>224</v>
      </c>
      <c r="AG10" s="76">
        <f t="shared" si="9"/>
        <v>0</v>
      </c>
      <c r="AH10" s="76">
        <f t="shared" si="10"/>
        <v>0</v>
      </c>
      <c r="AI10" s="76">
        <f t="shared" si="11"/>
        <v>0</v>
      </c>
      <c r="AJ10" s="76" t="str">
        <f t="shared" si="12"/>
        <v>242</v>
      </c>
      <c r="AK10" s="76">
        <f t="shared" si="13"/>
        <v>0</v>
      </c>
      <c r="AL10" s="76">
        <f t="shared" si="14"/>
        <v>0</v>
      </c>
      <c r="AM10" s="76">
        <f t="shared" si="15"/>
        <v>0</v>
      </c>
      <c r="AO10" s="76" t="str">
        <f t="shared" si="16"/>
        <v>224</v>
      </c>
      <c r="AP10" s="76">
        <f t="shared" si="17"/>
        <v>0</v>
      </c>
      <c r="AQ10" s="76">
        <f t="shared" si="18"/>
        <v>0</v>
      </c>
      <c r="AR10" s="76">
        <f t="shared" si="19"/>
        <v>0</v>
      </c>
      <c r="AS10" s="76" t="str">
        <f t="shared" si="20"/>
        <v>242</v>
      </c>
      <c r="AT10" s="76">
        <f t="shared" si="21"/>
        <v>0</v>
      </c>
      <c r="AU10" s="76">
        <f t="shared" si="22"/>
        <v>0</v>
      </c>
      <c r="AV10" s="76">
        <f t="shared" si="23"/>
        <v>0</v>
      </c>
      <c r="AX10" s="76" t="str">
        <f t="shared" si="24"/>
        <v>224</v>
      </c>
      <c r="AY10" s="76">
        <v>0</v>
      </c>
      <c r="AZ10" s="76" t="str">
        <f t="shared" si="25"/>
        <v>242</v>
      </c>
      <c r="BA10" s="76">
        <v>0</v>
      </c>
      <c r="BC10" s="76">
        <f>DQ10</f>
        <v>3</v>
      </c>
      <c r="BD10" s="77" t="str">
        <f>INDEX(T,57,lang)</f>
        <v>Switzerland</v>
      </c>
      <c r="BE10" s="76">
        <f>COUNTIF($X$7:$Y$42,"=" &amp; BD10 &amp; "_win")</f>
        <v>0</v>
      </c>
      <c r="BF10" s="76">
        <f>COUNTIF($X$7:$Y$42,"=" &amp; BD10 &amp; "_draw")</f>
        <v>0</v>
      </c>
      <c r="BG10" s="76">
        <f>COUNTIF($X$7:$Y$42,"=" &amp; BD10 &amp; "_lose")</f>
        <v>0</v>
      </c>
      <c r="BH10" s="76">
        <f>SUMIF($E$10:$E$45,$BD10,$F$10:$F$45) + SUMIF($H$10:$H$45,$BD10,$G$10:$G$45)</f>
        <v>0</v>
      </c>
      <c r="BI10" s="76">
        <f>SUMIF($E$10:$E$45,$BD10,$G$10:$G$45) + SUMIF($H$10:$H$45,$BD10,$F$10:$F$45)</f>
        <v>0</v>
      </c>
      <c r="BJ10" s="76">
        <f>BM10*10000</f>
        <v>0</v>
      </c>
      <c r="BK10" s="76">
        <f>BH10-BI10</f>
        <v>0</v>
      </c>
      <c r="BL10" s="76">
        <f>(BK10-BK13)/BK12</f>
        <v>0</v>
      </c>
      <c r="BM10" s="76">
        <f>BE10*3+BF10</f>
        <v>0</v>
      </c>
      <c r="BN10" s="76">
        <f>BT10/BT12*10+BU10/BU12+BX10/BX12*0.1+BV10/BV12*0.01</f>
        <v>0</v>
      </c>
      <c r="BO10" s="76">
        <f>RANK(BN10,$BN$8:$BN$11)</f>
        <v>1</v>
      </c>
      <c r="BP10" s="76">
        <f>IF(VLOOKUP(BD10,db_fifarank,2,0)="",MIN(db_fifarank),VLOOKUP(BD10,db_fifarank,2,0))</f>
        <v>32.975000000000001</v>
      </c>
      <c r="BQ10" s="76">
        <f t="shared" si="26"/>
        <v>2.6411356883459892E-2</v>
      </c>
      <c r="BR10" s="77">
        <f>10000000*BM10/BM12+100000*BN10/BN12+100*BL10+10*BH10/BH12+1*BN10/BN12+BQ10</f>
        <v>2.6411356883459892E-2</v>
      </c>
      <c r="BS10" s="77" t="str">
        <f>IF(SUM(BE8:BG11)&gt;0,O11,"3A")</f>
        <v>3A</v>
      </c>
      <c r="BT10" s="76">
        <f>SUMPRODUCT(($X$7:$X$42=BD10&amp;"_win")*($Z$7:$Z$42))+SUMPRODUCT(($Y$7:$Y$42=BD10&amp;"_win")*($Z$7:$Z$42))</f>
        <v>0</v>
      </c>
      <c r="BU10" s="76">
        <f>SUMPRODUCT(($X$7:$X$42=BD10&amp;"_draw")*($Z$7:$Z$42))+SUMPRODUCT(($Y$7:$Y$42=BD10&amp;"_draw")*($Z$7:$Z$42))</f>
        <v>0</v>
      </c>
      <c r="BV10" s="76">
        <f>SUMPRODUCT(($E$10:$E$45=BD10)*($Z$7:$Z$42)*($F$10:$F$45))+SUMPRODUCT(($H$10:$H$45=BD10)*($Z$7:$Z$42)*($G$10:$G$45))</f>
        <v>0</v>
      </c>
      <c r="BW10" s="76">
        <f>SUMPRODUCT(($E$10:$E$45=BD10)*($Z$7:$Z$42)*($G$10:$G$45))+SUMPRODUCT(($H$10:$H$45=BD10)*($Z$7:$Z$42)*($F$10:$F$45))</f>
        <v>0</v>
      </c>
      <c r="BX10" s="76">
        <f>BV10-BW10</f>
        <v>0</v>
      </c>
      <c r="BY10" s="77" t="str">
        <f>BD10</f>
        <v>Switzerland</v>
      </c>
      <c r="BZ10" s="77">
        <v>1</v>
      </c>
      <c r="CA10" s="77">
        <v>3</v>
      </c>
      <c r="CC10" s="76">
        <f>IFERROR(VLOOKUP("131",$AF$7:$AI$42,2,0),0) + IFERROR(VLOOKUP("131",$AJ$7:$AM$42,2,0),0)</f>
        <v>0</v>
      </c>
      <c r="CD10" s="76">
        <f>IFERROR(VLOOKUP("132",$AF$7:$AI$42,2,0),0) + IFERROR(VLOOKUP("132",$AJ$7:$AM$42,2,0),0)</f>
        <v>0</v>
      </c>
      <c r="CF10" s="76">
        <f>IFERROR(VLOOKUP("134",$AF$7:$AI$42,2,0),0) + IFERROR(VLOOKUP("134",$AJ$7:$AM$42,2,0),0)</f>
        <v>0</v>
      </c>
      <c r="CG10" s="77">
        <f>SUM(CC10:CF10)</f>
        <v>0</v>
      </c>
      <c r="CH10" s="76">
        <f>IFERROR(VLOOKUP("131",$AF$7:$AI$42,3,0),0) + IFERROR(VLOOKUP("131",$AJ$7:$AM$42,3,0),0)</f>
        <v>0</v>
      </c>
      <c r="CI10" s="76">
        <f>IFERROR(VLOOKUP("132",$AF$7:$AI$42,3,0),0) + IFERROR(VLOOKUP("132",$AJ$7:$AM$42,3,0),0)</f>
        <v>0</v>
      </c>
      <c r="CK10" s="76">
        <f>IFERROR(VLOOKUP("134",$AF$7:$AI$42,3,0),0) + IFERROR(VLOOKUP("134",$AJ$7:$AM$42,3,0),0)</f>
        <v>0</v>
      </c>
      <c r="CL10" s="77">
        <f>SUM(CH10:CK10)</f>
        <v>0</v>
      </c>
      <c r="CM10" s="77">
        <f>RANK(CL10,CL8:CL11)</f>
        <v>1</v>
      </c>
      <c r="CN10" s="76">
        <f>IFERROR(VLOOKUP("131",$AF$7:$AI$42,4,0),0) + IFERROR(VLOOKUP("131",$AJ$7:$AM$42,4,0),0)</f>
        <v>0</v>
      </c>
      <c r="CO10" s="76">
        <f>IFERROR(VLOOKUP("132",$AF$7:$AI$42,4,0),0) + IFERROR(VLOOKUP("132",$AJ$7:$AM$42,4,0),0)</f>
        <v>0</v>
      </c>
      <c r="CQ10" s="76">
        <f>IFERROR(VLOOKUP("134",$AF$7:$AI$42,4,0),0) + IFERROR(VLOOKUP("134",$AJ$7:$AM$42,4,0),0)</f>
        <v>0</v>
      </c>
      <c r="CR10" s="77">
        <f>SUM(CN10:CQ10)</f>
        <v>0</v>
      </c>
      <c r="CS10" s="76">
        <f>IF(CC12=CG10,CC10,0)</f>
        <v>0</v>
      </c>
      <c r="CT10" s="76">
        <f>IF(CD12=CG10,CD10,0)</f>
        <v>0</v>
      </c>
      <c r="CV10" s="76">
        <f>IF(CF12=CG10,CF10,0)</f>
        <v>0</v>
      </c>
      <c r="CW10" s="77">
        <f>SUM(CS10:CV10)</f>
        <v>0</v>
      </c>
      <c r="CX10" s="76">
        <f>IF(CC12=CG10,CH10,0)</f>
        <v>0</v>
      </c>
      <c r="CY10" s="76">
        <f>IF(CD12=CG10,CI10,0)</f>
        <v>0</v>
      </c>
      <c r="DA10" s="76">
        <f>IF(CF12=CG10,CK10,0)</f>
        <v>0</v>
      </c>
      <c r="DB10" s="77">
        <f>SUM(CX10:DA10)</f>
        <v>0</v>
      </c>
      <c r="DC10" s="77">
        <f>RANK(DB10,DB8:DB11)</f>
        <v>1</v>
      </c>
      <c r="DD10" s="76">
        <f>IF(CC12=CG10,CN10,0)</f>
        <v>0</v>
      </c>
      <c r="DE10" s="76">
        <f>IF(CD12=CG10,CO10,0)</f>
        <v>0</v>
      </c>
      <c r="DG10" s="76">
        <f>IF(CF12=CG10,CQ10,0)</f>
        <v>0</v>
      </c>
      <c r="DH10" s="77">
        <f>SUM(DD10:DG10)</f>
        <v>0</v>
      </c>
      <c r="DI10" s="77">
        <f>CG10*10000+CW10*100+(5-DC10)+DH10/10</f>
        <v>4</v>
      </c>
      <c r="DJ10" s="77">
        <f>RANK(DI10,DI8:DI11)</f>
        <v>1</v>
      </c>
      <c r="DK10" s="76">
        <f>IF(DK12=DJ10,CC10,0)</f>
        <v>0</v>
      </c>
      <c r="DL10" s="76">
        <f>IF(DL12=DJ10,CD10,0)</f>
        <v>0</v>
      </c>
      <c r="DN10" s="76">
        <f>IF(DN12=DJ10,CF10,0)</f>
        <v>0</v>
      </c>
      <c r="DO10" s="77">
        <f>SUM(DK10:DN10)</f>
        <v>0</v>
      </c>
      <c r="DP10" s="77">
        <f>(5-DJ10)*10000+DO10*100+(5-CM10)+CR10/10+(5-DX10)/100+BQ10/10000</f>
        <v>40004.040002641137</v>
      </c>
      <c r="DQ10" s="77">
        <f>RANK(DP10,DP8:DP11)</f>
        <v>3</v>
      </c>
      <c r="DS10" s="76">
        <f>IFERROR(VLOOKUP("131",$AX$7:$AY$42,2,0),0) + IFERROR(VLOOKUP("131",$AZ$7:$BA$42,2,0),0)</f>
        <v>0</v>
      </c>
      <c r="DT10" s="76">
        <f>IFERROR(VLOOKUP("132",$AX$7:$AY$42,2,0),0) + IFERROR(VLOOKUP("132",$AZ$7:$BA$42,2,0),0)</f>
        <v>0</v>
      </c>
      <c r="DV10" s="76">
        <f>IFERROR(VLOOKUP("134",$AX$7:$AY$42,2,0),0) + IFERROR(VLOOKUP("134",$AZ$7:$BA$42,2,0),0)</f>
        <v>0</v>
      </c>
      <c r="DW10" s="77">
        <f>SUM(DS10:DV10)</f>
        <v>0</v>
      </c>
      <c r="DX10" s="77">
        <f>RANK(DW10,DW8:DW11)</f>
        <v>1</v>
      </c>
      <c r="DZ10" s="77" t="str">
        <f>BD10</f>
        <v>Switzerland</v>
      </c>
      <c r="EA10" s="77">
        <f>EI10*10000+EO10*100+ET10</f>
        <v>100</v>
      </c>
      <c r="EB10" s="76">
        <f>COUNTIF(EA8:EA11,EA10)</f>
        <v>4</v>
      </c>
      <c r="EC10" s="76">
        <f>COUNTIF(CG8:CG11,CG10)</f>
        <v>4</v>
      </c>
      <c r="ED10" s="77">
        <f>IF(AND(EB10&gt;=2,EC10=2),EA10,-EA10-0.2)</f>
        <v>-100.2</v>
      </c>
      <c r="EE10" s="76">
        <f>IFERROR(VLOOKUP("131",$AO$7:$AR$42,2,0),0) + IFERROR(VLOOKUP("131",$AS$7:$AV$42,2,0),0)</f>
        <v>0</v>
      </c>
      <c r="EF10" s="76">
        <f>IFERROR(VLOOKUP("132",$AO$7:$AR$42,2,0),0) + IFERROR(VLOOKUP("132",$AS$7:$AV$42,2,0),0)</f>
        <v>0</v>
      </c>
      <c r="EH10" s="76">
        <f>IFERROR(VLOOKUP("134",$AO$7:$AR$42,2,0),0) + IFERROR(VLOOKUP("134",$AS$7:$AV$42,2,0),0)</f>
        <v>0</v>
      </c>
      <c r="EI10" s="77">
        <f>SUM(EE10:EH10)</f>
        <v>0</v>
      </c>
      <c r="EJ10" s="76">
        <f>IFERROR(VLOOKUP("131",$AO$7:$AR$42,3,0),0) + IFERROR(VLOOKUP("131",$AS$7:$AV$42,3,0),0)</f>
        <v>0</v>
      </c>
      <c r="EK10" s="76">
        <f>IFERROR(VLOOKUP("132",$AO$7:$AR$42,3,0),0) + IFERROR(VLOOKUP("132",$AS$7:$AV$42,3,0),0)</f>
        <v>0</v>
      </c>
      <c r="EM10" s="76">
        <f>IFERROR(VLOOKUP("134",$AO$7:$AR$42,3,0),0) + IFERROR(VLOOKUP("134",$AS$7:$AV$42,3,0),0)</f>
        <v>0</v>
      </c>
      <c r="EN10" s="77">
        <f>SUM(EJ10:EM10)</f>
        <v>0</v>
      </c>
      <c r="EO10" s="77">
        <f>RANK(EN10,EN8:EN11)</f>
        <v>1</v>
      </c>
      <c r="EP10" s="76">
        <f>IFERROR(VLOOKUP("131",$AO$7:$AR$42,4,0),0) + IFERROR(VLOOKUP("131",$AS$7:$AV$42,4,0),0)</f>
        <v>0</v>
      </c>
      <c r="EQ10" s="76">
        <f>IFERROR(VLOOKUP("132",$AO$7:$AR$42,4,0),0) + IFERROR(VLOOKUP("132",$AS$7:$AV$42,4,0),0)</f>
        <v>0</v>
      </c>
      <c r="ES10" s="76">
        <f>IFERROR(VLOOKUP("134",$AO$7:$AR$42,4,0),0) + IFERROR(VLOOKUP("134",$AS$7:$AV$42,4,0),0)</f>
        <v>0</v>
      </c>
      <c r="ET10" s="77">
        <f>SUM(EP10:ES10)</f>
        <v>0</v>
      </c>
      <c r="EV10" s="132">
        <v>6</v>
      </c>
      <c r="EW10" s="47" t="str">
        <f>VLOOKUP(EV10,$Z$46:$AC$53,3,0)</f>
        <v>1F</v>
      </c>
      <c r="EX10" s="48"/>
      <c r="EY10" s="89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</row>
    <row r="11" spans="1:173">
      <c r="A11" s="49">
        <v>2</v>
      </c>
      <c r="B11" s="50" t="str">
        <f t="shared" si="27"/>
        <v>Sat</v>
      </c>
      <c r="C11" s="51" t="str">
        <f t="shared" si="28"/>
        <v>Jun 15, 2024</v>
      </c>
      <c r="D11" s="52">
        <f t="shared" si="29"/>
        <v>0.41666666666666669</v>
      </c>
      <c r="E11" s="53" t="str">
        <f>BD11</f>
        <v>Hungary</v>
      </c>
      <c r="F11" s="41"/>
      <c r="G11" s="42"/>
      <c r="H11" s="54" t="str">
        <f>BD10</f>
        <v>Switzerland</v>
      </c>
      <c r="I11" s="133" t="str">
        <f>INDEX(T,104,lang)</f>
        <v>Cologne</v>
      </c>
      <c r="J11" s="133"/>
      <c r="K11" s="133"/>
      <c r="L11" s="29"/>
      <c r="M11" s="29"/>
      <c r="O11" s="44" t="str">
        <f>VLOOKUP(3,BC8:BM11,2,0)</f>
        <v>Switzerland</v>
      </c>
      <c r="P11" s="45">
        <f>Q11+R11+S11</f>
        <v>0</v>
      </c>
      <c r="Q11" s="45">
        <f>VLOOKUP(3,BC8:BM11,3,0)</f>
        <v>0</v>
      </c>
      <c r="R11" s="45">
        <f>VLOOKUP(3,BC8:BM11,4,0)</f>
        <v>0</v>
      </c>
      <c r="S11" s="45">
        <f>VLOOKUP(3,BC8:BM11,5,0)</f>
        <v>0</v>
      </c>
      <c r="T11" s="45" t="str">
        <f>VLOOKUP(3,BC8:BM11,6,0) &amp; " - " &amp; VLOOKUP(3,BC8:BM11,7,0)</f>
        <v>0 - 0</v>
      </c>
      <c r="U11" s="46">
        <f>Q11*3+R11</f>
        <v>0</v>
      </c>
      <c r="W11" s="76">
        <f>DATE(2024,6,16)+TIME(2,0,0)+gmt_delta</f>
        <v>45459.416666666672</v>
      </c>
      <c r="X11" s="78" t="str">
        <f t="shared" si="0"/>
        <v/>
      </c>
      <c r="Y11" s="78" t="str">
        <f t="shared" si="1"/>
        <v/>
      </c>
      <c r="Z11" s="77">
        <f t="shared" si="2"/>
        <v>0</v>
      </c>
      <c r="AA11" s="76">
        <f t="shared" si="3"/>
        <v>0</v>
      </c>
      <c r="AB11" s="76">
        <f t="shared" si="4"/>
        <v>0</v>
      </c>
      <c r="AC11" s="76">
        <f t="shared" si="5"/>
        <v>4</v>
      </c>
      <c r="AD11" s="76">
        <f t="shared" si="6"/>
        <v>4</v>
      </c>
      <c r="AE11" s="76">
        <f t="shared" si="7"/>
        <v>2</v>
      </c>
      <c r="AF11" s="76" t="str">
        <f t="shared" si="8"/>
        <v>442</v>
      </c>
      <c r="AG11" s="76">
        <f t="shared" si="9"/>
        <v>0</v>
      </c>
      <c r="AH11" s="76">
        <f t="shared" si="10"/>
        <v>0</v>
      </c>
      <c r="AI11" s="76">
        <f t="shared" si="11"/>
        <v>0</v>
      </c>
      <c r="AJ11" s="76" t="str">
        <f t="shared" si="12"/>
        <v>424</v>
      </c>
      <c r="AK11" s="76">
        <f t="shared" si="13"/>
        <v>0</v>
      </c>
      <c r="AL11" s="76">
        <f t="shared" si="14"/>
        <v>0</v>
      </c>
      <c r="AM11" s="76">
        <f t="shared" si="15"/>
        <v>0</v>
      </c>
      <c r="AO11" s="76" t="str">
        <f t="shared" si="16"/>
        <v>442</v>
      </c>
      <c r="AP11" s="76">
        <f t="shared" si="17"/>
        <v>0</v>
      </c>
      <c r="AQ11" s="76">
        <f t="shared" si="18"/>
        <v>0</v>
      </c>
      <c r="AR11" s="76">
        <f t="shared" si="19"/>
        <v>0</v>
      </c>
      <c r="AS11" s="76" t="str">
        <f t="shared" si="20"/>
        <v>424</v>
      </c>
      <c r="AT11" s="76">
        <f t="shared" si="21"/>
        <v>0</v>
      </c>
      <c r="AU11" s="76">
        <f t="shared" si="22"/>
        <v>0</v>
      </c>
      <c r="AV11" s="76">
        <f t="shared" si="23"/>
        <v>0</v>
      </c>
      <c r="AX11" s="76" t="str">
        <f t="shared" si="24"/>
        <v>442</v>
      </c>
      <c r="AY11" s="76">
        <v>0</v>
      </c>
      <c r="AZ11" s="76" t="str">
        <f t="shared" si="25"/>
        <v>424</v>
      </c>
      <c r="BA11" s="76">
        <v>0</v>
      </c>
      <c r="BC11" s="76">
        <f>DQ11</f>
        <v>4</v>
      </c>
      <c r="BD11" s="77" t="str">
        <f>INDEX(T,43,lang)</f>
        <v>Hungary</v>
      </c>
      <c r="BE11" s="76">
        <f>COUNTIF($X$7:$Y$42,"=" &amp; BD11 &amp; "_win")</f>
        <v>0</v>
      </c>
      <c r="BF11" s="76">
        <f>COUNTIF($X$7:$Y$42,"=" &amp; BD11 &amp; "_draw")</f>
        <v>0</v>
      </c>
      <c r="BG11" s="76">
        <f>COUNTIF($X$7:$Y$42,"=" &amp; BD11 &amp; "_lose")</f>
        <v>0</v>
      </c>
      <c r="BH11" s="76">
        <f>SUMIF($E$10:$E$45,$BD11,$F$10:$F$45) + SUMIF($H$10:$H$45,$BD11,$G$10:$G$45)</f>
        <v>0</v>
      </c>
      <c r="BI11" s="76">
        <f>SUMIF($E$10:$E$45,$BD11,$G$10:$G$45) + SUMIF($H$10:$H$45,$BD11,$F$10:$F$45)</f>
        <v>0</v>
      </c>
      <c r="BJ11" s="76">
        <f>BM11*10000</f>
        <v>0</v>
      </c>
      <c r="BK11" s="76">
        <f>BH11-BI11</f>
        <v>0</v>
      </c>
      <c r="BL11" s="76">
        <f>(BK11-BK13)/BK12</f>
        <v>0</v>
      </c>
      <c r="BM11" s="76">
        <f>BE11*3+BF11</f>
        <v>0</v>
      </c>
      <c r="BN11" s="76">
        <f>BT11/BT12*10+BU11/BU12+BX11/BX12*0.1+BV11/BV12*0.01</f>
        <v>0</v>
      </c>
      <c r="BO11" s="76">
        <f>RANK(BN11,$BN$8:$BN$11)</f>
        <v>1</v>
      </c>
      <c r="BP11" s="76">
        <f>IF(VLOOKUP(BD11,db_fifarank,2,0)="",MIN(db_fifarank),VLOOKUP(BD11,db_fifarank,2,0))</f>
        <v>21.875</v>
      </c>
      <c r="BQ11" s="76">
        <f t="shared" si="26"/>
        <v>1.4959557609772203E-2</v>
      </c>
      <c r="BR11" s="77">
        <f>10000000*BM11/BM12+100000*BN11/BN12+100*BL11+10*BH11/BH12+1*BN11/BN12+BQ11</f>
        <v>1.4959557609772203E-2</v>
      </c>
      <c r="BT11" s="76">
        <f>SUMPRODUCT(($X$7:$X$42=BD11&amp;"_win")*($Z$7:$Z$42))+SUMPRODUCT(($Y$7:$Y$42=BD11&amp;"_win")*($Z$7:$Z$42))</f>
        <v>0</v>
      </c>
      <c r="BU11" s="76">
        <f>SUMPRODUCT(($X$7:$X$42=BD11&amp;"_draw")*($Z$7:$Z$42))+SUMPRODUCT(($Y$7:$Y$42=BD11&amp;"_draw")*($Z$7:$Z$42))</f>
        <v>0</v>
      </c>
      <c r="BV11" s="76">
        <f>SUMPRODUCT(($E$10:$E$45=BD11)*($Z$7:$Z$42)*($F$10:$F$45))+SUMPRODUCT(($H$10:$H$45=BD11)*($Z$7:$Z$42)*($G$10:$G$45))</f>
        <v>0</v>
      </c>
      <c r="BW11" s="76">
        <f>SUMPRODUCT(($E$10:$E$45=BD11)*($Z$7:$Z$42)*($G$10:$G$45))+SUMPRODUCT(($H$10:$H$45=BD11)*($Z$7:$Z$42)*($F$10:$F$45))</f>
        <v>0</v>
      </c>
      <c r="BX11" s="76">
        <f>BV11-BW11</f>
        <v>0</v>
      </c>
      <c r="BY11" s="77" t="str">
        <f>BD11</f>
        <v>Hungary</v>
      </c>
      <c r="BZ11" s="77">
        <v>1</v>
      </c>
      <c r="CA11" s="77">
        <v>4</v>
      </c>
      <c r="CC11" s="76">
        <f>IFERROR(VLOOKUP("141",$AF$7:$AI$42,2,0),0) + IFERROR(VLOOKUP("141",$AJ$7:$AM$42,2,0),0)</f>
        <v>0</v>
      </c>
      <c r="CD11" s="76">
        <f>IFERROR(VLOOKUP("142",$AF$7:$AI$42,2,0),0) + IFERROR(VLOOKUP("142",$AJ$7:$AM$42,2,0),0)</f>
        <v>0</v>
      </c>
      <c r="CE11" s="76">
        <f>IFERROR(VLOOKUP("143",$AF$7:$AI$42,2,0),0) + IFERROR(VLOOKUP("143",$AJ$7:$AM$42,2,0),0)</f>
        <v>0</v>
      </c>
      <c r="CG11" s="77">
        <f>SUM(CC11:CF11)</f>
        <v>0</v>
      </c>
      <c r="CH11" s="76">
        <f>IFERROR(VLOOKUP("141",$AF$7:$AI$42,3,0),0) + IFERROR(VLOOKUP("141",$AJ$7:$AM$42,3,0),0)</f>
        <v>0</v>
      </c>
      <c r="CI11" s="76">
        <f>IFERROR(VLOOKUP("142",$AF$7:$AI$42,3,0),0) + IFERROR(VLOOKUP("142",$AJ$7:$AM$42,3,0),0)</f>
        <v>0</v>
      </c>
      <c r="CJ11" s="76">
        <f>IFERROR(VLOOKUP("143",$AF$7:$AI$42,3,0),0) + IFERROR(VLOOKUP("143",$AJ$7:$AM$42,3,0),0)</f>
        <v>0</v>
      </c>
      <c r="CL11" s="77">
        <f>SUM(CH11:CK11)</f>
        <v>0</v>
      </c>
      <c r="CM11" s="77">
        <f>RANK(CL11,CL8:CL11)</f>
        <v>1</v>
      </c>
      <c r="CN11" s="76">
        <f>IFERROR(VLOOKUP("141",$AF$7:$AI$42,4,0),0) + IFERROR(VLOOKUP("141",$AJ$7:$AM$42,4,0),0)</f>
        <v>0</v>
      </c>
      <c r="CO11" s="76">
        <f>IFERROR(VLOOKUP("142",$AF$7:$AI$42,4,0),0) + IFERROR(VLOOKUP("142",$AJ$7:$AM$42,4,0),0)</f>
        <v>0</v>
      </c>
      <c r="CP11" s="76">
        <f>IFERROR(VLOOKUP("143",$AF$7:$AI$42,4,0),0) + IFERROR(VLOOKUP("143",$AJ$7:$AM$42,4,0),0)</f>
        <v>0</v>
      </c>
      <c r="CR11" s="77">
        <f>SUM(CN11:CQ11)</f>
        <v>0</v>
      </c>
      <c r="CS11" s="76">
        <f>IF(CC12=CG11,CC11,0)</f>
        <v>0</v>
      </c>
      <c r="CT11" s="76">
        <f>IF(CD12=CG11,CD11,0)</f>
        <v>0</v>
      </c>
      <c r="CU11" s="76">
        <f>IF(CE12=CG11,CE11,0)</f>
        <v>0</v>
      </c>
      <c r="CW11" s="77">
        <f>SUM(CS11:CV11)</f>
        <v>0</v>
      </c>
      <c r="CX11" s="76">
        <f>IF(CC12=CG11,CH11,0)</f>
        <v>0</v>
      </c>
      <c r="CY11" s="76">
        <f>IF(CD12=CG11,CI11,0)</f>
        <v>0</v>
      </c>
      <c r="CZ11" s="76">
        <f>IF(CE12=CG11,CJ11,0)</f>
        <v>0</v>
      </c>
      <c r="DB11" s="77">
        <f>SUM(CX11:DA11)</f>
        <v>0</v>
      </c>
      <c r="DC11" s="77">
        <f>RANK(DB11,DB8:DB11)</f>
        <v>1</v>
      </c>
      <c r="DD11" s="76">
        <f>IF(CC12=CG11,CN11,0)</f>
        <v>0</v>
      </c>
      <c r="DE11" s="76">
        <f>IF(CD12=CG11,CO11,0)</f>
        <v>0</v>
      </c>
      <c r="DF11" s="76">
        <f>IF(CE12=CG11,CP11,0)</f>
        <v>0</v>
      </c>
      <c r="DH11" s="77">
        <f>SUM(DD11:DG11)</f>
        <v>0</v>
      </c>
      <c r="DI11" s="77">
        <f>CG11*10000+CW11*100+(5-DC11)+DH11/10</f>
        <v>4</v>
      </c>
      <c r="DJ11" s="77">
        <f>RANK(DI11,DI8:DI11)</f>
        <v>1</v>
      </c>
      <c r="DK11" s="76">
        <f>IF(DK12=DJ11,CC11,0)</f>
        <v>0</v>
      </c>
      <c r="DL11" s="76">
        <f>IF(DL12=DJ11,CD11,0)</f>
        <v>0</v>
      </c>
      <c r="DM11" s="76">
        <f>IF(DM12=DJ11,CE11,0)</f>
        <v>0</v>
      </c>
      <c r="DO11" s="77">
        <f>SUM(DK11:DN11)</f>
        <v>0</v>
      </c>
      <c r="DP11" s="77">
        <f>(5-DJ11)*10000+DO11*100+(5-CM11)+CR11/10+(5-DX11)/100+BQ11/10000</f>
        <v>40004.04000149596</v>
      </c>
      <c r="DQ11" s="77">
        <f>RANK(DP11,DP8:DP11)</f>
        <v>4</v>
      </c>
      <c r="DS11" s="76">
        <f>IFERROR(VLOOKUP("141",$AX$7:$AY$42,2,0),0) + IFERROR(VLOOKUP("141",$AZ$7:$BA$42,2,0),0)</f>
        <v>0</v>
      </c>
      <c r="DT11" s="76">
        <f>IFERROR(VLOOKUP("142",$AX$7:$AY$42,2,0),0) + IFERROR(VLOOKUP("142",$AZ$7:$BA$42,2,0),0)</f>
        <v>0</v>
      </c>
      <c r="DU11" s="76">
        <f>IFERROR(VLOOKUP("143",$AX$7:$AY$42,2,0),0) + IFERROR(VLOOKUP("143",$AZ$7:$BA$42,2,0),0)</f>
        <v>0</v>
      </c>
      <c r="DW11" s="77">
        <f>SUM(DS11:DV11)</f>
        <v>0</v>
      </c>
      <c r="DX11" s="77">
        <f>RANK(DW11,DW8:DW11)</f>
        <v>1</v>
      </c>
      <c r="DZ11" s="77" t="str">
        <f>BD11</f>
        <v>Hungary</v>
      </c>
      <c r="EA11" s="77">
        <f>EI11*10000+EO11*100+ET11</f>
        <v>100</v>
      </c>
      <c r="EB11" s="76">
        <f>COUNTIF(EA8:EA11,EA11)</f>
        <v>4</v>
      </c>
      <c r="EC11" s="76">
        <f>COUNTIF(CG8:CG11,CG11)</f>
        <v>4</v>
      </c>
      <c r="ED11" s="77">
        <f>IF(AND(EB11&gt;=2,EC11=2),EA11,-EA11-0.1)</f>
        <v>-100.1</v>
      </c>
      <c r="EE11" s="76">
        <f>IFERROR(VLOOKUP("141",$AO$7:$AR$42,2,0),0) + IFERROR(VLOOKUP("141",$AS$7:$AV$42,2,0),0)</f>
        <v>0</v>
      </c>
      <c r="EF11" s="76">
        <f>IFERROR(VLOOKUP("142",$AO$7:$AR$42,2,0),0) + IFERROR(VLOOKUP("142",$AS$7:$AV$42,2,0),0)</f>
        <v>0</v>
      </c>
      <c r="EG11" s="76">
        <f>IFERROR(VLOOKUP("143",$AO$7:$AR$42,2,0),0) + IFERROR(VLOOKUP("143",$AS$7:$AV$42,2,0),0)</f>
        <v>0</v>
      </c>
      <c r="EI11" s="77">
        <f>SUM(EE11:EH11)</f>
        <v>0</v>
      </c>
      <c r="EJ11" s="76">
        <f>IFERROR(VLOOKUP("141",$AO$7:$AR$42,3,0),0) + IFERROR(VLOOKUP("141",$AS$7:$AV$42,3,0),0)</f>
        <v>0</v>
      </c>
      <c r="EK11" s="76">
        <f>IFERROR(VLOOKUP("142",$AO$7:$AR$42,3,0),0) + IFERROR(VLOOKUP("142",$AS$7:$AV$42,3,0),0)</f>
        <v>0</v>
      </c>
      <c r="EL11" s="76">
        <f>IFERROR(VLOOKUP("143",$AO$7:$AR$42,3,0),0) + IFERROR(VLOOKUP("143",$AS$7:$AV$42,3,0),0)</f>
        <v>0</v>
      </c>
      <c r="EN11" s="77">
        <f>SUM(EJ11:EM11)</f>
        <v>0</v>
      </c>
      <c r="EO11" s="77">
        <f>RANK(EN11,EN8:EN11)</f>
        <v>1</v>
      </c>
      <c r="EP11" s="76">
        <f>IFERROR(VLOOKUP("141",$AO$7:$AR$42,4,0),0) + IFERROR(VLOOKUP("141",$AS$7:$AV$42,4,0),0)</f>
        <v>0</v>
      </c>
      <c r="EQ11" s="76">
        <f>IFERROR(VLOOKUP("142",$AO$7:$AR$42,4,0),0) + IFERROR(VLOOKUP("142",$AS$7:$AV$42,4,0),0)</f>
        <v>0</v>
      </c>
      <c r="ER11" s="76">
        <f>IFERROR(VLOOKUP("143",$AO$7:$AR$42,4,0),0) + IFERROR(VLOOKUP("143",$AS$7:$AV$42,4,0),0)</f>
        <v>0</v>
      </c>
      <c r="ET11" s="77">
        <f>SUM(EP11:ES11)</f>
        <v>0</v>
      </c>
      <c r="EV11" s="132"/>
      <c r="EW11" s="55" t="str">
        <f>VLOOKUP(EV10,$Z$46:$AC$53,4,0)</f>
        <v>3C</v>
      </c>
      <c r="EX11" s="56"/>
      <c r="EY11" s="57"/>
      <c r="EZ11" s="58"/>
      <c r="FA11" s="32"/>
      <c r="FB11" s="32" t="str">
        <f>INDEX(T,24+MONTH(W57),lang) &amp; " " &amp; DAY(W57) &amp; ", " &amp; YEAR(W57) &amp; "   " &amp; TEXT(HOUR(W57),"00") &amp; ":" &amp; TEXT(MINUTE(W57),"00")</f>
        <v>Jul 5, 2024   16:00</v>
      </c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</row>
    <row r="12" spans="1:173">
      <c r="A12" s="49">
        <v>3</v>
      </c>
      <c r="B12" s="50" t="str">
        <f t="shared" si="27"/>
        <v>Sat</v>
      </c>
      <c r="C12" s="51" t="str">
        <f t="shared" si="28"/>
        <v>Jun 15, 2024</v>
      </c>
      <c r="D12" s="52">
        <f t="shared" si="29"/>
        <v>0.54166666666666663</v>
      </c>
      <c r="E12" s="53" t="str">
        <f>BD14</f>
        <v>Spain</v>
      </c>
      <c r="F12" s="41"/>
      <c r="G12" s="42"/>
      <c r="H12" s="54" t="str">
        <f>BD16</f>
        <v>Croatia</v>
      </c>
      <c r="I12" s="133" t="str">
        <f>INDEX(T,107,lang)</f>
        <v>Berlin</v>
      </c>
      <c r="J12" s="133"/>
      <c r="K12" s="133"/>
      <c r="L12" s="29"/>
      <c r="M12" s="29"/>
      <c r="O12" s="59" t="str">
        <f>VLOOKUP(4,BC8:BM11,2,0)</f>
        <v>Hungary</v>
      </c>
      <c r="P12" s="60">
        <f>Q12+R12+S12</f>
        <v>0</v>
      </c>
      <c r="Q12" s="60">
        <f>VLOOKUP(4,BC8:BM11,3,0)</f>
        <v>0</v>
      </c>
      <c r="R12" s="60">
        <f>VLOOKUP(4,BC8:BM11,4,0)</f>
        <v>0</v>
      </c>
      <c r="S12" s="60">
        <f>VLOOKUP(4,BC8:BM11,5,0)</f>
        <v>0</v>
      </c>
      <c r="T12" s="60" t="str">
        <f>VLOOKUP(4,BC8:BM11,6,0) &amp; " - " &amp; VLOOKUP(4,BC8:BM11,7,0)</f>
        <v>0 - 0</v>
      </c>
      <c r="U12" s="61">
        <f>Q12*3+R12</f>
        <v>0</v>
      </c>
      <c r="W12" s="76">
        <f>DATE(2024,6,16)+TIME(5,0,0)+gmt_delta</f>
        <v>45459.541666666672</v>
      </c>
      <c r="X12" s="78" t="str">
        <f t="shared" si="0"/>
        <v/>
      </c>
      <c r="Y12" s="78" t="str">
        <f t="shared" si="1"/>
        <v/>
      </c>
      <c r="Z12" s="77">
        <f t="shared" si="2"/>
        <v>0</v>
      </c>
      <c r="AA12" s="76">
        <f t="shared" si="3"/>
        <v>0</v>
      </c>
      <c r="AB12" s="76">
        <f t="shared" si="4"/>
        <v>0</v>
      </c>
      <c r="AC12" s="76">
        <f t="shared" si="5"/>
        <v>3</v>
      </c>
      <c r="AD12" s="76">
        <f t="shared" si="6"/>
        <v>4</v>
      </c>
      <c r="AE12" s="76">
        <f t="shared" si="7"/>
        <v>2</v>
      </c>
      <c r="AF12" s="76" t="str">
        <f t="shared" si="8"/>
        <v>342</v>
      </c>
      <c r="AG12" s="76">
        <f t="shared" si="9"/>
        <v>0</v>
      </c>
      <c r="AH12" s="76">
        <f t="shared" si="10"/>
        <v>0</v>
      </c>
      <c r="AI12" s="76">
        <f t="shared" si="11"/>
        <v>0</v>
      </c>
      <c r="AJ12" s="76" t="str">
        <f t="shared" si="12"/>
        <v>324</v>
      </c>
      <c r="AK12" s="76">
        <f t="shared" si="13"/>
        <v>0</v>
      </c>
      <c r="AL12" s="76">
        <f t="shared" si="14"/>
        <v>0</v>
      </c>
      <c r="AM12" s="76">
        <f t="shared" si="15"/>
        <v>0</v>
      </c>
      <c r="AO12" s="76" t="str">
        <f t="shared" si="16"/>
        <v>342</v>
      </c>
      <c r="AP12" s="76">
        <f t="shared" si="17"/>
        <v>0</v>
      </c>
      <c r="AQ12" s="76">
        <f t="shared" si="18"/>
        <v>0</v>
      </c>
      <c r="AR12" s="76">
        <f t="shared" si="19"/>
        <v>0</v>
      </c>
      <c r="AS12" s="76" t="str">
        <f t="shared" si="20"/>
        <v>324</v>
      </c>
      <c r="AT12" s="76">
        <f t="shared" si="21"/>
        <v>0</v>
      </c>
      <c r="AU12" s="76">
        <f t="shared" si="22"/>
        <v>0</v>
      </c>
      <c r="AV12" s="76">
        <f t="shared" si="23"/>
        <v>0</v>
      </c>
      <c r="AX12" s="76" t="str">
        <f t="shared" si="24"/>
        <v>342</v>
      </c>
      <c r="AY12" s="76">
        <v>0</v>
      </c>
      <c r="AZ12" s="76" t="str">
        <f t="shared" si="25"/>
        <v>324</v>
      </c>
      <c r="BA12" s="76">
        <v>0</v>
      </c>
      <c r="BE12" s="76">
        <f>MAX(BE8:BE11)-MIN(BE8:BE11)+1</f>
        <v>1</v>
      </c>
      <c r="BF12" s="76">
        <f>MAX(BF8:BF11)-MIN(BF8:BF11)+1</f>
        <v>1</v>
      </c>
      <c r="BG12" s="76">
        <f>MAX(BG8:BG11)-MIN(BG8:BG11)+1</f>
        <v>1</v>
      </c>
      <c r="BH12" s="76">
        <f>MAX(BH8:BH11)-MIN(BH8:BH11)+1</f>
        <v>1</v>
      </c>
      <c r="BI12" s="76">
        <f>MAX(BI8:BI11)-MIN(BI8:BI11)+1</f>
        <v>1</v>
      </c>
      <c r="BJ12" s="76">
        <f>MAX(BJ8:BJ11)-BJ13+1</f>
        <v>1</v>
      </c>
      <c r="BK12" s="76">
        <f>MAX(BK8:BK11)-BK13+1</f>
        <v>1</v>
      </c>
      <c r="BM12" s="76">
        <f>MAX(BM8:BM11)-MIN(BM8:BM11)+1</f>
        <v>1</v>
      </c>
      <c r="BN12" s="76">
        <f>MAX(BN8:BN11)-MIN(BN8:BN11)+1</f>
        <v>1</v>
      </c>
      <c r="BT12" s="76">
        <f>MAX(BT8:BT11)-MIN(BT8:BT11)+1</f>
        <v>1</v>
      </c>
      <c r="BU12" s="76">
        <f>MAX(BU8:BU11)-MIN(BU8:BU11)+1</f>
        <v>1</v>
      </c>
      <c r="BV12" s="76">
        <f>MAX(BV8:BV11)-MIN(BV8:BV11)+1</f>
        <v>1</v>
      </c>
      <c r="BW12" s="76">
        <f>MAX(BW8:BW11)-MIN(BW8:BW11)+1</f>
        <v>1</v>
      </c>
      <c r="BX12" s="76">
        <f>MAX(BX8:BX11)-MIN(BX8:BX11)+1</f>
        <v>1</v>
      </c>
      <c r="BY12" s="77" t="str">
        <f>BD14</f>
        <v>Spain</v>
      </c>
      <c r="BZ12" s="77">
        <v>2</v>
      </c>
      <c r="CA12" s="77">
        <v>1</v>
      </c>
      <c r="CC12" s="76">
        <f>CG8</f>
        <v>0</v>
      </c>
      <c r="CD12" s="76">
        <f>CG9</f>
        <v>0</v>
      </c>
      <c r="CE12" s="76">
        <f>CG10</f>
        <v>0</v>
      </c>
      <c r="CF12" s="76">
        <f>CG11</f>
        <v>0</v>
      </c>
      <c r="DK12" s="76">
        <f>DJ8</f>
        <v>1</v>
      </c>
      <c r="DL12" s="76">
        <f>DJ9</f>
        <v>1</v>
      </c>
      <c r="DM12" s="76">
        <f>DJ10</f>
        <v>1</v>
      </c>
      <c r="DN12" s="76">
        <f>DJ11</f>
        <v>1</v>
      </c>
      <c r="DO12" s="77">
        <f>SUM(DK12:DN12)</f>
        <v>4</v>
      </c>
      <c r="DS12" s="76">
        <f>DW8</f>
        <v>0</v>
      </c>
      <c r="DT12" s="76">
        <f>DW9</f>
        <v>0</v>
      </c>
      <c r="DU12" s="76">
        <f>DW10</f>
        <v>0</v>
      </c>
      <c r="DV12" s="76">
        <f>DW11</f>
        <v>0</v>
      </c>
      <c r="EE12" s="76">
        <f>EI8</f>
        <v>0</v>
      </c>
      <c r="EF12" s="76">
        <f>EI9</f>
        <v>0</v>
      </c>
      <c r="EG12" s="76">
        <f>EI10</f>
        <v>0</v>
      </c>
      <c r="EH12" s="76">
        <f>EI11</f>
        <v>0</v>
      </c>
      <c r="EV12" s="75"/>
      <c r="EW12" s="32"/>
      <c r="EX12" s="32"/>
      <c r="EY12" s="32"/>
      <c r="EZ12" s="62"/>
      <c r="FA12" s="32"/>
      <c r="FB12" s="134"/>
      <c r="FC12" s="47" t="str">
        <f>Y46</f>
        <v>W37</v>
      </c>
      <c r="FD12" s="48"/>
      <c r="FE12" s="89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</row>
    <row r="13" spans="1:173">
      <c r="A13" s="49">
        <v>4</v>
      </c>
      <c r="B13" s="50" t="str">
        <f t="shared" si="27"/>
        <v>Sat</v>
      </c>
      <c r="C13" s="51" t="str">
        <f t="shared" si="28"/>
        <v>Jun 15, 2024</v>
      </c>
      <c r="D13" s="52">
        <f t="shared" si="29"/>
        <v>0.66666666666666663</v>
      </c>
      <c r="E13" s="53" t="str">
        <f>BD15</f>
        <v>Italy</v>
      </c>
      <c r="F13" s="41"/>
      <c r="G13" s="42"/>
      <c r="H13" s="54" t="str">
        <f>BD17</f>
        <v>Albania</v>
      </c>
      <c r="I13" s="133" t="str">
        <f>INDEX(T,108,lang)</f>
        <v>Dortmund</v>
      </c>
      <c r="J13" s="133"/>
      <c r="K13" s="133"/>
      <c r="L13" s="29"/>
      <c r="M13" s="29"/>
      <c r="W13" s="76">
        <f>DATE(2024,6,16)+TIME(8,0,0)+gmt_delta</f>
        <v>45459.666666666672</v>
      </c>
      <c r="X13" s="78" t="str">
        <f t="shared" si="0"/>
        <v/>
      </c>
      <c r="Y13" s="78" t="str">
        <f t="shared" si="1"/>
        <v/>
      </c>
      <c r="Z13" s="77">
        <f t="shared" si="2"/>
        <v>0</v>
      </c>
      <c r="AA13" s="76">
        <f t="shared" si="3"/>
        <v>0</v>
      </c>
      <c r="AB13" s="76">
        <f t="shared" si="4"/>
        <v>0</v>
      </c>
      <c r="AC13" s="76">
        <f t="shared" si="5"/>
        <v>3</v>
      </c>
      <c r="AD13" s="76">
        <f t="shared" si="6"/>
        <v>3</v>
      </c>
      <c r="AE13" s="76">
        <f t="shared" si="7"/>
        <v>1</v>
      </c>
      <c r="AF13" s="76" t="str">
        <f t="shared" si="8"/>
        <v>331</v>
      </c>
      <c r="AG13" s="76">
        <f t="shared" si="9"/>
        <v>0</v>
      </c>
      <c r="AH13" s="76">
        <f t="shared" si="10"/>
        <v>0</v>
      </c>
      <c r="AI13" s="76">
        <f t="shared" si="11"/>
        <v>0</v>
      </c>
      <c r="AJ13" s="76" t="str">
        <f t="shared" si="12"/>
        <v>313</v>
      </c>
      <c r="AK13" s="76">
        <f t="shared" si="13"/>
        <v>0</v>
      </c>
      <c r="AL13" s="76">
        <f t="shared" si="14"/>
        <v>0</v>
      </c>
      <c r="AM13" s="76">
        <f t="shared" si="15"/>
        <v>0</v>
      </c>
      <c r="AO13" s="76" t="str">
        <f t="shared" si="16"/>
        <v>331</v>
      </c>
      <c r="AP13" s="76">
        <f t="shared" si="17"/>
        <v>0</v>
      </c>
      <c r="AQ13" s="76">
        <f t="shared" si="18"/>
        <v>0</v>
      </c>
      <c r="AR13" s="76">
        <f t="shared" si="19"/>
        <v>0</v>
      </c>
      <c r="AS13" s="76" t="str">
        <f t="shared" si="20"/>
        <v>313</v>
      </c>
      <c r="AT13" s="76">
        <f t="shared" si="21"/>
        <v>0</v>
      </c>
      <c r="AU13" s="76">
        <f t="shared" si="22"/>
        <v>0</v>
      </c>
      <c r="AV13" s="76">
        <f t="shared" si="23"/>
        <v>0</v>
      </c>
      <c r="AX13" s="76" t="str">
        <f t="shared" si="24"/>
        <v>331</v>
      </c>
      <c r="AY13" s="76">
        <v>0</v>
      </c>
      <c r="AZ13" s="76" t="str">
        <f t="shared" si="25"/>
        <v>313</v>
      </c>
      <c r="BA13" s="76">
        <v>0</v>
      </c>
      <c r="BJ13" s="76">
        <f>MIN(BJ8:BJ11)</f>
        <v>0</v>
      </c>
      <c r="BK13" s="76">
        <f>MIN(BK8:BK11)</f>
        <v>0</v>
      </c>
      <c r="BY13" s="77" t="str">
        <f>BD15</f>
        <v>Italy</v>
      </c>
      <c r="BZ13" s="77">
        <v>2</v>
      </c>
      <c r="CA13" s="77">
        <v>2</v>
      </c>
      <c r="EV13" s="75" t="str">
        <f>VLOOKUP(EV14,$Z$46:$AC$53,2,0)</f>
        <v>Jul 1, 2024   13:00</v>
      </c>
      <c r="EW13" s="32"/>
      <c r="EX13" s="32"/>
      <c r="EY13" s="32"/>
      <c r="EZ13" s="62"/>
      <c r="FA13" s="63"/>
      <c r="FB13" s="134"/>
      <c r="FC13" s="55" t="str">
        <f>Y47</f>
        <v>W39</v>
      </c>
      <c r="FD13" s="56"/>
      <c r="FE13" s="57"/>
      <c r="FF13" s="58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</row>
    <row r="14" spans="1:173">
      <c r="A14" s="49">
        <v>5</v>
      </c>
      <c r="B14" s="50" t="str">
        <f t="shared" si="27"/>
        <v>Sun</v>
      </c>
      <c r="C14" s="51" t="str">
        <f t="shared" si="28"/>
        <v>Jun 16, 2024</v>
      </c>
      <c r="D14" s="52">
        <f t="shared" si="29"/>
        <v>0.41666666666666669</v>
      </c>
      <c r="E14" s="53" t="str">
        <f>BD29</f>
        <v>Poland</v>
      </c>
      <c r="F14" s="41"/>
      <c r="G14" s="42"/>
      <c r="H14" s="54" t="str">
        <f>BD27</f>
        <v>Netherlands</v>
      </c>
      <c r="I14" s="133" t="str">
        <f>INDEX(T,109,lang)</f>
        <v>Hamburg</v>
      </c>
      <c r="J14" s="133"/>
      <c r="K14" s="133"/>
      <c r="L14" s="29"/>
      <c r="M14" s="29"/>
      <c r="O14" s="30" t="str">
        <f>INDEX(T,9,lang) &amp; " " &amp; "B"</f>
        <v>Group B</v>
      </c>
      <c r="P14" s="31" t="str">
        <f>INDEX(T,10,lang)</f>
        <v>PL</v>
      </c>
      <c r="Q14" s="31" t="str">
        <f>INDEX(T,11,lang)</f>
        <v>W</v>
      </c>
      <c r="R14" s="31" t="str">
        <f>INDEX(T,12,lang)</f>
        <v>DRAW</v>
      </c>
      <c r="S14" s="31" t="str">
        <f>INDEX(T,13,lang)</f>
        <v>L</v>
      </c>
      <c r="T14" s="31" t="str">
        <f>INDEX(T,14,lang)</f>
        <v>GF - GA</v>
      </c>
      <c r="U14" s="31" t="str">
        <f>INDEX(T,15,lang)</f>
        <v>PNT</v>
      </c>
      <c r="W14" s="76">
        <f>DATE(2024,6,17)+TIME(2,0,0)+gmt_delta</f>
        <v>45460.416666666672</v>
      </c>
      <c r="X14" s="78" t="str">
        <f t="shared" si="0"/>
        <v/>
      </c>
      <c r="Y14" s="78" t="str">
        <f t="shared" si="1"/>
        <v/>
      </c>
      <c r="Z14" s="77">
        <f t="shared" si="2"/>
        <v>0</v>
      </c>
      <c r="AA14" s="76">
        <f t="shared" si="3"/>
        <v>0</v>
      </c>
      <c r="AB14" s="76">
        <f t="shared" si="4"/>
        <v>0</v>
      </c>
      <c r="AC14" s="76">
        <f t="shared" si="5"/>
        <v>5</v>
      </c>
      <c r="AD14" s="76">
        <f t="shared" si="6"/>
        <v>3</v>
      </c>
      <c r="AE14" s="76">
        <f t="shared" si="7"/>
        <v>2</v>
      </c>
      <c r="AF14" s="76" t="str">
        <f t="shared" si="8"/>
        <v>532</v>
      </c>
      <c r="AG14" s="76">
        <f t="shared" si="9"/>
        <v>0</v>
      </c>
      <c r="AH14" s="76">
        <f t="shared" si="10"/>
        <v>0</v>
      </c>
      <c r="AI14" s="76">
        <f t="shared" si="11"/>
        <v>0</v>
      </c>
      <c r="AJ14" s="76" t="str">
        <f t="shared" si="12"/>
        <v>523</v>
      </c>
      <c r="AK14" s="76">
        <f t="shared" si="13"/>
        <v>0</v>
      </c>
      <c r="AL14" s="76">
        <f t="shared" si="14"/>
        <v>0</v>
      </c>
      <c r="AM14" s="76">
        <f t="shared" si="15"/>
        <v>0</v>
      </c>
      <c r="AO14" s="76" t="str">
        <f t="shared" si="16"/>
        <v>532</v>
      </c>
      <c r="AP14" s="76">
        <f t="shared" si="17"/>
        <v>0</v>
      </c>
      <c r="AQ14" s="76">
        <f t="shared" si="18"/>
        <v>0</v>
      </c>
      <c r="AR14" s="76">
        <f t="shared" si="19"/>
        <v>0</v>
      </c>
      <c r="AS14" s="76" t="str">
        <f t="shared" si="20"/>
        <v>523</v>
      </c>
      <c r="AT14" s="76">
        <f t="shared" si="21"/>
        <v>0</v>
      </c>
      <c r="AU14" s="76">
        <f t="shared" si="22"/>
        <v>0</v>
      </c>
      <c r="AV14" s="76">
        <f t="shared" si="23"/>
        <v>0</v>
      </c>
      <c r="AX14" s="76" t="str">
        <f t="shared" si="24"/>
        <v>532</v>
      </c>
      <c r="AY14" s="76">
        <v>0</v>
      </c>
      <c r="AZ14" s="76" t="str">
        <f t="shared" si="25"/>
        <v>523</v>
      </c>
      <c r="BA14" s="76">
        <v>0</v>
      </c>
      <c r="BC14" s="76">
        <f>DQ14</f>
        <v>1</v>
      </c>
      <c r="BD14" s="77" t="str">
        <f>INDEX(T,40,lang)</f>
        <v>Spain</v>
      </c>
      <c r="BE14" s="76">
        <f>COUNTIF($X$7:$Y$42,"=" &amp; BD14 &amp; "_win")</f>
        <v>0</v>
      </c>
      <c r="BF14" s="76">
        <f>COUNTIF($X$7:$Y$42,"=" &amp; BD14 &amp; "_draw")</f>
        <v>0</v>
      </c>
      <c r="BG14" s="76">
        <f>COUNTIF($X$7:$Y$42,"=" &amp; BD14 &amp; "_lose")</f>
        <v>0</v>
      </c>
      <c r="BH14" s="76">
        <f>SUMIF($E$10:$E$45,$BD14,$F$10:$F$45) + SUMIF($H$10:$H$45,$BD14,$G$10:$G$45)</f>
        <v>0</v>
      </c>
      <c r="BI14" s="76">
        <f>SUMIF($E$10:$E$45,$BD14,$G$10:$G$45) + SUMIF($H$10:$H$45,$BD14,$F$10:$F$45)</f>
        <v>0</v>
      </c>
      <c r="BJ14" s="76">
        <f>BM14*10000</f>
        <v>0</v>
      </c>
      <c r="BK14" s="76">
        <f>BH14-BI14</f>
        <v>0</v>
      </c>
      <c r="BL14" s="76">
        <f>(BK14-BK19)/BK18</f>
        <v>0</v>
      </c>
      <c r="BM14" s="76">
        <f>BE14*3+BF14</f>
        <v>0</v>
      </c>
      <c r="BN14" s="76">
        <f>BT14/BT18*10+BU14/BU18+BX14/BX18*0.1+BV14/BV18*0.01</f>
        <v>0</v>
      </c>
      <c r="BP14" s="76">
        <f>IF(VLOOKUP(BD14,db_fifarank,2,0)="",MIN(db_fifarank),VLOOKUP(BD14,db_fifarank,2,0))</f>
        <v>88.864000000000004</v>
      </c>
      <c r="BQ14" s="76">
        <f>0.1*((BP14-$BP$44)/$BP$46-(COUNTIF($BP$8:$BP$41,BP14)-1)/(100-ROW(BP14)))</f>
        <v>8.407168207329152E-2</v>
      </c>
      <c r="BR14" s="77">
        <f>10000000*BM14/BM18+100000*BN14/BN18+100*BL14+10*BH14/BH18+1*BN14/BN18+BQ14</f>
        <v>8.407168207329152E-2</v>
      </c>
      <c r="BS14" s="77" t="str">
        <f>IF(SUM(BE14:BG17)=12,O15,INDEX(T,72,lang))</f>
        <v>1B</v>
      </c>
      <c r="BT14" s="76">
        <f>SUMPRODUCT(($X$7:$X$42=BD14&amp;"_win")*($Z$7:$Z$42))+SUMPRODUCT(($Y$7:$Y$42=BD14&amp;"_win")*($Z$7:$Z$42))</f>
        <v>0</v>
      </c>
      <c r="BU14" s="76">
        <f>SUMPRODUCT(($X$7:$X$42=BD14&amp;"_draw")*($Z$7:$Z$42))+SUMPRODUCT(($Y$7:$Y$42=BD14&amp;"_draw")*($Z$7:$Z$42))</f>
        <v>0</v>
      </c>
      <c r="BV14" s="76">
        <f>SUMPRODUCT(($E$10:$E$45=BD14)*($Z$7:$Z$42)*($F$10:$F$45))+SUMPRODUCT(($H$10:$H$45=BD14)*($Z$7:$Z$42)*($G$10:$G$45))</f>
        <v>0</v>
      </c>
      <c r="BW14" s="76">
        <f>SUMPRODUCT(($E$10:$E$45=BD14)*($Z$7:$Z$42)*($G$10:$G$45))+SUMPRODUCT(($H$10:$H$45=BD14)*($Z$7:$Z$42)*($F$10:$F$45))</f>
        <v>0</v>
      </c>
      <c r="BX14" s="76">
        <f>BV14-BW14</f>
        <v>0</v>
      </c>
      <c r="BY14" s="77" t="str">
        <f>BD16</f>
        <v>Croatia</v>
      </c>
      <c r="BZ14" s="77">
        <v>2</v>
      </c>
      <c r="CA14" s="77">
        <v>3</v>
      </c>
      <c r="CD14" s="76">
        <f>IFERROR(VLOOKUP("212",$AF$7:$AI$42,2,0),0) + IFERROR(VLOOKUP("212",$AJ$7:$AM$42,2,0),0)</f>
        <v>0</v>
      </c>
      <c r="CE14" s="76">
        <f>IFERROR(VLOOKUP("213",$AF$7:$AI$42,2,0),0) + IFERROR(VLOOKUP("213",$AJ$7:$AM$42,2,0),0)</f>
        <v>0</v>
      </c>
      <c r="CF14" s="76">
        <f>IFERROR(VLOOKUP("214",$AF$7:$AI$42,2,0),0) + IFERROR(VLOOKUP("214",$AJ$7:$AM$42,2,0),0)</f>
        <v>0</v>
      </c>
      <c r="CG14" s="77">
        <f>SUM(CC14:CF14)</f>
        <v>0</v>
      </c>
      <c r="CI14" s="76">
        <f>IFERROR(VLOOKUP("212",$AF$7:$AI$42,3,0),0) + IFERROR(VLOOKUP("212",$AJ$7:$AM$42,3,0),0)</f>
        <v>0</v>
      </c>
      <c r="CJ14" s="76">
        <f>IFERROR(VLOOKUP("213",$AF$7:$AI$42,3,0),0) + IFERROR(VLOOKUP("213",$AJ$7:$AM$42,3,0),0)</f>
        <v>0</v>
      </c>
      <c r="CK14" s="76">
        <f>IFERROR(VLOOKUP("214",$AF$7:$AI$42,3,0),0) + IFERROR(VLOOKUP("214",$AJ$7:$AM$42,3,0),0)</f>
        <v>0</v>
      </c>
      <c r="CL14" s="77">
        <f>SUM(CH14:CK14)</f>
        <v>0</v>
      </c>
      <c r="CM14" s="77">
        <f>RANK(CL14,CL14:CL17)</f>
        <v>1</v>
      </c>
      <c r="CO14" s="76">
        <f>IFERROR(VLOOKUP("212",$AF$7:$AI$42,4,0),0) + IFERROR(VLOOKUP("212",$AJ$7:$AM$42,4,0),0)</f>
        <v>0</v>
      </c>
      <c r="CP14" s="76">
        <f>IFERROR(VLOOKUP("213",$AF$7:$AI$42,4,0),0) + IFERROR(VLOOKUP("213",$AJ$7:$AM$42,4,0),0)</f>
        <v>0</v>
      </c>
      <c r="CQ14" s="76">
        <f>IFERROR(VLOOKUP("214",$AF$7:$AI$42,4,0),0) + IFERROR(VLOOKUP("214",$AJ$7:$AM$42,4,0),0)</f>
        <v>0</v>
      </c>
      <c r="CR14" s="77">
        <f>SUM(CN14:CQ14)</f>
        <v>0</v>
      </c>
      <c r="CT14" s="76">
        <f>IF(CD18=CG14,CD14,0)</f>
        <v>0</v>
      </c>
      <c r="CU14" s="76">
        <f>IF(CE18=CG14,CE14,0)</f>
        <v>0</v>
      </c>
      <c r="CV14" s="76">
        <f>IF(CF18=CG14,CF14,0)</f>
        <v>0</v>
      </c>
      <c r="CW14" s="77">
        <f>SUM(CS14:CV14)</f>
        <v>0</v>
      </c>
      <c r="CY14" s="76">
        <f>IF(CD18=CG14,CI14,0)</f>
        <v>0</v>
      </c>
      <c r="CZ14" s="76">
        <f>IF(CE18=CG14,CJ14,0)</f>
        <v>0</v>
      </c>
      <c r="DA14" s="76">
        <f>IF(CF18=CG14,CK14,0)</f>
        <v>0</v>
      </c>
      <c r="DB14" s="77">
        <f>SUM(CX14:DA14)</f>
        <v>0</v>
      </c>
      <c r="DC14" s="77">
        <f>RANK(DB14,DB14:DB17)</f>
        <v>1</v>
      </c>
      <c r="DE14" s="76">
        <f>IF(CD18=CG14,CO14,0)</f>
        <v>0</v>
      </c>
      <c r="DF14" s="76">
        <f>IF(CE18=CG14,CP14,0)</f>
        <v>0</v>
      </c>
      <c r="DG14" s="76">
        <f>IF(CF18=CG14,CQ14,0)</f>
        <v>0</v>
      </c>
      <c r="DH14" s="77">
        <f>SUM(DD14:DG14)</f>
        <v>0</v>
      </c>
      <c r="DI14" s="77">
        <f>CG14*10000+CW14*100+(5-DC14)+DH14/10</f>
        <v>4</v>
      </c>
      <c r="DJ14" s="77">
        <f>RANK(DI14,DI14:DI17)</f>
        <v>1</v>
      </c>
      <c r="DL14" s="76">
        <f>IF(DL18=DJ14,CD14,0)</f>
        <v>0</v>
      </c>
      <c r="DM14" s="76">
        <f>IF(DM18=DJ14,CE14,0)</f>
        <v>0</v>
      </c>
      <c r="DN14" s="76">
        <f>IF(DN18=DJ14,CF14,0)</f>
        <v>0</v>
      </c>
      <c r="DO14" s="77">
        <f>SUM(DK14:DN14)</f>
        <v>0</v>
      </c>
      <c r="DP14" s="77">
        <f>(5-DJ14)*10000+DO14*100+(5-CM14)+CR14/10+(5-DX14)/100+BQ14/10000</f>
        <v>40004.040008407166</v>
      </c>
      <c r="DQ14" s="77">
        <f>RANK(DP14,DP14:DP17)</f>
        <v>1</v>
      </c>
      <c r="DT14" s="76">
        <f>IFERROR(VLOOKUP("212",$AX$7:$AY$42,2,0),0) + IFERROR(VLOOKUP("212",$AZ$7:$BA$42,2,0),0)</f>
        <v>0</v>
      </c>
      <c r="DU14" s="76">
        <f>IFERROR(VLOOKUP("213",$AX$7:$AY$42,2,0),0) + IFERROR(VLOOKUP("213",$AZ$7:$BA$42,2,0),0)</f>
        <v>0</v>
      </c>
      <c r="DV14" s="76">
        <f>IFERROR(VLOOKUP("214",$AX$7:$AY$42,2,0),0) + IFERROR(VLOOKUP("214",$AZ$7:$BA$42,2,0),0)</f>
        <v>0</v>
      </c>
      <c r="DW14" s="77">
        <f>SUM(DS14:DV14)</f>
        <v>0</v>
      </c>
      <c r="DX14" s="77">
        <f>RANK(DW14,DW14:DW17)</f>
        <v>1</v>
      </c>
      <c r="DZ14" s="77" t="str">
        <f>BD14</f>
        <v>Spain</v>
      </c>
      <c r="EA14" s="77">
        <f>EI14*10000+EO14*100+ET14</f>
        <v>100</v>
      </c>
      <c r="EB14" s="76">
        <f>COUNTIF(EA14:EA17,EA14)</f>
        <v>4</v>
      </c>
      <c r="EC14" s="76">
        <f>COUNTIF(CG14:CG17,CG14)</f>
        <v>4</v>
      </c>
      <c r="ED14" s="77">
        <f>IF(AND(EB14&gt;=2,EC14=2),EA14,-EA14-0.4)</f>
        <v>-100.4</v>
      </c>
      <c r="EF14" s="76">
        <f>IFERROR(VLOOKUP("212",$AO$7:$AR$42,2,0),0) + IFERROR(VLOOKUP("212",$AS$7:$AV$42,2,0),0)</f>
        <v>0</v>
      </c>
      <c r="EG14" s="76">
        <f>IFERROR(VLOOKUP("213",$AO$7:$AR$42,2,0),0) + IFERROR(VLOOKUP("213",$AS$7:$AV$42,2,0),0)</f>
        <v>0</v>
      </c>
      <c r="EH14" s="76">
        <f>IFERROR(VLOOKUP("214",$AO$7:$AR$42,2,0),0) + IFERROR(VLOOKUP("214",$AS$7:$AV$42,2,0),0)</f>
        <v>0</v>
      </c>
      <c r="EI14" s="77">
        <f>SUM(EE14:EH14)</f>
        <v>0</v>
      </c>
      <c r="EK14" s="76">
        <f>IFERROR(VLOOKUP("212",$AO$7:$AR$42,3,0),0) + IFERROR(VLOOKUP("212",$AS$7:$AV$42,3,0),0)</f>
        <v>0</v>
      </c>
      <c r="EL14" s="76">
        <f>IFERROR(VLOOKUP("213",$AO$7:$AR$42,3,0),0) + IFERROR(VLOOKUP("213",$AS$7:$AV$42,3,0),0)</f>
        <v>0</v>
      </c>
      <c r="EM14" s="76">
        <f>IFERROR(VLOOKUP("214",$AO$7:$AR$42,3,0),0) + IFERROR(VLOOKUP("214",$AS$7:$AV$42,3,0),0)</f>
        <v>0</v>
      </c>
      <c r="EN14" s="77">
        <f>SUM(EJ14:EM14)</f>
        <v>0</v>
      </c>
      <c r="EO14" s="77">
        <f>RANK(EN14,EN14:EN17)</f>
        <v>1</v>
      </c>
      <c r="EQ14" s="76">
        <f>IFERROR(VLOOKUP("212",$AO$7:$AR$42,4,0),0) + IFERROR(VLOOKUP("212",$AS$7:$AV$42,4,0),0)</f>
        <v>0</v>
      </c>
      <c r="ER14" s="76">
        <f>IFERROR(VLOOKUP("213",$AO$7:$AR$42,4,0),0) + IFERROR(VLOOKUP("213",$AS$7:$AV$42,4,0),0)</f>
        <v>0</v>
      </c>
      <c r="ES14" s="76">
        <f>IFERROR(VLOOKUP("214",$AO$7:$AR$42,4,0),0) + IFERROR(VLOOKUP("214",$AS$7:$AV$42,4,0),0)</f>
        <v>0</v>
      </c>
      <c r="ET14" s="77">
        <f>SUM(EP14:ES14)</f>
        <v>0</v>
      </c>
      <c r="EV14" s="132">
        <v>5</v>
      </c>
      <c r="EW14" s="47" t="str">
        <f>VLOOKUP(EV14,$Z$46:$AC$53,3,0)</f>
        <v>2D</v>
      </c>
      <c r="EX14" s="48"/>
      <c r="EY14" s="89"/>
      <c r="EZ14" s="64"/>
      <c r="FA14" s="32"/>
      <c r="FB14" s="32"/>
      <c r="FC14" s="32"/>
      <c r="FD14" s="32"/>
      <c r="FE14" s="32"/>
      <c r="FF14" s="6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</row>
    <row r="15" spans="1:173">
      <c r="A15" s="49">
        <v>6</v>
      </c>
      <c r="B15" s="50" t="str">
        <f t="shared" si="27"/>
        <v>Sun</v>
      </c>
      <c r="C15" s="51" t="str">
        <f t="shared" si="28"/>
        <v>Jun 16, 2024</v>
      </c>
      <c r="D15" s="52">
        <f t="shared" si="29"/>
        <v>0.54166666666666663</v>
      </c>
      <c r="E15" s="53" t="str">
        <f>BD23</f>
        <v>Slovenia</v>
      </c>
      <c r="F15" s="41"/>
      <c r="G15" s="42"/>
      <c r="H15" s="54" t="str">
        <f>BD21</f>
        <v>Denmark</v>
      </c>
      <c r="I15" s="133" t="str">
        <f>INDEX(T,105,lang)</f>
        <v>Stuttgart</v>
      </c>
      <c r="J15" s="133"/>
      <c r="K15" s="133"/>
      <c r="L15" s="65"/>
      <c r="M15" s="65"/>
      <c r="O15" s="33" t="str">
        <f>VLOOKUP(1,BC14:BM17,2,0)</f>
        <v>Spain</v>
      </c>
      <c r="P15" s="34">
        <f>Q15+R15+S15</f>
        <v>0</v>
      </c>
      <c r="Q15" s="34">
        <f>VLOOKUP(1,BC14:BM17,3,0)</f>
        <v>0</v>
      </c>
      <c r="R15" s="34">
        <f>VLOOKUP(1,BC14:BM17,4,0)</f>
        <v>0</v>
      </c>
      <c r="S15" s="34">
        <f>VLOOKUP(1,BC14:BM17,5,0)</f>
        <v>0</v>
      </c>
      <c r="T15" s="34" t="str">
        <f>VLOOKUP(1,BC14:BM17,6,0) &amp; " - " &amp; VLOOKUP(1,BC14:BM17,7,0)</f>
        <v>0 - 0</v>
      </c>
      <c r="U15" s="35">
        <f>Q15*3+R15</f>
        <v>0</v>
      </c>
      <c r="W15" s="76">
        <f>DATE(2024,6,17)+TIME(5,0,0)+gmt_delta</f>
        <v>45460.541666666672</v>
      </c>
      <c r="X15" s="78" t="str">
        <f t="shared" si="0"/>
        <v/>
      </c>
      <c r="Y15" s="78" t="str">
        <f t="shared" si="1"/>
        <v/>
      </c>
      <c r="Z15" s="77">
        <f t="shared" si="2"/>
        <v>0</v>
      </c>
      <c r="AA15" s="76">
        <f t="shared" si="3"/>
        <v>0</v>
      </c>
      <c r="AB15" s="76">
        <f t="shared" si="4"/>
        <v>0</v>
      </c>
      <c r="AC15" s="76">
        <f t="shared" si="5"/>
        <v>5</v>
      </c>
      <c r="AD15" s="76">
        <f t="shared" si="6"/>
        <v>1</v>
      </c>
      <c r="AE15" s="76">
        <f t="shared" si="7"/>
        <v>4</v>
      </c>
      <c r="AF15" s="76" t="str">
        <f t="shared" si="8"/>
        <v>514</v>
      </c>
      <c r="AG15" s="76">
        <f t="shared" si="9"/>
        <v>0</v>
      </c>
      <c r="AH15" s="76">
        <f t="shared" si="10"/>
        <v>0</v>
      </c>
      <c r="AI15" s="76">
        <f t="shared" si="11"/>
        <v>0</v>
      </c>
      <c r="AJ15" s="76" t="str">
        <f t="shared" si="12"/>
        <v>541</v>
      </c>
      <c r="AK15" s="76">
        <f t="shared" si="13"/>
        <v>0</v>
      </c>
      <c r="AL15" s="76">
        <f t="shared" si="14"/>
        <v>0</v>
      </c>
      <c r="AM15" s="76">
        <f t="shared" si="15"/>
        <v>0</v>
      </c>
      <c r="AO15" s="76" t="str">
        <f t="shared" si="16"/>
        <v>514</v>
      </c>
      <c r="AP15" s="76">
        <f t="shared" si="17"/>
        <v>0</v>
      </c>
      <c r="AQ15" s="76">
        <f t="shared" si="18"/>
        <v>0</v>
      </c>
      <c r="AR15" s="76">
        <f t="shared" si="19"/>
        <v>0</v>
      </c>
      <c r="AS15" s="76" t="str">
        <f t="shared" si="20"/>
        <v>541</v>
      </c>
      <c r="AT15" s="76">
        <f t="shared" si="21"/>
        <v>0</v>
      </c>
      <c r="AU15" s="76">
        <f t="shared" si="22"/>
        <v>0</v>
      </c>
      <c r="AV15" s="76">
        <f t="shared" si="23"/>
        <v>0</v>
      </c>
      <c r="AX15" s="76" t="str">
        <f t="shared" si="24"/>
        <v>514</v>
      </c>
      <c r="AY15" s="76">
        <v>0</v>
      </c>
      <c r="AZ15" s="76" t="str">
        <f t="shared" si="25"/>
        <v>541</v>
      </c>
      <c r="BA15" s="76">
        <v>0</v>
      </c>
      <c r="BC15" s="76">
        <f>DQ15</f>
        <v>2</v>
      </c>
      <c r="BD15" s="77" t="str">
        <f>INDEX(T,41,lang)</f>
        <v>Italy</v>
      </c>
      <c r="BE15" s="76">
        <f>COUNTIF($X$7:$Y$42,"=" &amp; BD15 &amp; "_win")</f>
        <v>0</v>
      </c>
      <c r="BF15" s="76">
        <f>COUNTIF($X$7:$Y$42,"=" &amp; BD15 &amp; "_draw")</f>
        <v>0</v>
      </c>
      <c r="BG15" s="76">
        <f>COUNTIF($X$7:$Y$42,"=" &amp; BD15 &amp; "_lose")</f>
        <v>0</v>
      </c>
      <c r="BH15" s="76">
        <f>SUMIF($E$10:$E$45,$BD15,$F$10:$F$45) + SUMIF($H$10:$H$45,$BD15,$G$10:$G$45)</f>
        <v>0</v>
      </c>
      <c r="BI15" s="76">
        <f>SUMIF($E$10:$E$45,$BD15,$G$10:$G$45) + SUMIF($H$10:$H$45,$BD15,$F$10:$F$45)</f>
        <v>0</v>
      </c>
      <c r="BJ15" s="76">
        <f>BM15*10000</f>
        <v>0</v>
      </c>
      <c r="BK15" s="76">
        <f>BH15-BI15</f>
        <v>0</v>
      </c>
      <c r="BL15" s="76">
        <f>(BK15-BK19)/BK18</f>
        <v>0</v>
      </c>
      <c r="BM15" s="76">
        <f>BE15*3+BF15</f>
        <v>0</v>
      </c>
      <c r="BN15" s="76">
        <f>BT15/BT18*10+BU15/BU18+BX15/BX18*0.1+BV15/BV18*0.01</f>
        <v>0</v>
      </c>
      <c r="BP15" s="76">
        <f>IF(VLOOKUP(BD15,db_fifarank,2,0)="",MIN(db_fifarank),VLOOKUP(BD15,db_fifarank,2,0))</f>
        <v>88.712000000000003</v>
      </c>
      <c r="BQ15" s="76">
        <f t="shared" ref="BQ15:BQ17" si="30">0.1*((BP15-$BP$44)/$BP$46-(COUNTIF($BP$8:$BP$41,BP15)-1)/(100-ROW(BP15)))</f>
        <v>8.3914864641795983E-2</v>
      </c>
      <c r="BR15" s="77">
        <f>10000000*BM15/BM18+100000*BN15/BN18+100*BL15+10*BH15/BH18+1*BN15/BN18+BQ15</f>
        <v>8.3914864641795983E-2</v>
      </c>
      <c r="BS15" s="77" t="str">
        <f>IF(SUM(BE14:BG17)=12,O16,INDEX(T,73,lang))</f>
        <v>2B</v>
      </c>
      <c r="BT15" s="76">
        <f>SUMPRODUCT(($X$7:$X$42=BD15&amp;"_win")*($Z$7:$Z$42))+SUMPRODUCT(($Y$7:$Y$42=BD15&amp;"_win")*($Z$7:$Z$42))</f>
        <v>0</v>
      </c>
      <c r="BU15" s="76">
        <f>SUMPRODUCT(($X$7:$X$42=BD15&amp;"_draw")*($Z$7:$Z$42))+SUMPRODUCT(($Y$7:$Y$42=BD15&amp;"_draw")*($Z$7:$Z$42))</f>
        <v>0</v>
      </c>
      <c r="BV15" s="76">
        <f>SUMPRODUCT(($E$10:$E$45=BD15)*($Z$7:$Z$42)*($F$10:$F$45))+SUMPRODUCT(($H$10:$H$45=BD15)*($Z$7:$Z$42)*($G$10:$G$45))</f>
        <v>0</v>
      </c>
      <c r="BW15" s="76">
        <f>SUMPRODUCT(($E$10:$E$45=BD15)*($Z$7:$Z$42)*($G$10:$G$45))+SUMPRODUCT(($H$10:$H$45=BD15)*($Z$7:$Z$42)*($F$10:$F$45))</f>
        <v>0</v>
      </c>
      <c r="BX15" s="76">
        <f>BV15-BW15</f>
        <v>0</v>
      </c>
      <c r="BY15" s="77" t="str">
        <f>BD17</f>
        <v>Albania</v>
      </c>
      <c r="BZ15" s="77">
        <v>2</v>
      </c>
      <c r="CA15" s="77">
        <v>4</v>
      </c>
      <c r="CC15" s="76">
        <f>IFERROR(VLOOKUP("221",$AF$7:$AI$42,2,0),0) + IFERROR(VLOOKUP("221",$AJ$7:$AM$42,2,0),0)</f>
        <v>0</v>
      </c>
      <c r="CE15" s="76">
        <f>IFERROR(VLOOKUP("223",$AF$7:$AI$42,2,0),0) + IFERROR(VLOOKUP("223",$AJ$7:$AM$42,2,0),0)</f>
        <v>0</v>
      </c>
      <c r="CF15" s="76">
        <f>IFERROR(VLOOKUP("224",$AF$7:$AI$42,2,0),0) + IFERROR(VLOOKUP("224",$AJ$7:$AM$42,2,0),0)</f>
        <v>0</v>
      </c>
      <c r="CG15" s="77">
        <f>SUM(CC15:CF15)</f>
        <v>0</v>
      </c>
      <c r="CH15" s="76">
        <f>IFERROR(VLOOKUP("221",$AF$7:$AI$42,3,0),0) + IFERROR(VLOOKUP("221",$AJ$7:$AM$42,3,0),0)</f>
        <v>0</v>
      </c>
      <c r="CJ15" s="76">
        <f>IFERROR(VLOOKUP("223",$AF$7:$AI$42,3,0),0) + IFERROR(VLOOKUP("223",$AJ$7:$AM$42,3,0),0)</f>
        <v>0</v>
      </c>
      <c r="CK15" s="76">
        <f>IFERROR(VLOOKUP("224",$AF$7:$AI$42,3,0),0) + IFERROR(VLOOKUP("224",$AJ$7:$AM$42,3,0),0)</f>
        <v>0</v>
      </c>
      <c r="CL15" s="77">
        <f>SUM(CH15:CK15)</f>
        <v>0</v>
      </c>
      <c r="CM15" s="77">
        <f>RANK(CL15,CL14:CL17)</f>
        <v>1</v>
      </c>
      <c r="CN15" s="76">
        <f>IFERROR(VLOOKUP("221",$AF$7:$AI$42,4,0),0) + IFERROR(VLOOKUP("221",$AJ$7:$AM$42,4,0),0)</f>
        <v>0</v>
      </c>
      <c r="CP15" s="76">
        <f>IFERROR(VLOOKUP("223",$AF$7:$AI$42,4,0),0) + IFERROR(VLOOKUP("223",$AJ$7:$AM$42,4,0),0)</f>
        <v>0</v>
      </c>
      <c r="CQ15" s="76">
        <f>IFERROR(VLOOKUP("224",$AF$7:$AI$42,4,0),0) + IFERROR(VLOOKUP("224",$AJ$7:$AM$42,4,0),0)</f>
        <v>0</v>
      </c>
      <c r="CR15" s="77">
        <f>SUM(CN15:CQ15)</f>
        <v>0</v>
      </c>
      <c r="CS15" s="76">
        <f>IF(CC18=CG15,CC15,0)</f>
        <v>0</v>
      </c>
      <c r="CU15" s="76">
        <f>IF(CE18=CG15,CE15,0)</f>
        <v>0</v>
      </c>
      <c r="CV15" s="76">
        <f>IF(CF18=CG15,CF15,0)</f>
        <v>0</v>
      </c>
      <c r="CW15" s="77">
        <f>SUM(CS15:CV15)</f>
        <v>0</v>
      </c>
      <c r="CX15" s="76">
        <f>IF(CC18=CG15,CH15,0)</f>
        <v>0</v>
      </c>
      <c r="CZ15" s="76">
        <f>IF(CE18=CG15,CJ15,0)</f>
        <v>0</v>
      </c>
      <c r="DA15" s="76">
        <f>IF(CF18=CG15,CK15,0)</f>
        <v>0</v>
      </c>
      <c r="DB15" s="77">
        <f>SUM(CX15:DA15)</f>
        <v>0</v>
      </c>
      <c r="DC15" s="77">
        <f>RANK(DB15,DB14:DB17)</f>
        <v>1</v>
      </c>
      <c r="DD15" s="76">
        <f>IF(CC18=CG15,CN15,0)</f>
        <v>0</v>
      </c>
      <c r="DF15" s="76">
        <f>IF(CE18=CG15,CP15,0)</f>
        <v>0</v>
      </c>
      <c r="DG15" s="76">
        <f>IF(CF18=CG15,CQ15,0)</f>
        <v>0</v>
      </c>
      <c r="DH15" s="77">
        <f>SUM(DD15:DG15)</f>
        <v>0</v>
      </c>
      <c r="DI15" s="77">
        <f>CG15*10000+CW15*100+(5-DC15)+DH15/10</f>
        <v>4</v>
      </c>
      <c r="DJ15" s="77">
        <f>RANK(DI15,DI14:DI17)</f>
        <v>1</v>
      </c>
      <c r="DK15" s="76">
        <f>IF(DK18=DJ15,CC15,0)</f>
        <v>0</v>
      </c>
      <c r="DM15" s="76">
        <f>IF(DM18=DJ15,CE15,0)</f>
        <v>0</v>
      </c>
      <c r="DN15" s="76">
        <f>IF(DN18=DJ15,CF15,0)</f>
        <v>0</v>
      </c>
      <c r="DO15" s="77">
        <f>SUM(DK15:DN15)</f>
        <v>0</v>
      </c>
      <c r="DP15" s="77">
        <f>(5-DJ15)*10000+DO15*100+(5-CM15)+CR15/10+(5-DX15)/100+BQ15/10000</f>
        <v>40004.040008391486</v>
      </c>
      <c r="DQ15" s="77">
        <f>RANK(DP15,DP14:DP17)</f>
        <v>2</v>
      </c>
      <c r="DS15" s="76">
        <f>IFERROR(VLOOKUP("221",$AX$7:$AY$42,2,0),0) + IFERROR(VLOOKUP("221",$AZ$7:$BA$42,2,0),0)</f>
        <v>0</v>
      </c>
      <c r="DU15" s="76">
        <f>IFERROR(VLOOKUP("223",$AX$7:$AY$42,2,0),0) + IFERROR(VLOOKUP("223",$AZ$7:$BA$42,2,0),0)</f>
        <v>0</v>
      </c>
      <c r="DV15" s="76">
        <f>IFERROR(VLOOKUP("224",$AX$7:$AY$42,2,0),0) + IFERROR(VLOOKUP("224",$AZ$7:$BA$42,2,0),0)</f>
        <v>0</v>
      </c>
      <c r="DW15" s="77">
        <f>SUM(DS15:DV15)</f>
        <v>0</v>
      </c>
      <c r="DX15" s="77">
        <f>RANK(DW15,DW14:DW17)</f>
        <v>1</v>
      </c>
      <c r="DZ15" s="77" t="str">
        <f>BD15</f>
        <v>Italy</v>
      </c>
      <c r="EA15" s="77">
        <f>EI15*10000+EO15*100+ET15</f>
        <v>100</v>
      </c>
      <c r="EB15" s="76">
        <f>COUNTIF(EA14:EA17,EA15)</f>
        <v>4</v>
      </c>
      <c r="EC15" s="76">
        <f>COUNTIF(CG14:CG17,CG15)</f>
        <v>4</v>
      </c>
      <c r="ED15" s="77">
        <f>IF(AND(EB15&gt;=2,EC15=2),EA15,-EA15-0.3)</f>
        <v>-100.3</v>
      </c>
      <c r="EE15" s="76">
        <f>IFERROR(VLOOKUP("221",$AO$7:$AR$42,2,0),0) + IFERROR(VLOOKUP("221",$AS$7:$AV$42,2,0),0)</f>
        <v>0</v>
      </c>
      <c r="EG15" s="76">
        <f>IFERROR(VLOOKUP("223",$AO$7:$AR$42,2,0),0) + IFERROR(VLOOKUP("223",$AS$7:$AV$42,2,0),0)</f>
        <v>0</v>
      </c>
      <c r="EH15" s="76">
        <f>IFERROR(VLOOKUP("224",$AO$7:$AR$42,2,0),0) + IFERROR(VLOOKUP("224",$AS$7:$AV$42,2,0),0)</f>
        <v>0</v>
      </c>
      <c r="EI15" s="77">
        <f>SUM(EE15:EH15)</f>
        <v>0</v>
      </c>
      <c r="EJ15" s="76">
        <f>IFERROR(VLOOKUP("221",$AO$7:$AR$42,3,0),0) + IFERROR(VLOOKUP("221",$AS$7:$AV$42,3,0),0)</f>
        <v>0</v>
      </c>
      <c r="EL15" s="76">
        <f>IFERROR(VLOOKUP("223",$AO$7:$AR$42,3,0),0) + IFERROR(VLOOKUP("223",$AS$7:$AV$42,3,0),0)</f>
        <v>0</v>
      </c>
      <c r="EM15" s="76">
        <f>IFERROR(VLOOKUP("224",$AO$7:$AR$42,3,0),0) + IFERROR(VLOOKUP("224",$AS$7:$AV$42,3,0),0)</f>
        <v>0</v>
      </c>
      <c r="EN15" s="77">
        <f>SUM(EJ15:EM15)</f>
        <v>0</v>
      </c>
      <c r="EO15" s="77">
        <f>RANK(EN15,EN14:EN17)</f>
        <v>1</v>
      </c>
      <c r="EP15" s="76">
        <f>IFERROR(VLOOKUP("221",$AO$7:$AR$42,4,0),0) + IFERROR(VLOOKUP("221",$AS$7:$AV$42,4,0),0)</f>
        <v>0</v>
      </c>
      <c r="ER15" s="76">
        <f>IFERROR(VLOOKUP("223",$AO$7:$AR$42,4,0),0) + IFERROR(VLOOKUP("223",$AS$7:$AV$42,4,0),0)</f>
        <v>0</v>
      </c>
      <c r="ES15" s="76">
        <f>IFERROR(VLOOKUP("224",$AO$7:$AR$42,4,0),0) + IFERROR(VLOOKUP("224",$AS$7:$AV$42,4,0),0)</f>
        <v>0</v>
      </c>
      <c r="ET15" s="77">
        <f>SUM(EP15:ES15)</f>
        <v>0</v>
      </c>
      <c r="EV15" s="132"/>
      <c r="EW15" s="55" t="str">
        <f>VLOOKUP(EV14,$Z$46:$AC$53,4,0)</f>
        <v>2E</v>
      </c>
      <c r="EX15" s="56"/>
      <c r="EY15" s="57"/>
      <c r="EZ15" s="32"/>
      <c r="FA15" s="32"/>
      <c r="FB15" s="32"/>
      <c r="FC15" s="32"/>
      <c r="FD15" s="32"/>
      <c r="FE15" s="32"/>
      <c r="FF15" s="62"/>
      <c r="FG15" s="32"/>
      <c r="FH15" s="32" t="str">
        <f>INDEX(T,24+MONTH(W64),lang) &amp; " " &amp; DAY(W64) &amp; ", " &amp; YEAR(W64) &amp; "   " &amp; TEXT(HOUR(W64),"00") &amp; ":" &amp; TEXT(MINUTE(W64),"00")</f>
        <v>Jul 9, 2024   16:00</v>
      </c>
      <c r="FI15" s="32"/>
      <c r="FJ15" s="32"/>
      <c r="FK15" s="32"/>
      <c r="FL15" s="32"/>
      <c r="FM15" s="32"/>
      <c r="FN15" s="32"/>
      <c r="FO15" s="32"/>
      <c r="FP15" s="32"/>
      <c r="FQ15" s="32"/>
    </row>
    <row r="16" spans="1:173">
      <c r="A16" s="49">
        <v>7</v>
      </c>
      <c r="B16" s="50" t="str">
        <f t="shared" si="27"/>
        <v>Sun</v>
      </c>
      <c r="C16" s="51" t="str">
        <f t="shared" si="28"/>
        <v>Jun 16, 2024</v>
      </c>
      <c r="D16" s="52">
        <f t="shared" si="29"/>
        <v>0.66666666666666663</v>
      </c>
      <c r="E16" s="53" t="str">
        <f>BD22</f>
        <v>Serbia</v>
      </c>
      <c r="F16" s="41"/>
      <c r="G16" s="42"/>
      <c r="H16" s="54" t="str">
        <f>BD20</f>
        <v>England</v>
      </c>
      <c r="I16" s="133" t="str">
        <f>INDEX(T,110,lang)</f>
        <v>Gelsenkirchen</v>
      </c>
      <c r="J16" s="133"/>
      <c r="K16" s="133"/>
      <c r="L16" s="65"/>
      <c r="M16" s="65"/>
      <c r="O16" s="44" t="str">
        <f>VLOOKUP(2,BC14:BM17,2,0)</f>
        <v>Italy</v>
      </c>
      <c r="P16" s="45">
        <f>Q16+R16+S16</f>
        <v>0</v>
      </c>
      <c r="Q16" s="45">
        <f>VLOOKUP(2,BC14:BM17,3,0)</f>
        <v>0</v>
      </c>
      <c r="R16" s="45">
        <f>VLOOKUP(2,BC14:BM17,4,0)</f>
        <v>0</v>
      </c>
      <c r="S16" s="45">
        <f>VLOOKUP(2,BC14:BM17,5,0)</f>
        <v>0</v>
      </c>
      <c r="T16" s="45" t="str">
        <f>VLOOKUP(2,BC14:BM17,6,0) &amp; " - " &amp; VLOOKUP(2,BC14:BM17,7,0)</f>
        <v>0 - 0</v>
      </c>
      <c r="U16" s="46">
        <f>Q16*3+R16</f>
        <v>0</v>
      </c>
      <c r="W16" s="76">
        <f>DATE(2024,6,17)+TIME(8,0,0)+gmt_delta</f>
        <v>45460.666666666672</v>
      </c>
      <c r="X16" s="78" t="str">
        <f t="shared" si="0"/>
        <v/>
      </c>
      <c r="Y16" s="78" t="str">
        <f t="shared" si="1"/>
        <v/>
      </c>
      <c r="Z16" s="77">
        <f t="shared" si="2"/>
        <v>0</v>
      </c>
      <c r="AA16" s="76">
        <f t="shared" si="3"/>
        <v>0</v>
      </c>
      <c r="AB16" s="76">
        <f t="shared" si="4"/>
        <v>0</v>
      </c>
      <c r="AC16" s="76">
        <f t="shared" si="5"/>
        <v>4</v>
      </c>
      <c r="AD16" s="76">
        <f t="shared" si="6"/>
        <v>3</v>
      </c>
      <c r="AE16" s="76">
        <f t="shared" si="7"/>
        <v>1</v>
      </c>
      <c r="AF16" s="76" t="str">
        <f t="shared" si="8"/>
        <v>431</v>
      </c>
      <c r="AG16" s="76">
        <f t="shared" si="9"/>
        <v>0</v>
      </c>
      <c r="AH16" s="76">
        <f t="shared" si="10"/>
        <v>0</v>
      </c>
      <c r="AI16" s="76">
        <f t="shared" si="11"/>
        <v>0</v>
      </c>
      <c r="AJ16" s="76" t="str">
        <f t="shared" si="12"/>
        <v>413</v>
      </c>
      <c r="AK16" s="76">
        <f t="shared" si="13"/>
        <v>0</v>
      </c>
      <c r="AL16" s="76">
        <f t="shared" si="14"/>
        <v>0</v>
      </c>
      <c r="AM16" s="76">
        <f t="shared" si="15"/>
        <v>0</v>
      </c>
      <c r="AO16" s="76" t="str">
        <f t="shared" si="16"/>
        <v>431</v>
      </c>
      <c r="AP16" s="76">
        <f t="shared" si="17"/>
        <v>0</v>
      </c>
      <c r="AQ16" s="76">
        <f t="shared" si="18"/>
        <v>0</v>
      </c>
      <c r="AR16" s="76">
        <f t="shared" si="19"/>
        <v>0</v>
      </c>
      <c r="AS16" s="76" t="str">
        <f t="shared" si="20"/>
        <v>413</v>
      </c>
      <c r="AT16" s="76">
        <f t="shared" si="21"/>
        <v>0</v>
      </c>
      <c r="AU16" s="76">
        <f t="shared" si="22"/>
        <v>0</v>
      </c>
      <c r="AV16" s="76">
        <f t="shared" si="23"/>
        <v>0</v>
      </c>
      <c r="AX16" s="76" t="str">
        <f t="shared" si="24"/>
        <v>431</v>
      </c>
      <c r="AY16" s="76">
        <v>0</v>
      </c>
      <c r="AZ16" s="76" t="str">
        <f t="shared" si="25"/>
        <v>413</v>
      </c>
      <c r="BA16" s="76">
        <v>0</v>
      </c>
      <c r="BC16" s="76">
        <f>DQ16</f>
        <v>3</v>
      </c>
      <c r="BD16" s="77" t="str">
        <f>INDEX(T,55,lang)</f>
        <v>Croatia</v>
      </c>
      <c r="BE16" s="76">
        <f>COUNTIF($X$7:$Y$42,"=" &amp; BD16 &amp; "_win")</f>
        <v>0</v>
      </c>
      <c r="BF16" s="76">
        <f>COUNTIF($X$7:$Y$42,"=" &amp; BD16 &amp; "_draw")</f>
        <v>0</v>
      </c>
      <c r="BG16" s="76">
        <f>COUNTIF($X$7:$Y$42,"=" &amp; BD16 &amp; "_lose")</f>
        <v>0</v>
      </c>
      <c r="BH16" s="76">
        <f>SUMIF($E$10:$E$45,$BD16,$F$10:$F$45) + SUMIF($H$10:$H$45,$BD16,$G$10:$G$45)</f>
        <v>0</v>
      </c>
      <c r="BI16" s="76">
        <f>SUMIF($E$10:$E$45,$BD16,$G$10:$G$45) + SUMIF($H$10:$H$45,$BD16,$F$10:$F$45)</f>
        <v>0</v>
      </c>
      <c r="BJ16" s="76">
        <f>BM16*10000</f>
        <v>0</v>
      </c>
      <c r="BK16" s="76">
        <f>BH16-BI16</f>
        <v>0</v>
      </c>
      <c r="BL16" s="76">
        <f>(BK16-BK19)/BK18</f>
        <v>0</v>
      </c>
      <c r="BM16" s="76">
        <f>BE16*3+BF16</f>
        <v>0</v>
      </c>
      <c r="BN16" s="76">
        <f>BT16/BT18*10+BU16/BU18+BX16/BX18*0.1+BV16/BV18*0.01</f>
        <v>0</v>
      </c>
      <c r="BP16" s="76">
        <f>IF(VLOOKUP(BD16,db_fifarank,2,0)="",MIN(db_fifarank),VLOOKUP(BD16,db_fifarank,2,0))</f>
        <v>25.524999999999999</v>
      </c>
      <c r="BQ16" s="76">
        <f t="shared" si="30"/>
        <v>1.8725239352921755E-2</v>
      </c>
      <c r="BR16" s="77">
        <f>10000000*BM16/BM18+100000*BN16/BN18+100*BL16+10*BH16/BH18+1*BN16/BN18+BQ16</f>
        <v>1.8725239352921755E-2</v>
      </c>
      <c r="BS16" s="77" t="str">
        <f>IF(SUM(BE14:BG17)&gt;0,O17,"3B")</f>
        <v>3B</v>
      </c>
      <c r="BT16" s="76">
        <f>SUMPRODUCT(($X$7:$X$42=BD16&amp;"_win")*($Z$7:$Z$42))+SUMPRODUCT(($Y$7:$Y$42=BD16&amp;"_win")*($Z$7:$Z$42))</f>
        <v>0</v>
      </c>
      <c r="BU16" s="76">
        <f>SUMPRODUCT(($X$7:$X$42=BD16&amp;"_draw")*($Z$7:$Z$42))+SUMPRODUCT(($Y$7:$Y$42=BD16&amp;"_draw")*($Z$7:$Z$42))</f>
        <v>0</v>
      </c>
      <c r="BV16" s="76">
        <f>SUMPRODUCT(($E$10:$E$45=BD16)*($Z$7:$Z$42)*($F$10:$F$45))+SUMPRODUCT(($H$10:$H$45=BD16)*($Z$7:$Z$42)*($G$10:$G$45))</f>
        <v>0</v>
      </c>
      <c r="BW16" s="76">
        <f>SUMPRODUCT(($E$10:$E$45=BD16)*($Z$7:$Z$42)*($G$10:$G$45))+SUMPRODUCT(($H$10:$H$45=BD16)*($Z$7:$Z$42)*($F$10:$F$45))</f>
        <v>0</v>
      </c>
      <c r="BX16" s="76">
        <f>BV16-BW16</f>
        <v>0</v>
      </c>
      <c r="BY16" s="77" t="str">
        <f>BD20</f>
        <v>England</v>
      </c>
      <c r="BZ16" s="77">
        <v>3</v>
      </c>
      <c r="CA16" s="77">
        <v>1</v>
      </c>
      <c r="CC16" s="76">
        <f>IFERROR(VLOOKUP("231",$AF$7:$AI$42,2,0),0) + IFERROR(VLOOKUP("231",$AJ$7:$AM$42,2,0),0)</f>
        <v>0</v>
      </c>
      <c r="CD16" s="76">
        <f>IFERROR(VLOOKUP("232",$AF$7:$AI$42,2,0),0) + IFERROR(VLOOKUP("232",$AJ$7:$AM$42,2,0),0)</f>
        <v>0</v>
      </c>
      <c r="CF16" s="76">
        <f>IFERROR(VLOOKUP("234",$AF$7:$AI$42,2,0),0) + IFERROR(VLOOKUP("234",$AJ$7:$AM$42,2,0),0)</f>
        <v>0</v>
      </c>
      <c r="CG16" s="77">
        <f>SUM(CC16:CF16)</f>
        <v>0</v>
      </c>
      <c r="CH16" s="76">
        <f>IFERROR(VLOOKUP("231",$AF$7:$AI$42,3,0),0) + IFERROR(VLOOKUP("231",$AJ$7:$AM$42,3,0),0)</f>
        <v>0</v>
      </c>
      <c r="CI16" s="76">
        <f>IFERROR(VLOOKUP("232",$AF$7:$AI$42,3,0),0) + IFERROR(VLOOKUP("232",$AJ$7:$AM$42,3,0),0)</f>
        <v>0</v>
      </c>
      <c r="CK16" s="76">
        <f>IFERROR(VLOOKUP("234",$AF$7:$AI$42,3,0),0) + IFERROR(VLOOKUP("234",$AJ$7:$AM$42,3,0),0)</f>
        <v>0</v>
      </c>
      <c r="CL16" s="77">
        <f>SUM(CH16:CK16)</f>
        <v>0</v>
      </c>
      <c r="CM16" s="77">
        <f>RANK(CL16,CL14:CL17)</f>
        <v>1</v>
      </c>
      <c r="CN16" s="76">
        <f>IFERROR(VLOOKUP("231",$AF$7:$AI$42,4,0),0) + IFERROR(VLOOKUP("231",$AJ$7:$AM$42,4,0),0)</f>
        <v>0</v>
      </c>
      <c r="CO16" s="76">
        <f>IFERROR(VLOOKUP("232",$AF$7:$AI$42,4,0),0) + IFERROR(VLOOKUP("232",$AJ$7:$AM$42,4,0),0)</f>
        <v>0</v>
      </c>
      <c r="CQ16" s="76">
        <f>IFERROR(VLOOKUP("234",$AF$7:$AI$42,4,0),0) + IFERROR(VLOOKUP("234",$AJ$7:$AM$42,4,0),0)</f>
        <v>0</v>
      </c>
      <c r="CR16" s="77">
        <f>SUM(CN16:CQ16)</f>
        <v>0</v>
      </c>
      <c r="CS16" s="76">
        <f>IF(CC18=CG16,CC16,0)</f>
        <v>0</v>
      </c>
      <c r="CT16" s="76">
        <f>IF(CD18=CG16,CD16,0)</f>
        <v>0</v>
      </c>
      <c r="CV16" s="76">
        <f>IF(CF18=CG16,CF16,0)</f>
        <v>0</v>
      </c>
      <c r="CW16" s="77">
        <f>SUM(CS16:CV16)</f>
        <v>0</v>
      </c>
      <c r="CX16" s="76">
        <f>IF(CC18=CG16,CH16,0)</f>
        <v>0</v>
      </c>
      <c r="CY16" s="76">
        <f>IF(CD18=CG16,CI16,0)</f>
        <v>0</v>
      </c>
      <c r="DA16" s="76">
        <f>IF(CF18=CG16,CK16,0)</f>
        <v>0</v>
      </c>
      <c r="DB16" s="77">
        <f>SUM(CX16:DA16)</f>
        <v>0</v>
      </c>
      <c r="DC16" s="77">
        <f>RANK(DB16,DB14:DB17)</f>
        <v>1</v>
      </c>
      <c r="DD16" s="76">
        <f>IF(CC18=CG16,CN16,0)</f>
        <v>0</v>
      </c>
      <c r="DE16" s="76">
        <f>IF(CD18=CG16,CO16,0)</f>
        <v>0</v>
      </c>
      <c r="DG16" s="76">
        <f>IF(CF18=CG16,CQ16,0)</f>
        <v>0</v>
      </c>
      <c r="DH16" s="77">
        <f>SUM(DD16:DG16)</f>
        <v>0</v>
      </c>
      <c r="DI16" s="77">
        <f>CG16*10000+CW16*100+(5-DC16)+DH16/10</f>
        <v>4</v>
      </c>
      <c r="DJ16" s="77">
        <f>RANK(DI16,DI14:DI17)</f>
        <v>1</v>
      </c>
      <c r="DK16" s="76">
        <f>IF(DK18=DJ16,CC16,0)</f>
        <v>0</v>
      </c>
      <c r="DL16" s="76">
        <f>IF(DL18=DJ16,CD16,0)</f>
        <v>0</v>
      </c>
      <c r="DN16" s="76">
        <f>IF(DN18=DJ16,CF16,0)</f>
        <v>0</v>
      </c>
      <c r="DO16" s="77">
        <f>SUM(DK16:DN16)</f>
        <v>0</v>
      </c>
      <c r="DP16" s="77">
        <f>(5-DJ16)*10000+DO16*100+(5-CM16)+CR16/10+(5-DX16)/100+BQ16/10000</f>
        <v>40004.040001872527</v>
      </c>
      <c r="DQ16" s="77">
        <f>RANK(DP16,DP14:DP17)</f>
        <v>3</v>
      </c>
      <c r="DS16" s="76">
        <f>IFERROR(VLOOKUP("231",$AX$7:$AY$42,2,0),0) + IFERROR(VLOOKUP("231",$AZ$7:$BA$42,2,0),0)</f>
        <v>0</v>
      </c>
      <c r="DT16" s="76">
        <f>IFERROR(VLOOKUP("232",$AX$7:$AY$42,2,0),0) + IFERROR(VLOOKUP("232",$AZ$7:$BA$42,2,0),0)</f>
        <v>0</v>
      </c>
      <c r="DV16" s="76">
        <f>IFERROR(VLOOKUP("234",$AX$7:$AY$42,2,0),0) + IFERROR(VLOOKUP("234",$AZ$7:$BA$42,2,0),0)</f>
        <v>0</v>
      </c>
      <c r="DW16" s="77">
        <f>SUM(DS16:DV16)</f>
        <v>0</v>
      </c>
      <c r="DX16" s="77">
        <f>RANK(DW16,DW14:DW17)</f>
        <v>1</v>
      </c>
      <c r="DZ16" s="77" t="str">
        <f>BD16</f>
        <v>Croatia</v>
      </c>
      <c r="EA16" s="77">
        <f>EI16*10000+EO16*100+ET16</f>
        <v>100</v>
      </c>
      <c r="EB16" s="76">
        <f>COUNTIF(EA14:EA17,EA16)</f>
        <v>4</v>
      </c>
      <c r="EC16" s="76">
        <f>COUNTIF(CG14:CG17,CG16)</f>
        <v>4</v>
      </c>
      <c r="ED16" s="77">
        <f>IF(AND(EB16&gt;=2,EC16=2),EA16,-EA16-0.2)</f>
        <v>-100.2</v>
      </c>
      <c r="EE16" s="76">
        <f>IFERROR(VLOOKUP("231",$AO$7:$AR$42,2,0),0) + IFERROR(VLOOKUP("231",$AS$7:$AV$42,2,0),0)</f>
        <v>0</v>
      </c>
      <c r="EF16" s="76">
        <f>IFERROR(VLOOKUP("232",$AO$7:$AR$42,2,0),0) + IFERROR(VLOOKUP("232",$AS$7:$AV$42,2,0),0)</f>
        <v>0</v>
      </c>
      <c r="EH16" s="76">
        <f>IFERROR(VLOOKUP("234",$AO$7:$AR$42,2,0),0) + IFERROR(VLOOKUP("234",$AS$7:$AV$42,2,0),0)</f>
        <v>0</v>
      </c>
      <c r="EI16" s="77">
        <f>SUM(EE16:EH16)</f>
        <v>0</v>
      </c>
      <c r="EJ16" s="76">
        <f>IFERROR(VLOOKUP("231",$AO$7:$AR$42,3,0),0) + IFERROR(VLOOKUP("231",$AS$7:$AV$42,3,0),0)</f>
        <v>0</v>
      </c>
      <c r="EK16" s="76">
        <f>IFERROR(VLOOKUP("232",$AO$7:$AR$42,3,0),0) + IFERROR(VLOOKUP("232",$AS$7:$AV$42,3,0),0)</f>
        <v>0</v>
      </c>
      <c r="EM16" s="76">
        <f>IFERROR(VLOOKUP("234",$AO$7:$AR$42,3,0),0) + IFERROR(VLOOKUP("234",$AS$7:$AV$42,3,0),0)</f>
        <v>0</v>
      </c>
      <c r="EN16" s="77">
        <f>SUM(EJ16:EM16)</f>
        <v>0</v>
      </c>
      <c r="EO16" s="77">
        <f>RANK(EN16,EN14:EN17)</f>
        <v>1</v>
      </c>
      <c r="EP16" s="76">
        <f>IFERROR(VLOOKUP("231",$AO$7:$AR$42,4,0),0) + IFERROR(VLOOKUP("231",$AS$7:$AV$42,4,0),0)</f>
        <v>0</v>
      </c>
      <c r="EQ16" s="76">
        <f>IFERROR(VLOOKUP("232",$AO$7:$AR$42,4,0),0) + IFERROR(VLOOKUP("232",$AS$7:$AV$42,4,0),0)</f>
        <v>0</v>
      </c>
      <c r="ES16" s="76">
        <f>IFERROR(VLOOKUP("234",$AO$7:$AR$42,4,0),0) + IFERROR(VLOOKUP("234",$AS$7:$AV$42,4,0),0)</f>
        <v>0</v>
      </c>
      <c r="ET16" s="77">
        <f>SUM(EP16:ES16)</f>
        <v>0</v>
      </c>
      <c r="EV16" s="75"/>
      <c r="EW16" s="32"/>
      <c r="EX16" s="32"/>
      <c r="EY16" s="32"/>
      <c r="EZ16" s="32"/>
      <c r="FA16" s="32"/>
      <c r="FB16" s="32"/>
      <c r="FC16" s="32"/>
      <c r="FD16" s="32"/>
      <c r="FE16" s="32"/>
      <c r="FF16" s="62"/>
      <c r="FG16" s="32"/>
      <c r="FH16" s="134"/>
      <c r="FI16" s="47" t="str">
        <f>Y57</f>
        <v>W45</v>
      </c>
      <c r="FJ16" s="48"/>
      <c r="FK16" s="89"/>
      <c r="FL16" s="32"/>
      <c r="FM16" s="32"/>
      <c r="FN16" s="32"/>
      <c r="FO16" s="32"/>
      <c r="FP16" s="32"/>
      <c r="FQ16" s="32"/>
    </row>
    <row r="17" spans="1:173">
      <c r="A17" s="49">
        <v>8</v>
      </c>
      <c r="B17" s="50" t="str">
        <f t="shared" si="27"/>
        <v>Mon</v>
      </c>
      <c r="C17" s="51" t="str">
        <f t="shared" si="28"/>
        <v>Jun 17, 2024</v>
      </c>
      <c r="D17" s="52">
        <f t="shared" si="29"/>
        <v>0.41666666666666669</v>
      </c>
      <c r="E17" s="53" t="str">
        <f>BD34</f>
        <v>Romania</v>
      </c>
      <c r="F17" s="41"/>
      <c r="G17" s="42"/>
      <c r="H17" s="54" t="str">
        <f>BD33</f>
        <v>Ukraine</v>
      </c>
      <c r="I17" s="133" t="str">
        <f>INDEX(T,103,lang)</f>
        <v>Munich</v>
      </c>
      <c r="J17" s="133"/>
      <c r="K17" s="133"/>
      <c r="L17" s="29"/>
      <c r="M17" s="29"/>
      <c r="O17" s="44" t="str">
        <f>VLOOKUP(3,BC14:BM17,2,0)</f>
        <v>Croatia</v>
      </c>
      <c r="P17" s="45">
        <f>Q17+R17+S17</f>
        <v>0</v>
      </c>
      <c r="Q17" s="45">
        <f>VLOOKUP(3,BC14:BM17,3,0)</f>
        <v>0</v>
      </c>
      <c r="R17" s="45">
        <f>VLOOKUP(3,BC14:BM17,4,0)</f>
        <v>0</v>
      </c>
      <c r="S17" s="45">
        <f>VLOOKUP(3,BC14:BM17,5,0)</f>
        <v>0</v>
      </c>
      <c r="T17" s="45" t="str">
        <f>VLOOKUP(3,BC14:BM17,6,0) &amp; " - " &amp; VLOOKUP(3,BC14:BM17,7,0)</f>
        <v>0 - 0</v>
      </c>
      <c r="U17" s="46">
        <f>Q17*3+R17</f>
        <v>0</v>
      </c>
      <c r="W17" s="76">
        <f>DATE(2024,6,18)+TIME(5,0,0)+gmt_delta</f>
        <v>45461.541666666672</v>
      </c>
      <c r="X17" s="78" t="str">
        <f t="shared" si="0"/>
        <v/>
      </c>
      <c r="Y17" s="78" t="str">
        <f t="shared" si="1"/>
        <v/>
      </c>
      <c r="Z17" s="77">
        <f t="shared" si="2"/>
        <v>0</v>
      </c>
      <c r="AA17" s="76">
        <f t="shared" si="3"/>
        <v>0</v>
      </c>
      <c r="AB17" s="76">
        <f t="shared" si="4"/>
        <v>0</v>
      </c>
      <c r="AC17" s="76">
        <f t="shared" si="5"/>
        <v>6</v>
      </c>
      <c r="AD17" s="76">
        <f t="shared" si="6"/>
        <v>2</v>
      </c>
      <c r="AE17" s="76">
        <f t="shared" si="7"/>
        <v>4</v>
      </c>
      <c r="AF17" s="76" t="str">
        <f t="shared" si="8"/>
        <v>624</v>
      </c>
      <c r="AG17" s="76">
        <f t="shared" si="9"/>
        <v>0</v>
      </c>
      <c r="AH17" s="76">
        <f t="shared" si="10"/>
        <v>0</v>
      </c>
      <c r="AI17" s="76">
        <f t="shared" si="11"/>
        <v>0</v>
      </c>
      <c r="AJ17" s="76" t="str">
        <f t="shared" si="12"/>
        <v>642</v>
      </c>
      <c r="AK17" s="76">
        <f t="shared" si="13"/>
        <v>0</v>
      </c>
      <c r="AL17" s="76">
        <f t="shared" si="14"/>
        <v>0</v>
      </c>
      <c r="AM17" s="76">
        <f t="shared" si="15"/>
        <v>0</v>
      </c>
      <c r="AO17" s="76" t="str">
        <f t="shared" si="16"/>
        <v>624</v>
      </c>
      <c r="AP17" s="76">
        <f t="shared" si="17"/>
        <v>0</v>
      </c>
      <c r="AQ17" s="76">
        <f t="shared" si="18"/>
        <v>0</v>
      </c>
      <c r="AR17" s="76">
        <f t="shared" si="19"/>
        <v>0</v>
      </c>
      <c r="AS17" s="76" t="str">
        <f t="shared" si="20"/>
        <v>642</v>
      </c>
      <c r="AT17" s="76">
        <f t="shared" si="21"/>
        <v>0</v>
      </c>
      <c r="AU17" s="76">
        <f t="shared" si="22"/>
        <v>0</v>
      </c>
      <c r="AV17" s="76">
        <f t="shared" si="23"/>
        <v>0</v>
      </c>
      <c r="AX17" s="76" t="str">
        <f t="shared" si="24"/>
        <v>624</v>
      </c>
      <c r="AY17" s="76">
        <v>0</v>
      </c>
      <c r="AZ17" s="76" t="str">
        <f t="shared" si="25"/>
        <v>642</v>
      </c>
      <c r="BA17" s="76">
        <v>0</v>
      </c>
      <c r="BC17" s="76">
        <f>DQ17</f>
        <v>4</v>
      </c>
      <c r="BD17" s="77" t="str">
        <f>INDEX(T,38,lang)</f>
        <v>Albania</v>
      </c>
      <c r="BE17" s="76">
        <f>COUNTIF($X$7:$Y$42,"=" &amp; BD17 &amp; "_win")</f>
        <v>0</v>
      </c>
      <c r="BF17" s="76">
        <f>COUNTIF($X$7:$Y$42,"=" &amp; BD17 &amp; "_draw")</f>
        <v>0</v>
      </c>
      <c r="BG17" s="76">
        <f>COUNTIF($X$7:$Y$42,"=" &amp; BD17 &amp; "_lose")</f>
        <v>0</v>
      </c>
      <c r="BH17" s="76">
        <f>SUMIF($E$10:$E$45,$BD17,$F$10:$F$45) + SUMIF($H$10:$H$45,$BD17,$G$10:$G$45)</f>
        <v>0</v>
      </c>
      <c r="BI17" s="76">
        <f>SUMIF($E$10:$E$45,$BD17,$G$10:$G$45) + SUMIF($H$10:$H$45,$BD17,$F$10:$F$45)</f>
        <v>0</v>
      </c>
      <c r="BJ17" s="76">
        <f>BM17*10000</f>
        <v>0</v>
      </c>
      <c r="BK17" s="76">
        <f>BH17-BI17</f>
        <v>0</v>
      </c>
      <c r="BL17" s="76">
        <f>(BK17-BK19)/BK18</f>
        <v>0</v>
      </c>
      <c r="BM17" s="76">
        <f>BE17*3+BF17</f>
        <v>0</v>
      </c>
      <c r="BN17" s="76">
        <f>BT17/BT18*10+BU17/BU18+BX17/BX18*0.1+BV17/BV18*0.01</f>
        <v>0</v>
      </c>
      <c r="BP17" s="76">
        <f>IF(VLOOKUP(BD17,db_fifarank,2,0)="",MIN(db_fifarank),VLOOKUP(BD17,db_fifarank,2,0))</f>
        <v>7.375</v>
      </c>
      <c r="BQ17" s="76">
        <f t="shared" si="30"/>
        <v>0</v>
      </c>
      <c r="BR17" s="77">
        <f>10000000*BM17/BM18+100000*BN17/BN18+100*BL17+10*BH17/BH18+1*BN17/BN18+BQ17</f>
        <v>0</v>
      </c>
      <c r="BT17" s="76">
        <f>SUMPRODUCT(($X$7:$X$42=BD17&amp;"_win")*($Z$7:$Z$42))+SUMPRODUCT(($Y$7:$Y$42=BD17&amp;"_win")*($Z$7:$Z$42))</f>
        <v>0</v>
      </c>
      <c r="BU17" s="76">
        <f>SUMPRODUCT(($X$7:$X$42=BD17&amp;"_draw")*($Z$7:$Z$42))+SUMPRODUCT(($Y$7:$Y$42=BD17&amp;"_draw")*($Z$7:$Z$42))</f>
        <v>0</v>
      </c>
      <c r="BV17" s="76">
        <f>SUMPRODUCT(($E$10:$E$45=BD17)*($Z$7:$Z$42)*($F$10:$F$45))+SUMPRODUCT(($H$10:$H$45=BD17)*($Z$7:$Z$42)*($G$10:$G$45))</f>
        <v>0</v>
      </c>
      <c r="BW17" s="76">
        <f>SUMPRODUCT(($E$10:$E$45=BD17)*($Z$7:$Z$42)*($G$10:$G$45))+SUMPRODUCT(($H$10:$H$45=BD17)*($Z$7:$Z$42)*($F$10:$F$45))</f>
        <v>0</v>
      </c>
      <c r="BX17" s="76">
        <f>BV17-BW17</f>
        <v>0</v>
      </c>
      <c r="BY17" s="77" t="str">
        <f>BD21</f>
        <v>Denmark</v>
      </c>
      <c r="BZ17" s="77">
        <v>3</v>
      </c>
      <c r="CA17" s="77">
        <v>2</v>
      </c>
      <c r="CC17" s="76">
        <f>IFERROR(VLOOKUP("241",$AF$7:$AI$42,2,0),0) + IFERROR(VLOOKUP("241",$AJ$7:$AM$42,2,0),0)</f>
        <v>0</v>
      </c>
      <c r="CD17" s="76">
        <f>IFERROR(VLOOKUP("242",$AF$7:$AI$42,2,0),0) + IFERROR(VLOOKUP("242",$AJ$7:$AM$42,2,0),0)</f>
        <v>0</v>
      </c>
      <c r="CE17" s="76">
        <f>IFERROR(VLOOKUP("243",$AF$7:$AI$42,2,0),0) + IFERROR(VLOOKUP("243",$AJ$7:$AM$42,2,0),0)</f>
        <v>0</v>
      </c>
      <c r="CG17" s="77">
        <f>SUM(CC17:CF17)</f>
        <v>0</v>
      </c>
      <c r="CH17" s="76">
        <f>IFERROR(VLOOKUP("241",$AF$7:$AI$42,3,0),0) + IFERROR(VLOOKUP("241",$AJ$7:$AM$42,3,0),0)</f>
        <v>0</v>
      </c>
      <c r="CI17" s="76">
        <f>IFERROR(VLOOKUP("242",$AF$7:$AI$42,3,0),0) + IFERROR(VLOOKUP("242",$AJ$7:$AM$42,3,0),0)</f>
        <v>0</v>
      </c>
      <c r="CJ17" s="76">
        <f>IFERROR(VLOOKUP("243",$AF$7:$AI$42,3,0),0) + IFERROR(VLOOKUP("243",$AJ$7:$AM$42,3,0),0)</f>
        <v>0</v>
      </c>
      <c r="CL17" s="77">
        <f>SUM(CH17:CK17)</f>
        <v>0</v>
      </c>
      <c r="CM17" s="77">
        <f>RANK(CL17,CL14:CL17)</f>
        <v>1</v>
      </c>
      <c r="CN17" s="76">
        <f>IFERROR(VLOOKUP("241",$AF$7:$AI$42,4,0),0) + IFERROR(VLOOKUP("241",$AJ$7:$AM$42,4,0),0)</f>
        <v>0</v>
      </c>
      <c r="CO17" s="76">
        <f>IFERROR(VLOOKUP("242",$AF$7:$AI$42,4,0),0) + IFERROR(VLOOKUP("242",$AJ$7:$AM$42,4,0),0)</f>
        <v>0</v>
      </c>
      <c r="CP17" s="76">
        <f>IFERROR(VLOOKUP("243",$AF$7:$AI$42,4,0),0) + IFERROR(VLOOKUP("243",$AJ$7:$AM$42,4,0),0)</f>
        <v>0</v>
      </c>
      <c r="CR17" s="77">
        <f>SUM(CN17:CQ17)</f>
        <v>0</v>
      </c>
      <c r="CS17" s="76">
        <f>IF(CC18=CG17,CC17,0)</f>
        <v>0</v>
      </c>
      <c r="CT17" s="76">
        <f>IF(CD18=CG17,CD17,0)</f>
        <v>0</v>
      </c>
      <c r="CU17" s="76">
        <f>IF(CE18=CG17,CE17,0)</f>
        <v>0</v>
      </c>
      <c r="CW17" s="77">
        <f>SUM(CS17:CV17)</f>
        <v>0</v>
      </c>
      <c r="CX17" s="76">
        <f>IF(CC18=CG17,CH17,0)</f>
        <v>0</v>
      </c>
      <c r="CY17" s="76">
        <f>IF(CD18=CG17,CI17,0)</f>
        <v>0</v>
      </c>
      <c r="CZ17" s="76">
        <f>IF(CE18=CG17,CJ17,0)</f>
        <v>0</v>
      </c>
      <c r="DB17" s="77">
        <f>SUM(CX17:DA17)</f>
        <v>0</v>
      </c>
      <c r="DC17" s="77">
        <f>RANK(DB17,DB14:DB17)</f>
        <v>1</v>
      </c>
      <c r="DD17" s="76">
        <f>IF(CC18=CG17,CN17,0)</f>
        <v>0</v>
      </c>
      <c r="DE17" s="76">
        <f>IF(CD18=CG17,CO17,0)</f>
        <v>0</v>
      </c>
      <c r="DF17" s="76">
        <f>IF(CE18=CG17,CP17,0)</f>
        <v>0</v>
      </c>
      <c r="DH17" s="77">
        <f>SUM(DD17:DG17)</f>
        <v>0</v>
      </c>
      <c r="DI17" s="77">
        <f>CG17*10000+CW17*100+(5-DC17)+DH17/10</f>
        <v>4</v>
      </c>
      <c r="DJ17" s="77">
        <f>RANK(DI17,DI14:DI17)</f>
        <v>1</v>
      </c>
      <c r="DK17" s="76">
        <f>IF(DK18=DJ17,CC17,0)</f>
        <v>0</v>
      </c>
      <c r="DL17" s="76">
        <f>IF(DL18=DJ17,CD17,0)</f>
        <v>0</v>
      </c>
      <c r="DM17" s="76">
        <f>IF(DM18=DJ17,CE17,0)</f>
        <v>0</v>
      </c>
      <c r="DO17" s="77">
        <f>SUM(DK17:DN17)</f>
        <v>0</v>
      </c>
      <c r="DP17" s="77">
        <f>(5-DJ17)*10000+DO17*100+(5-CM17)+CR17/10+(5-DX17)/100+BQ17/10000</f>
        <v>40004.04</v>
      </c>
      <c r="DQ17" s="77">
        <f>RANK(DP17,DP14:DP17)</f>
        <v>4</v>
      </c>
      <c r="DS17" s="76">
        <f>IFERROR(VLOOKUP("241",$AX$7:$AY$42,2,0),0) + IFERROR(VLOOKUP("241",$AZ$7:$BA$42,2,0),0)</f>
        <v>0</v>
      </c>
      <c r="DT17" s="76">
        <f>IFERROR(VLOOKUP("242",$AX$7:$AY$42,2,0),0) + IFERROR(VLOOKUP("242",$AZ$7:$BA$42,2,0),0)</f>
        <v>0</v>
      </c>
      <c r="DU17" s="76">
        <f>IFERROR(VLOOKUP("243",$AX$7:$AY$42,2,0),0) + IFERROR(VLOOKUP("243",$AZ$7:$BA$42,2,0),0)</f>
        <v>0</v>
      </c>
      <c r="DW17" s="77">
        <f>SUM(DS17:DV17)</f>
        <v>0</v>
      </c>
      <c r="DX17" s="77">
        <f>RANK(DW17,DW14:DW17)</f>
        <v>1</v>
      </c>
      <c r="DZ17" s="77" t="str">
        <f>BD17</f>
        <v>Albania</v>
      </c>
      <c r="EA17" s="77">
        <f>EI17*10000+EO17*100+ET17</f>
        <v>100</v>
      </c>
      <c r="EB17" s="76">
        <f>COUNTIF(EA14:EA17,EA17)</f>
        <v>4</v>
      </c>
      <c r="EC17" s="76">
        <f>COUNTIF(CG14:CG17,CG17)</f>
        <v>4</v>
      </c>
      <c r="ED17" s="77">
        <f>IF(AND(EB17&gt;=2,EC17=2),EA17,-EA17-0.1)</f>
        <v>-100.1</v>
      </c>
      <c r="EE17" s="76">
        <f>IFERROR(VLOOKUP("241",$AO$7:$AR$42,2,0),0) + IFERROR(VLOOKUP("241",$AS$7:$AV$42,2,0),0)</f>
        <v>0</v>
      </c>
      <c r="EF17" s="76">
        <f>IFERROR(VLOOKUP("242",$AO$7:$AR$42,2,0),0) + IFERROR(VLOOKUP("242",$AS$7:$AV$42,2,0),0)</f>
        <v>0</v>
      </c>
      <c r="EG17" s="76">
        <f>IFERROR(VLOOKUP("243",$AO$7:$AR$42,2,0),0) + IFERROR(VLOOKUP("243",$AS$7:$AV$42,2,0),0)</f>
        <v>0</v>
      </c>
      <c r="EI17" s="77">
        <f>SUM(EE17:EH17)</f>
        <v>0</v>
      </c>
      <c r="EJ17" s="76">
        <f>IFERROR(VLOOKUP("241",$AO$7:$AR$42,3,0),0) + IFERROR(VLOOKUP("241",$AS$7:$AV$42,3,0),0)</f>
        <v>0</v>
      </c>
      <c r="EK17" s="76">
        <f>IFERROR(VLOOKUP("242",$AO$7:$AR$42,3,0),0) + IFERROR(VLOOKUP("242",$AS$7:$AV$42,3,0),0)</f>
        <v>0</v>
      </c>
      <c r="EL17" s="76">
        <f>IFERROR(VLOOKUP("243",$AO$7:$AR$42,3,0),0) + IFERROR(VLOOKUP("243",$AS$7:$AV$42,3,0),0)</f>
        <v>0</v>
      </c>
      <c r="EN17" s="77">
        <f>SUM(EJ17:EM17)</f>
        <v>0</v>
      </c>
      <c r="EO17" s="77">
        <f>RANK(EN17,EN14:EN17)</f>
        <v>1</v>
      </c>
      <c r="EP17" s="76">
        <f>IFERROR(VLOOKUP("241",$AO$7:$AR$42,4,0),0) + IFERROR(VLOOKUP("241",$AS$7:$AV$42,4,0),0)</f>
        <v>0</v>
      </c>
      <c r="EQ17" s="76">
        <f>IFERROR(VLOOKUP("242",$AO$7:$AR$42,4,0),0) + IFERROR(VLOOKUP("242",$AS$7:$AV$42,4,0),0)</f>
        <v>0</v>
      </c>
      <c r="ER17" s="76">
        <f>IFERROR(VLOOKUP("243",$AO$7:$AR$42,4,0),0) + IFERROR(VLOOKUP("243",$AS$7:$AV$42,4,0),0)</f>
        <v>0</v>
      </c>
      <c r="ET17" s="77">
        <f>SUM(EP17:ES17)</f>
        <v>0</v>
      </c>
      <c r="EV17" s="75" t="str">
        <f>VLOOKUP(EV18,$Z$46:$AC$53,2,0)</f>
        <v>Jun 29, 2024   16:00</v>
      </c>
      <c r="EW17" s="32"/>
      <c r="EX17" s="32"/>
      <c r="EY17" s="32"/>
      <c r="EZ17" s="32"/>
      <c r="FA17" s="32"/>
      <c r="FB17" s="32"/>
      <c r="FC17" s="32"/>
      <c r="FD17" s="32"/>
      <c r="FE17" s="32"/>
      <c r="FF17" s="62"/>
      <c r="FG17" s="63"/>
      <c r="FH17" s="134"/>
      <c r="FI17" s="55" t="str">
        <f>Y58</f>
        <v>W46</v>
      </c>
      <c r="FJ17" s="56"/>
      <c r="FK17" s="57"/>
      <c r="FL17" s="58"/>
      <c r="FM17" s="66"/>
      <c r="FN17" s="32"/>
      <c r="FO17" s="32"/>
      <c r="FP17" s="32"/>
      <c r="FQ17" s="32"/>
    </row>
    <row r="18" spans="1:173">
      <c r="A18" s="49">
        <v>9</v>
      </c>
      <c r="B18" s="50" t="str">
        <f t="shared" si="27"/>
        <v>Mon</v>
      </c>
      <c r="C18" s="51" t="str">
        <f t="shared" si="28"/>
        <v>Jun 17, 2024</v>
      </c>
      <c r="D18" s="52">
        <f t="shared" si="29"/>
        <v>0.54166666666666663</v>
      </c>
      <c r="E18" s="53" t="str">
        <f>BD32</f>
        <v>Belgium</v>
      </c>
      <c r="F18" s="41"/>
      <c r="G18" s="42"/>
      <c r="H18" s="54" t="str">
        <f>BD35</f>
        <v>Slovakia</v>
      </c>
      <c r="I18" s="133" t="str">
        <f>INDEX(T,106,lang)</f>
        <v>Frankfurt</v>
      </c>
      <c r="J18" s="133"/>
      <c r="K18" s="133"/>
      <c r="L18" s="29"/>
      <c r="M18" s="29"/>
      <c r="O18" s="59" t="str">
        <f>VLOOKUP(4,BC14:BM17,2,0)</f>
        <v>Albania</v>
      </c>
      <c r="P18" s="60">
        <f>Q18+R18+S18</f>
        <v>0</v>
      </c>
      <c r="Q18" s="60">
        <f>VLOOKUP(4,BC14:BM17,3,0)</f>
        <v>0</v>
      </c>
      <c r="R18" s="60">
        <f>VLOOKUP(4,BC14:BM17,4,0)</f>
        <v>0</v>
      </c>
      <c r="S18" s="60">
        <f>VLOOKUP(4,BC14:BM17,5,0)</f>
        <v>0</v>
      </c>
      <c r="T18" s="60" t="str">
        <f>VLOOKUP(4,BC14:BM17,6,0) &amp; " - " &amp; VLOOKUP(4,BC14:BM17,7,0)</f>
        <v>0 - 0</v>
      </c>
      <c r="U18" s="61">
        <f>Q18*3+R18</f>
        <v>0</v>
      </c>
      <c r="W18" s="76">
        <f>DATE(2024,6,18)+TIME(8,0,0)+gmt_delta</f>
        <v>45461.666666666672</v>
      </c>
      <c r="X18" s="78" t="str">
        <f t="shared" si="0"/>
        <v/>
      </c>
      <c r="Y18" s="78" t="str">
        <f t="shared" si="1"/>
        <v/>
      </c>
      <c r="Z18" s="77">
        <f t="shared" si="2"/>
        <v>0</v>
      </c>
      <c r="AA18" s="76">
        <f t="shared" si="3"/>
        <v>0</v>
      </c>
      <c r="AB18" s="76">
        <f t="shared" si="4"/>
        <v>0</v>
      </c>
      <c r="AC18" s="76">
        <f t="shared" si="5"/>
        <v>6</v>
      </c>
      <c r="AD18" s="76">
        <f t="shared" si="6"/>
        <v>1</v>
      </c>
      <c r="AE18" s="76">
        <f t="shared" si="7"/>
        <v>3</v>
      </c>
      <c r="AF18" s="76" t="str">
        <f t="shared" si="8"/>
        <v>613</v>
      </c>
      <c r="AG18" s="76">
        <f t="shared" si="9"/>
        <v>0</v>
      </c>
      <c r="AH18" s="76">
        <f t="shared" si="10"/>
        <v>0</v>
      </c>
      <c r="AI18" s="76">
        <f t="shared" si="11"/>
        <v>0</v>
      </c>
      <c r="AJ18" s="76" t="str">
        <f t="shared" si="12"/>
        <v>631</v>
      </c>
      <c r="AK18" s="76">
        <f t="shared" si="13"/>
        <v>0</v>
      </c>
      <c r="AL18" s="76">
        <f t="shared" si="14"/>
        <v>0</v>
      </c>
      <c r="AM18" s="76">
        <f t="shared" si="15"/>
        <v>0</v>
      </c>
      <c r="AO18" s="76" t="str">
        <f t="shared" si="16"/>
        <v>613</v>
      </c>
      <c r="AP18" s="76">
        <f t="shared" si="17"/>
        <v>0</v>
      </c>
      <c r="AQ18" s="76">
        <f t="shared" si="18"/>
        <v>0</v>
      </c>
      <c r="AR18" s="76">
        <f t="shared" si="19"/>
        <v>0</v>
      </c>
      <c r="AS18" s="76" t="str">
        <f t="shared" si="20"/>
        <v>631</v>
      </c>
      <c r="AT18" s="76">
        <f t="shared" si="21"/>
        <v>0</v>
      </c>
      <c r="AU18" s="76">
        <f t="shared" si="22"/>
        <v>0</v>
      </c>
      <c r="AV18" s="76">
        <f t="shared" si="23"/>
        <v>0</v>
      </c>
      <c r="AX18" s="76" t="str">
        <f t="shared" si="24"/>
        <v>613</v>
      </c>
      <c r="AY18" s="76">
        <v>0</v>
      </c>
      <c r="AZ18" s="76" t="str">
        <f t="shared" si="25"/>
        <v>631</v>
      </c>
      <c r="BA18" s="76">
        <v>0</v>
      </c>
      <c r="BE18" s="76">
        <f>MAX(BE14:BE17)-MIN(BE14:BE17)+1</f>
        <v>1</v>
      </c>
      <c r="BF18" s="76">
        <f>MAX(BF14:BF17)-MIN(BF14:BF17)+1</f>
        <v>1</v>
      </c>
      <c r="BG18" s="76">
        <f>MAX(BG14:BG17)-MIN(BG14:BG17)+1</f>
        <v>1</v>
      </c>
      <c r="BH18" s="76">
        <f>MAX(BH14:BH17)-MIN(BH14:BH17)+1</f>
        <v>1</v>
      </c>
      <c r="BI18" s="76">
        <f>MAX(BI14:BI17)-MIN(BI14:BI17)+1</f>
        <v>1</v>
      </c>
      <c r="BJ18" s="76">
        <f>MAX(BJ14:BJ17)-BJ19+1</f>
        <v>1</v>
      </c>
      <c r="BK18" s="76">
        <f>MAX(BK14:BK17)-BK19+1</f>
        <v>1</v>
      </c>
      <c r="BM18" s="76">
        <f>MAX(BM14:BM17)-MIN(BM14:BM17)+1</f>
        <v>1</v>
      </c>
      <c r="BN18" s="76">
        <f>MAX(BN14:BN17)-MIN(BN14:BN17)+1</f>
        <v>1</v>
      </c>
      <c r="BT18" s="76">
        <f>MAX(BT14:BT17)-MIN(BT14:BT17)+1</f>
        <v>1</v>
      </c>
      <c r="BU18" s="76">
        <f>MAX(BU14:BU17)-MIN(BU14:BU17)+1</f>
        <v>1</v>
      </c>
      <c r="BV18" s="76">
        <f>MAX(BV14:BV17)-MIN(BV14:BV17)+1</f>
        <v>1</v>
      </c>
      <c r="BW18" s="76">
        <f>MAX(BW14:BW17)-MIN(BW14:BW17)+1</f>
        <v>1</v>
      </c>
      <c r="BX18" s="76">
        <f>MAX(BX14:BX17)-MIN(BX14:BX17)+1</f>
        <v>1</v>
      </c>
      <c r="BY18" s="77" t="str">
        <f>BD22</f>
        <v>Serbia</v>
      </c>
      <c r="BZ18" s="77">
        <v>3</v>
      </c>
      <c r="CA18" s="77">
        <v>3</v>
      </c>
      <c r="CC18" s="76">
        <f>CG14</f>
        <v>0</v>
      </c>
      <c r="CD18" s="76">
        <f>CG15</f>
        <v>0</v>
      </c>
      <c r="CE18" s="76">
        <f>CG16</f>
        <v>0</v>
      </c>
      <c r="CF18" s="76">
        <f>CG17</f>
        <v>0</v>
      </c>
      <c r="DK18" s="76">
        <f>DJ14</f>
        <v>1</v>
      </c>
      <c r="DL18" s="76">
        <f>DJ15</f>
        <v>1</v>
      </c>
      <c r="DM18" s="76">
        <f>DJ16</f>
        <v>1</v>
      </c>
      <c r="DN18" s="76">
        <f>DJ17</f>
        <v>1</v>
      </c>
      <c r="DO18" s="77">
        <f>SUM(DK18:DN18)</f>
        <v>4</v>
      </c>
      <c r="DS18" s="76">
        <f>DW14</f>
        <v>0</v>
      </c>
      <c r="DT18" s="76">
        <f>DW15</f>
        <v>0</v>
      </c>
      <c r="DU18" s="76">
        <f>DW16</f>
        <v>0</v>
      </c>
      <c r="DV18" s="76">
        <f>DW17</f>
        <v>0</v>
      </c>
      <c r="EE18" s="76">
        <f>EI14</f>
        <v>0</v>
      </c>
      <c r="EF18" s="76">
        <f>EI15</f>
        <v>0</v>
      </c>
      <c r="EG18" s="76">
        <f>EI16</f>
        <v>0</v>
      </c>
      <c r="EH18" s="76">
        <f>EI17</f>
        <v>0</v>
      </c>
      <c r="EV18" s="132">
        <v>2</v>
      </c>
      <c r="EW18" s="47" t="str">
        <f>VLOOKUP(EV18,$Z$46:$AC$53,3,0)</f>
        <v>1A</v>
      </c>
      <c r="EX18" s="48"/>
      <c r="EY18" s="89"/>
      <c r="EZ18" s="32"/>
      <c r="FA18" s="32"/>
      <c r="FB18" s="32"/>
      <c r="FC18" s="32"/>
      <c r="FD18" s="32"/>
      <c r="FE18" s="32"/>
      <c r="FF18" s="62"/>
      <c r="FG18" s="32"/>
      <c r="FH18" s="32"/>
      <c r="FI18" s="32"/>
      <c r="FJ18" s="32"/>
      <c r="FK18" s="32"/>
      <c r="FL18" s="62"/>
      <c r="FM18" s="32"/>
      <c r="FN18" s="32"/>
      <c r="FO18" s="32"/>
      <c r="FP18" s="32"/>
      <c r="FQ18" s="32"/>
    </row>
    <row r="19" spans="1:173">
      <c r="A19" s="49">
        <v>10</v>
      </c>
      <c r="B19" s="50" t="str">
        <f t="shared" si="27"/>
        <v>Mon</v>
      </c>
      <c r="C19" s="51" t="str">
        <f t="shared" si="28"/>
        <v>Jun 17, 2024</v>
      </c>
      <c r="D19" s="52">
        <f t="shared" si="29"/>
        <v>0.66666666666666663</v>
      </c>
      <c r="E19" s="53" t="str">
        <f>BD28</f>
        <v>Austria</v>
      </c>
      <c r="F19" s="41"/>
      <c r="G19" s="42"/>
      <c r="H19" s="54" t="str">
        <f>BD26</f>
        <v>France</v>
      </c>
      <c r="I19" s="133" t="str">
        <f>INDEX(T,111,lang)</f>
        <v>Düsseldorf</v>
      </c>
      <c r="J19" s="133"/>
      <c r="K19" s="133"/>
      <c r="L19" s="29"/>
      <c r="M19" s="29"/>
      <c r="W19" s="76">
        <f>DATE(2024,6,19)+TIME(2,0,0)+gmt_delta</f>
        <v>45462.416666666672</v>
      </c>
      <c r="X19" s="78" t="str">
        <f t="shared" si="0"/>
        <v/>
      </c>
      <c r="Y19" s="78" t="str">
        <f t="shared" si="1"/>
        <v/>
      </c>
      <c r="Z19" s="77">
        <f t="shared" si="2"/>
        <v>0</v>
      </c>
      <c r="AA19" s="76">
        <f t="shared" si="3"/>
        <v>0</v>
      </c>
      <c r="AB19" s="76">
        <f t="shared" si="4"/>
        <v>0</v>
      </c>
      <c r="AC19" s="76">
        <f t="shared" si="5"/>
        <v>2</v>
      </c>
      <c r="AD19" s="76">
        <f t="shared" si="6"/>
        <v>3</v>
      </c>
      <c r="AE19" s="76">
        <f t="shared" si="7"/>
        <v>4</v>
      </c>
      <c r="AF19" s="76" t="str">
        <f t="shared" si="8"/>
        <v>234</v>
      </c>
      <c r="AG19" s="76">
        <f t="shared" si="9"/>
        <v>0</v>
      </c>
      <c r="AH19" s="76">
        <f t="shared" si="10"/>
        <v>0</v>
      </c>
      <c r="AI19" s="76">
        <f t="shared" si="11"/>
        <v>0</v>
      </c>
      <c r="AJ19" s="76" t="str">
        <f t="shared" si="12"/>
        <v>243</v>
      </c>
      <c r="AK19" s="76">
        <f t="shared" si="13"/>
        <v>0</v>
      </c>
      <c r="AL19" s="76">
        <f t="shared" si="14"/>
        <v>0</v>
      </c>
      <c r="AM19" s="76">
        <f t="shared" si="15"/>
        <v>0</v>
      </c>
      <c r="AO19" s="76" t="str">
        <f t="shared" si="16"/>
        <v>234</v>
      </c>
      <c r="AP19" s="76">
        <f t="shared" si="17"/>
        <v>0</v>
      </c>
      <c r="AQ19" s="76">
        <f t="shared" si="18"/>
        <v>0</v>
      </c>
      <c r="AR19" s="76">
        <f t="shared" si="19"/>
        <v>0</v>
      </c>
      <c r="AS19" s="76" t="str">
        <f t="shared" si="20"/>
        <v>243</v>
      </c>
      <c r="AT19" s="76">
        <f t="shared" si="21"/>
        <v>0</v>
      </c>
      <c r="AU19" s="76">
        <f t="shared" si="22"/>
        <v>0</v>
      </c>
      <c r="AV19" s="76">
        <f t="shared" si="23"/>
        <v>0</v>
      </c>
      <c r="AX19" s="76" t="str">
        <f t="shared" si="24"/>
        <v>234</v>
      </c>
      <c r="AY19" s="76">
        <v>0</v>
      </c>
      <c r="AZ19" s="76" t="str">
        <f t="shared" si="25"/>
        <v>243</v>
      </c>
      <c r="BA19" s="76">
        <v>0</v>
      </c>
      <c r="BJ19" s="76">
        <f>MIN(BJ14:BJ17)</f>
        <v>0</v>
      </c>
      <c r="BK19" s="76">
        <f>MIN(BK14:BK17)</f>
        <v>0</v>
      </c>
      <c r="BY19" s="77" t="str">
        <f>BD23</f>
        <v>Slovenia</v>
      </c>
      <c r="BZ19" s="77">
        <v>3</v>
      </c>
      <c r="CA19" s="77">
        <v>4</v>
      </c>
      <c r="EV19" s="132"/>
      <c r="EW19" s="55" t="str">
        <f>VLOOKUP(EV18,$Z$46:$AC$53,4,0)</f>
        <v>2C</v>
      </c>
      <c r="EX19" s="56"/>
      <c r="EY19" s="57"/>
      <c r="EZ19" s="58"/>
      <c r="FA19" s="32"/>
      <c r="FB19" s="32" t="str">
        <f>INDEX(T,24+MONTH(W58),lang) &amp; " " &amp; DAY(W58) &amp; ", " &amp; YEAR(W58) &amp; "   " &amp; TEXT(HOUR(W58),"00") &amp; ":" &amp; TEXT(MINUTE(W58),"00")</f>
        <v>Jul 5, 2024   13:00</v>
      </c>
      <c r="FC19" s="32"/>
      <c r="FD19" s="32"/>
      <c r="FE19" s="32"/>
      <c r="FF19" s="62"/>
      <c r="FG19" s="32"/>
      <c r="FH19" s="32"/>
      <c r="FI19" s="32"/>
      <c r="FJ19" s="32"/>
      <c r="FK19" s="32"/>
      <c r="FL19" s="62"/>
      <c r="FM19" s="32"/>
      <c r="FN19" s="32"/>
      <c r="FO19" s="32"/>
      <c r="FP19" s="32"/>
      <c r="FQ19" s="32"/>
    </row>
    <row r="20" spans="1:173">
      <c r="A20" s="49">
        <v>11</v>
      </c>
      <c r="B20" s="50" t="str">
        <f t="shared" si="27"/>
        <v>Tue</v>
      </c>
      <c r="C20" s="51" t="str">
        <f t="shared" si="28"/>
        <v>Jun 18, 2024</v>
      </c>
      <c r="D20" s="52">
        <f t="shared" si="29"/>
        <v>0.54166666666666663</v>
      </c>
      <c r="E20" s="53" t="str">
        <f>BD39</f>
        <v>Turkey</v>
      </c>
      <c r="F20" s="41"/>
      <c r="G20" s="42"/>
      <c r="H20" s="54" t="str">
        <f>BD41</f>
        <v>Georgia</v>
      </c>
      <c r="I20" s="133" t="str">
        <f>INDEX(T,108,lang)</f>
        <v>Dortmund</v>
      </c>
      <c r="J20" s="133"/>
      <c r="K20" s="133"/>
      <c r="L20" s="29"/>
      <c r="M20" s="29"/>
      <c r="O20" s="30" t="str">
        <f>INDEX(T,9,lang) &amp; " " &amp; "C"</f>
        <v>Group C</v>
      </c>
      <c r="P20" s="31" t="str">
        <f>INDEX(T,10,lang)</f>
        <v>PL</v>
      </c>
      <c r="Q20" s="31" t="str">
        <f>INDEX(T,11,lang)</f>
        <v>W</v>
      </c>
      <c r="R20" s="31" t="str">
        <f>INDEX(T,12,lang)</f>
        <v>DRAW</v>
      </c>
      <c r="S20" s="31" t="str">
        <f>INDEX(T,13,lang)</f>
        <v>L</v>
      </c>
      <c r="T20" s="31" t="str">
        <f>INDEX(T,14,lang)</f>
        <v>GF - GA</v>
      </c>
      <c r="U20" s="31" t="str">
        <f>INDEX(T,15,lang)</f>
        <v>PNT</v>
      </c>
      <c r="W20" s="76">
        <f>DATE(2024,6,19)+TIME(5,0,0)+gmt_delta</f>
        <v>45462.541666666672</v>
      </c>
      <c r="X20" s="78" t="str">
        <f t="shared" si="0"/>
        <v/>
      </c>
      <c r="Y20" s="78" t="str">
        <f t="shared" si="1"/>
        <v/>
      </c>
      <c r="Z20" s="77">
        <f t="shared" si="2"/>
        <v>0</v>
      </c>
      <c r="AA20" s="76">
        <f t="shared" si="3"/>
        <v>0</v>
      </c>
      <c r="AB20" s="76">
        <f t="shared" si="4"/>
        <v>0</v>
      </c>
      <c r="AC20" s="76">
        <f t="shared" si="5"/>
        <v>1</v>
      </c>
      <c r="AD20" s="76">
        <f t="shared" si="6"/>
        <v>1</v>
      </c>
      <c r="AE20" s="76">
        <f t="shared" si="7"/>
        <v>4</v>
      </c>
      <c r="AF20" s="76" t="str">
        <f t="shared" si="8"/>
        <v>114</v>
      </c>
      <c r="AG20" s="76">
        <f t="shared" si="9"/>
        <v>0</v>
      </c>
      <c r="AH20" s="76">
        <f t="shared" si="10"/>
        <v>0</v>
      </c>
      <c r="AI20" s="76">
        <f t="shared" si="11"/>
        <v>0</v>
      </c>
      <c r="AJ20" s="76" t="str">
        <f t="shared" si="12"/>
        <v>141</v>
      </c>
      <c r="AK20" s="76">
        <f t="shared" si="13"/>
        <v>0</v>
      </c>
      <c r="AL20" s="76">
        <f t="shared" si="14"/>
        <v>0</v>
      </c>
      <c r="AM20" s="76">
        <f t="shared" si="15"/>
        <v>0</v>
      </c>
      <c r="AO20" s="76" t="str">
        <f t="shared" si="16"/>
        <v>114</v>
      </c>
      <c r="AP20" s="76">
        <f t="shared" si="17"/>
        <v>0</v>
      </c>
      <c r="AQ20" s="76">
        <f t="shared" si="18"/>
        <v>0</v>
      </c>
      <c r="AR20" s="76">
        <f t="shared" si="19"/>
        <v>0</v>
      </c>
      <c r="AS20" s="76" t="str">
        <f t="shared" si="20"/>
        <v>141</v>
      </c>
      <c r="AT20" s="76">
        <f t="shared" si="21"/>
        <v>0</v>
      </c>
      <c r="AU20" s="76">
        <f t="shared" si="22"/>
        <v>0</v>
      </c>
      <c r="AV20" s="76">
        <f t="shared" si="23"/>
        <v>0</v>
      </c>
      <c r="AX20" s="76" t="str">
        <f t="shared" si="24"/>
        <v>114</v>
      </c>
      <c r="AY20" s="76">
        <v>0</v>
      </c>
      <c r="AZ20" s="76" t="str">
        <f t="shared" si="25"/>
        <v>141</v>
      </c>
      <c r="BA20" s="76">
        <v>0</v>
      </c>
      <c r="BC20" s="76">
        <f>DQ20</f>
        <v>1</v>
      </c>
      <c r="BD20" s="77" t="str">
        <f>INDEX(T,66,lang)</f>
        <v>England</v>
      </c>
      <c r="BE20" s="76">
        <f>COUNTIF($X$7:$Y$42,"=" &amp; BD20 &amp; "_win")</f>
        <v>0</v>
      </c>
      <c r="BF20" s="76">
        <f>COUNTIF($X$7:$Y$42,"=" &amp; BD20 &amp; "_draw")</f>
        <v>0</v>
      </c>
      <c r="BG20" s="76">
        <f>COUNTIF($X$7:$Y$42,"=" &amp; BD20 &amp; "_lose")</f>
        <v>0</v>
      </c>
      <c r="BH20" s="76">
        <f>SUMIF($E$10:$E$45,$BD20,$F$10:$F$45) + SUMIF($H$10:$H$45,$BD20,$G$10:$G$45)</f>
        <v>0</v>
      </c>
      <c r="BI20" s="76">
        <f>SUMIF($E$10:$E$45,$BD20,$G$10:$G$45) + SUMIF($H$10:$H$45,$BD20,$F$10:$F$45)</f>
        <v>0</v>
      </c>
      <c r="BJ20" s="76">
        <f>BM20*10000</f>
        <v>0</v>
      </c>
      <c r="BK20" s="76">
        <f>BH20-BI20</f>
        <v>0</v>
      </c>
      <c r="BL20" s="76">
        <f>(BK20-BK25)/BK24</f>
        <v>0</v>
      </c>
      <c r="BM20" s="76">
        <f>BE20*3+BF20</f>
        <v>0</v>
      </c>
      <c r="BN20" s="76">
        <f>BT20/BT24*10+BU20/BU24+BX20/BX24*0.1+BV20/BV24*0.01</f>
        <v>0</v>
      </c>
      <c r="BP20" s="76">
        <f>IF(VLOOKUP(BD20,db_fifarank,2,0)="",MIN(db_fifarank),VLOOKUP(BD20,db_fifarank,2,0))</f>
        <v>104.303</v>
      </c>
      <c r="BQ20" s="76">
        <f>0.1*((BP20-$BP$44)/$BP$46-(COUNTIF($BP$8:$BP$41,BP20)-1)/(100-ROW(BP20)))</f>
        <v>0.1</v>
      </c>
      <c r="BR20" s="77">
        <f>10000000*BM20/BM24+100000*BN20/BN24+100*BL20+10*BH20/BH24+1*BN20/BN24+BQ20</f>
        <v>0.1</v>
      </c>
      <c r="BS20" s="77" t="str">
        <f>IF(SUM(BE20:BG23)=12,O21,INDEX(T,74,lang))</f>
        <v>1C</v>
      </c>
      <c r="BT20" s="76">
        <f>SUMPRODUCT(($X$7:$X$42=BD20&amp;"_win")*($Z$7:$Z$42))+SUMPRODUCT(($Y$7:$Y$42=BD20&amp;"_win")*($Z$7:$Z$42))</f>
        <v>0</v>
      </c>
      <c r="BU20" s="76">
        <f>SUMPRODUCT(($X$7:$X$42=BD20&amp;"_draw")*($Z$7:$Z$42))+SUMPRODUCT(($Y$7:$Y$42=BD20&amp;"_draw")*($Z$7:$Z$42))</f>
        <v>0</v>
      </c>
      <c r="BV20" s="76">
        <f>SUMPRODUCT(($E$10:$E$45=BD20)*($Z$7:$Z$42)*($F$10:$F$45))+SUMPRODUCT(($H$10:$H$45=BD20)*($Z$7:$Z$42)*($G$10:$G$45))</f>
        <v>0</v>
      </c>
      <c r="BW20" s="76">
        <f>SUMPRODUCT(($E$10:$E$45=BD20)*($Z$7:$Z$42)*($G$10:$G$45))+SUMPRODUCT(($H$10:$H$45=BD20)*($Z$7:$Z$42)*($F$10:$F$45))</f>
        <v>0</v>
      </c>
      <c r="BX20" s="76">
        <f>BV20-BW20</f>
        <v>0</v>
      </c>
      <c r="BY20" s="77" t="str">
        <f>BD26</f>
        <v>France</v>
      </c>
      <c r="BZ20" s="77">
        <v>4</v>
      </c>
      <c r="CA20" s="77">
        <v>1</v>
      </c>
      <c r="CD20" s="76">
        <f>IFERROR(VLOOKUP("312",$AF$7:$AI$42,2,0),0) + IFERROR(VLOOKUP("312",$AJ$7:$AM$42,2,0),0)</f>
        <v>0</v>
      </c>
      <c r="CE20" s="76">
        <f>IFERROR(VLOOKUP("313",$AF$7:$AI$42,2,0),0) + IFERROR(VLOOKUP("313",$AJ$7:$AM$42,2,0),0)</f>
        <v>0</v>
      </c>
      <c r="CF20" s="76">
        <f>IFERROR(VLOOKUP("314",$AF$7:$AI$42,2,0),0) + IFERROR(VLOOKUP("314",$AJ$7:$AM$42,2,0),0)</f>
        <v>0</v>
      </c>
      <c r="CG20" s="77">
        <f>SUM(CC20:CF20)</f>
        <v>0</v>
      </c>
      <c r="CI20" s="76">
        <f>IFERROR(VLOOKUP("312",$AF$7:$AI$42,3,0),0) + IFERROR(VLOOKUP("312",$AJ$7:$AM$42,3,0),0)</f>
        <v>0</v>
      </c>
      <c r="CJ20" s="76">
        <f>IFERROR(VLOOKUP("313",$AF$7:$AI$42,3,0),0) + IFERROR(VLOOKUP("313",$AJ$7:$AM$42,3,0),0)</f>
        <v>0</v>
      </c>
      <c r="CK20" s="76">
        <f>IFERROR(VLOOKUP("314",$AF$7:$AI$42,3,0),0) + IFERROR(VLOOKUP("314",$AJ$7:$AM$42,3,0),0)</f>
        <v>0</v>
      </c>
      <c r="CL20" s="77">
        <f>SUM(CH20:CK20)</f>
        <v>0</v>
      </c>
      <c r="CM20" s="77">
        <f>RANK(CL20,CL20:CL23)</f>
        <v>1</v>
      </c>
      <c r="CO20" s="76">
        <f>IFERROR(VLOOKUP("312",$AF$7:$AI$42,4,0),0) + IFERROR(VLOOKUP("312",$AJ$7:$AM$42,4,0),0)</f>
        <v>0</v>
      </c>
      <c r="CP20" s="76">
        <f>IFERROR(VLOOKUP("313",$AF$7:$AI$42,4,0),0) + IFERROR(VLOOKUP("313",$AJ$7:$AM$42,4,0),0)</f>
        <v>0</v>
      </c>
      <c r="CQ20" s="76">
        <f>IFERROR(VLOOKUP("314",$AF$7:$AI$42,4,0),0) + IFERROR(VLOOKUP("314",$AJ$7:$AM$42,4,0),0)</f>
        <v>0</v>
      </c>
      <c r="CR20" s="77">
        <f>SUM(CN20:CQ20)</f>
        <v>0</v>
      </c>
      <c r="CT20" s="76">
        <f>IF(CD24=CG20,CD20,0)</f>
        <v>0</v>
      </c>
      <c r="CU20" s="76">
        <f>IF(CE24=CG20,CE20,0)</f>
        <v>0</v>
      </c>
      <c r="CV20" s="76">
        <f>IF(CF24=CG20,CF20,0)</f>
        <v>0</v>
      </c>
      <c r="CW20" s="77">
        <f>SUM(CS20:CV20)</f>
        <v>0</v>
      </c>
      <c r="CY20" s="76">
        <f>IF(CD24=CG20,CI20,0)</f>
        <v>0</v>
      </c>
      <c r="CZ20" s="76">
        <f>IF(CE24=CG20,CJ20,0)</f>
        <v>0</v>
      </c>
      <c r="DA20" s="76">
        <f>IF(CF24=CG20,CK20,0)</f>
        <v>0</v>
      </c>
      <c r="DB20" s="77">
        <f>SUM(CX20:DA20)</f>
        <v>0</v>
      </c>
      <c r="DC20" s="77">
        <f>RANK(DB20,DB20:DB23)</f>
        <v>1</v>
      </c>
      <c r="DE20" s="76">
        <f>IF(CD24=CG20,CO20,0)</f>
        <v>0</v>
      </c>
      <c r="DF20" s="76">
        <f>IF(CE24=CG20,CP20,0)</f>
        <v>0</v>
      </c>
      <c r="DG20" s="76">
        <f>IF(CF24=CG20,CQ20,0)</f>
        <v>0</v>
      </c>
      <c r="DH20" s="77">
        <f>SUM(DD20:DG20)</f>
        <v>0</v>
      </c>
      <c r="DI20" s="77">
        <f>CG20*10000+CW20*100+(5-DC20)+DH20/10</f>
        <v>4</v>
      </c>
      <c r="DJ20" s="77">
        <f>RANK(DI20,DI20:DI23)</f>
        <v>1</v>
      </c>
      <c r="DL20" s="76">
        <f>IF(DL24=DJ20,CD20,0)</f>
        <v>0</v>
      </c>
      <c r="DM20" s="76">
        <f>IF(DM24=DJ20,CE20,0)</f>
        <v>0</v>
      </c>
      <c r="DN20" s="76">
        <f>IF(DN24=DJ20,CF20,0)</f>
        <v>0</v>
      </c>
      <c r="DO20" s="77">
        <f>SUM(DK20:DN20)</f>
        <v>0</v>
      </c>
      <c r="DP20" s="77">
        <f>(5-DJ20)*10000+DO20*100+(5-CM20)+CR20/10+(5-DX20)/100+BQ20/10000</f>
        <v>40004.040010000004</v>
      </c>
      <c r="DQ20" s="77">
        <f>RANK(DP20,DP20:DP23)</f>
        <v>1</v>
      </c>
      <c r="DT20" s="76">
        <f>IFERROR(VLOOKUP("312",$AX$7:$AY$42,2,0),0) + IFERROR(VLOOKUP("312",$AZ$7:$BA$42,2,0),0)</f>
        <v>0</v>
      </c>
      <c r="DU20" s="76">
        <f>IFERROR(VLOOKUP("313",$AX$7:$AY$42,2,0),0) + IFERROR(VLOOKUP("313",$AZ$7:$BA$42,2,0),0)</f>
        <v>0</v>
      </c>
      <c r="DV20" s="76">
        <f>IFERROR(VLOOKUP("314",$AX$7:$AY$42,2,0),0) + IFERROR(VLOOKUP("314",$AZ$7:$BA$42,2,0),0)</f>
        <v>0</v>
      </c>
      <c r="DW20" s="77">
        <f>SUM(DS20:DV20)</f>
        <v>0</v>
      </c>
      <c r="DX20" s="77">
        <f>RANK(DW20,DW20:DW23)</f>
        <v>1</v>
      </c>
      <c r="DZ20" s="77" t="str">
        <f>BD20</f>
        <v>England</v>
      </c>
      <c r="EA20" s="77">
        <f>EI20*10000+EO20*100+ET20</f>
        <v>100</v>
      </c>
      <c r="EB20" s="76">
        <f>COUNTIF(EA20:EA23,EA20)</f>
        <v>4</v>
      </c>
      <c r="EC20" s="76">
        <f>COUNTIF(CG20:CG23,CG20)</f>
        <v>4</v>
      </c>
      <c r="ED20" s="77">
        <f>IF(AND(EB20&gt;=2,EC20=2),EA20,-EA20-0.4)</f>
        <v>-100.4</v>
      </c>
      <c r="EF20" s="76">
        <f>IFERROR(VLOOKUP("312",$AO$7:$AR$42,2,0),0) + IFERROR(VLOOKUP("312",$AS$7:$AV$42,2,0),0)</f>
        <v>0</v>
      </c>
      <c r="EG20" s="76">
        <f>IFERROR(VLOOKUP("313",$AO$7:$AR$42,2,0),0) + IFERROR(VLOOKUP("313",$AS$7:$AV$42,2,0),0)</f>
        <v>0</v>
      </c>
      <c r="EH20" s="76">
        <f>IFERROR(VLOOKUP("314",$AO$7:$AR$42,2,0),0) + IFERROR(VLOOKUP("314",$AS$7:$AV$42,2,0),0)</f>
        <v>0</v>
      </c>
      <c r="EI20" s="77">
        <f>SUM(EE20:EH20)</f>
        <v>0</v>
      </c>
      <c r="EK20" s="76">
        <f>IFERROR(VLOOKUP("312",$AO$7:$AR$42,3,0),0) + IFERROR(VLOOKUP("312",$AS$7:$AV$42,3,0),0)</f>
        <v>0</v>
      </c>
      <c r="EL20" s="76">
        <f>IFERROR(VLOOKUP("313",$AO$7:$AR$42,3,0),0) + IFERROR(VLOOKUP("313",$AS$7:$AV$42,3,0),0)</f>
        <v>0</v>
      </c>
      <c r="EM20" s="76">
        <f>IFERROR(VLOOKUP("314",$AO$7:$AR$42,3,0),0) + IFERROR(VLOOKUP("314",$AS$7:$AV$42,3,0),0)</f>
        <v>0</v>
      </c>
      <c r="EN20" s="77">
        <f>SUM(EJ20:EM20)</f>
        <v>0</v>
      </c>
      <c r="EO20" s="77">
        <f>RANK(EN20,EN20:EN23)</f>
        <v>1</v>
      </c>
      <c r="EQ20" s="76">
        <f>IFERROR(VLOOKUP("312",$AO$7:$AR$42,4,0),0) + IFERROR(VLOOKUP("312",$AS$7:$AV$42,4,0),0)</f>
        <v>0</v>
      </c>
      <c r="ER20" s="76">
        <f>IFERROR(VLOOKUP("313",$AO$7:$AR$42,4,0),0) + IFERROR(VLOOKUP("313",$AS$7:$AV$42,4,0),0)</f>
        <v>0</v>
      </c>
      <c r="ES20" s="76">
        <f>IFERROR(VLOOKUP("314",$AO$7:$AR$42,4,0),0) + IFERROR(VLOOKUP("314",$AS$7:$AV$42,4,0),0)</f>
        <v>0</v>
      </c>
      <c r="ET20" s="77">
        <f>SUM(EP20:ES20)</f>
        <v>0</v>
      </c>
      <c r="EV20" s="75"/>
      <c r="EW20" s="32"/>
      <c r="EX20" s="32"/>
      <c r="EY20" s="32"/>
      <c r="EZ20" s="62"/>
      <c r="FA20" s="32"/>
      <c r="FB20" s="134"/>
      <c r="FC20" s="47" t="str">
        <f>Y50</f>
        <v>W38</v>
      </c>
      <c r="FD20" s="48"/>
      <c r="FE20" s="89"/>
      <c r="FF20" s="64"/>
      <c r="FG20" s="32"/>
      <c r="FH20" s="32"/>
      <c r="FI20" s="32"/>
      <c r="FJ20" s="32"/>
      <c r="FK20" s="32"/>
      <c r="FL20" s="62"/>
      <c r="FM20" s="32"/>
      <c r="FN20" s="32"/>
      <c r="FO20" s="32"/>
      <c r="FP20" s="32"/>
      <c r="FQ20" s="32"/>
    </row>
    <row r="21" spans="1:173">
      <c r="A21" s="49">
        <v>12</v>
      </c>
      <c r="B21" s="50" t="str">
        <f t="shared" si="27"/>
        <v>Tue</v>
      </c>
      <c r="C21" s="51" t="str">
        <f t="shared" si="28"/>
        <v>Jun 18, 2024</v>
      </c>
      <c r="D21" s="52">
        <f t="shared" si="29"/>
        <v>0.66666666666666663</v>
      </c>
      <c r="E21" s="53" t="str">
        <f>BD38</f>
        <v>Portugal</v>
      </c>
      <c r="F21" s="41"/>
      <c r="G21" s="42"/>
      <c r="H21" s="54" t="str">
        <f>BD40</f>
        <v>Czech Republic</v>
      </c>
      <c r="I21" s="133" t="str">
        <f>INDEX(T,112,lang)</f>
        <v>Leipzig</v>
      </c>
      <c r="J21" s="133"/>
      <c r="K21" s="133"/>
      <c r="L21" s="29"/>
      <c r="M21" s="29"/>
      <c r="O21" s="33" t="str">
        <f>VLOOKUP(1,BC20:BM23,2,0)</f>
        <v>England</v>
      </c>
      <c r="P21" s="34">
        <f>Q21+R21+S21</f>
        <v>0</v>
      </c>
      <c r="Q21" s="34">
        <f>VLOOKUP(1,BC20:BM23,3,0)</f>
        <v>0</v>
      </c>
      <c r="R21" s="34">
        <f>VLOOKUP(1,BC20:BM23,4,0)</f>
        <v>0</v>
      </c>
      <c r="S21" s="34">
        <f>VLOOKUP(1,BC20:BM23,5,0)</f>
        <v>0</v>
      </c>
      <c r="T21" s="34" t="str">
        <f>VLOOKUP(1,BC20:BM23,6,0) &amp; " - " &amp; VLOOKUP(1,BC20:BM23,7,0)</f>
        <v>0 - 0</v>
      </c>
      <c r="U21" s="35">
        <f>Q21*3+R21</f>
        <v>0</v>
      </c>
      <c r="W21" s="76">
        <f>DATE(2024,6,19)+TIME(8,0,0)+gmt_delta</f>
        <v>45462.666666666672</v>
      </c>
      <c r="X21" s="78" t="str">
        <f t="shared" si="0"/>
        <v/>
      </c>
      <c r="Y21" s="78" t="str">
        <f t="shared" si="1"/>
        <v/>
      </c>
      <c r="Z21" s="77">
        <f t="shared" si="2"/>
        <v>0</v>
      </c>
      <c r="AA21" s="76">
        <f t="shared" si="3"/>
        <v>0</v>
      </c>
      <c r="AB21" s="76">
        <f t="shared" si="4"/>
        <v>0</v>
      </c>
      <c r="AC21" s="76">
        <f t="shared" si="5"/>
        <v>1</v>
      </c>
      <c r="AD21" s="76">
        <f t="shared" si="6"/>
        <v>2</v>
      </c>
      <c r="AE21" s="76">
        <f t="shared" si="7"/>
        <v>3</v>
      </c>
      <c r="AF21" s="76" t="str">
        <f t="shared" si="8"/>
        <v>123</v>
      </c>
      <c r="AG21" s="76">
        <f t="shared" si="9"/>
        <v>0</v>
      </c>
      <c r="AH21" s="76">
        <f t="shared" si="10"/>
        <v>0</v>
      </c>
      <c r="AI21" s="76">
        <f t="shared" si="11"/>
        <v>0</v>
      </c>
      <c r="AJ21" s="76" t="str">
        <f t="shared" si="12"/>
        <v>132</v>
      </c>
      <c r="AK21" s="76">
        <f t="shared" si="13"/>
        <v>0</v>
      </c>
      <c r="AL21" s="76">
        <f t="shared" si="14"/>
        <v>0</v>
      </c>
      <c r="AM21" s="76">
        <f t="shared" si="15"/>
        <v>0</v>
      </c>
      <c r="AO21" s="76" t="str">
        <f t="shared" si="16"/>
        <v>123</v>
      </c>
      <c r="AP21" s="76">
        <f t="shared" si="17"/>
        <v>0</v>
      </c>
      <c r="AQ21" s="76">
        <f t="shared" si="18"/>
        <v>0</v>
      </c>
      <c r="AR21" s="76">
        <f t="shared" si="19"/>
        <v>0</v>
      </c>
      <c r="AS21" s="76" t="str">
        <f t="shared" si="20"/>
        <v>132</v>
      </c>
      <c r="AT21" s="76">
        <f t="shared" si="21"/>
        <v>0</v>
      </c>
      <c r="AU21" s="76">
        <f t="shared" si="22"/>
        <v>0</v>
      </c>
      <c r="AV21" s="76">
        <f t="shared" si="23"/>
        <v>0</v>
      </c>
      <c r="AX21" s="76" t="str">
        <f t="shared" si="24"/>
        <v>123</v>
      </c>
      <c r="AY21" s="76">
        <v>0</v>
      </c>
      <c r="AZ21" s="76" t="str">
        <f t="shared" si="25"/>
        <v>132</v>
      </c>
      <c r="BA21" s="76">
        <v>0</v>
      </c>
      <c r="BC21" s="76">
        <f>DQ21</f>
        <v>2</v>
      </c>
      <c r="BD21" s="77" t="str">
        <f>INDEX(T,44,lang)</f>
        <v>Denmark</v>
      </c>
      <c r="BE21" s="76">
        <f>COUNTIF($X$7:$Y$42,"=" &amp; BD21 &amp; "_win")</f>
        <v>0</v>
      </c>
      <c r="BF21" s="76">
        <f>COUNTIF($X$7:$Y$42,"=" &amp; BD21 &amp; "_draw")</f>
        <v>0</v>
      </c>
      <c r="BG21" s="76">
        <f>COUNTIF($X$7:$Y$42,"=" &amp; BD21 &amp; "_lose")</f>
        <v>0</v>
      </c>
      <c r="BH21" s="76">
        <f>SUMIF($E$10:$E$45,$BD21,$F$10:$F$45) + SUMIF($H$10:$H$45,$BD21,$G$10:$G$45)</f>
        <v>0</v>
      </c>
      <c r="BI21" s="76">
        <f>SUMIF($E$10:$E$45,$BD21,$G$10:$G$45) + SUMIF($H$10:$H$45,$BD21,$F$10:$F$45)</f>
        <v>0</v>
      </c>
      <c r="BJ21" s="76">
        <f>BM21*10000</f>
        <v>0</v>
      </c>
      <c r="BK21" s="76">
        <f>BH21-BI21</f>
        <v>0</v>
      </c>
      <c r="BL21" s="76">
        <f>(BK21-BK25)/BK24</f>
        <v>0</v>
      </c>
      <c r="BM21" s="76">
        <f>BE21*3+BF21</f>
        <v>0</v>
      </c>
      <c r="BN21" s="76">
        <f>BT21/BT24*10+BU21/BU24+BX21/BX24*0.1+BV21/BV24*0.01</f>
        <v>0</v>
      </c>
      <c r="BP21" s="76">
        <f>IF(VLOOKUP(BD21,db_fifarank,2,0)="",MIN(db_fifarank),VLOOKUP(BD21,db_fifarank,2,0))</f>
        <v>31.45</v>
      </c>
      <c r="BQ21" s="76">
        <f t="shared" ref="BQ21:BQ23" si="31">0.1*((BP21-$BP$44)/$BP$46-(COUNTIF($BP$8:$BP$41,BP21)-1)/(100-ROW(BP21)))</f>
        <v>2.4838024100363159E-2</v>
      </c>
      <c r="BR21" s="77">
        <f>10000000*BM21/BM24+100000*BN21/BN24+100*BL21+10*BH21/BH24+1*BN21/BN24+BQ21</f>
        <v>2.4838024100363159E-2</v>
      </c>
      <c r="BS21" s="77" t="str">
        <f>IF(SUM(BE20:BG23)=12,O22,INDEX(T,75,lang))</f>
        <v>2C</v>
      </c>
      <c r="BT21" s="76">
        <f>SUMPRODUCT(($X$7:$X$42=BD21&amp;"_win")*($Z$7:$Z$42))+SUMPRODUCT(($Y$7:$Y$42=BD21&amp;"_win")*($Z$7:$Z$42))</f>
        <v>0</v>
      </c>
      <c r="BU21" s="76">
        <f>SUMPRODUCT(($X$7:$X$42=BD21&amp;"_draw")*($Z$7:$Z$42))+SUMPRODUCT(($Y$7:$Y$42=BD21&amp;"_draw")*($Z$7:$Z$42))</f>
        <v>0</v>
      </c>
      <c r="BV21" s="76">
        <f>SUMPRODUCT(($E$10:$E$45=BD21)*($Z$7:$Z$42)*($F$10:$F$45))+SUMPRODUCT(($H$10:$H$45=BD21)*($Z$7:$Z$42)*($G$10:$G$45))</f>
        <v>0</v>
      </c>
      <c r="BW21" s="76">
        <f>SUMPRODUCT(($E$10:$E$45=BD21)*($Z$7:$Z$42)*($G$10:$G$45))+SUMPRODUCT(($H$10:$H$45=BD21)*($Z$7:$Z$42)*($F$10:$F$45))</f>
        <v>0</v>
      </c>
      <c r="BX21" s="76">
        <f>BV21-BW21</f>
        <v>0</v>
      </c>
      <c r="BY21" s="77" t="str">
        <f>BD27</f>
        <v>Netherlands</v>
      </c>
      <c r="BZ21" s="77">
        <v>4</v>
      </c>
      <c r="CA21" s="77">
        <v>2</v>
      </c>
      <c r="CC21" s="76">
        <f>IFERROR(VLOOKUP("321",$AF$7:$AI$42,2,0),0) + IFERROR(VLOOKUP("321",$AJ$7:$AM$42,2,0),0)</f>
        <v>0</v>
      </c>
      <c r="CE21" s="76">
        <f>IFERROR(VLOOKUP("323",$AF$7:$AI$42,2,0),0) + IFERROR(VLOOKUP("323",$AJ$7:$AM$42,2,0),0)</f>
        <v>0</v>
      </c>
      <c r="CF21" s="76">
        <f>IFERROR(VLOOKUP("324",$AF$7:$AI$42,2,0),0) + IFERROR(VLOOKUP("324",$AJ$7:$AM$42,2,0),0)</f>
        <v>0</v>
      </c>
      <c r="CG21" s="77">
        <f>SUM(CC21:CF21)</f>
        <v>0</v>
      </c>
      <c r="CH21" s="76">
        <f>IFERROR(VLOOKUP("321",$AF$7:$AI$42,3,0),0) + IFERROR(VLOOKUP("321",$AJ$7:$AM$42,3,0),0)</f>
        <v>0</v>
      </c>
      <c r="CJ21" s="76">
        <f>IFERROR(VLOOKUP("323",$AF$7:$AI$42,3,0),0) + IFERROR(VLOOKUP("323",$AJ$7:$AM$42,3,0),0)</f>
        <v>0</v>
      </c>
      <c r="CK21" s="76">
        <f>IFERROR(VLOOKUP("324",$AF$7:$AI$42,3,0),0) + IFERROR(VLOOKUP("324",$AJ$7:$AM$42,3,0),0)</f>
        <v>0</v>
      </c>
      <c r="CL21" s="77">
        <f>SUM(CH21:CK21)</f>
        <v>0</v>
      </c>
      <c r="CM21" s="77">
        <f>RANK(CL21,CL20:CL23)</f>
        <v>1</v>
      </c>
      <c r="CN21" s="76">
        <f>IFERROR(VLOOKUP("321",$AF$7:$AI$42,4,0),0) + IFERROR(VLOOKUP("321",$AJ$7:$AM$42,4,0),0)</f>
        <v>0</v>
      </c>
      <c r="CP21" s="76">
        <f>IFERROR(VLOOKUP("323",$AF$7:$AI$42,4,0),0) + IFERROR(VLOOKUP("323",$AJ$7:$AM$42,4,0),0)</f>
        <v>0</v>
      </c>
      <c r="CQ21" s="76">
        <f>IFERROR(VLOOKUP("324",$AF$7:$AI$42,4,0),0) + IFERROR(VLOOKUP("324",$AJ$7:$AM$42,4,0),0)</f>
        <v>0</v>
      </c>
      <c r="CR21" s="77">
        <f>SUM(CN21:CQ21)</f>
        <v>0</v>
      </c>
      <c r="CS21" s="76">
        <f>IF(CC24=CG21,CC21,0)</f>
        <v>0</v>
      </c>
      <c r="CU21" s="76">
        <f>IF(CE24=CG21,CE21,0)</f>
        <v>0</v>
      </c>
      <c r="CV21" s="76">
        <f>IF(CF24=CG21,CF21,0)</f>
        <v>0</v>
      </c>
      <c r="CW21" s="77">
        <f>SUM(CS21:CV21)</f>
        <v>0</v>
      </c>
      <c r="CX21" s="76">
        <f>IF(CC24=CG21,CH21,0)</f>
        <v>0</v>
      </c>
      <c r="CZ21" s="76">
        <f>IF(CE24=CG21,CJ21,0)</f>
        <v>0</v>
      </c>
      <c r="DA21" s="76">
        <f>IF(CF24=CG21,CK21,0)</f>
        <v>0</v>
      </c>
      <c r="DB21" s="77">
        <f>SUM(CX21:DA21)</f>
        <v>0</v>
      </c>
      <c r="DC21" s="77">
        <f>RANK(DB21,DB20:DB23)</f>
        <v>1</v>
      </c>
      <c r="DD21" s="76">
        <f>IF(CC24=CG21,CN21,0)</f>
        <v>0</v>
      </c>
      <c r="DF21" s="76">
        <f>IF(CE24=CG21,CP21,0)</f>
        <v>0</v>
      </c>
      <c r="DG21" s="76">
        <f>IF(CF24=CG21,CQ21,0)</f>
        <v>0</v>
      </c>
      <c r="DH21" s="77">
        <f>SUM(DD21:DG21)</f>
        <v>0</v>
      </c>
      <c r="DI21" s="77">
        <f>CG21*10000+CW21*100+(5-DC21)+DH21/10</f>
        <v>4</v>
      </c>
      <c r="DJ21" s="77">
        <f>RANK(DI21,DI20:DI23)</f>
        <v>1</v>
      </c>
      <c r="DK21" s="76">
        <f>IF(DK24=DJ21,CC21,0)</f>
        <v>0</v>
      </c>
      <c r="DM21" s="76">
        <f>IF(DM24=DJ21,CE21,0)</f>
        <v>0</v>
      </c>
      <c r="DN21" s="76">
        <f>IF(DN24=DJ21,CF21,0)</f>
        <v>0</v>
      </c>
      <c r="DO21" s="77">
        <f>SUM(DK21:DN21)</f>
        <v>0</v>
      </c>
      <c r="DP21" s="77">
        <f>(5-DJ21)*10000+DO21*100+(5-CM21)+CR21/10+(5-DX21)/100+BQ21/10000</f>
        <v>40004.040002483802</v>
      </c>
      <c r="DQ21" s="77">
        <f>RANK(DP21,DP20:DP23)</f>
        <v>2</v>
      </c>
      <c r="DS21" s="76">
        <f>IFERROR(VLOOKUP("321",$AX$7:$AY$42,2,0),0) + IFERROR(VLOOKUP("321",$AZ$7:$BA$42,2,0),0)</f>
        <v>0</v>
      </c>
      <c r="DU21" s="76">
        <f>IFERROR(VLOOKUP("323",$AX$7:$AY$42,2,0),0) + IFERROR(VLOOKUP("323",$AZ$7:$BA$42,2,0),0)</f>
        <v>0</v>
      </c>
      <c r="DV21" s="76">
        <f>IFERROR(VLOOKUP("324",$AX$7:$AY$42,2,0),0) + IFERROR(VLOOKUP("324",$AZ$7:$BA$42,2,0),0)</f>
        <v>0</v>
      </c>
      <c r="DW21" s="77">
        <f>SUM(DS21:DV21)</f>
        <v>0</v>
      </c>
      <c r="DX21" s="77">
        <f>RANK(DW21,DW20:DW23)</f>
        <v>1</v>
      </c>
      <c r="DZ21" s="77" t="str">
        <f>BD21</f>
        <v>Denmark</v>
      </c>
      <c r="EA21" s="77">
        <f>EI21*10000+EO21*100+ET21</f>
        <v>100</v>
      </c>
      <c r="EB21" s="76">
        <f>COUNTIF(EA20:EA23,EA21)</f>
        <v>4</v>
      </c>
      <c r="EC21" s="76">
        <f>COUNTIF(CG20:CG23,CG21)</f>
        <v>4</v>
      </c>
      <c r="ED21" s="77">
        <f>IF(AND(EB21&gt;=2,EC21=2),EA21,-EA21-0.3)</f>
        <v>-100.3</v>
      </c>
      <c r="EE21" s="76">
        <f>IFERROR(VLOOKUP("321",$AO$7:$AR$42,2,0),0) + IFERROR(VLOOKUP("321",$AS$7:$AV$42,2,0),0)</f>
        <v>0</v>
      </c>
      <c r="EG21" s="76">
        <f>IFERROR(VLOOKUP("323",$AO$7:$AR$42,2,0),0) + IFERROR(VLOOKUP("323",$AS$7:$AV$42,2,0),0)</f>
        <v>0</v>
      </c>
      <c r="EH21" s="76">
        <f>IFERROR(VLOOKUP("324",$AO$7:$AR$42,2,0),0) + IFERROR(VLOOKUP("324",$AS$7:$AV$42,2,0),0)</f>
        <v>0</v>
      </c>
      <c r="EI21" s="77">
        <f>SUM(EE21:EH21)</f>
        <v>0</v>
      </c>
      <c r="EJ21" s="76">
        <f>IFERROR(VLOOKUP("321",$AO$7:$AR$42,3,0),0) + IFERROR(VLOOKUP("321",$AS$7:$AV$42,3,0),0)</f>
        <v>0</v>
      </c>
      <c r="EL21" s="76">
        <f>IFERROR(VLOOKUP("323",$AO$7:$AR$42,3,0),0) + IFERROR(VLOOKUP("323",$AS$7:$AV$42,3,0),0)</f>
        <v>0</v>
      </c>
      <c r="EM21" s="76">
        <f>IFERROR(VLOOKUP("324",$AO$7:$AR$42,3,0),0) + IFERROR(VLOOKUP("324",$AS$7:$AV$42,3,0),0)</f>
        <v>0</v>
      </c>
      <c r="EN21" s="77">
        <f>SUM(EJ21:EM21)</f>
        <v>0</v>
      </c>
      <c r="EO21" s="77">
        <f>RANK(EN21,EN20:EN23)</f>
        <v>1</v>
      </c>
      <c r="EP21" s="76">
        <f>IFERROR(VLOOKUP("321",$AO$7:$AR$42,4,0),0) + IFERROR(VLOOKUP("321",$AS$7:$AV$42,4,0),0)</f>
        <v>0</v>
      </c>
      <c r="ER21" s="76">
        <f>IFERROR(VLOOKUP("323",$AO$7:$AR$42,4,0),0) + IFERROR(VLOOKUP("323",$AS$7:$AV$42,4,0),0)</f>
        <v>0</v>
      </c>
      <c r="ES21" s="76">
        <f>IFERROR(VLOOKUP("324",$AO$7:$AR$42,4,0),0) + IFERROR(VLOOKUP("324",$AS$7:$AV$42,4,0),0)</f>
        <v>0</v>
      </c>
      <c r="ET21" s="77">
        <f>SUM(EP21:ES21)</f>
        <v>0</v>
      </c>
      <c r="EV21" s="75" t="str">
        <f>VLOOKUP(EV22,$Z$46:$AC$53,2,0)</f>
        <v>Jun 30, 2024   16:00</v>
      </c>
      <c r="EW21" s="32"/>
      <c r="EX21" s="32"/>
      <c r="EY21" s="32"/>
      <c r="EZ21" s="62"/>
      <c r="FA21" s="63"/>
      <c r="FB21" s="134"/>
      <c r="FC21" s="55" t="str">
        <f>Y51</f>
        <v>W42</v>
      </c>
      <c r="FD21" s="56"/>
      <c r="FE21" s="57"/>
      <c r="FF21" s="32"/>
      <c r="FG21" s="32"/>
      <c r="FH21" s="32"/>
      <c r="FI21" s="32"/>
      <c r="FJ21" s="32"/>
      <c r="FK21" s="32"/>
      <c r="FL21" s="62"/>
      <c r="FM21" s="32"/>
      <c r="FN21" s="32"/>
      <c r="FO21" s="32"/>
      <c r="FP21" s="32"/>
      <c r="FQ21" s="32"/>
    </row>
    <row r="22" spans="1:173">
      <c r="A22" s="49">
        <v>13</v>
      </c>
      <c r="B22" s="50" t="str">
        <f t="shared" si="27"/>
        <v>Wed</v>
      </c>
      <c r="C22" s="51" t="str">
        <f t="shared" si="28"/>
        <v>Jun 19, 2024</v>
      </c>
      <c r="D22" s="52">
        <f t="shared" si="29"/>
        <v>0.41666666666666669</v>
      </c>
      <c r="E22" s="53" t="str">
        <f>BD16</f>
        <v>Croatia</v>
      </c>
      <c r="F22" s="41"/>
      <c r="G22" s="42"/>
      <c r="H22" s="54" t="str">
        <f>BD17</f>
        <v>Albania</v>
      </c>
      <c r="I22" s="133" t="str">
        <f>INDEX(T,109,lang)</f>
        <v>Hamburg</v>
      </c>
      <c r="J22" s="133"/>
      <c r="K22" s="133"/>
      <c r="L22" s="65"/>
      <c r="M22" s="65"/>
      <c r="O22" s="44" t="str">
        <f>VLOOKUP(2,BC20:BM23,2,0)</f>
        <v>Denmark</v>
      </c>
      <c r="P22" s="45">
        <f>Q22+R22+S22</f>
        <v>0</v>
      </c>
      <c r="Q22" s="45">
        <f>VLOOKUP(2,BC20:BM23,3,0)</f>
        <v>0</v>
      </c>
      <c r="R22" s="45">
        <f>VLOOKUP(2,BC20:BM23,4,0)</f>
        <v>0</v>
      </c>
      <c r="S22" s="45">
        <f>VLOOKUP(2,BC20:BM23,5,0)</f>
        <v>0</v>
      </c>
      <c r="T22" s="45" t="str">
        <f>VLOOKUP(2,BC20:BM23,6,0) &amp; " - " &amp; VLOOKUP(2,BC20:BM23,7,0)</f>
        <v>0 - 0</v>
      </c>
      <c r="U22" s="46">
        <f>Q22*3+R22</f>
        <v>0</v>
      </c>
      <c r="W22" s="76">
        <f>DATE(2024,6,20)+TIME(2,0,0)+gmt_delta</f>
        <v>45463.416666666672</v>
      </c>
      <c r="X22" s="78" t="str">
        <f t="shared" si="0"/>
        <v/>
      </c>
      <c r="Y22" s="78" t="str">
        <f t="shared" si="1"/>
        <v/>
      </c>
      <c r="Z22" s="77">
        <f t="shared" si="2"/>
        <v>0</v>
      </c>
      <c r="AA22" s="76">
        <f t="shared" si="3"/>
        <v>0</v>
      </c>
      <c r="AB22" s="76">
        <f t="shared" si="4"/>
        <v>0</v>
      </c>
      <c r="AC22" s="76">
        <f t="shared" si="5"/>
        <v>3</v>
      </c>
      <c r="AD22" s="76">
        <f t="shared" si="6"/>
        <v>4</v>
      </c>
      <c r="AE22" s="76">
        <f t="shared" si="7"/>
        <v>3</v>
      </c>
      <c r="AF22" s="76" t="str">
        <f t="shared" si="8"/>
        <v>343</v>
      </c>
      <c r="AG22" s="76">
        <f t="shared" si="9"/>
        <v>0</v>
      </c>
      <c r="AH22" s="76">
        <f t="shared" si="10"/>
        <v>0</v>
      </c>
      <c r="AI22" s="76">
        <f t="shared" si="11"/>
        <v>0</v>
      </c>
      <c r="AJ22" s="76" t="str">
        <f t="shared" si="12"/>
        <v>334</v>
      </c>
      <c r="AK22" s="76">
        <f t="shared" si="13"/>
        <v>0</v>
      </c>
      <c r="AL22" s="76">
        <f t="shared" si="14"/>
        <v>0</v>
      </c>
      <c r="AM22" s="76">
        <f t="shared" si="15"/>
        <v>0</v>
      </c>
      <c r="AO22" s="76" t="str">
        <f t="shared" si="16"/>
        <v>343</v>
      </c>
      <c r="AP22" s="76">
        <f t="shared" si="17"/>
        <v>0</v>
      </c>
      <c r="AQ22" s="76">
        <f t="shared" si="18"/>
        <v>0</v>
      </c>
      <c r="AR22" s="76">
        <f t="shared" si="19"/>
        <v>0</v>
      </c>
      <c r="AS22" s="76" t="str">
        <f t="shared" si="20"/>
        <v>334</v>
      </c>
      <c r="AT22" s="76">
        <f t="shared" si="21"/>
        <v>0</v>
      </c>
      <c r="AU22" s="76">
        <f t="shared" si="22"/>
        <v>0</v>
      </c>
      <c r="AV22" s="76">
        <f t="shared" si="23"/>
        <v>0</v>
      </c>
      <c r="AX22" s="76" t="str">
        <f t="shared" si="24"/>
        <v>343</v>
      </c>
      <c r="AY22" s="76">
        <v>0</v>
      </c>
      <c r="AZ22" s="76" t="str">
        <f t="shared" si="25"/>
        <v>334</v>
      </c>
      <c r="BA22" s="76">
        <v>0</v>
      </c>
      <c r="BC22" s="76">
        <f>DQ22</f>
        <v>3</v>
      </c>
      <c r="BD22" s="77" t="str">
        <f>INDEX(T,63,lang)</f>
        <v>Serbia</v>
      </c>
      <c r="BE22" s="76">
        <f>COUNTIF($X$7:$Y$42,"=" &amp; BD22 &amp; "_win")</f>
        <v>0</v>
      </c>
      <c r="BF22" s="76">
        <f>COUNTIF($X$7:$Y$42,"=" &amp; BD22 &amp; "_draw")</f>
        <v>0</v>
      </c>
      <c r="BG22" s="76">
        <f>COUNTIF($X$7:$Y$42,"=" &amp; BD22 &amp; "_lose")</f>
        <v>0</v>
      </c>
      <c r="BH22" s="76">
        <f>SUMIF($E$10:$E$45,$BD22,$F$10:$F$45) + SUMIF($H$10:$H$45,$BD22,$G$10:$G$45)</f>
        <v>0</v>
      </c>
      <c r="BI22" s="76">
        <f>SUMIF($E$10:$E$45,$BD22,$G$10:$G$45) + SUMIF($H$10:$H$45,$BD22,$F$10:$F$45)</f>
        <v>0</v>
      </c>
      <c r="BJ22" s="76">
        <f>BM22*10000</f>
        <v>0</v>
      </c>
      <c r="BK22" s="76">
        <f>BH22-BI22</f>
        <v>0</v>
      </c>
      <c r="BL22" s="76">
        <f>(BK22-BK25)/BK24</f>
        <v>0</v>
      </c>
      <c r="BM22" s="76">
        <f>BE22*3+BF22</f>
        <v>0</v>
      </c>
      <c r="BN22" s="76">
        <f>BT22/BT24*10+BU22/BU24+BX22/BX24*0.1+BV22/BV24*0.01</f>
        <v>0</v>
      </c>
      <c r="BP22" s="76">
        <f>IF(VLOOKUP(BD22,db_fifarank,2,0)="",MIN(db_fifarank),VLOOKUP(BD22,db_fifarank,2,0))</f>
        <v>27.774999999999999</v>
      </c>
      <c r="BQ22" s="76">
        <f t="shared" si="31"/>
        <v>2.1046550016507098E-2</v>
      </c>
      <c r="BR22" s="77">
        <f>10000000*BM22/BM24+100000*BN22/BN24+100*BL22+10*BH22/BH24+1*BN22/BN24+BQ22</f>
        <v>2.1046550016507098E-2</v>
      </c>
      <c r="BS22" s="77" t="str">
        <f>IF(SUM(BE20:BG23)&gt;0,O23,"3C")</f>
        <v>3C</v>
      </c>
      <c r="BT22" s="76">
        <f>SUMPRODUCT(($X$7:$X$42=BD22&amp;"_win")*($Z$7:$Z$42))+SUMPRODUCT(($Y$7:$Y$42=BD22&amp;"_win")*($Z$7:$Z$42))</f>
        <v>0</v>
      </c>
      <c r="BU22" s="76">
        <f>SUMPRODUCT(($X$7:$X$42=BD22&amp;"_draw")*($Z$7:$Z$42))+SUMPRODUCT(($Y$7:$Y$42=BD22&amp;"_draw")*($Z$7:$Z$42))</f>
        <v>0</v>
      </c>
      <c r="BV22" s="76">
        <f>SUMPRODUCT(($E$10:$E$45=BD22)*($Z$7:$Z$42)*($F$10:$F$45))+SUMPRODUCT(($H$10:$H$45=BD22)*($Z$7:$Z$42)*($G$10:$G$45))</f>
        <v>0</v>
      </c>
      <c r="BW22" s="76">
        <f>SUMPRODUCT(($E$10:$E$45=BD22)*($Z$7:$Z$42)*($G$10:$G$45))+SUMPRODUCT(($H$10:$H$45=BD22)*($Z$7:$Z$42)*($F$10:$F$45))</f>
        <v>0</v>
      </c>
      <c r="BX22" s="76">
        <f>BV22-BW22</f>
        <v>0</v>
      </c>
      <c r="BY22" s="77" t="str">
        <f>BD28</f>
        <v>Austria</v>
      </c>
      <c r="BZ22" s="77">
        <v>4</v>
      </c>
      <c r="CA22" s="77">
        <v>3</v>
      </c>
      <c r="CC22" s="76">
        <f>IFERROR(VLOOKUP("331",$AF$7:$AI$42,2,0),0) + IFERROR(VLOOKUP("331",$AJ$7:$AM$42,2,0),0)</f>
        <v>0</v>
      </c>
      <c r="CD22" s="76">
        <f>IFERROR(VLOOKUP("332",$AF$7:$AI$42,2,0),0) + IFERROR(VLOOKUP("332",$AJ$7:$AM$42,2,0),0)</f>
        <v>0</v>
      </c>
      <c r="CF22" s="76">
        <f>IFERROR(VLOOKUP("334",$AF$7:$AI$42,2,0),0) + IFERROR(VLOOKUP("334",$AJ$7:$AM$42,2,0),0)</f>
        <v>0</v>
      </c>
      <c r="CG22" s="77">
        <f>SUM(CC22:CF22)</f>
        <v>0</v>
      </c>
      <c r="CH22" s="76">
        <f>IFERROR(VLOOKUP("331",$AF$7:$AI$42,3,0),0) + IFERROR(VLOOKUP("331",$AJ$7:$AM$42,3,0),0)</f>
        <v>0</v>
      </c>
      <c r="CI22" s="76">
        <f>IFERROR(VLOOKUP("332",$AF$7:$AI$42,3,0),0) + IFERROR(VLOOKUP("332",$AJ$7:$AM$42,3,0),0)</f>
        <v>0</v>
      </c>
      <c r="CK22" s="76">
        <f>IFERROR(VLOOKUP("334",$AF$7:$AI$42,3,0),0) + IFERROR(VLOOKUP("334",$AJ$7:$AM$42,3,0),0)</f>
        <v>0</v>
      </c>
      <c r="CL22" s="77">
        <f>SUM(CH22:CK22)</f>
        <v>0</v>
      </c>
      <c r="CM22" s="77">
        <f>RANK(CL22,CL20:CL23)</f>
        <v>1</v>
      </c>
      <c r="CN22" s="76">
        <f>IFERROR(VLOOKUP("331",$AF$7:$AI$42,4,0),0) + IFERROR(VLOOKUP("331",$AJ$7:$AM$42,4,0),0)</f>
        <v>0</v>
      </c>
      <c r="CO22" s="76">
        <f>IFERROR(VLOOKUP("332",$AF$7:$AI$42,4,0),0) + IFERROR(VLOOKUP("332",$AJ$7:$AM$42,4,0),0)</f>
        <v>0</v>
      </c>
      <c r="CQ22" s="76">
        <f>IFERROR(VLOOKUP("334",$AF$7:$AI$42,4,0),0) + IFERROR(VLOOKUP("334",$AJ$7:$AM$42,4,0),0)</f>
        <v>0</v>
      </c>
      <c r="CR22" s="77">
        <f>SUM(CN22:CQ22)</f>
        <v>0</v>
      </c>
      <c r="CS22" s="76">
        <f>IF(CC24=CG22,CC22,0)</f>
        <v>0</v>
      </c>
      <c r="CT22" s="76">
        <f>IF(CD24=CG22,CD22,0)</f>
        <v>0</v>
      </c>
      <c r="CV22" s="76">
        <f>IF(CF24=CG22,CF22,0)</f>
        <v>0</v>
      </c>
      <c r="CW22" s="77">
        <f>SUM(CS22:CV22)</f>
        <v>0</v>
      </c>
      <c r="CX22" s="76">
        <f>IF(CC24=CG22,CH22,0)</f>
        <v>0</v>
      </c>
      <c r="CY22" s="76">
        <f>IF(CD24=CG22,CI22,0)</f>
        <v>0</v>
      </c>
      <c r="DA22" s="76">
        <f>IF(CF24=CG22,CK22,0)</f>
        <v>0</v>
      </c>
      <c r="DB22" s="77">
        <f>SUM(CX22:DA22)</f>
        <v>0</v>
      </c>
      <c r="DC22" s="77">
        <f>RANK(DB22,DB20:DB23)</f>
        <v>1</v>
      </c>
      <c r="DD22" s="76">
        <f>IF(CC24=CG22,CN22,0)</f>
        <v>0</v>
      </c>
      <c r="DE22" s="76">
        <f>IF(CD24=CG22,CO22,0)</f>
        <v>0</v>
      </c>
      <c r="DG22" s="76">
        <f>IF(CF24=CG22,CQ22,0)</f>
        <v>0</v>
      </c>
      <c r="DH22" s="77">
        <f>SUM(DD22:DG22)</f>
        <v>0</v>
      </c>
      <c r="DI22" s="77">
        <f>CG22*10000+CW22*100+(5-DC22)+DH22/10</f>
        <v>4</v>
      </c>
      <c r="DJ22" s="77">
        <f>RANK(DI22,DI20:DI23)</f>
        <v>1</v>
      </c>
      <c r="DK22" s="76">
        <f>IF(DK24=DJ22,CC22,0)</f>
        <v>0</v>
      </c>
      <c r="DL22" s="76">
        <f>IF(DL24=DJ22,CD22,0)</f>
        <v>0</v>
      </c>
      <c r="DN22" s="76">
        <f>IF(DN24=DJ22,CF22,0)</f>
        <v>0</v>
      </c>
      <c r="DO22" s="77">
        <f>SUM(DK22:DN22)</f>
        <v>0</v>
      </c>
      <c r="DP22" s="77">
        <f>(5-DJ22)*10000+DO22*100+(5-CM22)+CR22/10+(5-DX22)/100+BQ22/10000</f>
        <v>40004.040002104659</v>
      </c>
      <c r="DQ22" s="77">
        <f>RANK(DP22,DP20:DP23)</f>
        <v>3</v>
      </c>
      <c r="DS22" s="76">
        <f>IFERROR(VLOOKUP("331",$AX$7:$AY$42,2,0),0) + IFERROR(VLOOKUP("331",$AZ$7:$BA$42,2,0),0)</f>
        <v>0</v>
      </c>
      <c r="DT22" s="76">
        <f>IFERROR(VLOOKUP("332",$AX$7:$AY$42,2,0),0) + IFERROR(VLOOKUP("332",$AZ$7:$BA$42,2,0),0)</f>
        <v>0</v>
      </c>
      <c r="DV22" s="76">
        <f>IFERROR(VLOOKUP("334",$AX$7:$AY$42,2,0),0) + IFERROR(VLOOKUP("334",$AZ$7:$BA$42,2,0),0)</f>
        <v>0</v>
      </c>
      <c r="DW22" s="77">
        <f>SUM(DS22:DV22)</f>
        <v>0</v>
      </c>
      <c r="DX22" s="77">
        <f>RANK(DW22,DW20:DW23)</f>
        <v>1</v>
      </c>
      <c r="DZ22" s="77" t="str">
        <f>BD22</f>
        <v>Serbia</v>
      </c>
      <c r="EA22" s="77">
        <f>EI22*10000+EO22*100+ET22</f>
        <v>100</v>
      </c>
      <c r="EB22" s="76">
        <f>COUNTIF(EA20:EA23,EA22)</f>
        <v>4</v>
      </c>
      <c r="EC22" s="76">
        <f>COUNTIF(CG20:CG23,CG22)</f>
        <v>4</v>
      </c>
      <c r="ED22" s="77">
        <f>IF(AND(EB22&gt;=2,EC22=2),EA22,-EA22-0.2)</f>
        <v>-100.2</v>
      </c>
      <c r="EE22" s="76">
        <f>IFERROR(VLOOKUP("331",$AO$7:$AR$42,2,0),0) + IFERROR(VLOOKUP("331",$AS$7:$AV$42,2,0),0)</f>
        <v>0</v>
      </c>
      <c r="EF22" s="76">
        <f>IFERROR(VLOOKUP("332",$AO$7:$AR$42,2,0),0) + IFERROR(VLOOKUP("332",$AS$7:$AV$42,2,0),0)</f>
        <v>0</v>
      </c>
      <c r="EH22" s="76">
        <f>IFERROR(VLOOKUP("334",$AO$7:$AR$42,2,0),0) + IFERROR(VLOOKUP("334",$AS$7:$AV$42,2,0),0)</f>
        <v>0</v>
      </c>
      <c r="EI22" s="77">
        <f>SUM(EE22:EH22)</f>
        <v>0</v>
      </c>
      <c r="EJ22" s="76">
        <f>IFERROR(VLOOKUP("331",$AO$7:$AR$42,3,0),0) + IFERROR(VLOOKUP("331",$AS$7:$AV$42,3,0),0)</f>
        <v>0</v>
      </c>
      <c r="EK22" s="76">
        <f>IFERROR(VLOOKUP("332",$AO$7:$AR$42,3,0),0) + IFERROR(VLOOKUP("332",$AS$7:$AV$42,3,0),0)</f>
        <v>0</v>
      </c>
      <c r="EM22" s="76">
        <f>IFERROR(VLOOKUP("334",$AO$7:$AR$42,3,0),0) + IFERROR(VLOOKUP("334",$AS$7:$AV$42,3,0),0)</f>
        <v>0</v>
      </c>
      <c r="EN22" s="77">
        <f>SUM(EJ22:EM22)</f>
        <v>0</v>
      </c>
      <c r="EO22" s="77">
        <f>RANK(EN22,EN20:EN23)</f>
        <v>1</v>
      </c>
      <c r="EP22" s="76">
        <f>IFERROR(VLOOKUP("331",$AO$7:$AR$42,4,0),0) + IFERROR(VLOOKUP("331",$AS$7:$AV$42,4,0),0)</f>
        <v>0</v>
      </c>
      <c r="EQ22" s="76">
        <f>IFERROR(VLOOKUP("332",$AO$7:$AR$42,4,0),0) + IFERROR(VLOOKUP("332",$AS$7:$AV$42,4,0),0)</f>
        <v>0</v>
      </c>
      <c r="ES22" s="76">
        <f>IFERROR(VLOOKUP("334",$AO$7:$AR$42,4,0),0) + IFERROR(VLOOKUP("334",$AS$7:$AV$42,4,0),0)</f>
        <v>0</v>
      </c>
      <c r="ET22" s="77">
        <f>SUM(EP22:ES22)</f>
        <v>0</v>
      </c>
      <c r="EV22" s="132">
        <v>4</v>
      </c>
      <c r="EW22" s="47" t="str">
        <f>VLOOKUP(EV22,$Z$46:$AC$53,3,0)</f>
        <v>1B</v>
      </c>
      <c r="EX22" s="48"/>
      <c r="EY22" s="89"/>
      <c r="EZ22" s="64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62"/>
      <c r="FM22" s="32"/>
      <c r="FN22" s="32" t="str">
        <f>INDEX(T,24+MONTH(W73),lang) &amp; " " &amp; DAY(W73) &amp; ", " &amp; YEAR(W73) &amp; "   " &amp; TEXT(HOUR(W73),"00") &amp; ":" &amp; TEXT(MINUTE(W73),"00")</f>
        <v>Jul 14, 2024   16:00</v>
      </c>
      <c r="FO22" s="32"/>
      <c r="FP22" s="32"/>
      <c r="FQ22" s="32"/>
    </row>
    <row r="23" spans="1:173">
      <c r="A23" s="49">
        <v>14</v>
      </c>
      <c r="B23" s="50" t="str">
        <f t="shared" si="27"/>
        <v>Wed</v>
      </c>
      <c r="C23" s="51" t="str">
        <f t="shared" si="28"/>
        <v>Jun 19, 2024</v>
      </c>
      <c r="D23" s="52">
        <f t="shared" si="29"/>
        <v>0.54166666666666663</v>
      </c>
      <c r="E23" s="53" t="str">
        <f>BD8</f>
        <v>Germany</v>
      </c>
      <c r="F23" s="41"/>
      <c r="G23" s="42"/>
      <c r="H23" s="54" t="str">
        <f>BD11</f>
        <v>Hungary</v>
      </c>
      <c r="I23" s="133" t="str">
        <f>INDEX(T,105,lang)</f>
        <v>Stuttgart</v>
      </c>
      <c r="J23" s="133"/>
      <c r="K23" s="133"/>
      <c r="L23" s="29"/>
      <c r="M23" s="29"/>
      <c r="O23" s="44" t="str">
        <f>VLOOKUP(3,BC20:BM23,2,0)</f>
        <v>Serbia</v>
      </c>
      <c r="P23" s="45">
        <f>Q23+R23+S23</f>
        <v>0</v>
      </c>
      <c r="Q23" s="45">
        <f>VLOOKUP(3,BC20:BM23,3,0)</f>
        <v>0</v>
      </c>
      <c r="R23" s="45">
        <f>VLOOKUP(3,BC20:BM23,4,0)</f>
        <v>0</v>
      </c>
      <c r="S23" s="45">
        <f>VLOOKUP(3,BC20:BM23,5,0)</f>
        <v>0</v>
      </c>
      <c r="T23" s="45" t="str">
        <f>VLOOKUP(3,BC20:BM23,6,0) &amp; " - " &amp; VLOOKUP(3,BC20:BM23,7,0)</f>
        <v>0 - 0</v>
      </c>
      <c r="U23" s="46">
        <f>Q23*3+R23</f>
        <v>0</v>
      </c>
      <c r="W23" s="76">
        <f>DATE(2024,6,20)+TIME(5,0,0)+gmt_delta</f>
        <v>45463.541666666672</v>
      </c>
      <c r="X23" s="78" t="str">
        <f t="shared" si="0"/>
        <v/>
      </c>
      <c r="Y23" s="78" t="str">
        <f t="shared" si="1"/>
        <v/>
      </c>
      <c r="Z23" s="77">
        <f t="shared" si="2"/>
        <v>0</v>
      </c>
      <c r="AA23" s="76">
        <f t="shared" si="3"/>
        <v>0</v>
      </c>
      <c r="AB23" s="76">
        <f t="shared" si="4"/>
        <v>0</v>
      </c>
      <c r="AC23" s="76">
        <f t="shared" si="5"/>
        <v>3</v>
      </c>
      <c r="AD23" s="76">
        <f t="shared" si="6"/>
        <v>2</v>
      </c>
      <c r="AE23" s="76">
        <f t="shared" si="7"/>
        <v>1</v>
      </c>
      <c r="AF23" s="76" t="str">
        <f t="shared" si="8"/>
        <v>321</v>
      </c>
      <c r="AG23" s="76">
        <f t="shared" si="9"/>
        <v>0</v>
      </c>
      <c r="AH23" s="76">
        <f t="shared" si="10"/>
        <v>0</v>
      </c>
      <c r="AI23" s="76">
        <f t="shared" si="11"/>
        <v>0</v>
      </c>
      <c r="AJ23" s="76" t="str">
        <f t="shared" si="12"/>
        <v>312</v>
      </c>
      <c r="AK23" s="76">
        <f t="shared" si="13"/>
        <v>0</v>
      </c>
      <c r="AL23" s="76">
        <f t="shared" si="14"/>
        <v>0</v>
      </c>
      <c r="AM23" s="76">
        <f t="shared" si="15"/>
        <v>0</v>
      </c>
      <c r="AO23" s="76" t="str">
        <f t="shared" si="16"/>
        <v>321</v>
      </c>
      <c r="AP23" s="76">
        <f t="shared" si="17"/>
        <v>0</v>
      </c>
      <c r="AQ23" s="76">
        <f t="shared" si="18"/>
        <v>0</v>
      </c>
      <c r="AR23" s="76">
        <f t="shared" si="19"/>
        <v>0</v>
      </c>
      <c r="AS23" s="76" t="str">
        <f t="shared" si="20"/>
        <v>312</v>
      </c>
      <c r="AT23" s="76">
        <f t="shared" si="21"/>
        <v>0</v>
      </c>
      <c r="AU23" s="76">
        <f t="shared" si="22"/>
        <v>0</v>
      </c>
      <c r="AV23" s="76">
        <f t="shared" si="23"/>
        <v>0</v>
      </c>
      <c r="AX23" s="76" t="str">
        <f t="shared" si="24"/>
        <v>321</v>
      </c>
      <c r="AY23" s="76">
        <v>0</v>
      </c>
      <c r="AZ23" s="76" t="str">
        <f t="shared" si="25"/>
        <v>312</v>
      </c>
      <c r="BA23" s="76">
        <v>0</v>
      </c>
      <c r="BC23" s="76">
        <f>DQ23</f>
        <v>4</v>
      </c>
      <c r="BD23" s="77" t="str">
        <f>INDEX(T,53,lang)</f>
        <v>Slovenia</v>
      </c>
      <c r="BE23" s="76">
        <f>COUNTIF($X$7:$Y$42,"=" &amp; BD23 &amp; "_win")</f>
        <v>0</v>
      </c>
      <c r="BF23" s="76">
        <f>COUNTIF($X$7:$Y$42,"=" &amp; BD23 &amp; "_draw")</f>
        <v>0</v>
      </c>
      <c r="BG23" s="76">
        <f>COUNTIF($X$7:$Y$42,"=" &amp; BD23 &amp; "_lose")</f>
        <v>0</v>
      </c>
      <c r="BH23" s="76">
        <f>SUMIF($E$10:$E$45,$BD23,$F$10:$F$45) + SUMIF($H$10:$H$45,$BD23,$G$10:$G$45)</f>
        <v>0</v>
      </c>
      <c r="BI23" s="76">
        <f>SUMIF($E$10:$E$45,$BD23,$G$10:$G$45) + SUMIF($H$10:$H$45,$BD23,$F$10:$F$45)</f>
        <v>0</v>
      </c>
      <c r="BJ23" s="76">
        <f>BM23*10000</f>
        <v>0</v>
      </c>
      <c r="BK23" s="76">
        <f>BH23-BI23</f>
        <v>0</v>
      </c>
      <c r="BL23" s="76">
        <f>(BK23-BK25)/BK24</f>
        <v>0</v>
      </c>
      <c r="BM23" s="76">
        <f>BE23*3+BF23</f>
        <v>0</v>
      </c>
      <c r="BN23" s="76">
        <f>BT23/BT24*10+BU23/BU24+BX23/BX24*0.1+BV23/BV24*0.01</f>
        <v>0</v>
      </c>
      <c r="BP23" s="76">
        <f>IF(VLOOKUP(BD23,db_fifarank,2,0)="",MIN(db_fifarank),VLOOKUP(BD23,db_fifarank,2,0))</f>
        <v>13.25</v>
      </c>
      <c r="BQ23" s="76">
        <f t="shared" si="31"/>
        <v>6.0612000660283929E-3</v>
      </c>
      <c r="BR23" s="77">
        <f>10000000*BM23/BM24+100000*BN23/BN24+100*BL23+10*BH23/BH24+1*BN23/BN24+BQ23</f>
        <v>6.0612000660283929E-3</v>
      </c>
      <c r="BT23" s="76">
        <f>SUMPRODUCT(($X$7:$X$42=BD23&amp;"_win")*($Z$7:$Z$42))+SUMPRODUCT(($Y$7:$Y$42=BD23&amp;"_win")*($Z$7:$Z$42))</f>
        <v>0</v>
      </c>
      <c r="BU23" s="76">
        <f>SUMPRODUCT(($X$7:$X$42=BD23&amp;"_draw")*($Z$7:$Z$42))+SUMPRODUCT(($Y$7:$Y$42=BD23&amp;"_draw")*($Z$7:$Z$42))</f>
        <v>0</v>
      </c>
      <c r="BV23" s="76">
        <f>SUMPRODUCT(($E$10:$E$45=BD23)*($Z$7:$Z$42)*($F$10:$F$45))+SUMPRODUCT(($H$10:$H$45=BD23)*($Z$7:$Z$42)*($G$10:$G$45))</f>
        <v>0</v>
      </c>
      <c r="BW23" s="76">
        <f>SUMPRODUCT(($E$10:$E$45=BD23)*($Z$7:$Z$42)*($G$10:$G$45))+SUMPRODUCT(($H$10:$H$45=BD23)*($Z$7:$Z$42)*($F$10:$F$45))</f>
        <v>0</v>
      </c>
      <c r="BX23" s="76">
        <f>BV23-BW23</f>
        <v>0</v>
      </c>
      <c r="BY23" s="77" t="str">
        <f>BD29</f>
        <v>Poland</v>
      </c>
      <c r="BZ23" s="77">
        <v>4</v>
      </c>
      <c r="CA23" s="77">
        <v>4</v>
      </c>
      <c r="CC23" s="76">
        <f>IFERROR(VLOOKUP("341",$AF$7:$AI$42,2,0),0) + IFERROR(VLOOKUP("341",$AJ$7:$AM$42,2,0),0)</f>
        <v>0</v>
      </c>
      <c r="CD23" s="76">
        <f>IFERROR(VLOOKUP("342",$AF$7:$AI$42,2,0),0) + IFERROR(VLOOKUP("342",$AJ$7:$AM$42,2,0),0)</f>
        <v>0</v>
      </c>
      <c r="CE23" s="76">
        <f>IFERROR(VLOOKUP("343",$AF$7:$AI$42,2,0),0) + IFERROR(VLOOKUP("343",$AJ$7:$AM$42,2,0),0)</f>
        <v>0</v>
      </c>
      <c r="CG23" s="77">
        <f>SUM(CC23:CF23)</f>
        <v>0</v>
      </c>
      <c r="CH23" s="76">
        <f>IFERROR(VLOOKUP("341",$AF$7:$AI$42,3,0),0) + IFERROR(VLOOKUP("341",$AJ$7:$AM$42,3,0),0)</f>
        <v>0</v>
      </c>
      <c r="CI23" s="76">
        <f>IFERROR(VLOOKUP("342",$AF$7:$AI$42,3,0),0) + IFERROR(VLOOKUP("342",$AJ$7:$AM$42,3,0),0)</f>
        <v>0</v>
      </c>
      <c r="CJ23" s="76">
        <f>IFERROR(VLOOKUP("343",$AF$7:$AI$42,3,0),0) + IFERROR(VLOOKUP("343",$AJ$7:$AM$42,3,0),0)</f>
        <v>0</v>
      </c>
      <c r="CL23" s="77">
        <f>SUM(CH23:CK23)</f>
        <v>0</v>
      </c>
      <c r="CM23" s="77">
        <f>RANK(CL23,CL20:CL23)</f>
        <v>1</v>
      </c>
      <c r="CN23" s="76">
        <f>IFERROR(VLOOKUP("341",$AF$7:$AI$42,4,0),0) + IFERROR(VLOOKUP("341",$AJ$7:$AM$42,4,0),0)</f>
        <v>0</v>
      </c>
      <c r="CO23" s="76">
        <f>IFERROR(VLOOKUP("342",$AF$7:$AI$42,4,0),0) + IFERROR(VLOOKUP("342",$AJ$7:$AM$42,4,0),0)</f>
        <v>0</v>
      </c>
      <c r="CP23" s="76">
        <f>IFERROR(VLOOKUP("343",$AF$7:$AI$42,4,0),0) + IFERROR(VLOOKUP("343",$AJ$7:$AM$42,4,0),0)</f>
        <v>0</v>
      </c>
      <c r="CR23" s="77">
        <f>SUM(CN23:CQ23)</f>
        <v>0</v>
      </c>
      <c r="CS23" s="76">
        <f>IF(CC24=CG23,CC23,0)</f>
        <v>0</v>
      </c>
      <c r="CT23" s="76">
        <f>IF(CD24=CG23,CD23,0)</f>
        <v>0</v>
      </c>
      <c r="CU23" s="76">
        <f>IF(CE24=CG23,CE23,0)</f>
        <v>0</v>
      </c>
      <c r="CW23" s="77">
        <f>SUM(CS23:CV23)</f>
        <v>0</v>
      </c>
      <c r="CX23" s="76">
        <f>IF(CC24=CG23,CH23,0)</f>
        <v>0</v>
      </c>
      <c r="CY23" s="76">
        <f>IF(CD24=CG23,CI23,0)</f>
        <v>0</v>
      </c>
      <c r="CZ23" s="76">
        <f>IF(CE24=CG23,CJ23,0)</f>
        <v>0</v>
      </c>
      <c r="DB23" s="77">
        <f>SUM(CX23:DA23)</f>
        <v>0</v>
      </c>
      <c r="DC23" s="77">
        <f>RANK(DB23,DB20:DB23)</f>
        <v>1</v>
      </c>
      <c r="DD23" s="76">
        <f>IF(CC24=CG23,CN23,0)</f>
        <v>0</v>
      </c>
      <c r="DE23" s="76">
        <f>IF(CD24=CG23,CO23,0)</f>
        <v>0</v>
      </c>
      <c r="DF23" s="76">
        <f>IF(CE24=CG23,CP23,0)</f>
        <v>0</v>
      </c>
      <c r="DH23" s="77">
        <f>SUM(DD23:DG23)</f>
        <v>0</v>
      </c>
      <c r="DI23" s="77">
        <f>CG23*10000+CW23*100+(5-DC23)+DH23/10</f>
        <v>4</v>
      </c>
      <c r="DJ23" s="77">
        <f>RANK(DI23,DI20:DI23)</f>
        <v>1</v>
      </c>
      <c r="DK23" s="76">
        <f>IF(DK24=DJ23,CC23,0)</f>
        <v>0</v>
      </c>
      <c r="DL23" s="76">
        <f>IF(DL24=DJ23,CD23,0)</f>
        <v>0</v>
      </c>
      <c r="DM23" s="76">
        <f>IF(DM24=DJ23,CE23,0)</f>
        <v>0</v>
      </c>
      <c r="DO23" s="77">
        <f>SUM(DK23:DN23)</f>
        <v>0</v>
      </c>
      <c r="DP23" s="77">
        <f>(5-DJ23)*10000+DO23*100+(5-CM23)+CR23/10+(5-DX23)/100+BQ23/10000</f>
        <v>40004.040000606117</v>
      </c>
      <c r="DQ23" s="77">
        <f>RANK(DP23,DP20:DP23)</f>
        <v>4</v>
      </c>
      <c r="DS23" s="76">
        <f>IFERROR(VLOOKUP("341",$AX$7:$AY$42,2,0),0) + IFERROR(VLOOKUP("341",$AZ$7:$BA$42,2,0),0)</f>
        <v>0</v>
      </c>
      <c r="DT23" s="76">
        <f>IFERROR(VLOOKUP("342",$AX$7:$AY$42,2,0),0) + IFERROR(VLOOKUP("342",$AZ$7:$BA$42,2,0),0)</f>
        <v>0</v>
      </c>
      <c r="DU23" s="76">
        <f>IFERROR(VLOOKUP("343",$AX$7:$AY$42,2,0),0) + IFERROR(VLOOKUP("343",$AZ$7:$BA$42,2,0),0)</f>
        <v>0</v>
      </c>
      <c r="DW23" s="77">
        <f>SUM(DS23:DV23)</f>
        <v>0</v>
      </c>
      <c r="DX23" s="77">
        <f>RANK(DW23,DW20:DW23)</f>
        <v>1</v>
      </c>
      <c r="DZ23" s="77" t="str">
        <f>BD23</f>
        <v>Slovenia</v>
      </c>
      <c r="EA23" s="77">
        <f>EI23*10000+EO23*100+ET23</f>
        <v>100</v>
      </c>
      <c r="EB23" s="76">
        <f>COUNTIF(EA20:EA23,EA23)</f>
        <v>4</v>
      </c>
      <c r="EC23" s="76">
        <f>COUNTIF(CG20:CG23,CG23)</f>
        <v>4</v>
      </c>
      <c r="ED23" s="77">
        <f>IF(AND(EB23&gt;=2,EC23=2),EA23,-EA23-0.1)</f>
        <v>-100.1</v>
      </c>
      <c r="EE23" s="76">
        <f>IFERROR(VLOOKUP("341",$AO$7:$AR$42,2,0),0) + IFERROR(VLOOKUP("341",$AS$7:$AV$42,2,0),0)</f>
        <v>0</v>
      </c>
      <c r="EF23" s="76">
        <f>IFERROR(VLOOKUP("342",$AO$7:$AR$42,2,0),0) + IFERROR(VLOOKUP("342",$AS$7:$AV$42,2,0),0)</f>
        <v>0</v>
      </c>
      <c r="EG23" s="76">
        <f>IFERROR(VLOOKUP("343",$AO$7:$AR$42,2,0),0) + IFERROR(VLOOKUP("343",$AS$7:$AV$42,2,0),0)</f>
        <v>0</v>
      </c>
      <c r="EI23" s="77">
        <f>SUM(EE23:EH23)</f>
        <v>0</v>
      </c>
      <c r="EJ23" s="76">
        <f>IFERROR(VLOOKUP("341",$AO$7:$AR$42,3,0),0) + IFERROR(VLOOKUP("341",$AS$7:$AV$42,3,0),0)</f>
        <v>0</v>
      </c>
      <c r="EK23" s="76">
        <f>IFERROR(VLOOKUP("342",$AO$7:$AR$42,3,0),0) + IFERROR(VLOOKUP("342",$AS$7:$AV$42,3,0),0)</f>
        <v>0</v>
      </c>
      <c r="EL23" s="76">
        <f>IFERROR(VLOOKUP("343",$AO$7:$AR$42,3,0),0) + IFERROR(VLOOKUP("343",$AS$7:$AV$42,3,0),0)</f>
        <v>0</v>
      </c>
      <c r="EN23" s="77">
        <f>SUM(EJ23:EM23)</f>
        <v>0</v>
      </c>
      <c r="EO23" s="77">
        <f>RANK(EN23,EN20:EN23)</f>
        <v>1</v>
      </c>
      <c r="EP23" s="76">
        <f>IFERROR(VLOOKUP("341",$AO$7:$AR$42,4,0),0) + IFERROR(VLOOKUP("341",$AS$7:$AV$42,4,0),0)</f>
        <v>0</v>
      </c>
      <c r="EQ23" s="76">
        <f>IFERROR(VLOOKUP("342",$AO$7:$AR$42,4,0),0) + IFERROR(VLOOKUP("342",$AS$7:$AV$42,4,0),0)</f>
        <v>0</v>
      </c>
      <c r="ER23" s="76">
        <f>IFERROR(VLOOKUP("343",$AO$7:$AR$42,4,0),0) + IFERROR(VLOOKUP("343",$AS$7:$AV$42,4,0),0)</f>
        <v>0</v>
      </c>
      <c r="ET23" s="77">
        <f>SUM(EP23:ES23)</f>
        <v>0</v>
      </c>
      <c r="EV23" s="132"/>
      <c r="EW23" s="55" t="str">
        <f>VLOOKUP(EV22,$Z$46:$AC$53,4,0)</f>
        <v>3A</v>
      </c>
      <c r="EX23" s="56"/>
      <c r="EY23" s="57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62"/>
      <c r="FM23" s="32"/>
      <c r="FN23" s="134"/>
      <c r="FO23" s="47" t="str">
        <f>Y64</f>
        <v>W49</v>
      </c>
      <c r="FP23" s="48"/>
      <c r="FQ23" s="89"/>
    </row>
    <row r="24" spans="1:173">
      <c r="A24" s="49">
        <v>15</v>
      </c>
      <c r="B24" s="50" t="str">
        <f t="shared" si="27"/>
        <v>Wed</v>
      </c>
      <c r="C24" s="51" t="str">
        <f t="shared" si="28"/>
        <v>Jun 19, 2024</v>
      </c>
      <c r="D24" s="52">
        <f t="shared" si="29"/>
        <v>0.66666666666666663</v>
      </c>
      <c r="E24" s="53" t="str">
        <f>BD9</f>
        <v>Scotland</v>
      </c>
      <c r="F24" s="41"/>
      <c r="G24" s="42"/>
      <c r="H24" s="54" t="str">
        <f>BD10</f>
        <v>Switzerland</v>
      </c>
      <c r="I24" s="133" t="str">
        <f>INDEX(T,104,lang)</f>
        <v>Cologne</v>
      </c>
      <c r="J24" s="133"/>
      <c r="K24" s="133"/>
      <c r="L24" s="29"/>
      <c r="M24" s="29"/>
      <c r="O24" s="59" t="str">
        <f>VLOOKUP(4,BC20:BM23,2,0)</f>
        <v>Slovenia</v>
      </c>
      <c r="P24" s="60">
        <f>Q24+R24+S24</f>
        <v>0</v>
      </c>
      <c r="Q24" s="60">
        <f>VLOOKUP(4,BC20:BM23,3,0)</f>
        <v>0</v>
      </c>
      <c r="R24" s="60">
        <f>VLOOKUP(4,BC20:BM23,4,0)</f>
        <v>0</v>
      </c>
      <c r="S24" s="60">
        <f>VLOOKUP(4,BC20:BM23,5,0)</f>
        <v>0</v>
      </c>
      <c r="T24" s="60" t="str">
        <f>VLOOKUP(4,BC20:BM23,6,0) &amp; " - " &amp; VLOOKUP(4,BC20:BM23,7,0)</f>
        <v>0 - 0</v>
      </c>
      <c r="U24" s="61">
        <f>Q24*3+R24</f>
        <v>0</v>
      </c>
      <c r="W24" s="76">
        <f>DATE(2024,6,20)+TIME(8,0,0)+gmt_delta</f>
        <v>45463.666666666672</v>
      </c>
      <c r="X24" s="78" t="str">
        <f t="shared" si="0"/>
        <v/>
      </c>
      <c r="Y24" s="78" t="str">
        <f t="shared" si="1"/>
        <v/>
      </c>
      <c r="Z24" s="77">
        <f t="shared" si="2"/>
        <v>0</v>
      </c>
      <c r="AA24" s="76">
        <f t="shared" si="3"/>
        <v>0</v>
      </c>
      <c r="AB24" s="76">
        <f t="shared" si="4"/>
        <v>0</v>
      </c>
      <c r="AC24" s="76">
        <f t="shared" si="5"/>
        <v>2</v>
      </c>
      <c r="AD24" s="76">
        <f t="shared" si="6"/>
        <v>1</v>
      </c>
      <c r="AE24" s="76">
        <f t="shared" si="7"/>
        <v>2</v>
      </c>
      <c r="AF24" s="76" t="str">
        <f t="shared" si="8"/>
        <v>212</v>
      </c>
      <c r="AG24" s="76">
        <f t="shared" si="9"/>
        <v>0</v>
      </c>
      <c r="AH24" s="76">
        <f t="shared" si="10"/>
        <v>0</v>
      </c>
      <c r="AI24" s="76">
        <f t="shared" si="11"/>
        <v>0</v>
      </c>
      <c r="AJ24" s="76" t="str">
        <f t="shared" si="12"/>
        <v>221</v>
      </c>
      <c r="AK24" s="76">
        <f t="shared" si="13"/>
        <v>0</v>
      </c>
      <c r="AL24" s="76">
        <f t="shared" si="14"/>
        <v>0</v>
      </c>
      <c r="AM24" s="76">
        <f t="shared" si="15"/>
        <v>0</v>
      </c>
      <c r="AO24" s="76" t="str">
        <f t="shared" si="16"/>
        <v>212</v>
      </c>
      <c r="AP24" s="76">
        <f t="shared" si="17"/>
        <v>0</v>
      </c>
      <c r="AQ24" s="76">
        <f t="shared" si="18"/>
        <v>0</v>
      </c>
      <c r="AR24" s="76">
        <f t="shared" si="19"/>
        <v>0</v>
      </c>
      <c r="AS24" s="76" t="str">
        <f t="shared" si="20"/>
        <v>221</v>
      </c>
      <c r="AT24" s="76">
        <f t="shared" si="21"/>
        <v>0</v>
      </c>
      <c r="AU24" s="76">
        <f t="shared" si="22"/>
        <v>0</v>
      </c>
      <c r="AV24" s="76">
        <f t="shared" si="23"/>
        <v>0</v>
      </c>
      <c r="AX24" s="76" t="str">
        <f t="shared" si="24"/>
        <v>212</v>
      </c>
      <c r="AY24" s="76">
        <v>0</v>
      </c>
      <c r="AZ24" s="76" t="str">
        <f t="shared" si="25"/>
        <v>221</v>
      </c>
      <c r="BA24" s="76">
        <v>0</v>
      </c>
      <c r="BE24" s="76">
        <f>MAX(BE20:BE23)-MIN(BE20:BE23)+1</f>
        <v>1</v>
      </c>
      <c r="BF24" s="76">
        <f>MAX(BF20:BF23)-MIN(BF20:BF23)+1</f>
        <v>1</v>
      </c>
      <c r="BG24" s="76">
        <f>MAX(BG20:BG23)-MIN(BG20:BG23)+1</f>
        <v>1</v>
      </c>
      <c r="BH24" s="76">
        <f>MAX(BH20:BH23)-MIN(BH20:BH23)+1</f>
        <v>1</v>
      </c>
      <c r="BI24" s="76">
        <f>MAX(BI20:BI23)-MIN(BI20:BI23)+1</f>
        <v>1</v>
      </c>
      <c r="BJ24" s="76">
        <f>MAX(BJ20:BJ23)-BJ25+1</f>
        <v>1</v>
      </c>
      <c r="BK24" s="76">
        <f>MAX(BK20:BK23)-BK25+1</f>
        <v>1</v>
      </c>
      <c r="BM24" s="76">
        <f>MAX(BM20:BM23)-MIN(BM20:BM23)+1</f>
        <v>1</v>
      </c>
      <c r="BN24" s="76">
        <f>MAX(BN20:BN23)-MIN(BN20:BN23)+1</f>
        <v>1</v>
      </c>
      <c r="BT24" s="76">
        <f>MAX(BT20:BT23)-MIN(BT20:BT23)+1</f>
        <v>1</v>
      </c>
      <c r="BU24" s="76">
        <f>MAX(BU20:BU23)-MIN(BU20:BU23)+1</f>
        <v>1</v>
      </c>
      <c r="BV24" s="76">
        <f>MAX(BV20:BV23)-MIN(BV20:BV23)+1</f>
        <v>1</v>
      </c>
      <c r="BW24" s="76">
        <f>MAX(BW20:BW23)-MIN(BW20:BW23)+1</f>
        <v>1</v>
      </c>
      <c r="BX24" s="76">
        <f>MAX(BX20:BX23)-MIN(BX20:BX23)+1</f>
        <v>1</v>
      </c>
      <c r="BY24" s="77" t="str">
        <f>BD32</f>
        <v>Belgium</v>
      </c>
      <c r="BZ24" s="77">
        <v>5</v>
      </c>
      <c r="CA24" s="77">
        <v>1</v>
      </c>
      <c r="CC24" s="76">
        <f>CG20</f>
        <v>0</v>
      </c>
      <c r="CD24" s="76">
        <f>CG21</f>
        <v>0</v>
      </c>
      <c r="CE24" s="76">
        <f>CG22</f>
        <v>0</v>
      </c>
      <c r="CF24" s="76">
        <f>CG23</f>
        <v>0</v>
      </c>
      <c r="DK24" s="76">
        <f>DJ20</f>
        <v>1</v>
      </c>
      <c r="DL24" s="76">
        <f>DJ21</f>
        <v>1</v>
      </c>
      <c r="DM24" s="76">
        <f>DJ22</f>
        <v>1</v>
      </c>
      <c r="DN24" s="76">
        <f>DJ23</f>
        <v>1</v>
      </c>
      <c r="DO24" s="77">
        <f>SUM(DK24:DN24)</f>
        <v>4</v>
      </c>
      <c r="DS24" s="76">
        <f>DW20</f>
        <v>0</v>
      </c>
      <c r="DT24" s="76">
        <f>DW21</f>
        <v>0</v>
      </c>
      <c r="DU24" s="76">
        <f>DW22</f>
        <v>0</v>
      </c>
      <c r="DV24" s="76">
        <f>DW23</f>
        <v>0</v>
      </c>
      <c r="EE24" s="76">
        <f>EI20</f>
        <v>0</v>
      </c>
      <c r="EF24" s="76">
        <f>EI21</f>
        <v>0</v>
      </c>
      <c r="EG24" s="76">
        <f>EI22</f>
        <v>0</v>
      </c>
      <c r="EH24" s="76">
        <f>EI23</f>
        <v>0</v>
      </c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62"/>
      <c r="FM24" s="63"/>
      <c r="FN24" s="134"/>
      <c r="FO24" s="55" t="str">
        <f>Y65</f>
        <v>W50</v>
      </c>
      <c r="FP24" s="56"/>
      <c r="FQ24" s="57"/>
    </row>
    <row r="25" spans="1:173">
      <c r="A25" s="49">
        <v>16</v>
      </c>
      <c r="B25" s="50" t="str">
        <f t="shared" si="27"/>
        <v>Thu</v>
      </c>
      <c r="C25" s="51" t="str">
        <f t="shared" si="28"/>
        <v>Jun 20, 2024</v>
      </c>
      <c r="D25" s="52">
        <f t="shared" si="29"/>
        <v>0.41666666666666669</v>
      </c>
      <c r="E25" s="53" t="str">
        <f>BD23</f>
        <v>Slovenia</v>
      </c>
      <c r="F25" s="41"/>
      <c r="G25" s="42"/>
      <c r="H25" s="54" t="str">
        <f>BD22</f>
        <v>Serbia</v>
      </c>
      <c r="I25" s="133" t="str">
        <f>INDEX(T,103,lang)</f>
        <v>Munich</v>
      </c>
      <c r="J25" s="133"/>
      <c r="K25" s="133"/>
      <c r="L25" s="29"/>
      <c r="M25" s="29"/>
      <c r="W25" s="76">
        <f>DATE(2024,6,21)+TIME(2,0,0)+gmt_delta</f>
        <v>45464.416666666672</v>
      </c>
      <c r="X25" s="78" t="str">
        <f t="shared" si="0"/>
        <v/>
      </c>
      <c r="Y25" s="78" t="str">
        <f t="shared" si="1"/>
        <v/>
      </c>
      <c r="Z25" s="77">
        <f t="shared" si="2"/>
        <v>0</v>
      </c>
      <c r="AA25" s="76">
        <f t="shared" si="3"/>
        <v>0</v>
      </c>
      <c r="AB25" s="76">
        <f t="shared" si="4"/>
        <v>0</v>
      </c>
      <c r="AC25" s="76">
        <f t="shared" si="5"/>
        <v>5</v>
      </c>
      <c r="AD25" s="76">
        <f t="shared" si="6"/>
        <v>4</v>
      </c>
      <c r="AE25" s="76">
        <f t="shared" si="7"/>
        <v>2</v>
      </c>
      <c r="AF25" s="76" t="str">
        <f t="shared" si="8"/>
        <v>542</v>
      </c>
      <c r="AG25" s="76">
        <f t="shared" si="9"/>
        <v>0</v>
      </c>
      <c r="AH25" s="76">
        <f t="shared" si="10"/>
        <v>0</v>
      </c>
      <c r="AI25" s="76">
        <f t="shared" si="11"/>
        <v>0</v>
      </c>
      <c r="AJ25" s="76" t="str">
        <f t="shared" si="12"/>
        <v>524</v>
      </c>
      <c r="AK25" s="76">
        <f t="shared" si="13"/>
        <v>0</v>
      </c>
      <c r="AL25" s="76">
        <f t="shared" si="14"/>
        <v>0</v>
      </c>
      <c r="AM25" s="76">
        <f t="shared" si="15"/>
        <v>0</v>
      </c>
      <c r="AO25" s="76" t="str">
        <f t="shared" si="16"/>
        <v>542</v>
      </c>
      <c r="AP25" s="76">
        <f t="shared" si="17"/>
        <v>0</v>
      </c>
      <c r="AQ25" s="76">
        <f t="shared" si="18"/>
        <v>0</v>
      </c>
      <c r="AR25" s="76">
        <f t="shared" si="19"/>
        <v>0</v>
      </c>
      <c r="AS25" s="76" t="str">
        <f t="shared" si="20"/>
        <v>524</v>
      </c>
      <c r="AT25" s="76">
        <f t="shared" si="21"/>
        <v>0</v>
      </c>
      <c r="AU25" s="76">
        <f t="shared" si="22"/>
        <v>0</v>
      </c>
      <c r="AV25" s="76">
        <f t="shared" si="23"/>
        <v>0</v>
      </c>
      <c r="AX25" s="76" t="str">
        <f t="shared" si="24"/>
        <v>542</v>
      </c>
      <c r="AY25" s="76">
        <v>0</v>
      </c>
      <c r="AZ25" s="76" t="str">
        <f t="shared" si="25"/>
        <v>524</v>
      </c>
      <c r="BA25" s="76">
        <v>0</v>
      </c>
      <c r="BJ25" s="76">
        <f>MIN(BJ20:BJ23)</f>
        <v>0</v>
      </c>
      <c r="BK25" s="76">
        <f>MIN(BK20:BK23)</f>
        <v>0</v>
      </c>
      <c r="BY25" s="77" t="str">
        <f>BD33</f>
        <v>Ukraine</v>
      </c>
      <c r="BZ25" s="77">
        <v>5</v>
      </c>
      <c r="CA25" s="77">
        <v>2</v>
      </c>
      <c r="EV25" s="75" t="str">
        <f>VLOOKUP(EV26,$Z$46:$AC$53,2,0)</f>
        <v>Jun 30, 2024   13:00</v>
      </c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62"/>
      <c r="FM25" s="32"/>
      <c r="FN25" s="32"/>
      <c r="FO25" s="32"/>
      <c r="FP25" s="32"/>
      <c r="FQ25" s="32"/>
    </row>
    <row r="26" spans="1:173">
      <c r="A26" s="49">
        <v>17</v>
      </c>
      <c r="B26" s="50" t="str">
        <f t="shared" si="27"/>
        <v>Thu</v>
      </c>
      <c r="C26" s="51" t="str">
        <f t="shared" si="28"/>
        <v>Jun 20, 2024</v>
      </c>
      <c r="D26" s="52">
        <f t="shared" si="29"/>
        <v>0.54166666666666663</v>
      </c>
      <c r="E26" s="53" t="str">
        <f>BD21</f>
        <v>Denmark</v>
      </c>
      <c r="F26" s="41"/>
      <c r="G26" s="42"/>
      <c r="H26" s="54" t="str">
        <f>BD20</f>
        <v>England</v>
      </c>
      <c r="I26" s="133" t="str">
        <f>INDEX(T,106,lang)</f>
        <v>Frankfurt</v>
      </c>
      <c r="J26" s="133"/>
      <c r="K26" s="133"/>
      <c r="L26" s="29"/>
      <c r="M26" s="29"/>
      <c r="O26" s="30" t="str">
        <f>INDEX(T,9,lang) &amp; " " &amp; "D"</f>
        <v>Group D</v>
      </c>
      <c r="P26" s="31" t="str">
        <f>INDEX(T,10,lang)</f>
        <v>PL</v>
      </c>
      <c r="Q26" s="31" t="str">
        <f>INDEX(T,11,lang)</f>
        <v>W</v>
      </c>
      <c r="R26" s="31" t="str">
        <f>INDEX(T,12,lang)</f>
        <v>DRAW</v>
      </c>
      <c r="S26" s="31" t="str">
        <f>INDEX(T,13,lang)</f>
        <v>L</v>
      </c>
      <c r="T26" s="31" t="str">
        <f>INDEX(T,14,lang)</f>
        <v>GF - GA</v>
      </c>
      <c r="U26" s="31" t="str">
        <f>INDEX(T,15,lang)</f>
        <v>PNT</v>
      </c>
      <c r="W26" s="76">
        <f>DATE(2024,6,21)+TIME(5,0,0)+gmt_delta</f>
        <v>45464.541666666672</v>
      </c>
      <c r="X26" s="78" t="str">
        <f t="shared" si="0"/>
        <v/>
      </c>
      <c r="Y26" s="78" t="str">
        <f t="shared" si="1"/>
        <v/>
      </c>
      <c r="Z26" s="77">
        <f t="shared" si="2"/>
        <v>0</v>
      </c>
      <c r="AA26" s="76">
        <f t="shared" si="3"/>
        <v>0</v>
      </c>
      <c r="AB26" s="76">
        <f t="shared" si="4"/>
        <v>0</v>
      </c>
      <c r="AC26" s="76">
        <f t="shared" si="5"/>
        <v>4</v>
      </c>
      <c r="AD26" s="76">
        <f t="shared" si="6"/>
        <v>4</v>
      </c>
      <c r="AE26" s="76">
        <f t="shared" si="7"/>
        <v>3</v>
      </c>
      <c r="AF26" s="76" t="str">
        <f t="shared" si="8"/>
        <v>443</v>
      </c>
      <c r="AG26" s="76">
        <f t="shared" si="9"/>
        <v>0</v>
      </c>
      <c r="AH26" s="76">
        <f t="shared" si="10"/>
        <v>0</v>
      </c>
      <c r="AI26" s="76">
        <f t="shared" si="11"/>
        <v>0</v>
      </c>
      <c r="AJ26" s="76" t="str">
        <f t="shared" si="12"/>
        <v>434</v>
      </c>
      <c r="AK26" s="76">
        <f t="shared" si="13"/>
        <v>0</v>
      </c>
      <c r="AL26" s="76">
        <f t="shared" si="14"/>
        <v>0</v>
      </c>
      <c r="AM26" s="76">
        <f t="shared" si="15"/>
        <v>0</v>
      </c>
      <c r="AO26" s="76" t="str">
        <f t="shared" si="16"/>
        <v>443</v>
      </c>
      <c r="AP26" s="76">
        <f t="shared" si="17"/>
        <v>0</v>
      </c>
      <c r="AQ26" s="76">
        <f t="shared" si="18"/>
        <v>0</v>
      </c>
      <c r="AR26" s="76">
        <f t="shared" si="19"/>
        <v>0</v>
      </c>
      <c r="AS26" s="76" t="str">
        <f t="shared" si="20"/>
        <v>434</v>
      </c>
      <c r="AT26" s="76">
        <f t="shared" si="21"/>
        <v>0</v>
      </c>
      <c r="AU26" s="76">
        <f t="shared" si="22"/>
        <v>0</v>
      </c>
      <c r="AV26" s="76">
        <f t="shared" si="23"/>
        <v>0</v>
      </c>
      <c r="AX26" s="76" t="str">
        <f t="shared" si="24"/>
        <v>443</v>
      </c>
      <c r="AY26" s="76">
        <v>0</v>
      </c>
      <c r="AZ26" s="76" t="str">
        <f t="shared" si="25"/>
        <v>434</v>
      </c>
      <c r="BA26" s="76">
        <v>0</v>
      </c>
      <c r="BC26" s="76">
        <f>DQ26</f>
        <v>1</v>
      </c>
      <c r="BD26" s="77" t="str">
        <f>INDEX(T,62,lang)</f>
        <v>France</v>
      </c>
      <c r="BE26" s="76">
        <f>COUNTIF($X$7:$Y$42,"=" &amp; BD26 &amp; "_win")</f>
        <v>0</v>
      </c>
      <c r="BF26" s="76">
        <f>COUNTIF($X$7:$Y$42,"=" &amp; BD26 &amp; "_draw")</f>
        <v>0</v>
      </c>
      <c r="BG26" s="76">
        <f>COUNTIF($X$7:$Y$42,"=" &amp; BD26 &amp; "_lose")</f>
        <v>0</v>
      </c>
      <c r="BH26" s="76">
        <f>SUMIF($E$10:$E$45,$BD26,$F$10:$F$45) + SUMIF($H$10:$H$45,$BD26,$G$10:$G$45)</f>
        <v>0</v>
      </c>
      <c r="BI26" s="76">
        <f>SUMIF($E$10:$E$45,$BD26,$G$10:$G$45) + SUMIF($H$10:$H$45,$BD26,$F$10:$F$45)</f>
        <v>0</v>
      </c>
      <c r="BJ26" s="76">
        <f>BM26*10000</f>
        <v>0</v>
      </c>
      <c r="BK26" s="76">
        <f>BH26-BI26</f>
        <v>0</v>
      </c>
      <c r="BL26" s="76">
        <f>(BK26-BK31)/BK30</f>
        <v>0</v>
      </c>
      <c r="BM26" s="76">
        <f>BE26*3+BF26</f>
        <v>0</v>
      </c>
      <c r="BN26" s="76">
        <f>BT26/BT30*10+BU26/BU30+BX26/BX30*0.1+BV26/BV30*0.01</f>
        <v>0</v>
      </c>
      <c r="BP26" s="76">
        <f>IF(VLOOKUP(BD26,db_fifarank,2,0)="",MIN(db_fifarank),VLOOKUP(BD26,db_fifarank,2,0))</f>
        <v>66.664000000000001</v>
      </c>
      <c r="BQ26" s="76">
        <f>0.1*((BP26-$BP$44)/$BP$46-(COUNTIF($BP$8:$BP$41,BP26)-1)/(100-ROW(BP26)))</f>
        <v>6.1168083525916156E-2</v>
      </c>
      <c r="BR26" s="77">
        <f>10000000*BM26/BM30+100000*BN26/BN30+100*BL26+10*BH26/BH30+1*BN26/BN30+BQ26</f>
        <v>6.1168083525916156E-2</v>
      </c>
      <c r="BS26" s="77" t="str">
        <f>IF(SUM(BE26:BG29)=12,O27,INDEX(T,76,lang))</f>
        <v>1D</v>
      </c>
      <c r="BT26" s="76">
        <f>SUMPRODUCT(($X$7:$X$42=BD26&amp;"_win")*($Z$7:$Z$42))+SUMPRODUCT(($Y$7:$Y$42=BD26&amp;"_win")*($Z$7:$Z$42))</f>
        <v>0</v>
      </c>
      <c r="BU26" s="76">
        <f>SUMPRODUCT(($X$7:$X$42=BD26&amp;"_draw")*($Z$7:$Z$42))+SUMPRODUCT(($Y$7:$Y$42=BD26&amp;"_draw")*($Z$7:$Z$42))</f>
        <v>0</v>
      </c>
      <c r="BV26" s="76">
        <f>SUMPRODUCT(($E$10:$E$45=BD26)*($Z$7:$Z$42)*($F$10:$F$45))+SUMPRODUCT(($H$10:$H$45=BD26)*($Z$7:$Z$42)*($G$10:$G$45))</f>
        <v>0</v>
      </c>
      <c r="BW26" s="76">
        <f>SUMPRODUCT(($E$10:$E$45=BD26)*($Z$7:$Z$42)*($G$10:$G$45))+SUMPRODUCT(($H$10:$H$45=BD26)*($Z$7:$Z$42)*($F$10:$F$45))</f>
        <v>0</v>
      </c>
      <c r="BX26" s="76">
        <f>BV26-BW26</f>
        <v>0</v>
      </c>
      <c r="BY26" s="77" t="str">
        <f>BD34</f>
        <v>Romania</v>
      </c>
      <c r="BZ26" s="77">
        <v>5</v>
      </c>
      <c r="CA26" s="77">
        <v>3</v>
      </c>
      <c r="CD26" s="76">
        <f>IFERROR(VLOOKUP("412",$AF$7:$AI$42,2,0),0) + IFERROR(VLOOKUP("412",$AJ$7:$AM$42,2,0),0)</f>
        <v>0</v>
      </c>
      <c r="CE26" s="76">
        <f>IFERROR(VLOOKUP("413",$AF$7:$AI$42,2,0),0) + IFERROR(VLOOKUP("413",$AJ$7:$AM$42,2,0),0)</f>
        <v>0</v>
      </c>
      <c r="CF26" s="76">
        <f>IFERROR(VLOOKUP("414",$AF$7:$AI$42,2,0),0) + IFERROR(VLOOKUP("414",$AJ$7:$AM$42,2,0),0)</f>
        <v>0</v>
      </c>
      <c r="CG26" s="77">
        <f>SUM(CC26:CF26)</f>
        <v>0</v>
      </c>
      <c r="CI26" s="76">
        <f>IFERROR(VLOOKUP("412",$AF$7:$AI$42,3,0),0) + IFERROR(VLOOKUP("412",$AJ$7:$AM$42,3,0),0)</f>
        <v>0</v>
      </c>
      <c r="CJ26" s="76">
        <f>IFERROR(VLOOKUP("413",$AF$7:$AI$42,3,0),0) + IFERROR(VLOOKUP("413",$AJ$7:$AM$42,3,0),0)</f>
        <v>0</v>
      </c>
      <c r="CK26" s="76">
        <f>IFERROR(VLOOKUP("414",$AF$7:$AI$42,3,0),0) + IFERROR(VLOOKUP("414",$AJ$7:$AM$42,3,0),0)</f>
        <v>0</v>
      </c>
      <c r="CL26" s="77">
        <f>SUM(CH26:CK26)</f>
        <v>0</v>
      </c>
      <c r="CM26" s="77">
        <f>RANK(CL26,CL26:CL29)</f>
        <v>1</v>
      </c>
      <c r="CO26" s="76">
        <f>IFERROR(VLOOKUP("412",$AF$7:$AI$42,4,0),0) + IFERROR(VLOOKUP("412",$AJ$7:$AM$42,4,0),0)</f>
        <v>0</v>
      </c>
      <c r="CP26" s="76">
        <f>IFERROR(VLOOKUP("413",$AF$7:$AI$42,4,0),0) + IFERROR(VLOOKUP("413",$AJ$7:$AM$42,4,0),0)</f>
        <v>0</v>
      </c>
      <c r="CQ26" s="76">
        <f>IFERROR(VLOOKUP("414",$AF$7:$AI$42,4,0),0) + IFERROR(VLOOKUP("414",$AJ$7:$AM$42,4,0),0)</f>
        <v>0</v>
      </c>
      <c r="CR26" s="77">
        <f>SUM(CN26:CQ26)</f>
        <v>0</v>
      </c>
      <c r="CT26" s="76">
        <f>IF(CD30=CG26,CD26,0)</f>
        <v>0</v>
      </c>
      <c r="CU26" s="76">
        <f>IF(CE30=CG26,CE26,0)</f>
        <v>0</v>
      </c>
      <c r="CV26" s="76">
        <f>IF(CF30=CG26,CF26,0)</f>
        <v>0</v>
      </c>
      <c r="CW26" s="77">
        <f>SUM(CS26:CV26)</f>
        <v>0</v>
      </c>
      <c r="CY26" s="76">
        <f>IF(CD30=CG26,CI26,0)</f>
        <v>0</v>
      </c>
      <c r="CZ26" s="76">
        <f>IF(CE30=CG26,CJ26,0)</f>
        <v>0</v>
      </c>
      <c r="DA26" s="76">
        <f>IF(CF30=CG26,CK26,0)</f>
        <v>0</v>
      </c>
      <c r="DB26" s="77">
        <f>SUM(CX26:DA26)</f>
        <v>0</v>
      </c>
      <c r="DC26" s="77">
        <f>RANK(DB26,DB26:DB29)</f>
        <v>1</v>
      </c>
      <c r="DE26" s="76">
        <f>IF(CD30=CG26,CO26,0)</f>
        <v>0</v>
      </c>
      <c r="DF26" s="76">
        <f>IF(CE30=CG26,CP26,0)</f>
        <v>0</v>
      </c>
      <c r="DG26" s="76">
        <f>IF(CF30=CG26,CQ26,0)</f>
        <v>0</v>
      </c>
      <c r="DH26" s="77">
        <f>SUM(DD26:DG26)</f>
        <v>0</v>
      </c>
      <c r="DI26" s="77">
        <f>CG26*10000+CW26*100+(5-DC26)+DH26/10</f>
        <v>4</v>
      </c>
      <c r="DJ26" s="77">
        <f>RANK(DI26,DI26:DI29)</f>
        <v>1</v>
      </c>
      <c r="DL26" s="76">
        <f>IF(DL30=DJ26,CD26,0)</f>
        <v>0</v>
      </c>
      <c r="DM26" s="76">
        <f>IF(DM30=DJ26,CE26,0)</f>
        <v>0</v>
      </c>
      <c r="DN26" s="76">
        <f>IF(DN30=DJ26,CF26,0)</f>
        <v>0</v>
      </c>
      <c r="DO26" s="77">
        <f>SUM(DK26:DN26)</f>
        <v>0</v>
      </c>
      <c r="DP26" s="77">
        <f>(5-DJ26)*10000+DO26*100+(5-CM26)+CR26/10+(5-DX26)/100+BQ26/10000</f>
        <v>40004.040006116811</v>
      </c>
      <c r="DQ26" s="77">
        <f>RANK(DP26,DP26:DP29)</f>
        <v>1</v>
      </c>
      <c r="DT26" s="76">
        <f>IFERROR(VLOOKUP("412",$AX$7:$AY$42,2,0),0) + IFERROR(VLOOKUP("412",$AZ$7:$BA$42,2,0),0)</f>
        <v>0</v>
      </c>
      <c r="DU26" s="76">
        <f>IFERROR(VLOOKUP("413",$AX$7:$AY$42,2,0),0) + IFERROR(VLOOKUP("413",$AZ$7:$BA$42,2,0),0)</f>
        <v>0</v>
      </c>
      <c r="DV26" s="76">
        <f>IFERROR(VLOOKUP("414",$AX$7:$AY$42,2,0),0) + IFERROR(VLOOKUP("414",$AZ$7:$BA$42,2,0),0)</f>
        <v>0</v>
      </c>
      <c r="DW26" s="77">
        <f>SUM(DS26:DV26)</f>
        <v>0</v>
      </c>
      <c r="DX26" s="77">
        <f>RANK(DW26,DW26:DW29)</f>
        <v>1</v>
      </c>
      <c r="DZ26" s="77" t="str">
        <f>BD26</f>
        <v>France</v>
      </c>
      <c r="EA26" s="77">
        <f>EI26*10000+EO26*100+ET26</f>
        <v>100</v>
      </c>
      <c r="EB26" s="76">
        <f>COUNTIF(EA26:EA29,EA26)</f>
        <v>4</v>
      </c>
      <c r="EC26" s="76">
        <f>COUNTIF(CG26:CG29,CG26)</f>
        <v>4</v>
      </c>
      <c r="ED26" s="77">
        <f>IF(AND(EB26&gt;=2,EC26=2),EA26,-EA26-0.4)</f>
        <v>-100.4</v>
      </c>
      <c r="EF26" s="76">
        <f>IFERROR(VLOOKUP("412",$AO$7:$AR$42,2,0),0) + IFERROR(VLOOKUP("412",$AS$7:$AV$42,2,0),0)</f>
        <v>0</v>
      </c>
      <c r="EG26" s="76">
        <f>IFERROR(VLOOKUP("413",$AO$7:$AR$42,2,0),0) + IFERROR(VLOOKUP("413",$AS$7:$AV$42,2,0),0)</f>
        <v>0</v>
      </c>
      <c r="EH26" s="76">
        <f>IFERROR(VLOOKUP("414",$AO$7:$AR$42,2,0),0) + IFERROR(VLOOKUP("414",$AS$7:$AV$42,2,0),0)</f>
        <v>0</v>
      </c>
      <c r="EI26" s="77">
        <f>SUM(EE26:EH26)</f>
        <v>0</v>
      </c>
      <c r="EK26" s="76">
        <f>IFERROR(VLOOKUP("412",$AO$7:$AR$42,3,0),0) + IFERROR(VLOOKUP("412",$AS$7:$AV$42,3,0),0)</f>
        <v>0</v>
      </c>
      <c r="EL26" s="76">
        <f>IFERROR(VLOOKUP("413",$AO$7:$AR$42,3,0),0) + IFERROR(VLOOKUP("413",$AS$7:$AV$42,3,0),0)</f>
        <v>0</v>
      </c>
      <c r="EM26" s="76">
        <f>IFERROR(VLOOKUP("414",$AO$7:$AR$42,3,0),0) + IFERROR(VLOOKUP("414",$AS$7:$AV$42,3,0),0)</f>
        <v>0</v>
      </c>
      <c r="EN26" s="77">
        <f>SUM(EJ26:EM26)</f>
        <v>0</v>
      </c>
      <c r="EO26" s="77">
        <f>RANK(EN26,EN26:EN29)</f>
        <v>1</v>
      </c>
      <c r="EQ26" s="76">
        <f>IFERROR(VLOOKUP("412",$AO$7:$AR$42,4,0),0) + IFERROR(VLOOKUP("412",$AS$7:$AV$42,4,0),0)</f>
        <v>0</v>
      </c>
      <c r="ER26" s="76">
        <f>IFERROR(VLOOKUP("413",$AO$7:$AR$42,4,0),0) + IFERROR(VLOOKUP("413",$AS$7:$AV$42,4,0),0)</f>
        <v>0</v>
      </c>
      <c r="ES26" s="76">
        <f>IFERROR(VLOOKUP("414",$AO$7:$AR$42,4,0),0) + IFERROR(VLOOKUP("414",$AS$7:$AV$42,4,0),0)</f>
        <v>0</v>
      </c>
      <c r="ET26" s="77">
        <f>SUM(EP26:ES26)</f>
        <v>0</v>
      </c>
      <c r="EV26" s="132">
        <v>3</v>
      </c>
      <c r="EW26" s="47" t="str">
        <f>VLOOKUP(EV26,$Z$46:$AC$53,3,0)</f>
        <v>1C</v>
      </c>
      <c r="EX26" s="48"/>
      <c r="EY26" s="89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62"/>
      <c r="FM26" s="32"/>
      <c r="FN26" s="32"/>
      <c r="FO26" s="32"/>
      <c r="FP26" s="32"/>
      <c r="FQ26" s="32"/>
    </row>
    <row r="27" spans="1:173">
      <c r="A27" s="49">
        <v>18</v>
      </c>
      <c r="B27" s="50" t="str">
        <f t="shared" si="27"/>
        <v>Thu</v>
      </c>
      <c r="C27" s="51" t="str">
        <f t="shared" si="28"/>
        <v>Jun 20, 2024</v>
      </c>
      <c r="D27" s="52">
        <f t="shared" si="29"/>
        <v>0.66666666666666663</v>
      </c>
      <c r="E27" s="53" t="str">
        <f>BD14</f>
        <v>Spain</v>
      </c>
      <c r="F27" s="41"/>
      <c r="G27" s="42"/>
      <c r="H27" s="54" t="str">
        <f>BD15</f>
        <v>Italy</v>
      </c>
      <c r="I27" s="133" t="str">
        <f>INDEX(T,110,lang)</f>
        <v>Gelsenkirchen</v>
      </c>
      <c r="J27" s="133"/>
      <c r="K27" s="133"/>
      <c r="L27" s="29"/>
      <c r="M27" s="29"/>
      <c r="O27" s="33" t="str">
        <f>VLOOKUP(1,BC26:BM29,2,0)</f>
        <v>France</v>
      </c>
      <c r="P27" s="34">
        <f>Q27+R27+S27</f>
        <v>0</v>
      </c>
      <c r="Q27" s="34">
        <f>VLOOKUP(1,BC26:BM29,3,0)</f>
        <v>0</v>
      </c>
      <c r="R27" s="34">
        <f>VLOOKUP(1,BC26:BM29,4,0)</f>
        <v>0</v>
      </c>
      <c r="S27" s="34">
        <f>VLOOKUP(1,BC26:BM29,5,0)</f>
        <v>0</v>
      </c>
      <c r="T27" s="34" t="str">
        <f>VLOOKUP(1,BC26:BM29,6,0) &amp; " - " &amp; VLOOKUP(1,BC26:BM29,7,0)</f>
        <v>0 - 0</v>
      </c>
      <c r="U27" s="35">
        <f>Q27*3+R27</f>
        <v>0</v>
      </c>
      <c r="W27" s="76">
        <f>DATE(2024,6,21)+TIME(8,0,0)+gmt_delta</f>
        <v>45464.666666666672</v>
      </c>
      <c r="X27" s="78" t="str">
        <f t="shared" si="0"/>
        <v/>
      </c>
      <c r="Y27" s="78" t="str">
        <f t="shared" si="1"/>
        <v/>
      </c>
      <c r="Z27" s="77">
        <f t="shared" si="2"/>
        <v>0</v>
      </c>
      <c r="AA27" s="76">
        <f t="shared" si="3"/>
        <v>0</v>
      </c>
      <c r="AB27" s="76">
        <f t="shared" si="4"/>
        <v>0</v>
      </c>
      <c r="AC27" s="76">
        <f t="shared" si="5"/>
        <v>4</v>
      </c>
      <c r="AD27" s="76">
        <f t="shared" si="6"/>
        <v>2</v>
      </c>
      <c r="AE27" s="76">
        <f t="shared" si="7"/>
        <v>1</v>
      </c>
      <c r="AF27" s="76" t="str">
        <f t="shared" si="8"/>
        <v>421</v>
      </c>
      <c r="AG27" s="76">
        <f t="shared" si="9"/>
        <v>0</v>
      </c>
      <c r="AH27" s="76">
        <f t="shared" si="10"/>
        <v>0</v>
      </c>
      <c r="AI27" s="76">
        <f t="shared" si="11"/>
        <v>0</v>
      </c>
      <c r="AJ27" s="76" t="str">
        <f t="shared" si="12"/>
        <v>412</v>
      </c>
      <c r="AK27" s="76">
        <f t="shared" si="13"/>
        <v>0</v>
      </c>
      <c r="AL27" s="76">
        <f t="shared" si="14"/>
        <v>0</v>
      </c>
      <c r="AM27" s="76">
        <f t="shared" si="15"/>
        <v>0</v>
      </c>
      <c r="AO27" s="76" t="str">
        <f t="shared" si="16"/>
        <v>421</v>
      </c>
      <c r="AP27" s="76">
        <f t="shared" si="17"/>
        <v>0</v>
      </c>
      <c r="AQ27" s="76">
        <f t="shared" si="18"/>
        <v>0</v>
      </c>
      <c r="AR27" s="76">
        <f t="shared" si="19"/>
        <v>0</v>
      </c>
      <c r="AS27" s="76" t="str">
        <f t="shared" si="20"/>
        <v>412</v>
      </c>
      <c r="AT27" s="76">
        <f t="shared" si="21"/>
        <v>0</v>
      </c>
      <c r="AU27" s="76">
        <f t="shared" si="22"/>
        <v>0</v>
      </c>
      <c r="AV27" s="76">
        <f t="shared" si="23"/>
        <v>0</v>
      </c>
      <c r="AX27" s="76" t="str">
        <f t="shared" si="24"/>
        <v>421</v>
      </c>
      <c r="AY27" s="76">
        <v>0</v>
      </c>
      <c r="AZ27" s="76" t="str">
        <f t="shared" si="25"/>
        <v>412</v>
      </c>
      <c r="BA27" s="76">
        <v>0</v>
      </c>
      <c r="BC27" s="76">
        <f>DQ27</f>
        <v>2</v>
      </c>
      <c r="BD27" s="77" t="str">
        <f>INDEX(T,48,lang)</f>
        <v>Netherlands</v>
      </c>
      <c r="BE27" s="76">
        <f>COUNTIF($X$7:$Y$42,"=" &amp; BD27 &amp; "_win")</f>
        <v>0</v>
      </c>
      <c r="BF27" s="76">
        <f>COUNTIF($X$7:$Y$42,"=" &amp; BD27 &amp; "_draw")</f>
        <v>0</v>
      </c>
      <c r="BG27" s="76">
        <f>COUNTIF($X$7:$Y$42,"=" &amp; BD27 &amp; "_lose")</f>
        <v>0</v>
      </c>
      <c r="BH27" s="76">
        <f>SUMIF($E$10:$E$45,$BD27,$F$10:$F$45) + SUMIF($H$10:$H$45,$BD27,$G$10:$G$45)</f>
        <v>0</v>
      </c>
      <c r="BI27" s="76">
        <f>SUMIF($E$10:$E$45,$BD27,$G$10:$G$45) + SUMIF($H$10:$H$45,$BD27,$F$10:$F$45)</f>
        <v>0</v>
      </c>
      <c r="BJ27" s="76">
        <f>BM27*10000</f>
        <v>0</v>
      </c>
      <c r="BK27" s="76">
        <f>BH27-BI27</f>
        <v>0</v>
      </c>
      <c r="BL27" s="76">
        <f>(BK27-BK31)/BK30</f>
        <v>0</v>
      </c>
      <c r="BM27" s="76">
        <f>BE27*3+BF27</f>
        <v>0</v>
      </c>
      <c r="BN27" s="76">
        <f>BT27/BT30*10+BU27/BU30+BX27/BX30*0.1+BV27/BV30*0.01</f>
        <v>0</v>
      </c>
      <c r="BP27" s="76">
        <f>IF(VLOOKUP(BD27,db_fifarank,2,0)="",MIN(db_fifarank),VLOOKUP(BD27,db_fifarank,2,0))</f>
        <v>61.3</v>
      </c>
      <c r="BQ27" s="76">
        <f t="shared" ref="BQ27:BQ29" si="32">0.1*((BP27-$BP$44)/$BP$46-(COUNTIF($BP$8:$BP$41,BP27)-1)/(100-ROW(BP27)))</f>
        <v>5.5634078903928685E-2</v>
      </c>
      <c r="BR27" s="77">
        <f>10000000*BM27/BM30+100000*BN27/BN30+100*BL27+10*BH27/BH30+1*BN27/BN30+BQ27</f>
        <v>5.5634078903928685E-2</v>
      </c>
      <c r="BS27" s="77" t="str">
        <f>IF(SUM(BE26:BG29)=12,O28,INDEX(T,77,lang))</f>
        <v>2D</v>
      </c>
      <c r="BT27" s="76">
        <f>SUMPRODUCT(($X$7:$X$42=BD27&amp;"_win")*($Z$7:$Z$42))+SUMPRODUCT(($Y$7:$Y$42=BD27&amp;"_win")*($Z$7:$Z$42))</f>
        <v>0</v>
      </c>
      <c r="BU27" s="76">
        <f>SUMPRODUCT(($X$7:$X$42=BD27&amp;"_draw")*($Z$7:$Z$42))+SUMPRODUCT(($Y$7:$Y$42=BD27&amp;"_draw")*($Z$7:$Z$42))</f>
        <v>0</v>
      </c>
      <c r="BV27" s="76">
        <f>SUMPRODUCT(($E$10:$E$45=BD27)*($Z$7:$Z$42)*($F$10:$F$45))+SUMPRODUCT(($H$10:$H$45=BD27)*($Z$7:$Z$42)*($G$10:$G$45))</f>
        <v>0</v>
      </c>
      <c r="BW27" s="76">
        <f>SUMPRODUCT(($E$10:$E$45=BD27)*($Z$7:$Z$42)*($G$10:$G$45))+SUMPRODUCT(($H$10:$H$45=BD27)*($Z$7:$Z$42)*($F$10:$F$45))</f>
        <v>0</v>
      </c>
      <c r="BX27" s="76">
        <f>BV27-BW27</f>
        <v>0</v>
      </c>
      <c r="BY27" s="77" t="str">
        <f>BD35</f>
        <v>Slovakia</v>
      </c>
      <c r="BZ27" s="77">
        <v>5</v>
      </c>
      <c r="CA27" s="77">
        <v>4</v>
      </c>
      <c r="CC27" s="76">
        <f>IFERROR(VLOOKUP("421",$AF$7:$AI$42,2,0),0) + IFERROR(VLOOKUP("421",$AJ$7:$AM$42,2,0),0)</f>
        <v>0</v>
      </c>
      <c r="CE27" s="76">
        <f>IFERROR(VLOOKUP("423",$AF$7:$AI$42,2,0),0) + IFERROR(VLOOKUP("423",$AJ$7:$AM$42,2,0),0)</f>
        <v>0</v>
      </c>
      <c r="CF27" s="76">
        <f>IFERROR(VLOOKUP("424",$AF$7:$AI$42,2,0),0) + IFERROR(VLOOKUP("424",$AJ$7:$AM$42,2,0),0)</f>
        <v>0</v>
      </c>
      <c r="CG27" s="77">
        <f>SUM(CC27:CF27)</f>
        <v>0</v>
      </c>
      <c r="CH27" s="76">
        <f>IFERROR(VLOOKUP("421",$AF$7:$AI$42,3,0),0) + IFERROR(VLOOKUP("421",$AJ$7:$AM$42,3,0),0)</f>
        <v>0</v>
      </c>
      <c r="CJ27" s="76">
        <f>IFERROR(VLOOKUP("423",$AF$7:$AI$42,3,0),0) + IFERROR(VLOOKUP("423",$AJ$7:$AM$42,3,0),0)</f>
        <v>0</v>
      </c>
      <c r="CK27" s="76">
        <f>IFERROR(VLOOKUP("424",$AF$7:$AI$42,3,0),0) + IFERROR(VLOOKUP("424",$AJ$7:$AM$42,3,0),0)</f>
        <v>0</v>
      </c>
      <c r="CL27" s="77">
        <f>SUM(CH27:CK27)</f>
        <v>0</v>
      </c>
      <c r="CM27" s="77">
        <f>RANK(CL27,CL26:CL29)</f>
        <v>1</v>
      </c>
      <c r="CN27" s="76">
        <f>IFERROR(VLOOKUP("421",$AF$7:$AI$42,4,0),0) + IFERROR(VLOOKUP("421",$AJ$7:$AM$42,4,0),0)</f>
        <v>0</v>
      </c>
      <c r="CP27" s="76">
        <f>IFERROR(VLOOKUP("423",$AF$7:$AI$42,4,0),0) + IFERROR(VLOOKUP("423",$AJ$7:$AM$42,4,0),0)</f>
        <v>0</v>
      </c>
      <c r="CQ27" s="76">
        <f>IFERROR(VLOOKUP("424",$AF$7:$AI$42,4,0),0) + IFERROR(VLOOKUP("424",$AJ$7:$AM$42,4,0),0)</f>
        <v>0</v>
      </c>
      <c r="CR27" s="77">
        <f>SUM(CN27:CQ27)</f>
        <v>0</v>
      </c>
      <c r="CS27" s="76">
        <f>IF(CC30=CG27,CC27,0)</f>
        <v>0</v>
      </c>
      <c r="CU27" s="76">
        <f>IF(CE30=CG27,CE27,0)</f>
        <v>0</v>
      </c>
      <c r="CV27" s="76">
        <f>IF(CF30=CG27,CF27,0)</f>
        <v>0</v>
      </c>
      <c r="CW27" s="77">
        <f>SUM(CS27:CV27)</f>
        <v>0</v>
      </c>
      <c r="CX27" s="76">
        <f>IF(CC30=CG27,CH27,0)</f>
        <v>0</v>
      </c>
      <c r="CZ27" s="76">
        <f>IF(CE30=CG27,CJ27,0)</f>
        <v>0</v>
      </c>
      <c r="DA27" s="76">
        <f>IF(CF30=CG27,CK27,0)</f>
        <v>0</v>
      </c>
      <c r="DB27" s="77">
        <f>SUM(CX27:DA27)</f>
        <v>0</v>
      </c>
      <c r="DC27" s="77">
        <f>RANK(DB27,DB26:DB29)</f>
        <v>1</v>
      </c>
      <c r="DD27" s="76">
        <f>IF(CC30=CG27,CN27,0)</f>
        <v>0</v>
      </c>
      <c r="DF27" s="76">
        <f>IF(CE30=CG27,CP27,0)</f>
        <v>0</v>
      </c>
      <c r="DG27" s="76">
        <f>IF(CF30=CG27,CQ27,0)</f>
        <v>0</v>
      </c>
      <c r="DH27" s="77">
        <f>SUM(DD27:DG27)</f>
        <v>0</v>
      </c>
      <c r="DI27" s="77">
        <f>CG27*10000+CW27*100+(5-DC27)+DH27/10</f>
        <v>4</v>
      </c>
      <c r="DJ27" s="77">
        <f>RANK(DI27,DI26:DI29)</f>
        <v>1</v>
      </c>
      <c r="DK27" s="76">
        <f>IF(DK30=DJ27,CC27,0)</f>
        <v>0</v>
      </c>
      <c r="DM27" s="76">
        <f>IF(DM30=DJ27,CE27,0)</f>
        <v>0</v>
      </c>
      <c r="DN27" s="76">
        <f>IF(DN30=DJ27,CF27,0)</f>
        <v>0</v>
      </c>
      <c r="DO27" s="77">
        <f>SUM(DK27:DN27)</f>
        <v>0</v>
      </c>
      <c r="DP27" s="77">
        <f>(5-DJ27)*10000+DO27*100+(5-CM27)+CR27/10+(5-DX27)/100+BQ27/10000</f>
        <v>40004.040005563409</v>
      </c>
      <c r="DQ27" s="77">
        <f>RANK(DP27,DP26:DP29)</f>
        <v>2</v>
      </c>
      <c r="DS27" s="76">
        <f>IFERROR(VLOOKUP("421",$AX$7:$AY$42,2,0),0) + IFERROR(VLOOKUP("421",$AZ$7:$BA$42,2,0),0)</f>
        <v>0</v>
      </c>
      <c r="DU27" s="76">
        <f>IFERROR(VLOOKUP("423",$AX$7:$AY$42,2,0),0) + IFERROR(VLOOKUP("423",$AZ$7:$BA$42,2,0),0)</f>
        <v>0</v>
      </c>
      <c r="DV27" s="76">
        <f>IFERROR(VLOOKUP("424",$AX$7:$AY$42,2,0),0) + IFERROR(VLOOKUP("424",$AZ$7:$BA$42,2,0),0)</f>
        <v>0</v>
      </c>
      <c r="DW27" s="77">
        <f>SUM(DS27:DV27)</f>
        <v>0</v>
      </c>
      <c r="DX27" s="77">
        <f>RANK(DW27,DW26:DW29)</f>
        <v>1</v>
      </c>
      <c r="DZ27" s="77" t="str">
        <f>BD27</f>
        <v>Netherlands</v>
      </c>
      <c r="EA27" s="77">
        <f>EI27*10000+EO27*100+ET27</f>
        <v>100</v>
      </c>
      <c r="EB27" s="76">
        <f>COUNTIF(EA26:EA29,EA27)</f>
        <v>4</v>
      </c>
      <c r="EC27" s="76">
        <f>COUNTIF(CG26:CG29,CG27)</f>
        <v>4</v>
      </c>
      <c r="ED27" s="77">
        <f>IF(AND(EB27&gt;=2,EC27=2),EA27,-EA27-0.3)</f>
        <v>-100.3</v>
      </c>
      <c r="EE27" s="76">
        <f>IFERROR(VLOOKUP("421",$AO$7:$AR$42,2,0),0) + IFERROR(VLOOKUP("421",$AS$7:$AV$42,2,0),0)</f>
        <v>0</v>
      </c>
      <c r="EG27" s="76">
        <f>IFERROR(VLOOKUP("423",$AO$7:$AR$42,2,0),0) + IFERROR(VLOOKUP("423",$AS$7:$AV$42,2,0),0)</f>
        <v>0</v>
      </c>
      <c r="EH27" s="76">
        <f>IFERROR(VLOOKUP("424",$AO$7:$AR$42,2,0),0) + IFERROR(VLOOKUP("424",$AS$7:$AV$42,2,0),0)</f>
        <v>0</v>
      </c>
      <c r="EI27" s="77">
        <f>SUM(EE27:EH27)</f>
        <v>0</v>
      </c>
      <c r="EJ27" s="76">
        <f>IFERROR(VLOOKUP("421",$AO$7:$AR$42,3,0),0) + IFERROR(VLOOKUP("421",$AS$7:$AV$42,3,0),0)</f>
        <v>0</v>
      </c>
      <c r="EL27" s="76">
        <f>IFERROR(VLOOKUP("423",$AO$7:$AR$42,3,0),0) + IFERROR(VLOOKUP("423",$AS$7:$AV$42,3,0),0)</f>
        <v>0</v>
      </c>
      <c r="EM27" s="76">
        <f>IFERROR(VLOOKUP("424",$AO$7:$AR$42,3,0),0) + IFERROR(VLOOKUP("424",$AS$7:$AV$42,3,0),0)</f>
        <v>0</v>
      </c>
      <c r="EN27" s="77">
        <f>SUM(EJ27:EM27)</f>
        <v>0</v>
      </c>
      <c r="EO27" s="77">
        <f>RANK(EN27,EN26:EN29)</f>
        <v>1</v>
      </c>
      <c r="EP27" s="76">
        <f>IFERROR(VLOOKUP("421",$AO$7:$AR$42,4,0),0) + IFERROR(VLOOKUP("421",$AS$7:$AV$42,4,0),0)</f>
        <v>0</v>
      </c>
      <c r="ER27" s="76">
        <f>IFERROR(VLOOKUP("423",$AO$7:$AR$42,4,0),0) + IFERROR(VLOOKUP("423",$AS$7:$AV$42,4,0),0)</f>
        <v>0</v>
      </c>
      <c r="ES27" s="76">
        <f>IFERROR(VLOOKUP("424",$AO$7:$AR$42,4,0),0) + IFERROR(VLOOKUP("424",$AS$7:$AV$42,4,0),0)</f>
        <v>0</v>
      </c>
      <c r="ET27" s="77">
        <f>SUM(EP27:ES27)</f>
        <v>0</v>
      </c>
      <c r="EV27" s="132"/>
      <c r="EW27" s="55" t="str">
        <f>VLOOKUP(EV26,$Z$46:$AC$53,4,0)</f>
        <v>3D</v>
      </c>
      <c r="EX27" s="56"/>
      <c r="EY27" s="57"/>
      <c r="EZ27" s="58"/>
      <c r="FA27" s="32"/>
      <c r="FB27" s="32" t="str">
        <f>INDEX(T,24+MONTH(W59),lang) &amp; " " &amp; DAY(W59) &amp; ", " &amp; YEAR(W59) &amp; "   " &amp; TEXT(HOUR(W59),"00") &amp; ":" &amp; TEXT(MINUTE(W59),"00")</f>
        <v>Jul 6, 2024   13:00</v>
      </c>
      <c r="FC27" s="32"/>
      <c r="FD27" s="32"/>
      <c r="FE27" s="32"/>
      <c r="FF27" s="32"/>
      <c r="FG27" s="32"/>
      <c r="FH27" s="32"/>
      <c r="FI27" s="32"/>
      <c r="FJ27" s="32"/>
      <c r="FK27" s="32"/>
      <c r="FL27" s="62"/>
      <c r="FM27" s="32"/>
      <c r="FN27" s="32"/>
      <c r="FO27" s="32"/>
      <c r="FP27" s="32"/>
      <c r="FQ27" s="32"/>
    </row>
    <row r="28" spans="1:173">
      <c r="A28" s="49">
        <v>19</v>
      </c>
      <c r="B28" s="50" t="str">
        <f t="shared" si="27"/>
        <v>Fri</v>
      </c>
      <c r="C28" s="51" t="str">
        <f t="shared" si="28"/>
        <v>Jun 21, 2024</v>
      </c>
      <c r="D28" s="52">
        <f t="shared" si="29"/>
        <v>0.41666666666666669</v>
      </c>
      <c r="E28" s="53" t="str">
        <f>BD35</f>
        <v>Slovakia</v>
      </c>
      <c r="F28" s="41"/>
      <c r="G28" s="42"/>
      <c r="H28" s="54" t="str">
        <f>BD33</f>
        <v>Ukraine</v>
      </c>
      <c r="I28" s="133" t="str">
        <f>INDEX(T,111,lang)</f>
        <v>Düsseldorf</v>
      </c>
      <c r="J28" s="133"/>
      <c r="K28" s="133"/>
      <c r="L28" s="29"/>
      <c r="M28" s="29"/>
      <c r="O28" s="44" t="str">
        <f>VLOOKUP(2,BC26:BM29,2,0)</f>
        <v>Netherlands</v>
      </c>
      <c r="P28" s="45">
        <f>Q28+R28+S28</f>
        <v>0</v>
      </c>
      <c r="Q28" s="45">
        <f>VLOOKUP(2,BC26:BM29,3,0)</f>
        <v>0</v>
      </c>
      <c r="R28" s="45">
        <f>VLOOKUP(2,BC26:BM29,4,0)</f>
        <v>0</v>
      </c>
      <c r="S28" s="45">
        <f>VLOOKUP(2,BC26:BM29,5,0)</f>
        <v>0</v>
      </c>
      <c r="T28" s="45" t="str">
        <f>VLOOKUP(2,BC26:BM29,6,0) &amp; " - " &amp; VLOOKUP(2,BC26:BM29,7,0)</f>
        <v>0 - 0</v>
      </c>
      <c r="U28" s="46">
        <f>Q28*3+R28</f>
        <v>0</v>
      </c>
      <c r="W28" s="76">
        <f>DATE(2024,6,22)+TIME(2,0,0)+gmt_delta</f>
        <v>45465.416666666672</v>
      </c>
      <c r="X28" s="78" t="str">
        <f t="shared" si="0"/>
        <v/>
      </c>
      <c r="Y28" s="78" t="str">
        <f t="shared" si="1"/>
        <v/>
      </c>
      <c r="Z28" s="77">
        <f t="shared" si="2"/>
        <v>0</v>
      </c>
      <c r="AA28" s="76">
        <f t="shared" si="3"/>
        <v>0</v>
      </c>
      <c r="AB28" s="76">
        <f t="shared" si="4"/>
        <v>0</v>
      </c>
      <c r="AC28" s="76">
        <f t="shared" si="5"/>
        <v>6</v>
      </c>
      <c r="AD28" s="76">
        <f t="shared" si="6"/>
        <v>4</v>
      </c>
      <c r="AE28" s="76">
        <f t="shared" si="7"/>
        <v>3</v>
      </c>
      <c r="AF28" s="76" t="str">
        <f t="shared" si="8"/>
        <v>643</v>
      </c>
      <c r="AG28" s="76">
        <f t="shared" si="9"/>
        <v>0</v>
      </c>
      <c r="AH28" s="76">
        <f t="shared" si="10"/>
        <v>0</v>
      </c>
      <c r="AI28" s="76">
        <f t="shared" si="11"/>
        <v>0</v>
      </c>
      <c r="AJ28" s="76" t="str">
        <f t="shared" si="12"/>
        <v>634</v>
      </c>
      <c r="AK28" s="76">
        <f t="shared" si="13"/>
        <v>0</v>
      </c>
      <c r="AL28" s="76">
        <f t="shared" si="14"/>
        <v>0</v>
      </c>
      <c r="AM28" s="76">
        <f t="shared" si="15"/>
        <v>0</v>
      </c>
      <c r="AO28" s="76" t="str">
        <f t="shared" si="16"/>
        <v>643</v>
      </c>
      <c r="AP28" s="76">
        <f t="shared" si="17"/>
        <v>0</v>
      </c>
      <c r="AQ28" s="76">
        <f t="shared" si="18"/>
        <v>0</v>
      </c>
      <c r="AR28" s="76">
        <f t="shared" si="19"/>
        <v>0</v>
      </c>
      <c r="AS28" s="76" t="str">
        <f t="shared" si="20"/>
        <v>634</v>
      </c>
      <c r="AT28" s="76">
        <f t="shared" si="21"/>
        <v>0</v>
      </c>
      <c r="AU28" s="76">
        <f t="shared" si="22"/>
        <v>0</v>
      </c>
      <c r="AV28" s="76">
        <f t="shared" si="23"/>
        <v>0</v>
      </c>
      <c r="AX28" s="76" t="str">
        <f t="shared" si="24"/>
        <v>643</v>
      </c>
      <c r="AY28" s="76">
        <v>0</v>
      </c>
      <c r="AZ28" s="76" t="str">
        <f t="shared" si="25"/>
        <v>634</v>
      </c>
      <c r="BA28" s="76">
        <v>0</v>
      </c>
      <c r="BC28" s="76">
        <f>DQ28</f>
        <v>3</v>
      </c>
      <c r="BD28" s="77" t="str">
        <f>INDEX(T,61,lang)</f>
        <v>Austria</v>
      </c>
      <c r="BE28" s="76">
        <f>COUNTIF($X$7:$Y$42,"=" &amp; BD28 &amp; "_win")</f>
        <v>0</v>
      </c>
      <c r="BF28" s="76">
        <f>COUNTIF($X$7:$Y$42,"=" &amp; BD28 &amp; "_draw")</f>
        <v>0</v>
      </c>
      <c r="BG28" s="76">
        <f>COUNTIF($X$7:$Y$42,"=" &amp; BD28 &amp; "_lose")</f>
        <v>0</v>
      </c>
      <c r="BH28" s="76">
        <f>SUMIF($E$10:$E$45,$BD28,$F$10:$F$45) + SUMIF($H$10:$H$45,$BD28,$G$10:$G$45)</f>
        <v>0</v>
      </c>
      <c r="BI28" s="76">
        <f>SUMIF($E$10:$E$45,$BD28,$G$10:$G$45) + SUMIF($H$10:$H$45,$BD28,$F$10:$F$45)</f>
        <v>0</v>
      </c>
      <c r="BJ28" s="76">
        <f>BM28*10000</f>
        <v>0</v>
      </c>
      <c r="BK28" s="76">
        <f>BH28-BI28</f>
        <v>0</v>
      </c>
      <c r="BL28" s="76">
        <f>(BK28-BK31)/BK30</f>
        <v>0</v>
      </c>
      <c r="BM28" s="76">
        <f>BE28*3+BF28</f>
        <v>0</v>
      </c>
      <c r="BN28" s="76">
        <f>BT28/BT30*10+BU28/BU30+BX28/BX30*0.1+BV28/BV30*0.01</f>
        <v>0</v>
      </c>
      <c r="BP28" s="76">
        <f>IF(VLOOKUP(BD28,db_fifarank,2,0)="",MIN(db_fifarank),VLOOKUP(BD28,db_fifarank,2,0))</f>
        <v>32.6</v>
      </c>
      <c r="BQ28" s="76">
        <f t="shared" si="32"/>
        <v>2.6024471772862337E-2</v>
      </c>
      <c r="BR28" s="77">
        <f>10000000*BM28/BM30+100000*BN28/BN30+100*BL28+10*BH28/BH30+1*BN28/BN30+BQ28</f>
        <v>2.6024471772862337E-2</v>
      </c>
      <c r="BS28" s="77" t="str">
        <f>IF(SUM(BE26:BG29)&gt;0,O29,"3D")</f>
        <v>3D</v>
      </c>
      <c r="BT28" s="76">
        <f>SUMPRODUCT(($X$7:$X$42=BD28&amp;"_win")*($Z$7:$Z$42))+SUMPRODUCT(($Y$7:$Y$42=BD28&amp;"_win")*($Z$7:$Z$42))</f>
        <v>0</v>
      </c>
      <c r="BU28" s="76">
        <f>SUMPRODUCT(($X$7:$X$42=BD28&amp;"_draw")*($Z$7:$Z$42))+SUMPRODUCT(($Y$7:$Y$42=BD28&amp;"_draw")*($Z$7:$Z$42))</f>
        <v>0</v>
      </c>
      <c r="BV28" s="76">
        <f>SUMPRODUCT(($E$10:$E$45=BD28)*($Z$7:$Z$42)*($F$10:$F$45))+SUMPRODUCT(($H$10:$H$45=BD28)*($Z$7:$Z$42)*($G$10:$G$45))</f>
        <v>0</v>
      </c>
      <c r="BW28" s="76">
        <f>SUMPRODUCT(($E$10:$E$45=BD28)*($Z$7:$Z$42)*($G$10:$G$45))+SUMPRODUCT(($H$10:$H$45=BD28)*($Z$7:$Z$42)*($F$10:$F$45))</f>
        <v>0</v>
      </c>
      <c r="BX28" s="76">
        <f>BV28-BW28</f>
        <v>0</v>
      </c>
      <c r="BY28" s="77" t="str">
        <f>BD38</f>
        <v>Portugal</v>
      </c>
      <c r="BZ28" s="77">
        <v>6</v>
      </c>
      <c r="CA28" s="77">
        <v>1</v>
      </c>
      <c r="CC28" s="76">
        <f>IFERROR(VLOOKUP("431",$AF$7:$AI$42,2,0),0) + IFERROR(VLOOKUP("431",$AJ$7:$AM$42,2,0),0)</f>
        <v>0</v>
      </c>
      <c r="CD28" s="76">
        <f>IFERROR(VLOOKUP("432",$AF$7:$AI$42,2,0),0) + IFERROR(VLOOKUP("432",$AJ$7:$AM$42,2,0),0)</f>
        <v>0</v>
      </c>
      <c r="CF28" s="76">
        <f>IFERROR(VLOOKUP("434",$AF$7:$AI$42,2,0),0) + IFERROR(VLOOKUP("434",$AJ$7:$AM$42,2,0),0)</f>
        <v>0</v>
      </c>
      <c r="CG28" s="77">
        <f>SUM(CC28:CF28)</f>
        <v>0</v>
      </c>
      <c r="CH28" s="76">
        <f>IFERROR(VLOOKUP("431",$AF$7:$AI$42,3,0),0) + IFERROR(VLOOKUP("431",$AJ$7:$AM$42,3,0),0)</f>
        <v>0</v>
      </c>
      <c r="CI28" s="76">
        <f>IFERROR(VLOOKUP("432",$AF$7:$AI$42,3,0),0) + IFERROR(VLOOKUP("432",$AJ$7:$AM$42,3,0),0)</f>
        <v>0</v>
      </c>
      <c r="CK28" s="76">
        <f>IFERROR(VLOOKUP("434",$AF$7:$AI$42,3,0),0) + IFERROR(VLOOKUP("434",$AJ$7:$AM$42,3,0),0)</f>
        <v>0</v>
      </c>
      <c r="CL28" s="77">
        <f>SUM(CH28:CK28)</f>
        <v>0</v>
      </c>
      <c r="CM28" s="77">
        <f>RANK(CL28,CL26:CL29)</f>
        <v>1</v>
      </c>
      <c r="CN28" s="76">
        <f>IFERROR(VLOOKUP("431",$AF$7:$AI$42,4,0),0) + IFERROR(VLOOKUP("431",$AJ$7:$AM$42,4,0),0)</f>
        <v>0</v>
      </c>
      <c r="CO28" s="76">
        <f>IFERROR(VLOOKUP("432",$AF$7:$AI$42,4,0),0) + IFERROR(VLOOKUP("432",$AJ$7:$AM$42,4,0),0)</f>
        <v>0</v>
      </c>
      <c r="CQ28" s="76">
        <f>IFERROR(VLOOKUP("434",$AF$7:$AI$42,4,0),0) + IFERROR(VLOOKUP("434",$AJ$7:$AM$42,4,0),0)</f>
        <v>0</v>
      </c>
      <c r="CR28" s="77">
        <f>SUM(CN28:CQ28)</f>
        <v>0</v>
      </c>
      <c r="CS28" s="76">
        <f>IF(CC30=CG28,CC28,0)</f>
        <v>0</v>
      </c>
      <c r="CT28" s="76">
        <f>IF(CD30=CG28,CD28,0)</f>
        <v>0</v>
      </c>
      <c r="CV28" s="76">
        <f>IF(CF30=CG28,CF28,0)</f>
        <v>0</v>
      </c>
      <c r="CW28" s="77">
        <f>SUM(CS28:CV28)</f>
        <v>0</v>
      </c>
      <c r="CX28" s="76">
        <f>IF(CC30=CG28,CH28,0)</f>
        <v>0</v>
      </c>
      <c r="CY28" s="76">
        <f>IF(CD30=CG28,CI28,0)</f>
        <v>0</v>
      </c>
      <c r="DA28" s="76">
        <f>IF(CF30=CG28,CK28,0)</f>
        <v>0</v>
      </c>
      <c r="DB28" s="77">
        <f>SUM(CX28:DA28)</f>
        <v>0</v>
      </c>
      <c r="DC28" s="77">
        <f>RANK(DB28,DB26:DB29)</f>
        <v>1</v>
      </c>
      <c r="DD28" s="76">
        <f>IF(CC30=CG28,CN28,0)</f>
        <v>0</v>
      </c>
      <c r="DE28" s="76">
        <f>IF(CD30=CG28,CO28,0)</f>
        <v>0</v>
      </c>
      <c r="DG28" s="76">
        <f>IF(CF30=CG28,CQ28,0)</f>
        <v>0</v>
      </c>
      <c r="DH28" s="77">
        <f>SUM(DD28:DG28)</f>
        <v>0</v>
      </c>
      <c r="DI28" s="77">
        <f>CG28*10000+CW28*100+(5-DC28)+DH28/10</f>
        <v>4</v>
      </c>
      <c r="DJ28" s="77">
        <f>RANK(DI28,DI26:DI29)</f>
        <v>1</v>
      </c>
      <c r="DK28" s="76">
        <f>IF(DK30=DJ28,CC28,0)</f>
        <v>0</v>
      </c>
      <c r="DL28" s="76">
        <f>IF(DL30=DJ28,CD28,0)</f>
        <v>0</v>
      </c>
      <c r="DN28" s="76">
        <f>IF(DN30=DJ28,CF28,0)</f>
        <v>0</v>
      </c>
      <c r="DO28" s="77">
        <f>SUM(DK28:DN28)</f>
        <v>0</v>
      </c>
      <c r="DP28" s="77">
        <f>(5-DJ28)*10000+DO28*100+(5-CM28)+CR28/10+(5-DX28)/100+BQ28/10000</f>
        <v>40004.040002602451</v>
      </c>
      <c r="DQ28" s="77">
        <f>RANK(DP28,DP26:DP29)</f>
        <v>3</v>
      </c>
      <c r="DS28" s="76">
        <f>IFERROR(VLOOKUP("431",$AX$7:$AY$42,2,0),0) + IFERROR(VLOOKUP("431",$AZ$7:$BA$42,2,0),0)</f>
        <v>0</v>
      </c>
      <c r="DT28" s="76">
        <f>IFERROR(VLOOKUP("432",$AX$7:$AY$42,2,0),0) + IFERROR(VLOOKUP("432",$AZ$7:$BA$42,2,0),0)</f>
        <v>0</v>
      </c>
      <c r="DV28" s="76">
        <f>IFERROR(VLOOKUP("434",$AX$7:$AY$42,2,0),0) + IFERROR(VLOOKUP("434",$AZ$7:$BA$42,2,0),0)</f>
        <v>0</v>
      </c>
      <c r="DW28" s="77">
        <f>SUM(DS28:DV28)</f>
        <v>0</v>
      </c>
      <c r="DX28" s="77">
        <f>RANK(DW28,DW26:DW29)</f>
        <v>1</v>
      </c>
      <c r="DZ28" s="77" t="str">
        <f>BD28</f>
        <v>Austria</v>
      </c>
      <c r="EA28" s="77">
        <f>EI28*10000+EO28*100+ET28</f>
        <v>100</v>
      </c>
      <c r="EB28" s="76">
        <f>COUNTIF(EA26:EA29,EA28)</f>
        <v>4</v>
      </c>
      <c r="EC28" s="76">
        <f>COUNTIF(CG26:CG29,CG28)</f>
        <v>4</v>
      </c>
      <c r="ED28" s="77">
        <f>IF(AND(EB28&gt;=2,EC28=2),EA28,-EA28-0.2)</f>
        <v>-100.2</v>
      </c>
      <c r="EE28" s="76">
        <f>IFERROR(VLOOKUP("431",$AO$7:$AR$42,2,0),0) + IFERROR(VLOOKUP("431",$AS$7:$AV$42,2,0),0)</f>
        <v>0</v>
      </c>
      <c r="EF28" s="76">
        <f>IFERROR(VLOOKUP("432",$AO$7:$AR$42,2,0),0) + IFERROR(VLOOKUP("432",$AS$7:$AV$42,2,0),0)</f>
        <v>0</v>
      </c>
      <c r="EH28" s="76">
        <f>IFERROR(VLOOKUP("434",$AO$7:$AR$42,2,0),0) + IFERROR(VLOOKUP("434",$AS$7:$AV$42,2,0),0)</f>
        <v>0</v>
      </c>
      <c r="EI28" s="77">
        <f>SUM(EE28:EH28)</f>
        <v>0</v>
      </c>
      <c r="EJ28" s="76">
        <f>IFERROR(VLOOKUP("431",$AO$7:$AR$42,3,0),0) + IFERROR(VLOOKUP("431",$AS$7:$AV$42,3,0),0)</f>
        <v>0</v>
      </c>
      <c r="EK28" s="76">
        <f>IFERROR(VLOOKUP("432",$AO$7:$AR$42,3,0),0) + IFERROR(VLOOKUP("432",$AS$7:$AV$42,3,0),0)</f>
        <v>0</v>
      </c>
      <c r="EM28" s="76">
        <f>IFERROR(VLOOKUP("434",$AO$7:$AR$42,3,0),0) + IFERROR(VLOOKUP("434",$AS$7:$AV$42,3,0),0)</f>
        <v>0</v>
      </c>
      <c r="EN28" s="77">
        <f>SUM(EJ28:EM28)</f>
        <v>0</v>
      </c>
      <c r="EO28" s="77">
        <f>RANK(EN28,EN26:EN29)</f>
        <v>1</v>
      </c>
      <c r="EP28" s="76">
        <f>IFERROR(VLOOKUP("431",$AO$7:$AR$42,4,0),0) + IFERROR(VLOOKUP("431",$AS$7:$AV$42,4,0),0)</f>
        <v>0</v>
      </c>
      <c r="EQ28" s="76">
        <f>IFERROR(VLOOKUP("432",$AO$7:$AR$42,4,0),0) + IFERROR(VLOOKUP("432",$AS$7:$AV$42,4,0),0)</f>
        <v>0</v>
      </c>
      <c r="ES28" s="76">
        <f>IFERROR(VLOOKUP("434",$AO$7:$AR$42,4,0),0) + IFERROR(VLOOKUP("434",$AS$7:$AV$42,4,0),0)</f>
        <v>0</v>
      </c>
      <c r="ET28" s="77">
        <f>SUM(EP28:ES28)</f>
        <v>0</v>
      </c>
      <c r="EV28" s="75"/>
      <c r="EW28" s="32"/>
      <c r="EX28" s="32"/>
      <c r="EY28" s="32"/>
      <c r="EZ28" s="62"/>
      <c r="FA28" s="32"/>
      <c r="FB28" s="134"/>
      <c r="FC28" s="47" t="str">
        <f>Y48</f>
        <v>W41</v>
      </c>
      <c r="FD28" s="48"/>
      <c r="FE28" s="89"/>
      <c r="FF28" s="32"/>
      <c r="FG28" s="32"/>
      <c r="FH28" s="32"/>
      <c r="FI28" s="32"/>
      <c r="FJ28" s="32"/>
      <c r="FK28" s="32"/>
      <c r="FL28" s="62"/>
      <c r="FM28" s="32"/>
      <c r="FN28" s="32"/>
      <c r="FO28" s="32"/>
      <c r="FP28" s="32"/>
      <c r="FQ28" s="32"/>
    </row>
    <row r="29" spans="1:173" ht="12.75" customHeight="1">
      <c r="A29" s="49">
        <v>20</v>
      </c>
      <c r="B29" s="50" t="str">
        <f t="shared" si="27"/>
        <v>Fri</v>
      </c>
      <c r="C29" s="51" t="str">
        <f t="shared" si="28"/>
        <v>Jun 21, 2024</v>
      </c>
      <c r="D29" s="52">
        <f t="shared" si="29"/>
        <v>0.54166666666666663</v>
      </c>
      <c r="E29" s="53" t="str">
        <f>BD29</f>
        <v>Poland</v>
      </c>
      <c r="F29" s="41"/>
      <c r="G29" s="42"/>
      <c r="H29" s="54" t="str">
        <f>BD28</f>
        <v>Austria</v>
      </c>
      <c r="I29" s="133" t="str">
        <f>INDEX(T,107,lang)</f>
        <v>Berlin</v>
      </c>
      <c r="J29" s="133"/>
      <c r="K29" s="133"/>
      <c r="L29" s="29"/>
      <c r="M29" s="29"/>
      <c r="O29" s="44" t="str">
        <f>VLOOKUP(3,BC26:BM29,2,0)</f>
        <v>Austria</v>
      </c>
      <c r="P29" s="45">
        <f>Q29+R29+S29</f>
        <v>0</v>
      </c>
      <c r="Q29" s="45">
        <f>VLOOKUP(3,BC26:BM29,3,0)</f>
        <v>0</v>
      </c>
      <c r="R29" s="45">
        <f>VLOOKUP(3,BC26:BM29,4,0)</f>
        <v>0</v>
      </c>
      <c r="S29" s="45">
        <f>VLOOKUP(3,BC26:BM29,5,0)</f>
        <v>0</v>
      </c>
      <c r="T29" s="45" t="str">
        <f>VLOOKUP(3,BC26:BM29,6,0) &amp; " - " &amp; VLOOKUP(3,BC26:BM29,7,0)</f>
        <v>0 - 0</v>
      </c>
      <c r="U29" s="46">
        <f>Q29*3+R29</f>
        <v>0</v>
      </c>
      <c r="W29" s="76">
        <f>DATE(2024,6,22)+TIME(5,0,0)+gmt_delta</f>
        <v>45465.541666666672</v>
      </c>
      <c r="X29" s="78" t="str">
        <f t="shared" si="0"/>
        <v/>
      </c>
      <c r="Y29" s="78" t="str">
        <f t="shared" si="1"/>
        <v/>
      </c>
      <c r="Z29" s="77">
        <f t="shared" si="2"/>
        <v>0</v>
      </c>
      <c r="AA29" s="76">
        <f t="shared" si="3"/>
        <v>0</v>
      </c>
      <c r="AB29" s="76">
        <f t="shared" si="4"/>
        <v>0</v>
      </c>
      <c r="AC29" s="76">
        <f t="shared" si="5"/>
        <v>6</v>
      </c>
      <c r="AD29" s="76">
        <f t="shared" si="6"/>
        <v>2</v>
      </c>
      <c r="AE29" s="76">
        <f t="shared" si="7"/>
        <v>1</v>
      </c>
      <c r="AF29" s="76" t="str">
        <f t="shared" si="8"/>
        <v>621</v>
      </c>
      <c r="AG29" s="76">
        <f t="shared" si="9"/>
        <v>0</v>
      </c>
      <c r="AH29" s="76">
        <f t="shared" si="10"/>
        <v>0</v>
      </c>
      <c r="AI29" s="76">
        <f t="shared" si="11"/>
        <v>0</v>
      </c>
      <c r="AJ29" s="76" t="str">
        <f t="shared" si="12"/>
        <v>612</v>
      </c>
      <c r="AK29" s="76">
        <f t="shared" si="13"/>
        <v>0</v>
      </c>
      <c r="AL29" s="76">
        <f t="shared" si="14"/>
        <v>0</v>
      </c>
      <c r="AM29" s="76">
        <f t="shared" si="15"/>
        <v>0</v>
      </c>
      <c r="AO29" s="76" t="str">
        <f t="shared" si="16"/>
        <v>621</v>
      </c>
      <c r="AP29" s="76">
        <f t="shared" si="17"/>
        <v>0</v>
      </c>
      <c r="AQ29" s="76">
        <f t="shared" si="18"/>
        <v>0</v>
      </c>
      <c r="AR29" s="76">
        <f t="shared" si="19"/>
        <v>0</v>
      </c>
      <c r="AS29" s="76" t="str">
        <f t="shared" si="20"/>
        <v>612</v>
      </c>
      <c r="AT29" s="76">
        <f t="shared" si="21"/>
        <v>0</v>
      </c>
      <c r="AU29" s="76">
        <f t="shared" si="22"/>
        <v>0</v>
      </c>
      <c r="AV29" s="76">
        <f t="shared" si="23"/>
        <v>0</v>
      </c>
      <c r="AX29" s="76" t="str">
        <f t="shared" si="24"/>
        <v>621</v>
      </c>
      <c r="AY29" s="76">
        <v>0</v>
      </c>
      <c r="AZ29" s="76" t="str">
        <f t="shared" si="25"/>
        <v>612</v>
      </c>
      <c r="BA29" s="76">
        <v>0</v>
      </c>
      <c r="BC29" s="76">
        <f>DQ29</f>
        <v>4</v>
      </c>
      <c r="BD29" s="77" t="str">
        <f>INDEX(T,64,lang)</f>
        <v>Poland</v>
      </c>
      <c r="BE29" s="76">
        <f>COUNTIF($X$7:$Y$42,"=" &amp; BD29 &amp; "_win")</f>
        <v>0</v>
      </c>
      <c r="BF29" s="76">
        <f>COUNTIF($X$7:$Y$42,"=" &amp; BD29 &amp; "_draw")</f>
        <v>0</v>
      </c>
      <c r="BG29" s="76">
        <f>COUNTIF($X$7:$Y$42,"=" &amp; BD29 &amp; "_lose")</f>
        <v>0</v>
      </c>
      <c r="BH29" s="76">
        <f>SUMIF($E$10:$E$45,$BD29,$F$10:$F$45) + SUMIF($H$10:$H$45,$BD29,$G$10:$G$45)</f>
        <v>0</v>
      </c>
      <c r="BI29" s="76">
        <f>SUMIF($E$10:$E$45,$BD29,$G$10:$G$45) + SUMIF($H$10:$H$45,$BD29,$F$10:$F$45)</f>
        <v>0</v>
      </c>
      <c r="BJ29" s="76">
        <f>BM29*10000</f>
        <v>0</v>
      </c>
      <c r="BK29" s="76">
        <f>BH29-BI29</f>
        <v>0</v>
      </c>
      <c r="BL29" s="76">
        <f>(BK29-BK31)/BK30</f>
        <v>0</v>
      </c>
      <c r="BM29" s="76">
        <f>BE29*3+BF29</f>
        <v>0</v>
      </c>
      <c r="BN29" s="76">
        <f>BT29/BT30*10+BU29/BU30+BX29/BX30*0.1+BV29/BV30*0.01</f>
        <v>0</v>
      </c>
      <c r="BP29" s="76">
        <f>IF(VLOOKUP(BD29,db_fifarank,2,0)="",MIN(db_fifarank),VLOOKUP(BD29,db_fifarank,2,0))</f>
        <v>25.375</v>
      </c>
      <c r="BQ29" s="76">
        <f t="shared" si="32"/>
        <v>1.8570485308682737E-2</v>
      </c>
      <c r="BR29" s="77">
        <f>10000000*BM29/BM30+100000*BN29/BN30+100*BL29+10*BH29/BH30+1*BN29/BN30+BQ29</f>
        <v>1.8570485308682737E-2</v>
      </c>
      <c r="BT29" s="76">
        <f>SUMPRODUCT(($X$7:$X$42=BD29&amp;"_win")*($Z$7:$Z$42))+SUMPRODUCT(($Y$7:$Y$42=BD29&amp;"_win")*($Z$7:$Z$42))</f>
        <v>0</v>
      </c>
      <c r="BU29" s="76">
        <f>SUMPRODUCT(($X$7:$X$42=BD29&amp;"_draw")*($Z$7:$Z$42))+SUMPRODUCT(($Y$7:$Y$42=BD29&amp;"_draw")*($Z$7:$Z$42))</f>
        <v>0</v>
      </c>
      <c r="BV29" s="76">
        <f>SUMPRODUCT(($E$10:$E$45=BD29)*($Z$7:$Z$42)*($F$10:$F$45))+SUMPRODUCT(($H$10:$H$45=BD29)*($Z$7:$Z$42)*($G$10:$G$45))</f>
        <v>0</v>
      </c>
      <c r="BW29" s="76">
        <f>SUMPRODUCT(($E$10:$E$45=BD29)*($Z$7:$Z$42)*($G$10:$G$45))+SUMPRODUCT(($H$10:$H$45=BD29)*($Z$7:$Z$42)*($F$10:$F$45))</f>
        <v>0</v>
      </c>
      <c r="BX29" s="76">
        <f>BV29-BW29</f>
        <v>0</v>
      </c>
      <c r="BY29" s="77" t="str">
        <f>BD39</f>
        <v>Turkey</v>
      </c>
      <c r="BZ29" s="77">
        <v>6</v>
      </c>
      <c r="CA29" s="77">
        <v>2</v>
      </c>
      <c r="CC29" s="76">
        <f>IFERROR(VLOOKUP("441",$AF$7:$AI$42,2,0),0) + IFERROR(VLOOKUP("441",$AJ$7:$AM$42,2,0),0)</f>
        <v>0</v>
      </c>
      <c r="CD29" s="76">
        <f>IFERROR(VLOOKUP("442",$AF$7:$AI$42,2,0),0) + IFERROR(VLOOKUP("442",$AJ$7:$AM$42,2,0),0)</f>
        <v>0</v>
      </c>
      <c r="CE29" s="76">
        <f>IFERROR(VLOOKUP("443",$AF$7:$AI$42,2,0),0) + IFERROR(VLOOKUP("443",$AJ$7:$AM$42,2,0),0)</f>
        <v>0</v>
      </c>
      <c r="CG29" s="77">
        <f>SUM(CC29:CF29)</f>
        <v>0</v>
      </c>
      <c r="CH29" s="76">
        <f>IFERROR(VLOOKUP("441",$AF$7:$AI$42,3,0),0) + IFERROR(VLOOKUP("441",$AJ$7:$AM$42,3,0),0)</f>
        <v>0</v>
      </c>
      <c r="CI29" s="76">
        <f>IFERROR(VLOOKUP("442",$AF$7:$AI$42,3,0),0) + IFERROR(VLOOKUP("442",$AJ$7:$AM$42,3,0),0)</f>
        <v>0</v>
      </c>
      <c r="CJ29" s="76">
        <f>IFERROR(VLOOKUP("443",$AF$7:$AI$42,3,0),0) + IFERROR(VLOOKUP("443",$AJ$7:$AM$42,3,0),0)</f>
        <v>0</v>
      </c>
      <c r="CL29" s="77">
        <f>SUM(CH29:CK29)</f>
        <v>0</v>
      </c>
      <c r="CM29" s="77">
        <f>RANK(CL29,CL26:CL29)</f>
        <v>1</v>
      </c>
      <c r="CN29" s="76">
        <f>IFERROR(VLOOKUP("441",$AF$7:$AI$42,4,0),0) + IFERROR(VLOOKUP("441",$AJ$7:$AM$42,4,0),0)</f>
        <v>0</v>
      </c>
      <c r="CO29" s="76">
        <f>IFERROR(VLOOKUP("442",$AF$7:$AI$42,4,0),0) + IFERROR(VLOOKUP("442",$AJ$7:$AM$42,4,0),0)</f>
        <v>0</v>
      </c>
      <c r="CP29" s="76">
        <f>IFERROR(VLOOKUP("443",$AF$7:$AI$42,4,0),0) + IFERROR(VLOOKUP("443",$AJ$7:$AM$42,4,0),0)</f>
        <v>0</v>
      </c>
      <c r="CR29" s="77">
        <f>SUM(CN29:CQ29)</f>
        <v>0</v>
      </c>
      <c r="CS29" s="76">
        <f>IF(CC30=CG29,CC29,0)</f>
        <v>0</v>
      </c>
      <c r="CT29" s="76">
        <f>IF(CD30=CG29,CD29,0)</f>
        <v>0</v>
      </c>
      <c r="CU29" s="76">
        <f>IF(CE30=CG29,CE29,0)</f>
        <v>0</v>
      </c>
      <c r="CW29" s="77">
        <f>SUM(CS29:CV29)</f>
        <v>0</v>
      </c>
      <c r="CX29" s="76">
        <f>IF(CC30=CG29,CH29,0)</f>
        <v>0</v>
      </c>
      <c r="CY29" s="76">
        <f>IF(CD30=CG29,CI29,0)</f>
        <v>0</v>
      </c>
      <c r="CZ29" s="76">
        <f>IF(CE30=CG29,CJ29,0)</f>
        <v>0</v>
      </c>
      <c r="DB29" s="77">
        <f>SUM(CX29:DA29)</f>
        <v>0</v>
      </c>
      <c r="DC29" s="77">
        <f>RANK(DB29,DB26:DB29)</f>
        <v>1</v>
      </c>
      <c r="DD29" s="76">
        <f>IF(CC30=CG29,CN29,0)</f>
        <v>0</v>
      </c>
      <c r="DE29" s="76">
        <f>IF(CD30=CG29,CO29,0)</f>
        <v>0</v>
      </c>
      <c r="DF29" s="76">
        <f>IF(CE30=CG29,CP29,0)</f>
        <v>0</v>
      </c>
      <c r="DH29" s="77">
        <f>SUM(DD29:DG29)</f>
        <v>0</v>
      </c>
      <c r="DI29" s="77">
        <f>CG29*10000+CW29*100+(5-DC29)+DH29/10</f>
        <v>4</v>
      </c>
      <c r="DJ29" s="77">
        <f>RANK(DI29,DI26:DI29)</f>
        <v>1</v>
      </c>
      <c r="DK29" s="76">
        <f>IF(DK30=DJ29,CC29,0)</f>
        <v>0</v>
      </c>
      <c r="DL29" s="76">
        <f>IF(DL30=DJ29,CD29,0)</f>
        <v>0</v>
      </c>
      <c r="DM29" s="76">
        <f>IF(DM30=DJ29,CE29,0)</f>
        <v>0</v>
      </c>
      <c r="DO29" s="77">
        <f>SUM(DK29:DN29)</f>
        <v>0</v>
      </c>
      <c r="DP29" s="77">
        <f>(5-DJ29)*10000+DO29*100+(5-CM29)+CR29/10+(5-DX29)/100+BQ29/10000</f>
        <v>40004.040001857051</v>
      </c>
      <c r="DQ29" s="77">
        <f>RANK(DP29,DP26:DP29)</f>
        <v>4</v>
      </c>
      <c r="DS29" s="76">
        <f>IFERROR(VLOOKUP("441",$AX$7:$AY$42,2,0),0) + IFERROR(VLOOKUP("441",$AZ$7:$BA$42,2,0),0)</f>
        <v>0</v>
      </c>
      <c r="DT29" s="76">
        <f>IFERROR(VLOOKUP("442",$AX$7:$AY$42,2,0),0) + IFERROR(VLOOKUP("442",$AZ$7:$BA$42,2,0),0)</f>
        <v>0</v>
      </c>
      <c r="DU29" s="76">
        <f>IFERROR(VLOOKUP("443",$AX$7:$AY$42,2,0),0) + IFERROR(VLOOKUP("443",$AZ$7:$BA$42,2,0),0)</f>
        <v>0</v>
      </c>
      <c r="DW29" s="77">
        <f>SUM(DS29:DV29)</f>
        <v>0</v>
      </c>
      <c r="DX29" s="77">
        <f>RANK(DW29,DW26:DW29)</f>
        <v>1</v>
      </c>
      <c r="DZ29" s="77" t="str">
        <f>BD29</f>
        <v>Poland</v>
      </c>
      <c r="EA29" s="77">
        <f>EI29*10000+EO29*100+ET29</f>
        <v>100</v>
      </c>
      <c r="EB29" s="76">
        <f>COUNTIF(EA26:EA29,EA29)</f>
        <v>4</v>
      </c>
      <c r="EC29" s="76">
        <f>COUNTIF(CG26:CG29,CG29)</f>
        <v>4</v>
      </c>
      <c r="ED29" s="77">
        <f>IF(AND(EB29&gt;=2,EC29=2),EA29,-EA29-0.1)</f>
        <v>-100.1</v>
      </c>
      <c r="EE29" s="76">
        <f>IFERROR(VLOOKUP("441",$AO$7:$AR$42,2,0),0) + IFERROR(VLOOKUP("441",$AS$7:$AV$42,2,0),0)</f>
        <v>0</v>
      </c>
      <c r="EF29" s="76">
        <f>IFERROR(VLOOKUP("442",$AO$7:$AR$42,2,0),0) + IFERROR(VLOOKUP("442",$AS$7:$AV$42,2,0),0)</f>
        <v>0</v>
      </c>
      <c r="EG29" s="76">
        <f>IFERROR(VLOOKUP("443",$AO$7:$AR$42,2,0),0) + IFERROR(VLOOKUP("443",$AS$7:$AV$42,2,0),0)</f>
        <v>0</v>
      </c>
      <c r="EI29" s="77">
        <f>SUM(EE29:EH29)</f>
        <v>0</v>
      </c>
      <c r="EJ29" s="76">
        <f>IFERROR(VLOOKUP("441",$AO$7:$AR$42,3,0),0) + IFERROR(VLOOKUP("441",$AS$7:$AV$42,3,0),0)</f>
        <v>0</v>
      </c>
      <c r="EK29" s="76">
        <f>IFERROR(VLOOKUP("442",$AO$7:$AR$42,3,0),0) + IFERROR(VLOOKUP("442",$AS$7:$AV$42,3,0),0)</f>
        <v>0</v>
      </c>
      <c r="EL29" s="76">
        <f>IFERROR(VLOOKUP("443",$AO$7:$AR$42,3,0),0) + IFERROR(VLOOKUP("443",$AS$7:$AV$42,3,0),0)</f>
        <v>0</v>
      </c>
      <c r="EN29" s="77">
        <f>SUM(EJ29:EM29)</f>
        <v>0</v>
      </c>
      <c r="EO29" s="77">
        <f>RANK(EN29,EN26:EN29)</f>
        <v>1</v>
      </c>
      <c r="EP29" s="76">
        <f>IFERROR(VLOOKUP("441",$AO$7:$AR$42,4,0),0) + IFERROR(VLOOKUP("441",$AS$7:$AV$42,4,0),0)</f>
        <v>0</v>
      </c>
      <c r="EQ29" s="76">
        <f>IFERROR(VLOOKUP("442",$AO$7:$AR$42,4,0),0) + IFERROR(VLOOKUP("442",$AS$7:$AV$42,4,0),0)</f>
        <v>0</v>
      </c>
      <c r="ER29" s="76">
        <f>IFERROR(VLOOKUP("443",$AO$7:$AR$42,4,0),0) + IFERROR(VLOOKUP("443",$AS$7:$AV$42,4,0),0)</f>
        <v>0</v>
      </c>
      <c r="ET29" s="77">
        <f>SUM(EP29:ES29)</f>
        <v>0</v>
      </c>
      <c r="EV29" s="75" t="str">
        <f>VLOOKUP(EV30,$Z$46:$AC$53,2,0)</f>
        <v>Jun 29, 2024   13:00</v>
      </c>
      <c r="EW29" s="32"/>
      <c r="EX29" s="32"/>
      <c r="EY29" s="32"/>
      <c r="EZ29" s="62"/>
      <c r="FA29" s="63"/>
      <c r="FB29" s="134"/>
      <c r="FC29" s="55" t="str">
        <f>Y49</f>
        <v>W43</v>
      </c>
      <c r="FD29" s="56"/>
      <c r="FE29" s="57"/>
      <c r="FF29" s="58"/>
      <c r="FG29" s="32"/>
      <c r="FH29" s="32"/>
      <c r="FI29" s="32"/>
      <c r="FJ29" s="32"/>
      <c r="FK29" s="32"/>
      <c r="FL29" s="62"/>
      <c r="FM29" s="32"/>
      <c r="FN29" s="32"/>
      <c r="FO29" s="32"/>
      <c r="FP29" s="32"/>
      <c r="FQ29" s="32"/>
    </row>
    <row r="30" spans="1:173" ht="12.75" customHeight="1">
      <c r="A30" s="49">
        <v>21</v>
      </c>
      <c r="B30" s="50" t="str">
        <f t="shared" si="27"/>
        <v>Fri</v>
      </c>
      <c r="C30" s="51" t="str">
        <f t="shared" si="28"/>
        <v>Jun 21, 2024</v>
      </c>
      <c r="D30" s="52">
        <f t="shared" si="29"/>
        <v>0.66666666666666663</v>
      </c>
      <c r="E30" s="53" t="str">
        <f>BD27</f>
        <v>Netherlands</v>
      </c>
      <c r="F30" s="41"/>
      <c r="G30" s="42"/>
      <c r="H30" s="54" t="str">
        <f>BD26</f>
        <v>France</v>
      </c>
      <c r="I30" s="133" t="str">
        <f>INDEX(T,112,lang)</f>
        <v>Leipzig</v>
      </c>
      <c r="J30" s="133"/>
      <c r="K30" s="133"/>
      <c r="L30" s="65"/>
      <c r="M30" s="65"/>
      <c r="O30" s="59" t="str">
        <f>VLOOKUP(4,BC26:BM29,2,0)</f>
        <v>Poland</v>
      </c>
      <c r="P30" s="60">
        <f>Q30+R30+S30</f>
        <v>0</v>
      </c>
      <c r="Q30" s="60">
        <f>VLOOKUP(4,BC26:BM29,3,0)</f>
        <v>0</v>
      </c>
      <c r="R30" s="60">
        <f>VLOOKUP(4,BC26:BM29,4,0)</f>
        <v>0</v>
      </c>
      <c r="S30" s="60">
        <f>VLOOKUP(4,BC26:BM29,5,0)</f>
        <v>0</v>
      </c>
      <c r="T30" s="60" t="str">
        <f>VLOOKUP(4,BC26:BM29,6,0) &amp; " - " &amp; VLOOKUP(4,BC26:BM29,7,0)</f>
        <v>0 - 0</v>
      </c>
      <c r="U30" s="61">
        <f>Q30*3+R30</f>
        <v>0</v>
      </c>
      <c r="W30" s="76">
        <f>DATE(2024,6,22)+TIME(8,0,0)+gmt_delta</f>
        <v>45465.666666666672</v>
      </c>
      <c r="X30" s="78" t="str">
        <f t="shared" si="0"/>
        <v/>
      </c>
      <c r="Y30" s="78" t="str">
        <f t="shared" si="1"/>
        <v/>
      </c>
      <c r="Z30" s="77">
        <f t="shared" si="2"/>
        <v>0</v>
      </c>
      <c r="AA30" s="76">
        <f t="shared" si="3"/>
        <v>0</v>
      </c>
      <c r="AB30" s="76">
        <f t="shared" si="4"/>
        <v>0</v>
      </c>
      <c r="AC30" s="76">
        <f t="shared" si="5"/>
        <v>5</v>
      </c>
      <c r="AD30" s="76">
        <f t="shared" si="6"/>
        <v>1</v>
      </c>
      <c r="AE30" s="76">
        <f t="shared" si="7"/>
        <v>3</v>
      </c>
      <c r="AF30" s="76" t="str">
        <f t="shared" si="8"/>
        <v>513</v>
      </c>
      <c r="AG30" s="76">
        <f t="shared" si="9"/>
        <v>0</v>
      </c>
      <c r="AH30" s="76">
        <f t="shared" si="10"/>
        <v>0</v>
      </c>
      <c r="AI30" s="76">
        <f t="shared" si="11"/>
        <v>0</v>
      </c>
      <c r="AJ30" s="76" t="str">
        <f t="shared" si="12"/>
        <v>531</v>
      </c>
      <c r="AK30" s="76">
        <f t="shared" si="13"/>
        <v>0</v>
      </c>
      <c r="AL30" s="76">
        <f t="shared" si="14"/>
        <v>0</v>
      </c>
      <c r="AM30" s="76">
        <f t="shared" si="15"/>
        <v>0</v>
      </c>
      <c r="AO30" s="76" t="str">
        <f t="shared" si="16"/>
        <v>513</v>
      </c>
      <c r="AP30" s="76">
        <f t="shared" si="17"/>
        <v>0</v>
      </c>
      <c r="AQ30" s="76">
        <f t="shared" si="18"/>
        <v>0</v>
      </c>
      <c r="AR30" s="76">
        <f t="shared" si="19"/>
        <v>0</v>
      </c>
      <c r="AS30" s="76" t="str">
        <f t="shared" si="20"/>
        <v>531</v>
      </c>
      <c r="AT30" s="76">
        <f t="shared" si="21"/>
        <v>0</v>
      </c>
      <c r="AU30" s="76">
        <f t="shared" si="22"/>
        <v>0</v>
      </c>
      <c r="AV30" s="76">
        <f t="shared" si="23"/>
        <v>0</v>
      </c>
      <c r="AW30" s="76">
        <f>COUNT(F10:G33)</f>
        <v>0</v>
      </c>
      <c r="AX30" s="76" t="str">
        <f t="shared" si="24"/>
        <v>513</v>
      </c>
      <c r="AY30" s="76">
        <v>0</v>
      </c>
      <c r="AZ30" s="76" t="str">
        <f t="shared" si="25"/>
        <v>531</v>
      </c>
      <c r="BA30" s="76">
        <v>0</v>
      </c>
      <c r="BE30" s="76">
        <f>MAX(BE26:BE29)-MIN(BE26:BE29)+1</f>
        <v>1</v>
      </c>
      <c r="BF30" s="76">
        <f>MAX(BF26:BF29)-MIN(BF26:BF29)+1</f>
        <v>1</v>
      </c>
      <c r="BG30" s="76">
        <f>MAX(BG26:BG29)-MIN(BG26:BG29)+1</f>
        <v>1</v>
      </c>
      <c r="BH30" s="76">
        <f>MAX(BH26:BH29)-MIN(BH26:BH29)+1</f>
        <v>1</v>
      </c>
      <c r="BI30" s="76">
        <f>MAX(BI26:BI29)-MIN(BI26:BI29)+1</f>
        <v>1</v>
      </c>
      <c r="BJ30" s="76">
        <f>MAX(BJ26:BJ29)-BJ31+1</f>
        <v>1</v>
      </c>
      <c r="BK30" s="76">
        <f>MAX(BK26:BK29)-BK31+1</f>
        <v>1</v>
      </c>
      <c r="BM30" s="76">
        <f>MAX(BM26:BM29)-MIN(BM26:BM29)+1</f>
        <v>1</v>
      </c>
      <c r="BN30" s="76">
        <f>MAX(BN26:BN29)-MIN(BN26:BN29)+1</f>
        <v>1</v>
      </c>
      <c r="BT30" s="76">
        <f>MAX(BT26:BT29)-MIN(BT26:BT29)+1</f>
        <v>1</v>
      </c>
      <c r="BU30" s="76">
        <f>MAX(BU26:BU29)-MIN(BU26:BU29)+1</f>
        <v>1</v>
      </c>
      <c r="BV30" s="76">
        <f>MAX(BV26:BV29)-MIN(BV26:BV29)+1</f>
        <v>1</v>
      </c>
      <c r="BW30" s="76">
        <f>MAX(BW26:BW29)-MIN(BW26:BW29)+1</f>
        <v>1</v>
      </c>
      <c r="BX30" s="76">
        <f>MAX(BX26:BX29)-MIN(BX26:BX29)+1</f>
        <v>1</v>
      </c>
      <c r="BY30" s="77" t="str">
        <f>BD40</f>
        <v>Czech Republic</v>
      </c>
      <c r="BZ30" s="77">
        <v>6</v>
      </c>
      <c r="CA30" s="77">
        <v>3</v>
      </c>
      <c r="CC30" s="76">
        <f>CG26</f>
        <v>0</v>
      </c>
      <c r="CD30" s="76">
        <f>CG27</f>
        <v>0</v>
      </c>
      <c r="CE30" s="76">
        <f>CG28</f>
        <v>0</v>
      </c>
      <c r="CF30" s="76">
        <f>CG29</f>
        <v>0</v>
      </c>
      <c r="DK30" s="76">
        <f>DJ26</f>
        <v>1</v>
      </c>
      <c r="DL30" s="76">
        <f>DJ27</f>
        <v>1</v>
      </c>
      <c r="DM30" s="76">
        <f>DJ28</f>
        <v>1</v>
      </c>
      <c r="DN30" s="76">
        <f>DJ29</f>
        <v>1</v>
      </c>
      <c r="DO30" s="77">
        <f>SUM(DK30:DN30)</f>
        <v>4</v>
      </c>
      <c r="DS30" s="76">
        <f>DW26</f>
        <v>0</v>
      </c>
      <c r="DT30" s="76">
        <f>DW27</f>
        <v>0</v>
      </c>
      <c r="DU30" s="76">
        <f>DW28</f>
        <v>0</v>
      </c>
      <c r="DV30" s="76">
        <f>DW29</f>
        <v>0</v>
      </c>
      <c r="EE30" s="76">
        <f>EI26</f>
        <v>0</v>
      </c>
      <c r="EF30" s="76">
        <f>EI27</f>
        <v>0</v>
      </c>
      <c r="EG30" s="76">
        <f>EI28</f>
        <v>0</v>
      </c>
      <c r="EH30" s="76">
        <f>EI29</f>
        <v>0</v>
      </c>
      <c r="EV30" s="132">
        <v>1</v>
      </c>
      <c r="EW30" s="47" t="str">
        <f>VLOOKUP(EV30,$Z$46:$AC$53,3,0)</f>
        <v>2A</v>
      </c>
      <c r="EX30" s="48"/>
      <c r="EY30" s="89"/>
      <c r="EZ30" s="64"/>
      <c r="FA30" s="32"/>
      <c r="FB30" s="32"/>
      <c r="FC30" s="32"/>
      <c r="FD30" s="32"/>
      <c r="FE30" s="32"/>
      <c r="FF30" s="62"/>
      <c r="FG30" s="32"/>
      <c r="FH30" s="32"/>
      <c r="FI30" s="32"/>
      <c r="FJ30" s="32"/>
      <c r="FK30" s="32"/>
      <c r="FL30" s="62"/>
      <c r="FM30" s="32"/>
      <c r="FN30" s="32"/>
      <c r="FO30" s="32"/>
      <c r="FP30" s="32"/>
      <c r="FQ30" s="32"/>
    </row>
    <row r="31" spans="1:173" ht="12.75" customHeight="1">
      <c r="A31" s="49">
        <v>22</v>
      </c>
      <c r="B31" s="50" t="str">
        <f t="shared" si="27"/>
        <v>Sat</v>
      </c>
      <c r="C31" s="51" t="str">
        <f t="shared" si="28"/>
        <v>Jun 22, 2024</v>
      </c>
      <c r="D31" s="52">
        <f t="shared" si="29"/>
        <v>0.41666666666666669</v>
      </c>
      <c r="E31" s="53" t="str">
        <f>BD41</f>
        <v>Georgia</v>
      </c>
      <c r="F31" s="41"/>
      <c r="G31" s="42"/>
      <c r="H31" s="54" t="str">
        <f>BD40</f>
        <v>Czech Republic</v>
      </c>
      <c r="I31" s="133" t="str">
        <f>INDEX(T,109,lang)</f>
        <v>Hamburg</v>
      </c>
      <c r="J31" s="133"/>
      <c r="K31" s="133"/>
      <c r="L31" s="29"/>
      <c r="M31" s="29"/>
      <c r="W31" s="76">
        <f>DATE(2024,6,23)+TIME(8,0,0)+gmt_delta</f>
        <v>45466.666666666672</v>
      </c>
      <c r="X31" s="78" t="str">
        <f t="shared" si="0"/>
        <v/>
      </c>
      <c r="Y31" s="78" t="str">
        <f t="shared" si="1"/>
        <v/>
      </c>
      <c r="Z31" s="77">
        <f t="shared" si="2"/>
        <v>0</v>
      </c>
      <c r="AA31" s="76">
        <f t="shared" si="3"/>
        <v>0</v>
      </c>
      <c r="AB31" s="76">
        <f t="shared" si="4"/>
        <v>0</v>
      </c>
      <c r="AC31" s="76">
        <f t="shared" si="5"/>
        <v>1</v>
      </c>
      <c r="AD31" s="76">
        <f t="shared" si="6"/>
        <v>3</v>
      </c>
      <c r="AE31" s="76">
        <f t="shared" si="7"/>
        <v>1</v>
      </c>
      <c r="AF31" s="76" t="str">
        <f t="shared" si="8"/>
        <v>131</v>
      </c>
      <c r="AG31" s="76">
        <f t="shared" si="9"/>
        <v>0</v>
      </c>
      <c r="AH31" s="76">
        <f t="shared" si="10"/>
        <v>0</v>
      </c>
      <c r="AI31" s="76">
        <f t="shared" si="11"/>
        <v>0</v>
      </c>
      <c r="AJ31" s="76" t="str">
        <f t="shared" si="12"/>
        <v>113</v>
      </c>
      <c r="AK31" s="76">
        <f t="shared" si="13"/>
        <v>0</v>
      </c>
      <c r="AL31" s="76">
        <f t="shared" si="14"/>
        <v>0</v>
      </c>
      <c r="AM31" s="76">
        <f t="shared" si="15"/>
        <v>0</v>
      </c>
      <c r="AO31" s="76" t="str">
        <f t="shared" ref="AO31:AO42" si="33">AF31</f>
        <v>131</v>
      </c>
      <c r="AP31" s="76">
        <v>0</v>
      </c>
      <c r="AQ31" s="76">
        <v>0</v>
      </c>
      <c r="AR31" s="76">
        <v>0</v>
      </c>
      <c r="AS31" s="76" t="str">
        <f t="shared" ref="AS31:AS42" si="34">AJ31</f>
        <v>113</v>
      </c>
      <c r="AT31" s="76">
        <v>0</v>
      </c>
      <c r="AU31" s="76">
        <v>0</v>
      </c>
      <c r="AV31" s="76">
        <v>0</v>
      </c>
      <c r="AW31" s="76">
        <f t="shared" ref="AW31:AW42" si="35">IF(VLOOKUP(E34,DZ:ED,5,0)=VLOOKUP(H34,DZ:ED,5,0),1,0)*IF($AW$30=48,1,0)*IF(OR(F34="",G34=""),0,F34=G34)</f>
        <v>0</v>
      </c>
      <c r="AX31" s="76" t="str">
        <f t="shared" si="24"/>
        <v>131</v>
      </c>
      <c r="AY31" s="76">
        <f t="shared" ref="AY31:AY42" si="36">AW31*IF(OR(F34="",G34="",L34="",M34=""),0,IF(F34=G34,L34-M34,0))</f>
        <v>0</v>
      </c>
      <c r="AZ31" s="76" t="str">
        <f t="shared" si="25"/>
        <v>113</v>
      </c>
      <c r="BA31" s="76">
        <f t="shared" ref="BA31:BA42" si="37">-AY31</f>
        <v>0</v>
      </c>
      <c r="BJ31" s="76">
        <f>MIN(BJ26:BJ29)</f>
        <v>0</v>
      </c>
      <c r="BK31" s="76">
        <f>MIN(BK26:BK29)</f>
        <v>0</v>
      </c>
      <c r="BY31" s="77" t="str">
        <f>BD41</f>
        <v>Georgia</v>
      </c>
      <c r="BZ31" s="77">
        <v>6</v>
      </c>
      <c r="CA31" s="77">
        <v>4</v>
      </c>
      <c r="EV31" s="132"/>
      <c r="EW31" s="55" t="str">
        <f>VLOOKUP(EV30,$Z$46:$AC$53,4,0)</f>
        <v>2B</v>
      </c>
      <c r="EX31" s="56"/>
      <c r="EY31" s="57"/>
      <c r="EZ31" s="32"/>
      <c r="FA31" s="32"/>
      <c r="FB31" s="32"/>
      <c r="FC31" s="32"/>
      <c r="FD31" s="32"/>
      <c r="FE31" s="32"/>
      <c r="FF31" s="62"/>
      <c r="FG31" s="32"/>
      <c r="FH31" s="32" t="str">
        <f>INDEX(T,24+MONTH(W65),lang) &amp; " " &amp; DAY(W65) &amp; ", " &amp; YEAR(W65) &amp; "   " &amp; TEXT(HOUR(W65),"00") &amp; ":" &amp; TEXT(MINUTE(W65),"00")</f>
        <v>Jul 10, 2024   16:00</v>
      </c>
      <c r="FI31" s="32"/>
      <c r="FJ31" s="32"/>
      <c r="FK31" s="32"/>
      <c r="FL31" s="62"/>
      <c r="FM31" s="32"/>
    </row>
    <row r="32" spans="1:173" ht="12.75" customHeight="1">
      <c r="A32" s="49">
        <v>23</v>
      </c>
      <c r="B32" s="50" t="str">
        <f t="shared" si="27"/>
        <v>Sat</v>
      </c>
      <c r="C32" s="51" t="str">
        <f t="shared" si="28"/>
        <v>Jun 22, 2024</v>
      </c>
      <c r="D32" s="52">
        <f t="shared" si="29"/>
        <v>0.54166666666666663</v>
      </c>
      <c r="E32" s="53" t="str">
        <f>BD39</f>
        <v>Turkey</v>
      </c>
      <c r="F32" s="41"/>
      <c r="G32" s="42"/>
      <c r="H32" s="54" t="str">
        <f>BD38</f>
        <v>Portugal</v>
      </c>
      <c r="I32" s="133" t="str">
        <f>INDEX(T,108,lang)</f>
        <v>Dortmund</v>
      </c>
      <c r="J32" s="133"/>
      <c r="K32" s="133"/>
      <c r="L32" s="29"/>
      <c r="M32" s="29"/>
      <c r="O32" s="30" t="str">
        <f>INDEX(T,9,lang) &amp; " " &amp; "E"</f>
        <v>Group E</v>
      </c>
      <c r="P32" s="31" t="str">
        <f>INDEX(T,10,lang)</f>
        <v>PL</v>
      </c>
      <c r="Q32" s="31" t="str">
        <f>INDEX(T,11,lang)</f>
        <v>W</v>
      </c>
      <c r="R32" s="31" t="str">
        <f>INDEX(T,12,lang)</f>
        <v>DRAW</v>
      </c>
      <c r="S32" s="31" t="str">
        <f>INDEX(T,13,lang)</f>
        <v>L</v>
      </c>
      <c r="T32" s="31" t="str">
        <f>INDEX(T,14,lang)</f>
        <v>GF - GA</v>
      </c>
      <c r="U32" s="31" t="str">
        <f>INDEX(T,15,lang)</f>
        <v>PNT</v>
      </c>
      <c r="W32" s="76">
        <f>DATE(2024,6,23)+TIME(8,0,0)+gmt_delta</f>
        <v>45466.666666666672</v>
      </c>
      <c r="X32" s="78" t="str">
        <f t="shared" si="0"/>
        <v/>
      </c>
      <c r="Y32" s="78" t="str">
        <f t="shared" si="1"/>
        <v/>
      </c>
      <c r="Z32" s="77">
        <f t="shared" si="2"/>
        <v>0</v>
      </c>
      <c r="AA32" s="76">
        <f t="shared" si="3"/>
        <v>0</v>
      </c>
      <c r="AB32" s="76">
        <f t="shared" si="4"/>
        <v>0</v>
      </c>
      <c r="AC32" s="76">
        <f t="shared" si="5"/>
        <v>1</v>
      </c>
      <c r="AD32" s="76">
        <f t="shared" si="6"/>
        <v>2</v>
      </c>
      <c r="AE32" s="76">
        <f t="shared" si="7"/>
        <v>4</v>
      </c>
      <c r="AF32" s="76" t="str">
        <f t="shared" si="8"/>
        <v>124</v>
      </c>
      <c r="AG32" s="76">
        <f t="shared" si="9"/>
        <v>0</v>
      </c>
      <c r="AH32" s="76">
        <f t="shared" si="10"/>
        <v>0</v>
      </c>
      <c r="AI32" s="76">
        <f t="shared" si="11"/>
        <v>0</v>
      </c>
      <c r="AJ32" s="76" t="str">
        <f t="shared" si="12"/>
        <v>142</v>
      </c>
      <c r="AK32" s="76">
        <f t="shared" si="13"/>
        <v>0</v>
      </c>
      <c r="AL32" s="76">
        <f t="shared" si="14"/>
        <v>0</v>
      </c>
      <c r="AM32" s="76">
        <f t="shared" si="15"/>
        <v>0</v>
      </c>
      <c r="AO32" s="76" t="str">
        <f t="shared" si="33"/>
        <v>124</v>
      </c>
      <c r="AP32" s="76">
        <v>0</v>
      </c>
      <c r="AQ32" s="76">
        <v>0</v>
      </c>
      <c r="AR32" s="76">
        <v>0</v>
      </c>
      <c r="AS32" s="76" t="str">
        <f t="shared" si="34"/>
        <v>142</v>
      </c>
      <c r="AT32" s="76">
        <v>0</v>
      </c>
      <c r="AU32" s="76">
        <v>0</v>
      </c>
      <c r="AV32" s="76">
        <v>0</v>
      </c>
      <c r="AW32" s="76">
        <f t="shared" si="35"/>
        <v>0</v>
      </c>
      <c r="AX32" s="76" t="str">
        <f t="shared" si="24"/>
        <v>124</v>
      </c>
      <c r="AY32" s="76">
        <f t="shared" si="36"/>
        <v>0</v>
      </c>
      <c r="AZ32" s="76" t="str">
        <f t="shared" si="25"/>
        <v>142</v>
      </c>
      <c r="BA32" s="76">
        <f t="shared" si="37"/>
        <v>0</v>
      </c>
      <c r="BC32" s="76">
        <f>DQ32</f>
        <v>1</v>
      </c>
      <c r="BD32" s="77" t="str">
        <f>INDEX(T,67,lang)</f>
        <v>Belgium</v>
      </c>
      <c r="BE32" s="76">
        <f>COUNTIF($X$7:$Y$42,"=" &amp; BD32 &amp; "_win")</f>
        <v>0</v>
      </c>
      <c r="BF32" s="76">
        <f>COUNTIF($X$7:$Y$42,"=" &amp; BD32 &amp; "_draw")</f>
        <v>0</v>
      </c>
      <c r="BG32" s="76">
        <f>COUNTIF($X$7:$Y$42,"=" &amp; BD32 &amp; "_lose")</f>
        <v>0</v>
      </c>
      <c r="BH32" s="76">
        <f>SUMIF($E$10:$E$45,$BD32,$F$10:$F$45) + SUMIF($H$10:$H$45,$BD32,$G$10:$G$45)</f>
        <v>0</v>
      </c>
      <c r="BI32" s="76">
        <f>SUMIF($E$10:$E$45,$BD32,$G$10:$G$45) + SUMIF($H$10:$H$45,$BD32,$F$10:$F$45)</f>
        <v>0</v>
      </c>
      <c r="BJ32" s="76">
        <f>BM32*10000</f>
        <v>0</v>
      </c>
      <c r="BK32" s="76">
        <f>BH32-BI32</f>
        <v>0</v>
      </c>
      <c r="BL32" s="76">
        <f>(BK32-BK37)/BK36</f>
        <v>0</v>
      </c>
      <c r="BM32" s="76">
        <f>BE32*3+BF32</f>
        <v>0</v>
      </c>
      <c r="BN32" s="76">
        <f>BT32/BT36*10+BU32/BU36+BX32/BX36*0.1+BV32/BV36*0.01</f>
        <v>0</v>
      </c>
      <c r="BP32" s="76">
        <f>IF(VLOOKUP(BD32,db_fifarank,2,0)="",MIN(db_fifarank),VLOOKUP(BD32,db_fifarank,2,0))</f>
        <v>48.6</v>
      </c>
      <c r="BQ32" s="76">
        <f>0.1*((BP32-$BP$44)/$BP$46-(COUNTIF($BP$8:$BP$41,BP32)-1)/(100-ROW(BP32)))</f>
        <v>4.2531569825024762E-2</v>
      </c>
      <c r="BR32" s="77">
        <f>10000000*BM32/BM36+100000*BN32/BN36+100*BL32+10*BH32/BH36+1*BN32/BN36+BQ32</f>
        <v>4.2531569825024762E-2</v>
      </c>
      <c r="BS32" s="77" t="str">
        <f>IF(SUM(BE32:BG35)=12,O33,INDEX(T,78,lang))</f>
        <v>1E</v>
      </c>
      <c r="BT32" s="76">
        <f>SUMPRODUCT(($X$7:$X$42=BD32&amp;"_win")*($Z$7:$Z$42))+SUMPRODUCT(($Y$7:$Y$42=BD32&amp;"_win")*($Z$7:$Z$42))</f>
        <v>0</v>
      </c>
      <c r="BU32" s="76">
        <f>SUMPRODUCT(($X$7:$X$42=BD32&amp;"_draw")*($Z$7:$Z$42))+SUMPRODUCT(($Y$7:$Y$42=BD32&amp;"_draw")*($Z$7:$Z$42))</f>
        <v>0</v>
      </c>
      <c r="BV32" s="76">
        <f>SUMPRODUCT(($E$10:$E$45=BD32)*($Z$7:$Z$42)*($F$10:$F$45))+SUMPRODUCT(($H$10:$H$45=BD32)*($Z$7:$Z$42)*($G$10:$G$45))</f>
        <v>0</v>
      </c>
      <c r="BW32" s="76">
        <f>SUMPRODUCT(($E$10:$E$45=BD32)*($Z$7:$Z$42)*($G$10:$G$45))+SUMPRODUCT(($H$10:$H$45=BD32)*($Z$7:$Z$42)*($F$10:$F$45))</f>
        <v>0</v>
      </c>
      <c r="BX32" s="76">
        <f>BV32-BW32</f>
        <v>0</v>
      </c>
      <c r="CD32" s="76">
        <f>IFERROR(VLOOKUP("512",$AF$7:$AI$42,2,0),0) + IFERROR(VLOOKUP("512",$AJ$7:$AM$42,2,0),0)</f>
        <v>0</v>
      </c>
      <c r="CE32" s="76">
        <f>IFERROR(VLOOKUP("513",$AF$7:$AI$42,2,0),0) + IFERROR(VLOOKUP("513",$AJ$7:$AM$42,2,0),0)</f>
        <v>0</v>
      </c>
      <c r="CF32" s="76">
        <f>IFERROR(VLOOKUP("514",$AF$7:$AI$42,2,0),0) + IFERROR(VLOOKUP("514",$AJ$7:$AM$42,2,0),0)</f>
        <v>0</v>
      </c>
      <c r="CG32" s="77">
        <f>SUM(CC32:CF32)</f>
        <v>0</v>
      </c>
      <c r="CI32" s="76">
        <f>IFERROR(VLOOKUP("512",$AF$7:$AI$42,3,0),0) + IFERROR(VLOOKUP("512",$AJ$7:$AM$42,3,0),0)</f>
        <v>0</v>
      </c>
      <c r="CJ32" s="76">
        <f>IFERROR(VLOOKUP("513",$AF$7:$AI$42,3,0),0) + IFERROR(VLOOKUP("513",$AJ$7:$AM$42,3,0),0)</f>
        <v>0</v>
      </c>
      <c r="CK32" s="76">
        <f>IFERROR(VLOOKUP("514",$AF$7:$AI$42,3,0),0) + IFERROR(VLOOKUP("514",$AJ$7:$AM$42,3,0),0)</f>
        <v>0</v>
      </c>
      <c r="CL32" s="77">
        <f>SUM(CH32:CK32)</f>
        <v>0</v>
      </c>
      <c r="CM32" s="77">
        <f>RANK(CL32,CL32:CL35)</f>
        <v>1</v>
      </c>
      <c r="CO32" s="76">
        <f>IFERROR(VLOOKUP("512",$AF$7:$AI$42,4,0),0) + IFERROR(VLOOKUP("512",$AJ$7:$AM$42,4,0),0)</f>
        <v>0</v>
      </c>
      <c r="CP32" s="76">
        <f>IFERROR(VLOOKUP("513",$AF$7:$AI$42,4,0),0) + IFERROR(VLOOKUP("513",$AJ$7:$AM$42,4,0),0)</f>
        <v>0</v>
      </c>
      <c r="CQ32" s="76">
        <f>IFERROR(VLOOKUP("514",$AF$7:$AI$42,4,0),0) + IFERROR(VLOOKUP("514",$AJ$7:$AM$42,4,0),0)</f>
        <v>0</v>
      </c>
      <c r="CR32" s="77">
        <f>SUM(CN32:CQ32)</f>
        <v>0</v>
      </c>
      <c r="CT32" s="76">
        <f>IF(CD36=CG32,CD32,0)</f>
        <v>0</v>
      </c>
      <c r="CU32" s="76">
        <f>IF(CE36=CG32,CE32,0)</f>
        <v>0</v>
      </c>
      <c r="CV32" s="76">
        <f>IF(CF36=CG32,CF32,0)</f>
        <v>0</v>
      </c>
      <c r="CW32" s="77">
        <f>SUM(CS32:CV32)</f>
        <v>0</v>
      </c>
      <c r="CY32" s="76">
        <f>IF(CD36=CG32,CI32,0)</f>
        <v>0</v>
      </c>
      <c r="CZ32" s="76">
        <f>IF(CE36=CG32,CJ32,0)</f>
        <v>0</v>
      </c>
      <c r="DA32" s="76">
        <f>IF(CF36=CG32,CK32,0)</f>
        <v>0</v>
      </c>
      <c r="DB32" s="77">
        <f>SUM(CX32:DA32)</f>
        <v>0</v>
      </c>
      <c r="DC32" s="77">
        <f>RANK(DB32,DB32:DB35)</f>
        <v>1</v>
      </c>
      <c r="DE32" s="76">
        <f>IF(CD36=CG32,CO32,0)</f>
        <v>0</v>
      </c>
      <c r="DF32" s="76">
        <f>IF(CE36=CG32,CP32,0)</f>
        <v>0</v>
      </c>
      <c r="DG32" s="76">
        <f>IF(CF36=CG32,CQ32,0)</f>
        <v>0</v>
      </c>
      <c r="DH32" s="77">
        <f>SUM(DD32:DG32)</f>
        <v>0</v>
      </c>
      <c r="DI32" s="77">
        <f>CG32*10000+CW32*100+(5-DC32)+DH32/10</f>
        <v>4</v>
      </c>
      <c r="DJ32" s="77">
        <f>RANK(DI32,DI32:DI35)</f>
        <v>1</v>
      </c>
      <c r="DL32" s="76">
        <f>IF(DL36=DJ32,CD32,0)</f>
        <v>0</v>
      </c>
      <c r="DM32" s="76">
        <f>IF(DM36=DJ32,CE32,0)</f>
        <v>0</v>
      </c>
      <c r="DN32" s="76">
        <f>IF(DN36=DJ32,CF32,0)</f>
        <v>0</v>
      </c>
      <c r="DO32" s="77">
        <f>SUM(DK32:DN32)</f>
        <v>0</v>
      </c>
      <c r="DP32" s="77">
        <f>(5-DJ32)*10000+DO32*100+(5-CM32)+CR32/10+(5-DX32)/100+BQ32/10000</f>
        <v>40004.040004253155</v>
      </c>
      <c r="DQ32" s="77">
        <f>RANK(DP32,DP32:DP35)</f>
        <v>1</v>
      </c>
      <c r="DT32" s="76">
        <f>IFERROR(VLOOKUP("512",$AX$7:$AY$42,2,0),0) + IFERROR(VLOOKUP("512",$AZ$7:$BA$42,2,0),0)</f>
        <v>0</v>
      </c>
      <c r="DU32" s="76">
        <f>IFERROR(VLOOKUP("513",$AX$7:$AY$42,2,0),0) + IFERROR(VLOOKUP("513",$AZ$7:$BA$42,2,0),0)</f>
        <v>0</v>
      </c>
      <c r="DV32" s="76">
        <f>IFERROR(VLOOKUP("514",$AX$7:$AY$42,2,0),0) + IFERROR(VLOOKUP("514",$AZ$7:$BA$42,2,0),0)</f>
        <v>0</v>
      </c>
      <c r="DW32" s="77">
        <f>SUM(DS32:DV32)</f>
        <v>0</v>
      </c>
      <c r="DX32" s="77">
        <f>RANK(DW32,DW32:DW35)</f>
        <v>1</v>
      </c>
      <c r="DZ32" s="77" t="str">
        <f>BD32</f>
        <v>Belgium</v>
      </c>
      <c r="EA32" s="77">
        <f>EI32*10000+EO32*100+ET32</f>
        <v>100</v>
      </c>
      <c r="EB32" s="76">
        <f>COUNTIF(EA32:EA35,EA32)</f>
        <v>4</v>
      </c>
      <c r="EC32" s="76">
        <f>COUNTIF(CG32:CG35,CG32)</f>
        <v>4</v>
      </c>
      <c r="ED32" s="77">
        <f>IF(AND(EB32&gt;=2,EC32=2),EA32,-EA32-0.4)</f>
        <v>-100.4</v>
      </c>
      <c r="EF32" s="76">
        <f>IFERROR(VLOOKUP("512",$AO$7:$AR$42,2,0),0) + IFERROR(VLOOKUP("512",$AS$7:$AV$42,2,0),0)</f>
        <v>0</v>
      </c>
      <c r="EG32" s="76">
        <f>IFERROR(VLOOKUP("513",$AO$7:$AR$42,2,0),0) + IFERROR(VLOOKUP("513",$AS$7:$AV$42,2,0),0)</f>
        <v>0</v>
      </c>
      <c r="EH32" s="76">
        <f>IFERROR(VLOOKUP("514",$AO$7:$AR$42,2,0),0) + IFERROR(VLOOKUP("514",$AS$7:$AV$42,2,0),0)</f>
        <v>0</v>
      </c>
      <c r="EI32" s="77">
        <f>SUM(EE32:EH32)</f>
        <v>0</v>
      </c>
      <c r="EK32" s="76">
        <f>IFERROR(VLOOKUP("512",$AO$7:$AR$42,3,0),0) + IFERROR(VLOOKUP("512",$AS$7:$AV$42,3,0),0)</f>
        <v>0</v>
      </c>
      <c r="EL32" s="76">
        <f>IFERROR(VLOOKUP("513",$AO$7:$AR$42,3,0),0) + IFERROR(VLOOKUP("513",$AS$7:$AV$42,3,0),0)</f>
        <v>0</v>
      </c>
      <c r="EM32" s="76">
        <f>IFERROR(VLOOKUP("514",$AO$7:$AR$42,3,0),0) + IFERROR(VLOOKUP("514",$AS$7:$AV$42,3,0),0)</f>
        <v>0</v>
      </c>
      <c r="EN32" s="77">
        <f>SUM(EJ32:EM32)</f>
        <v>0</v>
      </c>
      <c r="EO32" s="77">
        <f>RANK(EN32,EN32:EN35)</f>
        <v>1</v>
      </c>
      <c r="EQ32" s="76">
        <f>IFERROR(VLOOKUP("512",$AO$7:$AR$42,4,0),0) + IFERROR(VLOOKUP("512",$AS$7:$AV$42,4,0),0)</f>
        <v>0</v>
      </c>
      <c r="ER32" s="76">
        <f>IFERROR(VLOOKUP("513",$AO$7:$AR$42,4,0),0) + IFERROR(VLOOKUP("513",$AS$7:$AV$42,4,0),0)</f>
        <v>0</v>
      </c>
      <c r="ES32" s="76">
        <f>IFERROR(VLOOKUP("514",$AO$7:$AR$42,4,0),0) + IFERROR(VLOOKUP("514",$AS$7:$AV$42,4,0),0)</f>
        <v>0</v>
      </c>
      <c r="ET32" s="77">
        <f>SUM(EP32:ES32)</f>
        <v>0</v>
      </c>
      <c r="EV32" s="75"/>
      <c r="EW32" s="32"/>
      <c r="EX32" s="32"/>
      <c r="EY32" s="32"/>
      <c r="EZ32" s="32"/>
      <c r="FA32" s="32"/>
      <c r="FB32" s="32"/>
      <c r="FC32" s="32"/>
      <c r="FD32" s="32"/>
      <c r="FE32" s="32"/>
      <c r="FF32" s="62"/>
      <c r="FG32" s="32"/>
      <c r="FH32" s="134"/>
      <c r="FI32" s="47" t="str">
        <f>Y59</f>
        <v>W47</v>
      </c>
      <c r="FJ32" s="48"/>
      <c r="FK32" s="89"/>
      <c r="FL32" s="64"/>
      <c r="FM32" s="32"/>
    </row>
    <row r="33" spans="1:173">
      <c r="A33" s="49">
        <v>24</v>
      </c>
      <c r="B33" s="50" t="str">
        <f t="shared" si="27"/>
        <v>Sat</v>
      </c>
      <c r="C33" s="51" t="str">
        <f t="shared" si="28"/>
        <v>Jun 22, 2024</v>
      </c>
      <c r="D33" s="52">
        <f t="shared" si="29"/>
        <v>0.66666666666666663</v>
      </c>
      <c r="E33" s="53" t="str">
        <f>BD32</f>
        <v>Belgium</v>
      </c>
      <c r="F33" s="41"/>
      <c r="G33" s="42"/>
      <c r="H33" s="54" t="str">
        <f>BD34</f>
        <v>Romania</v>
      </c>
      <c r="I33" s="133" t="str">
        <f>INDEX(T,104,lang)</f>
        <v>Cologne</v>
      </c>
      <c r="J33" s="133"/>
      <c r="K33" s="133"/>
      <c r="L33" s="29"/>
      <c r="M33" s="29"/>
      <c r="O33" s="33" t="str">
        <f>VLOOKUP(1,BC32:BM35,2,0)</f>
        <v>Belgium</v>
      </c>
      <c r="P33" s="34">
        <f>Q33+R33+S33</f>
        <v>0</v>
      </c>
      <c r="Q33" s="34">
        <f>VLOOKUP(1,BC32:BM35,3,0)</f>
        <v>0</v>
      </c>
      <c r="R33" s="34">
        <f>VLOOKUP(1,BC32:BM35,4,0)</f>
        <v>0</v>
      </c>
      <c r="S33" s="34">
        <f>VLOOKUP(1,BC32:BM35,5,0)</f>
        <v>0</v>
      </c>
      <c r="T33" s="34" t="str">
        <f>VLOOKUP(1,BC32:BM35,6,0) &amp; " - " &amp; VLOOKUP(1,BC32:BM35,7,0)</f>
        <v>0 - 0</v>
      </c>
      <c r="U33" s="35">
        <f>Q33*3+R33</f>
        <v>0</v>
      </c>
      <c r="W33" s="76">
        <f>DATE(2024,6,24)+TIME(8,0,0)+gmt_delta</f>
        <v>45467.666666666672</v>
      </c>
      <c r="X33" s="78" t="str">
        <f t="shared" si="0"/>
        <v/>
      </c>
      <c r="Y33" s="78" t="str">
        <f t="shared" si="1"/>
        <v/>
      </c>
      <c r="Z33" s="77">
        <f t="shared" si="2"/>
        <v>0</v>
      </c>
      <c r="AA33" s="76">
        <f t="shared" si="3"/>
        <v>0</v>
      </c>
      <c r="AB33" s="76">
        <f t="shared" si="4"/>
        <v>0</v>
      </c>
      <c r="AC33" s="76">
        <f t="shared" si="5"/>
        <v>2</v>
      </c>
      <c r="AD33" s="76">
        <f t="shared" si="6"/>
        <v>4</v>
      </c>
      <c r="AE33" s="76">
        <f t="shared" si="7"/>
        <v>1</v>
      </c>
      <c r="AF33" s="76" t="str">
        <f t="shared" si="8"/>
        <v>241</v>
      </c>
      <c r="AG33" s="76">
        <f t="shared" si="9"/>
        <v>0</v>
      </c>
      <c r="AH33" s="76">
        <f t="shared" si="10"/>
        <v>0</v>
      </c>
      <c r="AI33" s="76">
        <f t="shared" si="11"/>
        <v>0</v>
      </c>
      <c r="AJ33" s="76" t="str">
        <f t="shared" si="12"/>
        <v>214</v>
      </c>
      <c r="AK33" s="76">
        <f t="shared" si="13"/>
        <v>0</v>
      </c>
      <c r="AL33" s="76">
        <f t="shared" si="14"/>
        <v>0</v>
      </c>
      <c r="AM33" s="76">
        <f t="shared" si="15"/>
        <v>0</v>
      </c>
      <c r="AO33" s="76" t="str">
        <f t="shared" si="33"/>
        <v>241</v>
      </c>
      <c r="AP33" s="76">
        <v>0</v>
      </c>
      <c r="AQ33" s="76">
        <v>0</v>
      </c>
      <c r="AR33" s="76">
        <v>0</v>
      </c>
      <c r="AS33" s="76" t="str">
        <f t="shared" si="34"/>
        <v>214</v>
      </c>
      <c r="AT33" s="76">
        <v>0</v>
      </c>
      <c r="AU33" s="76">
        <v>0</v>
      </c>
      <c r="AV33" s="76">
        <v>0</v>
      </c>
      <c r="AW33" s="76">
        <f t="shared" si="35"/>
        <v>0</v>
      </c>
      <c r="AX33" s="76" t="str">
        <f t="shared" si="24"/>
        <v>241</v>
      </c>
      <c r="AY33" s="76">
        <f t="shared" si="36"/>
        <v>0</v>
      </c>
      <c r="AZ33" s="76" t="str">
        <f t="shared" si="25"/>
        <v>214</v>
      </c>
      <c r="BA33" s="76">
        <f t="shared" si="37"/>
        <v>0</v>
      </c>
      <c r="BC33" s="76">
        <f>DQ33</f>
        <v>2</v>
      </c>
      <c r="BD33" s="77" t="str">
        <f>INDEX(T,45,lang)</f>
        <v>Ukraine</v>
      </c>
      <c r="BE33" s="76">
        <f>COUNTIF($X$7:$Y$42,"=" &amp; BD33 &amp; "_win")</f>
        <v>0</v>
      </c>
      <c r="BF33" s="76">
        <f>COUNTIF($X$7:$Y$42,"=" &amp; BD33 &amp; "_draw")</f>
        <v>0</v>
      </c>
      <c r="BG33" s="76">
        <f>COUNTIF($X$7:$Y$42,"=" &amp; BD33 &amp; "_lose")</f>
        <v>0</v>
      </c>
      <c r="BH33" s="76">
        <f>SUMIF($E$10:$E$45,$BD33,$F$10:$F$45) + SUMIF($H$10:$H$45,$BD33,$G$10:$G$45)</f>
        <v>0</v>
      </c>
      <c r="BI33" s="76">
        <f>SUMIF($E$10:$E$45,$BD33,$G$10:$G$45) + SUMIF($H$10:$H$45,$BD33,$F$10:$F$45)</f>
        <v>0</v>
      </c>
      <c r="BJ33" s="76">
        <f>BM33*10000</f>
        <v>0</v>
      </c>
      <c r="BK33" s="76">
        <f>BH33-BI33</f>
        <v>0</v>
      </c>
      <c r="BL33" s="76">
        <f>(BK33-BK37)/BK36</f>
        <v>0</v>
      </c>
      <c r="BM33" s="76">
        <f>BE33*3+BF33</f>
        <v>0</v>
      </c>
      <c r="BN33" s="76">
        <f>BT33/BT36*10+BU33/BU36+BX33/BX36*0.1+BV33/BV36*0.01</f>
        <v>0</v>
      </c>
      <c r="BP33" s="76">
        <f>IF(VLOOKUP(BD33,db_fifarank,2,0)="",MIN(db_fifarank),VLOOKUP(BD33,db_fifarank,2,0))</f>
        <v>28</v>
      </c>
      <c r="BQ33" s="76">
        <f t="shared" ref="BQ33:BQ35" si="38">0.1*((BP33-$BP$44)/$BP$46-(COUNTIF($BP$8:$BP$41,BP33)-1)/(100-ROW(BP33)))</f>
        <v>2.1278681082865635E-2</v>
      </c>
      <c r="BR33" s="77">
        <f>10000000*BM33/BM36+100000*BN33/BN36+100*BL33+10*BH33/BH36+1*BN33/BN36+BQ33</f>
        <v>2.1278681082865635E-2</v>
      </c>
      <c r="BS33" s="77" t="str">
        <f>IF(SUM(BE32:BG35)=12,O34,INDEX(T,79,lang))</f>
        <v>2E</v>
      </c>
      <c r="BT33" s="76">
        <f>SUMPRODUCT(($X$7:$X$42=BD33&amp;"_win")*($Z$7:$Z$42))+SUMPRODUCT(($Y$7:$Y$42=BD33&amp;"_win")*($Z$7:$Z$42))</f>
        <v>0</v>
      </c>
      <c r="BU33" s="76">
        <f>SUMPRODUCT(($X$7:$X$42=BD33&amp;"_draw")*($Z$7:$Z$42))+SUMPRODUCT(($Y$7:$Y$42=BD33&amp;"_draw")*($Z$7:$Z$42))</f>
        <v>0</v>
      </c>
      <c r="BV33" s="76">
        <f>SUMPRODUCT(($E$10:$E$45=BD33)*($Z$7:$Z$42)*($F$10:$F$45))+SUMPRODUCT(($H$10:$H$45=BD33)*($Z$7:$Z$42)*($G$10:$G$45))</f>
        <v>0</v>
      </c>
      <c r="BW33" s="76">
        <f>SUMPRODUCT(($E$10:$E$45=BD33)*($Z$7:$Z$42)*($G$10:$G$45))+SUMPRODUCT(($H$10:$H$45=BD33)*($Z$7:$Z$42)*($F$10:$F$45))</f>
        <v>0</v>
      </c>
      <c r="BX33" s="76">
        <f>BV33-BW33</f>
        <v>0</v>
      </c>
      <c r="CC33" s="76">
        <f>IFERROR(VLOOKUP("521",$AF$7:$AI$42,2,0),0) + IFERROR(VLOOKUP("521",$AJ$7:$AM$42,2,0),0)</f>
        <v>0</v>
      </c>
      <c r="CE33" s="76">
        <f>IFERROR(VLOOKUP("523",$AF$7:$AI$42,2,0),0) + IFERROR(VLOOKUP("523",$AJ$7:$AM$42,2,0),0)</f>
        <v>0</v>
      </c>
      <c r="CF33" s="76">
        <f>IFERROR(VLOOKUP("524",$AF$7:$AI$42,2,0),0) + IFERROR(VLOOKUP("524",$AJ$7:$AM$42,2,0),0)</f>
        <v>0</v>
      </c>
      <c r="CG33" s="77">
        <f>SUM(CC33:CF33)</f>
        <v>0</v>
      </c>
      <c r="CH33" s="76">
        <f>IFERROR(VLOOKUP("521",$AF$7:$AI$42,3,0),0) + IFERROR(VLOOKUP("521",$AJ$7:$AM$42,3,0),0)</f>
        <v>0</v>
      </c>
      <c r="CJ33" s="76">
        <f>IFERROR(VLOOKUP("523",$AF$7:$AI$42,3,0),0) + IFERROR(VLOOKUP("523",$AJ$7:$AM$42,3,0),0)</f>
        <v>0</v>
      </c>
      <c r="CK33" s="76">
        <f>IFERROR(VLOOKUP("524",$AF$7:$AI$42,3,0),0) + IFERROR(VLOOKUP("524",$AJ$7:$AM$42,3,0),0)</f>
        <v>0</v>
      </c>
      <c r="CL33" s="77">
        <f>SUM(CH33:CK33)</f>
        <v>0</v>
      </c>
      <c r="CM33" s="77">
        <f>RANK(CL33,CL32:CL35)</f>
        <v>1</v>
      </c>
      <c r="CN33" s="76">
        <f>IFERROR(VLOOKUP("521",$AF$7:$AI$42,4,0),0) + IFERROR(VLOOKUP("521",$AJ$7:$AM$42,4,0),0)</f>
        <v>0</v>
      </c>
      <c r="CP33" s="76">
        <f>IFERROR(VLOOKUP("523",$AF$7:$AI$42,4,0),0) + IFERROR(VLOOKUP("523",$AJ$7:$AM$42,4,0),0)</f>
        <v>0</v>
      </c>
      <c r="CQ33" s="76">
        <f>IFERROR(VLOOKUP("524",$AF$7:$AI$42,4,0),0) + IFERROR(VLOOKUP("524",$AJ$7:$AM$42,4,0),0)</f>
        <v>0</v>
      </c>
      <c r="CR33" s="77">
        <f>SUM(CN33:CQ33)</f>
        <v>0</v>
      </c>
      <c r="CS33" s="76">
        <f>IF(CC36=CG33,CC33,0)</f>
        <v>0</v>
      </c>
      <c r="CU33" s="76">
        <f>IF(CE36=CG33,CE33,0)</f>
        <v>0</v>
      </c>
      <c r="CV33" s="76">
        <f>IF(CF36=CG33,CF33,0)</f>
        <v>0</v>
      </c>
      <c r="CW33" s="77">
        <f>SUM(CS33:CV33)</f>
        <v>0</v>
      </c>
      <c r="CX33" s="76">
        <f>IF(CC36=CG33,CH33,0)</f>
        <v>0</v>
      </c>
      <c r="CZ33" s="76">
        <f>IF(CE36=CG33,CJ33,0)</f>
        <v>0</v>
      </c>
      <c r="DA33" s="76">
        <f>IF(CF36=CG33,CK33,0)</f>
        <v>0</v>
      </c>
      <c r="DB33" s="77">
        <f>SUM(CX33:DA33)</f>
        <v>0</v>
      </c>
      <c r="DC33" s="77">
        <f>RANK(DB33,DB32:DB35)</f>
        <v>1</v>
      </c>
      <c r="DD33" s="76">
        <f>IF(CC36=CG33,CN33,0)</f>
        <v>0</v>
      </c>
      <c r="DF33" s="76">
        <f>IF(CE36=CG33,CP33,0)</f>
        <v>0</v>
      </c>
      <c r="DG33" s="76">
        <f>IF(CF36=CG33,CQ33,0)</f>
        <v>0</v>
      </c>
      <c r="DH33" s="77">
        <f>SUM(DD33:DG33)</f>
        <v>0</v>
      </c>
      <c r="DI33" s="77">
        <f>CG33*10000+CW33*100+(5-DC33)+DH33/10</f>
        <v>4</v>
      </c>
      <c r="DJ33" s="77">
        <f>RANK(DI33,DI32:DI35)</f>
        <v>1</v>
      </c>
      <c r="DK33" s="76">
        <f>IF(DK36=DJ33,CC33,0)</f>
        <v>0</v>
      </c>
      <c r="DM33" s="76">
        <f>IF(DM36=DJ33,CE33,0)</f>
        <v>0</v>
      </c>
      <c r="DN33" s="76">
        <f>IF(DN36=DJ33,CF33,0)</f>
        <v>0</v>
      </c>
      <c r="DO33" s="77">
        <f>SUM(DK33:DN33)</f>
        <v>0</v>
      </c>
      <c r="DP33" s="77">
        <f>(5-DJ33)*10000+DO33*100+(5-CM33)+CR33/10+(5-DX33)/100+BQ33/10000</f>
        <v>40004.040002127869</v>
      </c>
      <c r="DQ33" s="77">
        <f>RANK(DP33,DP32:DP35)</f>
        <v>2</v>
      </c>
      <c r="DS33" s="76">
        <f>IFERROR(VLOOKUP("521",$AX$7:$AY$42,2,0),0) + IFERROR(VLOOKUP("521",$AZ$7:$BA$42,2,0),0)</f>
        <v>0</v>
      </c>
      <c r="DU33" s="76">
        <f>IFERROR(VLOOKUP("523",$AX$7:$AY$42,2,0),0) + IFERROR(VLOOKUP("523",$AZ$7:$BA$42,2,0),0)</f>
        <v>0</v>
      </c>
      <c r="DV33" s="76">
        <f>IFERROR(VLOOKUP("524",$AX$7:$AY$42,2,0),0) + IFERROR(VLOOKUP("524",$AZ$7:$BA$42,2,0),0)</f>
        <v>0</v>
      </c>
      <c r="DW33" s="77">
        <f>SUM(DS33:DV33)</f>
        <v>0</v>
      </c>
      <c r="DX33" s="77">
        <f>RANK(DW33,DW32:DW35)</f>
        <v>1</v>
      </c>
      <c r="DZ33" s="77" t="str">
        <f>BD33</f>
        <v>Ukraine</v>
      </c>
      <c r="EA33" s="77">
        <f>EI33*10000+EO33*100+ET33</f>
        <v>100</v>
      </c>
      <c r="EB33" s="76">
        <f>COUNTIF(EA32:EA35,EA33)</f>
        <v>4</v>
      </c>
      <c r="EC33" s="76">
        <f>COUNTIF(CG32:CG35,CG33)</f>
        <v>4</v>
      </c>
      <c r="ED33" s="77">
        <f>IF(AND(EB33&gt;=2,EC33=2),EA33,-EA33-0.3)</f>
        <v>-100.3</v>
      </c>
      <c r="EE33" s="76">
        <f>IFERROR(VLOOKUP("521",$AO$7:$AR$42,2,0),0) + IFERROR(VLOOKUP("521",$AS$7:$AV$42,2,0),0)</f>
        <v>0</v>
      </c>
      <c r="EG33" s="76">
        <f>IFERROR(VLOOKUP("523",$AO$7:$AR$42,2,0),0) + IFERROR(VLOOKUP("523",$AS$7:$AV$42,2,0),0)</f>
        <v>0</v>
      </c>
      <c r="EH33" s="76">
        <f>IFERROR(VLOOKUP("524",$AO$7:$AR$42,2,0),0) + IFERROR(VLOOKUP("524",$AS$7:$AV$42,2,0),0)</f>
        <v>0</v>
      </c>
      <c r="EI33" s="77">
        <f>SUM(EE33:EH33)</f>
        <v>0</v>
      </c>
      <c r="EJ33" s="76">
        <f>IFERROR(VLOOKUP("521",$AO$7:$AR$42,3,0),0) + IFERROR(VLOOKUP("521",$AS$7:$AV$42,3,0),0)</f>
        <v>0</v>
      </c>
      <c r="EL33" s="76">
        <f>IFERROR(VLOOKUP("523",$AO$7:$AR$42,3,0),0) + IFERROR(VLOOKUP("523",$AS$7:$AV$42,3,0),0)</f>
        <v>0</v>
      </c>
      <c r="EM33" s="76">
        <f>IFERROR(VLOOKUP("524",$AO$7:$AR$42,3,0),0) + IFERROR(VLOOKUP("524",$AS$7:$AV$42,3,0),0)</f>
        <v>0</v>
      </c>
      <c r="EN33" s="77">
        <f>SUM(EJ33:EM33)</f>
        <v>0</v>
      </c>
      <c r="EO33" s="77">
        <f>RANK(EN33,EN32:EN35)</f>
        <v>1</v>
      </c>
      <c r="EP33" s="76">
        <f>IFERROR(VLOOKUP("521",$AO$7:$AR$42,4,0),0) + IFERROR(VLOOKUP("521",$AS$7:$AV$42,4,0),0)</f>
        <v>0</v>
      </c>
      <c r="ER33" s="76">
        <f>IFERROR(VLOOKUP("523",$AO$7:$AR$42,4,0),0) + IFERROR(VLOOKUP("523",$AS$7:$AV$42,4,0),0)</f>
        <v>0</v>
      </c>
      <c r="ES33" s="76">
        <f>IFERROR(VLOOKUP("524",$AO$7:$AR$42,4,0),0) + IFERROR(VLOOKUP("524",$AS$7:$AV$42,4,0),0)</f>
        <v>0</v>
      </c>
      <c r="ET33" s="77">
        <f>SUM(EP33:ES33)</f>
        <v>0</v>
      </c>
      <c r="EV33" s="75" t="str">
        <f>VLOOKUP(EV34,$Z$46:$AC$53,2,0)</f>
        <v>Jul 2, 2024   13:00</v>
      </c>
      <c r="EW33" s="32"/>
      <c r="EX33" s="32"/>
      <c r="EY33" s="32"/>
      <c r="EZ33" s="32"/>
      <c r="FA33" s="32"/>
      <c r="FB33" s="32"/>
      <c r="FC33" s="32"/>
      <c r="FD33" s="32"/>
      <c r="FE33" s="32"/>
      <c r="FF33" s="62"/>
      <c r="FG33" s="63"/>
      <c r="FH33" s="134"/>
      <c r="FI33" s="55" t="str">
        <f>Y60</f>
        <v>W48</v>
      </c>
      <c r="FJ33" s="56"/>
      <c r="FK33" s="57"/>
      <c r="FL33" s="32"/>
      <c r="FM33" s="32"/>
    </row>
    <row r="34" spans="1:173">
      <c r="A34" s="49">
        <v>25</v>
      </c>
      <c r="B34" s="50" t="str">
        <f t="shared" si="27"/>
        <v>Sun</v>
      </c>
      <c r="C34" s="51" t="str">
        <f t="shared" si="28"/>
        <v>Jun 23, 2024</v>
      </c>
      <c r="D34" s="52">
        <f t="shared" si="29"/>
        <v>0.66666666666666663</v>
      </c>
      <c r="E34" s="53" t="str">
        <f>BD10</f>
        <v>Switzerland</v>
      </c>
      <c r="F34" s="41"/>
      <c r="G34" s="42"/>
      <c r="H34" s="54" t="str">
        <f>BD8</f>
        <v>Germany</v>
      </c>
      <c r="I34" s="133" t="str">
        <f>INDEX(T,106,lang)</f>
        <v>Frankfurt</v>
      </c>
      <c r="J34" s="133"/>
      <c r="K34" s="133"/>
      <c r="L34" s="83"/>
      <c r="M34" s="84"/>
      <c r="O34" s="44" t="str">
        <f>VLOOKUP(2,BC32:BM35,2,0)</f>
        <v>Ukraine</v>
      </c>
      <c r="P34" s="45">
        <f>Q34+R34+S34</f>
        <v>0</v>
      </c>
      <c r="Q34" s="45">
        <f>VLOOKUP(2,BC32:BM35,3,0)</f>
        <v>0</v>
      </c>
      <c r="R34" s="45">
        <f>VLOOKUP(2,BC32:BM35,4,0)</f>
        <v>0</v>
      </c>
      <c r="S34" s="45">
        <f>VLOOKUP(2,BC32:BM35,5,0)</f>
        <v>0</v>
      </c>
      <c r="T34" s="45" t="str">
        <f>VLOOKUP(2,BC32:BM35,6,0) &amp; " - " &amp; VLOOKUP(2,BC32:BM35,7,0)</f>
        <v>0 - 0</v>
      </c>
      <c r="U34" s="46">
        <f>Q34*3+R34</f>
        <v>0</v>
      </c>
      <c r="W34" s="76">
        <f>DATE(2024,6,24)+TIME(8,0,0)+gmt_delta</f>
        <v>45467.666666666672</v>
      </c>
      <c r="X34" s="78" t="str">
        <f t="shared" si="0"/>
        <v/>
      </c>
      <c r="Y34" s="78" t="str">
        <f t="shared" si="1"/>
        <v/>
      </c>
      <c r="Z34" s="77">
        <f t="shared" si="2"/>
        <v>0</v>
      </c>
      <c r="AA34" s="76">
        <f t="shared" si="3"/>
        <v>0</v>
      </c>
      <c r="AB34" s="76">
        <f t="shared" si="4"/>
        <v>0</v>
      </c>
      <c r="AC34" s="76">
        <f t="shared" si="5"/>
        <v>2</v>
      </c>
      <c r="AD34" s="76">
        <f t="shared" si="6"/>
        <v>3</v>
      </c>
      <c r="AE34" s="76">
        <f t="shared" si="7"/>
        <v>2</v>
      </c>
      <c r="AF34" s="76" t="str">
        <f t="shared" si="8"/>
        <v>232</v>
      </c>
      <c r="AG34" s="76">
        <f t="shared" si="9"/>
        <v>0</v>
      </c>
      <c r="AH34" s="76">
        <f t="shared" si="10"/>
        <v>0</v>
      </c>
      <c r="AI34" s="76">
        <f t="shared" si="11"/>
        <v>0</v>
      </c>
      <c r="AJ34" s="76" t="str">
        <f t="shared" si="12"/>
        <v>223</v>
      </c>
      <c r="AK34" s="76">
        <f t="shared" si="13"/>
        <v>0</v>
      </c>
      <c r="AL34" s="76">
        <f t="shared" si="14"/>
        <v>0</v>
      </c>
      <c r="AM34" s="76">
        <f t="shared" si="15"/>
        <v>0</v>
      </c>
      <c r="AO34" s="76" t="str">
        <f t="shared" si="33"/>
        <v>232</v>
      </c>
      <c r="AP34" s="76">
        <v>0</v>
      </c>
      <c r="AQ34" s="76">
        <v>0</v>
      </c>
      <c r="AR34" s="76">
        <v>0</v>
      </c>
      <c r="AS34" s="76" t="str">
        <f t="shared" si="34"/>
        <v>223</v>
      </c>
      <c r="AT34" s="76">
        <v>0</v>
      </c>
      <c r="AU34" s="76">
        <v>0</v>
      </c>
      <c r="AV34" s="76">
        <v>0</v>
      </c>
      <c r="AW34" s="76">
        <f t="shared" si="35"/>
        <v>0</v>
      </c>
      <c r="AX34" s="76" t="str">
        <f t="shared" si="24"/>
        <v>232</v>
      </c>
      <c r="AY34" s="76">
        <f t="shared" si="36"/>
        <v>0</v>
      </c>
      <c r="AZ34" s="76" t="str">
        <f t="shared" si="25"/>
        <v>223</v>
      </c>
      <c r="BA34" s="76">
        <f t="shared" si="37"/>
        <v>0</v>
      </c>
      <c r="BC34" s="76">
        <f>DQ34</f>
        <v>3</v>
      </c>
      <c r="BD34" s="77" t="str">
        <f>INDEX(T,39,lang)</f>
        <v>Romania</v>
      </c>
      <c r="BE34" s="76">
        <f>COUNTIF($X$7:$Y$42,"=" &amp; BD34 &amp; "_win")</f>
        <v>0</v>
      </c>
      <c r="BF34" s="76">
        <f>COUNTIF($X$7:$Y$42,"=" &amp; BD34 &amp; "_draw")</f>
        <v>0</v>
      </c>
      <c r="BG34" s="76">
        <f>COUNTIF($X$7:$Y$42,"=" &amp; BD34 &amp; "_lose")</f>
        <v>0</v>
      </c>
      <c r="BH34" s="76">
        <f>SUMIF($E$10:$E$45,$BD34,$F$10:$F$45) + SUMIF($H$10:$H$45,$BD34,$G$10:$G$45)</f>
        <v>0</v>
      </c>
      <c r="BI34" s="76">
        <f>SUMIF($E$10:$E$45,$BD34,$G$10:$G$45) + SUMIF($H$10:$H$45,$BD34,$F$10:$F$45)</f>
        <v>0</v>
      </c>
      <c r="BJ34" s="76">
        <f>BM34*10000</f>
        <v>0</v>
      </c>
      <c r="BK34" s="76">
        <f>BH34-BI34</f>
        <v>0</v>
      </c>
      <c r="BL34" s="76">
        <f>(BK34-BK37)/BK36</f>
        <v>0</v>
      </c>
      <c r="BM34" s="76">
        <f>BE34*3+BF34</f>
        <v>0</v>
      </c>
      <c r="BN34" s="76">
        <f>BT34/BT36*10+BU34/BU36+BX34/BX36*0.1+BV34/BV36*0.01</f>
        <v>0</v>
      </c>
      <c r="BP34" s="76">
        <f>IF(VLOOKUP(BD34,db_fifarank,2,0)="",MIN(db_fifarank),VLOOKUP(BD34,db_fifarank,2,0))</f>
        <v>21.375</v>
      </c>
      <c r="BQ34" s="76">
        <f t="shared" si="38"/>
        <v>1.4443710795642127E-2</v>
      </c>
      <c r="BR34" s="77">
        <f>10000000*BM34/BM36+100000*BN34/BN36+100*BL34+10*BH34/BH36+1*BN34/BN36+BQ34</f>
        <v>1.4443710795642127E-2</v>
      </c>
      <c r="BS34" s="77" t="str">
        <f>IF(SUM(BE32:BG35)&gt;0,O35,"3E")</f>
        <v>3E</v>
      </c>
      <c r="BT34" s="76">
        <f>SUMPRODUCT(($X$7:$X$42=BD34&amp;"_win")*($Z$7:$Z$42))+SUMPRODUCT(($Y$7:$Y$42=BD34&amp;"_win")*($Z$7:$Z$42))</f>
        <v>0</v>
      </c>
      <c r="BU34" s="76">
        <f>SUMPRODUCT(($X$7:$X$42=BD34&amp;"_draw")*($Z$7:$Z$42))+SUMPRODUCT(($Y$7:$Y$42=BD34&amp;"_draw")*($Z$7:$Z$42))</f>
        <v>0</v>
      </c>
      <c r="BV34" s="76">
        <f>SUMPRODUCT(($E$10:$E$45=BD34)*($Z$7:$Z$42)*($F$10:$F$45))+SUMPRODUCT(($H$10:$H$45=BD34)*($Z$7:$Z$42)*($G$10:$G$45))</f>
        <v>0</v>
      </c>
      <c r="BW34" s="76">
        <f>SUMPRODUCT(($E$10:$E$45=BD34)*($Z$7:$Z$42)*($G$10:$G$45))+SUMPRODUCT(($H$10:$H$45=BD34)*($Z$7:$Z$42)*($F$10:$F$45))</f>
        <v>0</v>
      </c>
      <c r="BX34" s="76">
        <f>BV34-BW34</f>
        <v>0</v>
      </c>
      <c r="CC34" s="76">
        <f>IFERROR(VLOOKUP("531",$AF$7:$AI$42,2,0),0) + IFERROR(VLOOKUP("531",$AJ$7:$AM$42,2,0),0)</f>
        <v>0</v>
      </c>
      <c r="CD34" s="76">
        <f>IFERROR(VLOOKUP("532",$AF$7:$AI$42,2,0),0) + IFERROR(VLOOKUP("532",$AJ$7:$AM$42,2,0),0)</f>
        <v>0</v>
      </c>
      <c r="CF34" s="76">
        <f>IFERROR(VLOOKUP("534",$AF$7:$AI$42,2,0),0) + IFERROR(VLOOKUP("534",$AJ$7:$AM$42,2,0),0)</f>
        <v>0</v>
      </c>
      <c r="CG34" s="77">
        <f>SUM(CC34:CF34)</f>
        <v>0</v>
      </c>
      <c r="CH34" s="76">
        <f>IFERROR(VLOOKUP("531",$AF$7:$AI$42,3,0),0) + IFERROR(VLOOKUP("531",$AJ$7:$AM$42,3,0),0)</f>
        <v>0</v>
      </c>
      <c r="CI34" s="76">
        <f>IFERROR(VLOOKUP("532",$AF$7:$AI$42,3,0),0) + IFERROR(VLOOKUP("532",$AJ$7:$AM$42,3,0),0)</f>
        <v>0</v>
      </c>
      <c r="CK34" s="76">
        <f>IFERROR(VLOOKUP("534",$AF$7:$AI$42,3,0),0) + IFERROR(VLOOKUP("534",$AJ$7:$AM$42,3,0),0)</f>
        <v>0</v>
      </c>
      <c r="CL34" s="77">
        <f>SUM(CH34:CK34)</f>
        <v>0</v>
      </c>
      <c r="CM34" s="77">
        <f>RANK(CL34,CL32:CL35)</f>
        <v>1</v>
      </c>
      <c r="CN34" s="76">
        <f>IFERROR(VLOOKUP("531",$AF$7:$AI$42,4,0),0) + IFERROR(VLOOKUP("531",$AJ$7:$AM$42,4,0),0)</f>
        <v>0</v>
      </c>
      <c r="CO34" s="76">
        <f>IFERROR(VLOOKUP("532",$AF$7:$AI$42,4,0),0) + IFERROR(VLOOKUP("532",$AJ$7:$AM$42,4,0),0)</f>
        <v>0</v>
      </c>
      <c r="CQ34" s="76">
        <f>IFERROR(VLOOKUP("534",$AF$7:$AI$42,4,0),0) + IFERROR(VLOOKUP("534",$AJ$7:$AM$42,4,0),0)</f>
        <v>0</v>
      </c>
      <c r="CR34" s="77">
        <f>SUM(CN34:CQ34)</f>
        <v>0</v>
      </c>
      <c r="CS34" s="76">
        <f>IF(CC36=CG34,CC34,0)</f>
        <v>0</v>
      </c>
      <c r="CT34" s="76">
        <f>IF(CD36=CG34,CD34,0)</f>
        <v>0</v>
      </c>
      <c r="CV34" s="76">
        <f>IF(CF36=CG34,CF34,0)</f>
        <v>0</v>
      </c>
      <c r="CW34" s="77">
        <f>SUM(CS34:CV34)</f>
        <v>0</v>
      </c>
      <c r="CX34" s="76">
        <f>IF(CC36=CG34,CH34,0)</f>
        <v>0</v>
      </c>
      <c r="CY34" s="76">
        <f>IF(CD36=CG34,CI34,0)</f>
        <v>0</v>
      </c>
      <c r="DA34" s="76">
        <f>IF(CF36=CG34,CK34,0)</f>
        <v>0</v>
      </c>
      <c r="DB34" s="77">
        <f>SUM(CX34:DA34)</f>
        <v>0</v>
      </c>
      <c r="DC34" s="77">
        <f>RANK(DB34,DB32:DB35)</f>
        <v>1</v>
      </c>
      <c r="DD34" s="76">
        <f>IF(CC36=CG34,CN34,0)</f>
        <v>0</v>
      </c>
      <c r="DE34" s="76">
        <f>IF(CD36=CG34,CO34,0)</f>
        <v>0</v>
      </c>
      <c r="DG34" s="76">
        <f>IF(CF36=CG34,CQ34,0)</f>
        <v>0</v>
      </c>
      <c r="DH34" s="77">
        <f>SUM(DD34:DG34)</f>
        <v>0</v>
      </c>
      <c r="DI34" s="77">
        <f>CG34*10000+CW34*100+(5-DC34)+DH34/10</f>
        <v>4</v>
      </c>
      <c r="DJ34" s="77">
        <f>RANK(DI34,DI32:DI35)</f>
        <v>1</v>
      </c>
      <c r="DK34" s="76">
        <f>IF(DK36=DJ34,CC34,0)</f>
        <v>0</v>
      </c>
      <c r="DL34" s="76">
        <f>IF(DL36=DJ34,CD34,0)</f>
        <v>0</v>
      </c>
      <c r="DN34" s="76">
        <f>IF(DN36=DJ34,CF34,0)</f>
        <v>0</v>
      </c>
      <c r="DO34" s="77">
        <f>SUM(DK34:DN34)</f>
        <v>0</v>
      </c>
      <c r="DP34" s="77">
        <f>(5-DJ34)*10000+DO34*100+(5-CM34)+CR34/10+(5-DX34)/100+BQ34/10000</f>
        <v>40004.040001444373</v>
      </c>
      <c r="DQ34" s="77">
        <f>RANK(DP34,DP32:DP35)</f>
        <v>3</v>
      </c>
      <c r="DS34" s="76">
        <f>IFERROR(VLOOKUP("531",$AX$7:$AY$42,2,0),0) + IFERROR(VLOOKUP("531",$AZ$7:$BA$42,2,0),0)</f>
        <v>0</v>
      </c>
      <c r="DT34" s="76">
        <f>IFERROR(VLOOKUP("532",$AX$7:$AY$42,2,0),0) + IFERROR(VLOOKUP("532",$AZ$7:$BA$42,2,0),0)</f>
        <v>0</v>
      </c>
      <c r="DV34" s="76">
        <f>IFERROR(VLOOKUP("534",$AX$7:$AY$42,2,0),0) + IFERROR(VLOOKUP("534",$AZ$7:$BA$42,2,0),0)</f>
        <v>0</v>
      </c>
      <c r="DW34" s="77">
        <f>SUM(DS34:DV34)</f>
        <v>0</v>
      </c>
      <c r="DX34" s="77">
        <f>RANK(DW34,DW32:DW35)</f>
        <v>1</v>
      </c>
      <c r="DZ34" s="77" t="str">
        <f>BD34</f>
        <v>Romania</v>
      </c>
      <c r="EA34" s="77">
        <f>EI34*10000+EO34*100+ET34</f>
        <v>100</v>
      </c>
      <c r="EB34" s="76">
        <f>COUNTIF(EA32:EA35,EA34)</f>
        <v>4</v>
      </c>
      <c r="EC34" s="76">
        <f>COUNTIF(CG32:CG35,CG34)</f>
        <v>4</v>
      </c>
      <c r="ED34" s="77">
        <f>IF(AND(EB34&gt;=2,EC34=2),EA34,-EA34-0.2)</f>
        <v>-100.2</v>
      </c>
      <c r="EE34" s="76">
        <f>IFERROR(VLOOKUP("531",$AO$7:$AR$42,2,0),0) + IFERROR(VLOOKUP("531",$AS$7:$AV$42,2,0),0)</f>
        <v>0</v>
      </c>
      <c r="EF34" s="76">
        <f>IFERROR(VLOOKUP("532",$AO$7:$AR$42,2,0),0) + IFERROR(VLOOKUP("532",$AS$7:$AV$42,2,0),0)</f>
        <v>0</v>
      </c>
      <c r="EH34" s="76">
        <f>IFERROR(VLOOKUP("534",$AO$7:$AR$42,2,0),0) + IFERROR(VLOOKUP("534",$AS$7:$AV$42,2,0),0)</f>
        <v>0</v>
      </c>
      <c r="EI34" s="77">
        <f>SUM(EE34:EH34)</f>
        <v>0</v>
      </c>
      <c r="EJ34" s="76">
        <f>IFERROR(VLOOKUP("531",$AO$7:$AR$42,3,0),0) + IFERROR(VLOOKUP("531",$AS$7:$AV$42,3,0),0)</f>
        <v>0</v>
      </c>
      <c r="EK34" s="76">
        <f>IFERROR(VLOOKUP("532",$AO$7:$AR$42,3,0),0) + IFERROR(VLOOKUP("532",$AS$7:$AV$42,3,0),0)</f>
        <v>0</v>
      </c>
      <c r="EM34" s="76">
        <f>IFERROR(VLOOKUP("534",$AO$7:$AR$42,3,0),0) + IFERROR(VLOOKUP("534",$AS$7:$AV$42,3,0),0)</f>
        <v>0</v>
      </c>
      <c r="EN34" s="77">
        <f>SUM(EJ34:EM34)</f>
        <v>0</v>
      </c>
      <c r="EO34" s="77">
        <f>RANK(EN34,EN32:EN35)</f>
        <v>1</v>
      </c>
      <c r="EP34" s="76">
        <f>IFERROR(VLOOKUP("531",$AO$7:$AR$42,4,0),0) + IFERROR(VLOOKUP("531",$AS$7:$AV$42,4,0),0)</f>
        <v>0</v>
      </c>
      <c r="EQ34" s="76">
        <f>IFERROR(VLOOKUP("532",$AO$7:$AR$42,4,0),0) + IFERROR(VLOOKUP("532",$AS$7:$AV$42,4,0),0)</f>
        <v>0</v>
      </c>
      <c r="ES34" s="76">
        <f>IFERROR(VLOOKUP("534",$AO$7:$AR$42,4,0),0) + IFERROR(VLOOKUP("534",$AS$7:$AV$42,4,0),0)</f>
        <v>0</v>
      </c>
      <c r="ET34" s="77">
        <f>SUM(EP34:ES34)</f>
        <v>0</v>
      </c>
      <c r="EV34" s="132">
        <v>8</v>
      </c>
      <c r="EW34" s="47" t="str">
        <f>VLOOKUP(EV34,$Z$46:$AC$53,3,0)</f>
        <v>1E</v>
      </c>
      <c r="EX34" s="48"/>
      <c r="EY34" s="89"/>
      <c r="EZ34" s="32"/>
      <c r="FA34" s="32"/>
      <c r="FB34" s="32"/>
      <c r="FC34" s="32"/>
      <c r="FD34" s="32"/>
      <c r="FE34" s="32"/>
      <c r="FF34" s="62"/>
      <c r="FG34" s="32"/>
      <c r="FH34" s="32"/>
      <c r="FI34" s="32"/>
      <c r="FJ34" s="32"/>
      <c r="FK34" s="32"/>
      <c r="FL34" s="32"/>
      <c r="FM34" s="32"/>
    </row>
    <row r="35" spans="1:173">
      <c r="A35" s="49">
        <v>26</v>
      </c>
      <c r="B35" s="50" t="str">
        <f t="shared" si="27"/>
        <v>Sun</v>
      </c>
      <c r="C35" s="51" t="str">
        <f t="shared" si="28"/>
        <v>Jun 23, 2024</v>
      </c>
      <c r="D35" s="52">
        <f t="shared" si="29"/>
        <v>0.66666666666666663</v>
      </c>
      <c r="E35" s="53" t="str">
        <f>BD9</f>
        <v>Scotland</v>
      </c>
      <c r="F35" s="41"/>
      <c r="G35" s="42"/>
      <c r="H35" s="54" t="str">
        <f>BD11</f>
        <v>Hungary</v>
      </c>
      <c r="I35" s="133" t="str">
        <f>INDEX(T,105,lang)</f>
        <v>Stuttgart</v>
      </c>
      <c r="J35" s="133"/>
      <c r="K35" s="133"/>
      <c r="L35" s="85"/>
      <c r="M35" s="86"/>
      <c r="O35" s="44" t="str">
        <f>VLOOKUP(3,BC32:BM35,2,0)</f>
        <v>Romania</v>
      </c>
      <c r="P35" s="45">
        <f>Q35+R35+S35</f>
        <v>0</v>
      </c>
      <c r="Q35" s="45">
        <f>VLOOKUP(3,BC32:BM35,3,0)</f>
        <v>0</v>
      </c>
      <c r="R35" s="45">
        <f>VLOOKUP(3,BC32:BM35,4,0)</f>
        <v>0</v>
      </c>
      <c r="S35" s="45">
        <f>VLOOKUP(3,BC32:BM35,5,0)</f>
        <v>0</v>
      </c>
      <c r="T35" s="45" t="str">
        <f>VLOOKUP(3,BC32:BM35,6,0) &amp; " - " &amp; VLOOKUP(3,BC32:BM35,7,0)</f>
        <v>0 - 0</v>
      </c>
      <c r="U35" s="46">
        <f>Q35*3+R35</f>
        <v>0</v>
      </c>
      <c r="W35" s="76">
        <f>DATE(2024,6,25)+TIME(5,0,0)+gmt_delta</f>
        <v>45468.541666666672</v>
      </c>
      <c r="X35" s="78" t="str">
        <f t="shared" si="0"/>
        <v/>
      </c>
      <c r="Y35" s="78" t="str">
        <f t="shared" si="1"/>
        <v/>
      </c>
      <c r="Z35" s="77">
        <f t="shared" si="2"/>
        <v>0</v>
      </c>
      <c r="AA35" s="76">
        <f t="shared" si="3"/>
        <v>0</v>
      </c>
      <c r="AB35" s="76">
        <f t="shared" si="4"/>
        <v>0</v>
      </c>
      <c r="AC35" s="76">
        <f t="shared" si="5"/>
        <v>4</v>
      </c>
      <c r="AD35" s="76">
        <f t="shared" si="6"/>
        <v>2</v>
      </c>
      <c r="AE35" s="76">
        <f t="shared" si="7"/>
        <v>3</v>
      </c>
      <c r="AF35" s="76" t="str">
        <f t="shared" si="8"/>
        <v>423</v>
      </c>
      <c r="AG35" s="76">
        <f t="shared" si="9"/>
        <v>0</v>
      </c>
      <c r="AH35" s="76">
        <f t="shared" si="10"/>
        <v>0</v>
      </c>
      <c r="AI35" s="76">
        <f t="shared" si="11"/>
        <v>0</v>
      </c>
      <c r="AJ35" s="76" t="str">
        <f t="shared" si="12"/>
        <v>432</v>
      </c>
      <c r="AK35" s="76">
        <f t="shared" si="13"/>
        <v>0</v>
      </c>
      <c r="AL35" s="76">
        <f t="shared" si="14"/>
        <v>0</v>
      </c>
      <c r="AM35" s="76">
        <f t="shared" si="15"/>
        <v>0</v>
      </c>
      <c r="AO35" s="76" t="str">
        <f t="shared" si="33"/>
        <v>423</v>
      </c>
      <c r="AP35" s="76">
        <v>0</v>
      </c>
      <c r="AQ35" s="76">
        <v>0</v>
      </c>
      <c r="AR35" s="76">
        <v>0</v>
      </c>
      <c r="AS35" s="76" t="str">
        <f t="shared" si="34"/>
        <v>432</v>
      </c>
      <c r="AT35" s="76">
        <v>0</v>
      </c>
      <c r="AU35" s="76">
        <v>0</v>
      </c>
      <c r="AV35" s="76">
        <v>0</v>
      </c>
      <c r="AW35" s="76">
        <f t="shared" si="35"/>
        <v>0</v>
      </c>
      <c r="AX35" s="76" t="str">
        <f t="shared" si="24"/>
        <v>423</v>
      </c>
      <c r="AY35" s="76">
        <f t="shared" si="36"/>
        <v>0</v>
      </c>
      <c r="AZ35" s="76" t="str">
        <f t="shared" si="25"/>
        <v>432</v>
      </c>
      <c r="BA35" s="76">
        <f t="shared" si="37"/>
        <v>0</v>
      </c>
      <c r="BC35" s="76">
        <f>DQ35</f>
        <v>4</v>
      </c>
      <c r="BD35" s="77" t="str">
        <f>INDEX(T,51,lang)</f>
        <v>Slovakia</v>
      </c>
      <c r="BE35" s="76">
        <f>COUNTIF($X$7:$Y$42,"=" &amp; BD35 &amp; "_win")</f>
        <v>0</v>
      </c>
      <c r="BF35" s="76">
        <f>COUNTIF($X$7:$Y$42,"=" &amp; BD35 &amp; "_draw")</f>
        <v>0</v>
      </c>
      <c r="BG35" s="76">
        <f>COUNTIF($X$7:$Y$42,"=" &amp; BD35 &amp; "_lose")</f>
        <v>0</v>
      </c>
      <c r="BH35" s="76">
        <f>SUMIF($E$10:$E$45,$BD35,$F$10:$F$45) + SUMIF($H$10:$H$45,$BD35,$G$10:$G$45)</f>
        <v>0</v>
      </c>
      <c r="BI35" s="76">
        <f>SUMIF($E$10:$E$45,$BD35,$G$10:$G$45) + SUMIF($H$10:$H$45,$BD35,$F$10:$F$45)</f>
        <v>0</v>
      </c>
      <c r="BJ35" s="76">
        <f>BM35*10000</f>
        <v>0</v>
      </c>
      <c r="BK35" s="76">
        <f>BH35-BI35</f>
        <v>0</v>
      </c>
      <c r="BL35" s="76">
        <f>(BK35-BK37)/BK36</f>
        <v>0</v>
      </c>
      <c r="BM35" s="76">
        <f>BE35*3+BF35</f>
        <v>0</v>
      </c>
      <c r="BN35" s="76">
        <f>BT35/BT36*10+BU35/BU36+BX35/BX36*0.1+BV35/BV36*0.01</f>
        <v>0</v>
      </c>
      <c r="BP35" s="76">
        <f>IF(VLOOKUP(BD35,db_fifarank,2,0)="",MIN(db_fifarank),VLOOKUP(BD35,db_fifarank,2,0))</f>
        <v>19.625</v>
      </c>
      <c r="BQ35" s="76">
        <f t="shared" si="38"/>
        <v>1.263824694618686E-2</v>
      </c>
      <c r="BR35" s="77">
        <f>10000000*BM35/BM36+100000*BN35/BN36+100*BL35+10*BH35/BH36+1*BN35/BN36+BQ35</f>
        <v>1.263824694618686E-2</v>
      </c>
      <c r="BT35" s="76">
        <f>SUMPRODUCT(($X$7:$X$42=BD35&amp;"_win")*($Z$7:$Z$42))+SUMPRODUCT(($Y$7:$Y$42=BD35&amp;"_win")*($Z$7:$Z$42))</f>
        <v>0</v>
      </c>
      <c r="BU35" s="76">
        <f>SUMPRODUCT(($X$7:$X$42=BD35&amp;"_draw")*($Z$7:$Z$42))+SUMPRODUCT(($Y$7:$Y$42=BD35&amp;"_draw")*($Z$7:$Z$42))</f>
        <v>0</v>
      </c>
      <c r="BV35" s="76">
        <f>SUMPRODUCT(($E$10:$E$45=BD35)*($Z$7:$Z$42)*($F$10:$F$45))+SUMPRODUCT(($H$10:$H$45=BD35)*($Z$7:$Z$42)*($G$10:$G$45))</f>
        <v>0</v>
      </c>
      <c r="BW35" s="76">
        <f>SUMPRODUCT(($E$10:$E$45=BD35)*($Z$7:$Z$42)*($G$10:$G$45))+SUMPRODUCT(($H$10:$H$45=BD35)*($Z$7:$Z$42)*($F$10:$F$45))</f>
        <v>0</v>
      </c>
      <c r="BX35" s="76">
        <f>BV35-BW35</f>
        <v>0</v>
      </c>
      <c r="CC35" s="76">
        <f>IFERROR(VLOOKUP("541",$AF$7:$AI$42,2,0),0) + IFERROR(VLOOKUP("541",$AJ$7:$AM$42,2,0),0)</f>
        <v>0</v>
      </c>
      <c r="CD35" s="76">
        <f>IFERROR(VLOOKUP("542",$AF$7:$AI$42,2,0),0) + IFERROR(VLOOKUP("542",$AJ$7:$AM$42,2,0),0)</f>
        <v>0</v>
      </c>
      <c r="CE35" s="76">
        <f>IFERROR(VLOOKUP("543",$AF$7:$AI$42,2,0),0) + IFERROR(VLOOKUP("543",$AJ$7:$AM$42,2,0),0)</f>
        <v>0</v>
      </c>
      <c r="CG35" s="77">
        <f>SUM(CC35:CF35)</f>
        <v>0</v>
      </c>
      <c r="CH35" s="76">
        <f>IFERROR(VLOOKUP("541",$AF$7:$AI$42,3,0),0) + IFERROR(VLOOKUP("541",$AJ$7:$AM$42,3,0),0)</f>
        <v>0</v>
      </c>
      <c r="CI35" s="76">
        <f>IFERROR(VLOOKUP("542",$AF$7:$AI$42,3,0),0) + IFERROR(VLOOKUP("542",$AJ$7:$AM$42,3,0),0)</f>
        <v>0</v>
      </c>
      <c r="CJ35" s="76">
        <f>IFERROR(VLOOKUP("543",$AF$7:$AI$42,3,0),0) + IFERROR(VLOOKUP("543",$AJ$7:$AM$42,3,0),0)</f>
        <v>0</v>
      </c>
      <c r="CL35" s="77">
        <f>SUM(CH35:CK35)</f>
        <v>0</v>
      </c>
      <c r="CM35" s="77">
        <f>RANK(CL35,CL32:CL35)</f>
        <v>1</v>
      </c>
      <c r="CN35" s="76">
        <f>IFERROR(VLOOKUP("541",$AF$7:$AI$42,4,0),0) + IFERROR(VLOOKUP("541",$AJ$7:$AM$42,4,0),0)</f>
        <v>0</v>
      </c>
      <c r="CO35" s="76">
        <f>IFERROR(VLOOKUP("542",$AF$7:$AI$42,4,0),0) + IFERROR(VLOOKUP("542",$AJ$7:$AM$42,4,0),0)</f>
        <v>0</v>
      </c>
      <c r="CP35" s="76">
        <f>IFERROR(VLOOKUP("543",$AF$7:$AI$42,4,0),0) + IFERROR(VLOOKUP("543",$AJ$7:$AM$42,4,0),0)</f>
        <v>0</v>
      </c>
      <c r="CR35" s="77">
        <f>SUM(CN35:CQ35)</f>
        <v>0</v>
      </c>
      <c r="CS35" s="76">
        <f>IF(CC36=CG35,CC35,0)</f>
        <v>0</v>
      </c>
      <c r="CT35" s="76">
        <f>IF(CD36=CG35,CD35,0)</f>
        <v>0</v>
      </c>
      <c r="CU35" s="76">
        <f>IF(CE36=CG35,CE35,0)</f>
        <v>0</v>
      </c>
      <c r="CW35" s="77">
        <f>SUM(CS35:CV35)</f>
        <v>0</v>
      </c>
      <c r="CX35" s="76">
        <f>IF(CC36=CG35,CH35,0)</f>
        <v>0</v>
      </c>
      <c r="CY35" s="76">
        <f>IF(CD36=CG35,CI35,0)</f>
        <v>0</v>
      </c>
      <c r="CZ35" s="76">
        <f>IF(CE36=CG35,CJ35,0)</f>
        <v>0</v>
      </c>
      <c r="DB35" s="77">
        <f>SUM(CX35:DA35)</f>
        <v>0</v>
      </c>
      <c r="DC35" s="77">
        <f>RANK(DB35,DB32:DB35)</f>
        <v>1</v>
      </c>
      <c r="DD35" s="76">
        <f>IF(CC36=CG35,CN35,0)</f>
        <v>0</v>
      </c>
      <c r="DE35" s="76">
        <f>IF(CD36=CG35,CO35,0)</f>
        <v>0</v>
      </c>
      <c r="DF35" s="76">
        <f>IF(CE36=CG35,CP35,0)</f>
        <v>0</v>
      </c>
      <c r="DH35" s="77">
        <f>SUM(DD35:DG35)</f>
        <v>0</v>
      </c>
      <c r="DI35" s="77">
        <f>CG35*10000+CW35*100+(5-DC35)+DH35/10</f>
        <v>4</v>
      </c>
      <c r="DJ35" s="77">
        <f>RANK(DI35,DI32:DI35)</f>
        <v>1</v>
      </c>
      <c r="DK35" s="76">
        <f>IF(DK36=DJ35,CC35,0)</f>
        <v>0</v>
      </c>
      <c r="DL35" s="76">
        <f>IF(DL36=DJ35,CD35,0)</f>
        <v>0</v>
      </c>
      <c r="DM35" s="76">
        <f>IF(DM36=DJ35,CE35,0)</f>
        <v>0</v>
      </c>
      <c r="DO35" s="77">
        <f>SUM(DK35:DN35)</f>
        <v>0</v>
      </c>
      <c r="DP35" s="77">
        <f>(5-DJ35)*10000+DO35*100+(5-CM35)+CR35/10+(5-DX35)/100+BQ35/10000</f>
        <v>40004.040001263827</v>
      </c>
      <c r="DQ35" s="77">
        <f>RANK(DP35,DP32:DP35)</f>
        <v>4</v>
      </c>
      <c r="DS35" s="76">
        <f>IFERROR(VLOOKUP("541",$AX$7:$AY$42,2,0),0) + IFERROR(VLOOKUP("541",$AZ$7:$BA$42,2,0),0)</f>
        <v>0</v>
      </c>
      <c r="DT35" s="76">
        <f>IFERROR(VLOOKUP("542",$AX$7:$AY$42,2,0),0) + IFERROR(VLOOKUP("542",$AZ$7:$BA$42,2,0),0)</f>
        <v>0</v>
      </c>
      <c r="DU35" s="76">
        <f>IFERROR(VLOOKUP("543",$AX$7:$AY$42,2,0),0) + IFERROR(VLOOKUP("543",$AZ$7:$BA$42,2,0),0)</f>
        <v>0</v>
      </c>
      <c r="DW35" s="77">
        <f>SUM(DS35:DV35)</f>
        <v>0</v>
      </c>
      <c r="DX35" s="77">
        <f>RANK(DW35,DW32:DW35)</f>
        <v>1</v>
      </c>
      <c r="DZ35" s="77" t="str">
        <f>BD35</f>
        <v>Slovakia</v>
      </c>
      <c r="EA35" s="77">
        <f>EI35*10000+EO35*100+ET35</f>
        <v>100</v>
      </c>
      <c r="EB35" s="76">
        <f>COUNTIF(EA32:EA35,EA35)</f>
        <v>4</v>
      </c>
      <c r="EC35" s="76">
        <f>COUNTIF(CG32:CG35,CG35)</f>
        <v>4</v>
      </c>
      <c r="ED35" s="77">
        <f>IF(AND(EB35&gt;=2,EC35=2),EA35,-EA35-0.1)</f>
        <v>-100.1</v>
      </c>
      <c r="EE35" s="76">
        <f>IFERROR(VLOOKUP("541",$AO$7:$AR$42,2,0),0) + IFERROR(VLOOKUP("541",$AS$7:$AV$42,2,0),0)</f>
        <v>0</v>
      </c>
      <c r="EF35" s="76">
        <f>IFERROR(VLOOKUP("542",$AO$7:$AR$42,2,0),0) + IFERROR(VLOOKUP("542",$AS$7:$AV$42,2,0),0)</f>
        <v>0</v>
      </c>
      <c r="EG35" s="76">
        <f>IFERROR(VLOOKUP("543",$AO$7:$AR$42,2,0),0) + IFERROR(VLOOKUP("543",$AS$7:$AV$42,2,0),0)</f>
        <v>0</v>
      </c>
      <c r="EI35" s="77">
        <f>SUM(EE35:EH35)</f>
        <v>0</v>
      </c>
      <c r="EJ35" s="76">
        <f>IFERROR(VLOOKUP("541",$AO$7:$AR$42,3,0),0) + IFERROR(VLOOKUP("541",$AS$7:$AV$42,3,0),0)</f>
        <v>0</v>
      </c>
      <c r="EK35" s="76">
        <f>IFERROR(VLOOKUP("542",$AO$7:$AR$42,3,0),0) + IFERROR(VLOOKUP("542",$AS$7:$AV$42,3,0),0)</f>
        <v>0</v>
      </c>
      <c r="EL35" s="76">
        <f>IFERROR(VLOOKUP("543",$AO$7:$AR$42,3,0),0) + IFERROR(VLOOKUP("543",$AS$7:$AV$42,3,0),0)</f>
        <v>0</v>
      </c>
      <c r="EN35" s="77">
        <f>SUM(EJ35:EM35)</f>
        <v>0</v>
      </c>
      <c r="EO35" s="77">
        <f>RANK(EN35,EN32:EN35)</f>
        <v>1</v>
      </c>
      <c r="EP35" s="76">
        <f>IFERROR(VLOOKUP("541",$AO$7:$AR$42,4,0),0) + IFERROR(VLOOKUP("541",$AS$7:$AV$42,4,0),0)</f>
        <v>0</v>
      </c>
      <c r="EQ35" s="76">
        <f>IFERROR(VLOOKUP("542",$AO$7:$AR$42,4,0),0) + IFERROR(VLOOKUP("542",$AS$7:$AV$42,4,0),0)</f>
        <v>0</v>
      </c>
      <c r="ER35" s="76">
        <f>IFERROR(VLOOKUP("543",$AO$7:$AR$42,4,0),0) + IFERROR(VLOOKUP("543",$AS$7:$AV$42,4,0),0)</f>
        <v>0</v>
      </c>
      <c r="ET35" s="77">
        <f>SUM(EP35:ES35)</f>
        <v>0</v>
      </c>
      <c r="EV35" s="132"/>
      <c r="EW35" s="55" t="str">
        <f>VLOOKUP(EV34,$Z$46:$AC$53,4,0)</f>
        <v>3B</v>
      </c>
      <c r="EX35" s="56"/>
      <c r="EY35" s="57"/>
      <c r="EZ35" s="58"/>
      <c r="FA35" s="32"/>
      <c r="FB35" s="32" t="str">
        <f>INDEX(T,24+MONTH(W60),lang) &amp; " " &amp; DAY(W60) &amp; ", " &amp; YEAR(W60) &amp; "   " &amp; TEXT(HOUR(W60),"00") &amp; ":" &amp; TEXT(MINUTE(W60),"00")</f>
        <v>Jul 6, 2024   16:00</v>
      </c>
      <c r="FC35" s="32"/>
      <c r="FD35" s="32"/>
      <c r="FE35" s="32"/>
      <c r="FF35" s="62"/>
      <c r="FG35" s="32"/>
      <c r="FH35" s="32"/>
      <c r="FI35" s="32"/>
      <c r="FJ35" s="32"/>
      <c r="FK35" s="32"/>
      <c r="FL35" s="32"/>
      <c r="FM35" s="32"/>
    </row>
    <row r="36" spans="1:173">
      <c r="A36" s="49">
        <v>27</v>
      </c>
      <c r="B36" s="50" t="str">
        <f t="shared" si="27"/>
        <v>Mon</v>
      </c>
      <c r="C36" s="51" t="str">
        <f t="shared" si="28"/>
        <v>Jun 24, 2024</v>
      </c>
      <c r="D36" s="52">
        <f t="shared" si="29"/>
        <v>0.66666666666666663</v>
      </c>
      <c r="E36" s="53" t="str">
        <f>BD17</f>
        <v>Albania</v>
      </c>
      <c r="F36" s="41"/>
      <c r="G36" s="42"/>
      <c r="H36" s="54" t="str">
        <f>BD14</f>
        <v>Spain</v>
      </c>
      <c r="I36" s="133" t="str">
        <f>INDEX(T,111,lang)</f>
        <v>Düsseldorf</v>
      </c>
      <c r="J36" s="133"/>
      <c r="K36" s="133"/>
      <c r="L36" s="85"/>
      <c r="M36" s="86"/>
      <c r="O36" s="59" t="str">
        <f>VLOOKUP(4,BC32:BM35,2,0)</f>
        <v>Slovakia</v>
      </c>
      <c r="P36" s="60">
        <f>Q36+R36+S36</f>
        <v>0</v>
      </c>
      <c r="Q36" s="60">
        <f>VLOOKUP(4,BC32:BM35,3,0)</f>
        <v>0</v>
      </c>
      <c r="R36" s="60">
        <f>VLOOKUP(4,BC32:BM35,4,0)</f>
        <v>0</v>
      </c>
      <c r="S36" s="60">
        <f>VLOOKUP(4,BC32:BM35,5,0)</f>
        <v>0</v>
      </c>
      <c r="T36" s="60" t="str">
        <f>VLOOKUP(4,BC32:BM35,6,0) &amp; " - " &amp; VLOOKUP(4,BC32:BM35,7,0)</f>
        <v>0 - 0</v>
      </c>
      <c r="U36" s="61">
        <f>Q36*3+R36</f>
        <v>0</v>
      </c>
      <c r="W36" s="76">
        <f>DATE(2024,6,25)+TIME(5,0,0)+gmt_delta</f>
        <v>45468.541666666672</v>
      </c>
      <c r="X36" s="78" t="str">
        <f t="shared" si="0"/>
        <v/>
      </c>
      <c r="Y36" s="78" t="str">
        <f t="shared" si="1"/>
        <v/>
      </c>
      <c r="Z36" s="77">
        <f t="shared" si="2"/>
        <v>0</v>
      </c>
      <c r="AA36" s="76">
        <f t="shared" si="3"/>
        <v>0</v>
      </c>
      <c r="AB36" s="76">
        <f t="shared" si="4"/>
        <v>0</v>
      </c>
      <c r="AC36" s="76">
        <f t="shared" si="5"/>
        <v>4</v>
      </c>
      <c r="AD36" s="76">
        <f t="shared" si="6"/>
        <v>1</v>
      </c>
      <c r="AE36" s="76">
        <f t="shared" si="7"/>
        <v>4</v>
      </c>
      <c r="AF36" s="76" t="str">
        <f t="shared" si="8"/>
        <v>414</v>
      </c>
      <c r="AG36" s="76">
        <f t="shared" si="9"/>
        <v>0</v>
      </c>
      <c r="AH36" s="76">
        <f t="shared" si="10"/>
        <v>0</v>
      </c>
      <c r="AI36" s="76">
        <f t="shared" si="11"/>
        <v>0</v>
      </c>
      <c r="AJ36" s="76" t="str">
        <f t="shared" si="12"/>
        <v>441</v>
      </c>
      <c r="AK36" s="76">
        <f t="shared" si="13"/>
        <v>0</v>
      </c>
      <c r="AL36" s="76">
        <f t="shared" si="14"/>
        <v>0</v>
      </c>
      <c r="AM36" s="76">
        <f t="shared" si="15"/>
        <v>0</v>
      </c>
      <c r="AO36" s="76" t="str">
        <f t="shared" si="33"/>
        <v>414</v>
      </c>
      <c r="AP36" s="76">
        <v>0</v>
      </c>
      <c r="AQ36" s="76">
        <v>0</v>
      </c>
      <c r="AR36" s="76">
        <v>0</v>
      </c>
      <c r="AS36" s="76" t="str">
        <f t="shared" si="34"/>
        <v>441</v>
      </c>
      <c r="AT36" s="76">
        <v>0</v>
      </c>
      <c r="AU36" s="76">
        <v>0</v>
      </c>
      <c r="AV36" s="76">
        <v>0</v>
      </c>
      <c r="AW36" s="76">
        <f t="shared" si="35"/>
        <v>0</v>
      </c>
      <c r="AX36" s="76" t="str">
        <f t="shared" si="24"/>
        <v>414</v>
      </c>
      <c r="AY36" s="76">
        <f t="shared" si="36"/>
        <v>0</v>
      </c>
      <c r="AZ36" s="76" t="str">
        <f t="shared" si="25"/>
        <v>441</v>
      </c>
      <c r="BA36" s="76">
        <f t="shared" si="37"/>
        <v>0</v>
      </c>
      <c r="BE36" s="76">
        <f>MAX(BE32:BE35)-MIN(BE32:BE35)+1</f>
        <v>1</v>
      </c>
      <c r="BF36" s="76">
        <f>MAX(BF32:BF35)-MIN(BF32:BF35)+1</f>
        <v>1</v>
      </c>
      <c r="BG36" s="76">
        <f>MAX(BG32:BG35)-MIN(BG32:BG35)+1</f>
        <v>1</v>
      </c>
      <c r="BH36" s="76">
        <f>MAX(BH32:BH35)-MIN(BH32:BH35)+1</f>
        <v>1</v>
      </c>
      <c r="BI36" s="76">
        <f>MAX(BI32:BI35)-MIN(BI32:BI35)+1</f>
        <v>1</v>
      </c>
      <c r="BJ36" s="76">
        <f>MAX(BJ32:BJ35)-BJ37+1</f>
        <v>1</v>
      </c>
      <c r="BK36" s="76">
        <f>MAX(BK32:BK35)-BK37+1</f>
        <v>1</v>
      </c>
      <c r="BM36" s="76">
        <f>MAX(BM32:BM35)-MIN(BM32:BM35)+1</f>
        <v>1</v>
      </c>
      <c r="BN36" s="76">
        <f>MAX(BN32:BN35)-MIN(BN32:BN35)+1</f>
        <v>1</v>
      </c>
      <c r="BT36" s="76">
        <f>MAX(BT32:BT35)-MIN(BT32:BT35)+1</f>
        <v>1</v>
      </c>
      <c r="BU36" s="76">
        <f>MAX(BU32:BU35)-MIN(BU32:BU35)+1</f>
        <v>1</v>
      </c>
      <c r="BV36" s="76">
        <f>MAX(BV32:BV35)-MIN(BV32:BV35)+1</f>
        <v>1</v>
      </c>
      <c r="BW36" s="76">
        <f>MAX(BW32:BW35)-MIN(BW32:BW35)+1</f>
        <v>1</v>
      </c>
      <c r="BX36" s="76">
        <f>MAX(BX32:BX35)-MIN(BX32:BX35)+1</f>
        <v>1</v>
      </c>
      <c r="CC36" s="76">
        <f>CG32</f>
        <v>0</v>
      </c>
      <c r="CD36" s="76">
        <f>CG33</f>
        <v>0</v>
      </c>
      <c r="CE36" s="76">
        <f>CG34</f>
        <v>0</v>
      </c>
      <c r="CF36" s="76">
        <f>CG35</f>
        <v>0</v>
      </c>
      <c r="DK36" s="76">
        <f>DJ32</f>
        <v>1</v>
      </c>
      <c r="DL36" s="76">
        <f>DJ33</f>
        <v>1</v>
      </c>
      <c r="DM36" s="76">
        <f>DJ34</f>
        <v>1</v>
      </c>
      <c r="DN36" s="76">
        <f>DJ35</f>
        <v>1</v>
      </c>
      <c r="DO36" s="77">
        <f>SUM(DK36:DN36)</f>
        <v>4</v>
      </c>
      <c r="DS36" s="76">
        <f>DW32</f>
        <v>0</v>
      </c>
      <c r="DT36" s="76">
        <f>DW33</f>
        <v>0</v>
      </c>
      <c r="DU36" s="76">
        <f>DW34</f>
        <v>0</v>
      </c>
      <c r="DV36" s="76">
        <f>DW35</f>
        <v>0</v>
      </c>
      <c r="EE36" s="76">
        <f>EI32</f>
        <v>0</v>
      </c>
      <c r="EF36" s="76">
        <f>EI33</f>
        <v>0</v>
      </c>
      <c r="EG36" s="76">
        <f>EI34</f>
        <v>0</v>
      </c>
      <c r="EH36" s="76">
        <f>EI35</f>
        <v>0</v>
      </c>
      <c r="EV36" s="75"/>
      <c r="EW36" s="32"/>
      <c r="EX36" s="32"/>
      <c r="EY36" s="32"/>
      <c r="EZ36" s="62"/>
      <c r="FA36" s="32"/>
      <c r="FB36" s="134"/>
      <c r="FC36" s="47" t="str">
        <f>Y52</f>
        <v>W40</v>
      </c>
      <c r="FD36" s="48"/>
      <c r="FE36" s="89"/>
      <c r="FF36" s="64"/>
      <c r="FG36" s="32"/>
      <c r="FH36" s="32"/>
      <c r="FI36" s="32"/>
      <c r="FJ36" s="32"/>
      <c r="FK36" s="32"/>
      <c r="FL36" s="32"/>
      <c r="FM36" s="32"/>
    </row>
    <row r="37" spans="1:173">
      <c r="A37" s="49">
        <v>28</v>
      </c>
      <c r="B37" s="50" t="str">
        <f t="shared" si="27"/>
        <v>Mon</v>
      </c>
      <c r="C37" s="51" t="str">
        <f t="shared" si="28"/>
        <v>Jun 24, 2024</v>
      </c>
      <c r="D37" s="52">
        <f t="shared" si="29"/>
        <v>0.66666666666666663</v>
      </c>
      <c r="E37" s="53" t="str">
        <f>BD16</f>
        <v>Croatia</v>
      </c>
      <c r="F37" s="41"/>
      <c r="G37" s="42"/>
      <c r="H37" s="54" t="str">
        <f>BD15</f>
        <v>Italy</v>
      </c>
      <c r="I37" s="133" t="str">
        <f>INDEX(T,112,lang)</f>
        <v>Leipzig</v>
      </c>
      <c r="J37" s="133"/>
      <c r="K37" s="133"/>
      <c r="L37" s="85"/>
      <c r="M37" s="86"/>
      <c r="W37" s="76">
        <f>DATE(2024,6,25)+TIME(8,0,0)+gmt_delta</f>
        <v>45468.666666666672</v>
      </c>
      <c r="X37" s="78" t="str">
        <f t="shared" si="0"/>
        <v/>
      </c>
      <c r="Y37" s="78" t="str">
        <f t="shared" si="1"/>
        <v/>
      </c>
      <c r="Z37" s="77">
        <f t="shared" si="2"/>
        <v>0</v>
      </c>
      <c r="AA37" s="76">
        <f t="shared" si="3"/>
        <v>0</v>
      </c>
      <c r="AB37" s="76">
        <f t="shared" si="4"/>
        <v>0</v>
      </c>
      <c r="AC37" s="76">
        <f t="shared" si="5"/>
        <v>3</v>
      </c>
      <c r="AD37" s="76">
        <f t="shared" si="6"/>
        <v>1</v>
      </c>
      <c r="AE37" s="76">
        <f t="shared" si="7"/>
        <v>4</v>
      </c>
      <c r="AF37" s="76" t="str">
        <f t="shared" si="8"/>
        <v>314</v>
      </c>
      <c r="AG37" s="76">
        <f t="shared" si="9"/>
        <v>0</v>
      </c>
      <c r="AH37" s="76">
        <f t="shared" si="10"/>
        <v>0</v>
      </c>
      <c r="AI37" s="76">
        <f t="shared" si="11"/>
        <v>0</v>
      </c>
      <c r="AJ37" s="76" t="str">
        <f t="shared" si="12"/>
        <v>341</v>
      </c>
      <c r="AK37" s="76">
        <f t="shared" si="13"/>
        <v>0</v>
      </c>
      <c r="AL37" s="76">
        <f t="shared" si="14"/>
        <v>0</v>
      </c>
      <c r="AM37" s="76">
        <f t="shared" si="15"/>
        <v>0</v>
      </c>
      <c r="AO37" s="76" t="str">
        <f t="shared" si="33"/>
        <v>314</v>
      </c>
      <c r="AP37" s="76">
        <v>0</v>
      </c>
      <c r="AQ37" s="76">
        <v>0</v>
      </c>
      <c r="AR37" s="76">
        <v>0</v>
      </c>
      <c r="AS37" s="76" t="str">
        <f t="shared" si="34"/>
        <v>341</v>
      </c>
      <c r="AT37" s="76">
        <v>0</v>
      </c>
      <c r="AU37" s="76">
        <v>0</v>
      </c>
      <c r="AV37" s="76">
        <v>0</v>
      </c>
      <c r="AW37" s="76">
        <f t="shared" si="35"/>
        <v>0</v>
      </c>
      <c r="AX37" s="76" t="str">
        <f t="shared" si="24"/>
        <v>314</v>
      </c>
      <c r="AY37" s="76">
        <f t="shared" si="36"/>
        <v>0</v>
      </c>
      <c r="AZ37" s="76" t="str">
        <f t="shared" si="25"/>
        <v>341</v>
      </c>
      <c r="BA37" s="76">
        <f t="shared" si="37"/>
        <v>0</v>
      </c>
      <c r="BJ37" s="76">
        <f>MIN(BJ32:BJ35)</f>
        <v>0</v>
      </c>
      <c r="BK37" s="76">
        <f>MIN(BK32:BK35)</f>
        <v>0</v>
      </c>
      <c r="EV37" s="75" t="str">
        <f>VLOOKUP(EV38,$Z$46:$AC$53,2,0)</f>
        <v>Jul 2, 2024   16:00</v>
      </c>
      <c r="EW37" s="32"/>
      <c r="EX37" s="32"/>
      <c r="EY37" s="32"/>
      <c r="EZ37" s="62"/>
      <c r="FA37" s="63"/>
      <c r="FB37" s="134"/>
      <c r="FC37" s="55" t="str">
        <f>Y53</f>
        <v>W44</v>
      </c>
      <c r="FD37" s="56"/>
      <c r="FE37" s="57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</row>
    <row r="38" spans="1:173">
      <c r="A38" s="49">
        <v>29</v>
      </c>
      <c r="B38" s="50" t="str">
        <f t="shared" si="27"/>
        <v>Tue</v>
      </c>
      <c r="C38" s="51" t="str">
        <f t="shared" si="28"/>
        <v>Jun 25, 2024</v>
      </c>
      <c r="D38" s="52">
        <f t="shared" si="29"/>
        <v>0.54166666666666663</v>
      </c>
      <c r="E38" s="53" t="str">
        <f>BD27</f>
        <v>Netherlands</v>
      </c>
      <c r="F38" s="41"/>
      <c r="G38" s="42"/>
      <c r="H38" s="54" t="str">
        <f>BD28</f>
        <v>Austria</v>
      </c>
      <c r="I38" s="133" t="str">
        <f>INDEX(T,107,lang)</f>
        <v>Berlin</v>
      </c>
      <c r="J38" s="133"/>
      <c r="K38" s="133"/>
      <c r="L38" s="85"/>
      <c r="M38" s="86"/>
      <c r="O38" s="30" t="str">
        <f>INDEX(T,9,lang) &amp; " " &amp; "F"</f>
        <v>Group F</v>
      </c>
      <c r="P38" s="31" t="str">
        <f>INDEX(T,10,lang)</f>
        <v>PL</v>
      </c>
      <c r="Q38" s="31" t="str">
        <f>INDEX(T,11,lang)</f>
        <v>W</v>
      </c>
      <c r="R38" s="31" t="str">
        <f>INDEX(T,12,lang)</f>
        <v>DRAW</v>
      </c>
      <c r="S38" s="31" t="str">
        <f>INDEX(T,13,lang)</f>
        <v>L</v>
      </c>
      <c r="T38" s="31" t="str">
        <f>INDEX(T,14,lang)</f>
        <v>GF - GA</v>
      </c>
      <c r="U38" s="31" t="str">
        <f>INDEX(T,15,lang)</f>
        <v>PNT</v>
      </c>
      <c r="W38" s="76">
        <f>DATE(2024,6,25)+TIME(8,0,0)+gmt_delta</f>
        <v>45468.666666666672</v>
      </c>
      <c r="X38" s="78" t="str">
        <f t="shared" si="0"/>
        <v/>
      </c>
      <c r="Y38" s="78" t="str">
        <f t="shared" si="1"/>
        <v/>
      </c>
      <c r="Z38" s="77">
        <f t="shared" si="2"/>
        <v>0</v>
      </c>
      <c r="AA38" s="76">
        <f t="shared" si="3"/>
        <v>0</v>
      </c>
      <c r="AB38" s="76">
        <f t="shared" si="4"/>
        <v>0</v>
      </c>
      <c r="AC38" s="76">
        <f t="shared" si="5"/>
        <v>3</v>
      </c>
      <c r="AD38" s="76">
        <f t="shared" si="6"/>
        <v>2</v>
      </c>
      <c r="AE38" s="76">
        <f t="shared" si="7"/>
        <v>3</v>
      </c>
      <c r="AF38" s="76" t="str">
        <f t="shared" si="8"/>
        <v>323</v>
      </c>
      <c r="AG38" s="76">
        <f t="shared" si="9"/>
        <v>0</v>
      </c>
      <c r="AH38" s="76">
        <f t="shared" si="10"/>
        <v>0</v>
      </c>
      <c r="AI38" s="76">
        <f t="shared" si="11"/>
        <v>0</v>
      </c>
      <c r="AJ38" s="76" t="str">
        <f t="shared" si="12"/>
        <v>332</v>
      </c>
      <c r="AK38" s="76">
        <f t="shared" si="13"/>
        <v>0</v>
      </c>
      <c r="AL38" s="76">
        <f t="shared" si="14"/>
        <v>0</v>
      </c>
      <c r="AM38" s="76">
        <f t="shared" si="15"/>
        <v>0</v>
      </c>
      <c r="AO38" s="76" t="str">
        <f t="shared" si="33"/>
        <v>323</v>
      </c>
      <c r="AP38" s="76">
        <v>0</v>
      </c>
      <c r="AQ38" s="76">
        <v>0</v>
      </c>
      <c r="AR38" s="76">
        <v>0</v>
      </c>
      <c r="AS38" s="76" t="str">
        <f t="shared" si="34"/>
        <v>332</v>
      </c>
      <c r="AT38" s="76">
        <v>0</v>
      </c>
      <c r="AU38" s="76">
        <v>0</v>
      </c>
      <c r="AV38" s="76">
        <v>0</v>
      </c>
      <c r="AW38" s="76">
        <f t="shared" si="35"/>
        <v>0</v>
      </c>
      <c r="AX38" s="76" t="str">
        <f t="shared" si="24"/>
        <v>323</v>
      </c>
      <c r="AY38" s="76">
        <f t="shared" si="36"/>
        <v>0</v>
      </c>
      <c r="AZ38" s="76" t="str">
        <f t="shared" si="25"/>
        <v>332</v>
      </c>
      <c r="BA38" s="76">
        <f t="shared" si="37"/>
        <v>0</v>
      </c>
      <c r="BC38" s="76">
        <f>DQ38</f>
        <v>1</v>
      </c>
      <c r="BD38" s="77" t="str">
        <f>INDEX(T,42,lang)</f>
        <v>Portugal</v>
      </c>
      <c r="BE38" s="76">
        <f>COUNTIF($X$7:$Y$42,"=" &amp; BD38 &amp; "_win")</f>
        <v>0</v>
      </c>
      <c r="BF38" s="76">
        <f>COUNTIF($X$7:$Y$42,"=" &amp; BD38 &amp; "_draw")</f>
        <v>0</v>
      </c>
      <c r="BG38" s="76">
        <f>COUNTIF($X$7:$Y$42,"=" &amp; BD38 &amp; "_lose")</f>
        <v>0</v>
      </c>
      <c r="BH38" s="76">
        <f>SUMIF($E$10:$E$45,$BD38,$F$10:$F$45) + SUMIF($H$10:$H$45,$BD38,$G$10:$G$45)</f>
        <v>0</v>
      </c>
      <c r="BI38" s="76">
        <f>SUMIF($E$10:$E$45,$BD38,$G$10:$G$45) + SUMIF($H$10:$H$45,$BD38,$F$10:$F$45)</f>
        <v>0</v>
      </c>
      <c r="BJ38" s="76">
        <f>BM38*10000</f>
        <v>0</v>
      </c>
      <c r="BK38" s="76">
        <f>BH38-BI38</f>
        <v>0</v>
      </c>
      <c r="BL38" s="76">
        <f>(BK38-BK43)/BK42</f>
        <v>0</v>
      </c>
      <c r="BM38" s="76">
        <f>BE38*3+BF38</f>
        <v>0</v>
      </c>
      <c r="BN38" s="76">
        <f>BT38/BT42*10+BU38/BU42+BX38/BX42*0.1+BV38/BV42*0.01</f>
        <v>0</v>
      </c>
      <c r="BP38" s="76">
        <f>IF(VLOOKUP(BD38,db_fifarank,2,0)="",MIN(db_fifarank),VLOOKUP(BD38,db_fifarank,2,0))</f>
        <v>56.316000000000003</v>
      </c>
      <c r="BQ38" s="76">
        <f>0.1*((BP38-$BP$44)/$BP$46-(COUNTIF($BP$8:$BP$41,BP38)-1)/(100-ROW(BP38)))</f>
        <v>5.04921178606801E-2</v>
      </c>
      <c r="BR38" s="77">
        <f>10000000*BM38/BM42+100000*BN38/BN42+100*BL38+10*BH38/BH42+1*BN38/BN42+BQ38</f>
        <v>5.04921178606801E-2</v>
      </c>
      <c r="BS38" s="77" t="str">
        <f>IF(SUM(BE38:BG41)=12,O39,INDEX(T,80,lang))</f>
        <v>1F</v>
      </c>
      <c r="BT38" s="76">
        <f>SUMPRODUCT(($X$7:$X$42=BD38&amp;"_win")*($Z$7:$Z$42))+SUMPRODUCT(($Y$7:$Y$42=BD38&amp;"_win")*($Z$7:$Z$42))</f>
        <v>0</v>
      </c>
      <c r="BU38" s="76">
        <f>SUMPRODUCT(($X$7:$X$42=BD38&amp;"_draw")*($Z$7:$Z$42))+SUMPRODUCT(($Y$7:$Y$42=BD38&amp;"_draw")*($Z$7:$Z$42))</f>
        <v>0</v>
      </c>
      <c r="BV38" s="76">
        <f>SUMPRODUCT(($E$10:$E$45=BD38)*($Z$7:$Z$42)*($F$10:$F$45))+SUMPRODUCT(($H$10:$H$45=BD38)*($Z$7:$Z$42)*($G$10:$G$45))</f>
        <v>0</v>
      </c>
      <c r="BW38" s="76">
        <f>SUMPRODUCT(($E$10:$E$45=BD38)*($Z$7:$Z$42)*($G$10:$G$45))+SUMPRODUCT(($H$10:$H$45=BD38)*($Z$7:$Z$42)*($F$10:$F$45))</f>
        <v>0</v>
      </c>
      <c r="BX38" s="76">
        <f>BV38-BW38</f>
        <v>0</v>
      </c>
      <c r="CD38" s="76">
        <f>IFERROR(VLOOKUP("612",$AF$7:$AI$42,2,0),0) + IFERROR(VLOOKUP("612",$AJ$7:$AM$42,2,0),0)</f>
        <v>0</v>
      </c>
      <c r="CE38" s="76">
        <f>IFERROR(VLOOKUP("613",$AF$7:$AI$42,2,0),0) + IFERROR(VLOOKUP("613",$AJ$7:$AM$42,2,0),0)</f>
        <v>0</v>
      </c>
      <c r="CF38" s="76">
        <f>IFERROR(VLOOKUP("614",$AF$7:$AI$42,2,0),0) + IFERROR(VLOOKUP("614",$AJ$7:$AM$42,2,0),0)</f>
        <v>0</v>
      </c>
      <c r="CG38" s="77">
        <f>SUM(CC38:CF38)</f>
        <v>0</v>
      </c>
      <c r="CI38" s="76">
        <f>IFERROR(VLOOKUP("612",$AF$7:$AI$42,3,0),0) + IFERROR(VLOOKUP("612",$AJ$7:$AM$42,3,0),0)</f>
        <v>0</v>
      </c>
      <c r="CJ38" s="76">
        <f>IFERROR(VLOOKUP("613",$AF$7:$AI$42,3,0),0) + IFERROR(VLOOKUP("613",$AJ$7:$AM$42,3,0),0)</f>
        <v>0</v>
      </c>
      <c r="CK38" s="76">
        <f>IFERROR(VLOOKUP("614",$AF$7:$AI$42,3,0),0) + IFERROR(VLOOKUP("614",$AJ$7:$AM$42,3,0),0)</f>
        <v>0</v>
      </c>
      <c r="CL38" s="77">
        <f>SUM(CH38:CK38)</f>
        <v>0</v>
      </c>
      <c r="CM38" s="77">
        <f>RANK(CL38,CL38:CL41)</f>
        <v>1</v>
      </c>
      <c r="CO38" s="76">
        <f>IFERROR(VLOOKUP("612",$AF$7:$AI$42,4,0),0) + IFERROR(VLOOKUP("612",$AJ$7:$AM$42,4,0),0)</f>
        <v>0</v>
      </c>
      <c r="CP38" s="76">
        <f>IFERROR(VLOOKUP("613",$AF$7:$AI$42,4,0),0) + IFERROR(VLOOKUP("613",$AJ$7:$AM$42,4,0),0)</f>
        <v>0</v>
      </c>
      <c r="CQ38" s="76">
        <f>IFERROR(VLOOKUP("614",$AF$7:$AI$42,4,0),0) + IFERROR(VLOOKUP("614",$AJ$7:$AM$42,4,0),0)</f>
        <v>0</v>
      </c>
      <c r="CR38" s="77">
        <f>SUM(CN38:CQ38)</f>
        <v>0</v>
      </c>
      <c r="CT38" s="76">
        <f>IF(CD42=CG38,CD38,0)</f>
        <v>0</v>
      </c>
      <c r="CU38" s="76">
        <f>IF(CE42=CG38,CE38,0)</f>
        <v>0</v>
      </c>
      <c r="CV38" s="76">
        <f>IF(CF42=CG38,CF38,0)</f>
        <v>0</v>
      </c>
      <c r="CW38" s="77">
        <f>SUM(CS38:CV38)</f>
        <v>0</v>
      </c>
      <c r="CY38" s="76">
        <f>IF(CD42=CG38,CI38,0)</f>
        <v>0</v>
      </c>
      <c r="CZ38" s="76">
        <f>IF(CE42=CG38,CJ38,0)</f>
        <v>0</v>
      </c>
      <c r="DA38" s="76">
        <f>IF(CF42=CG38,CK38,0)</f>
        <v>0</v>
      </c>
      <c r="DB38" s="77">
        <f>SUM(CX38:DA38)</f>
        <v>0</v>
      </c>
      <c r="DC38" s="77">
        <f>RANK(DB38,DB38:DB41)</f>
        <v>1</v>
      </c>
      <c r="DE38" s="76">
        <f>IF(CD42=CG38,CO38,0)</f>
        <v>0</v>
      </c>
      <c r="DF38" s="76">
        <f>IF(CE42=CG38,CP38,0)</f>
        <v>0</v>
      </c>
      <c r="DG38" s="76">
        <f>IF(CF42=CG38,CQ38,0)</f>
        <v>0</v>
      </c>
      <c r="DH38" s="77">
        <f>SUM(DD38:DG38)</f>
        <v>0</v>
      </c>
      <c r="DI38" s="77">
        <f>CG38*10000+CW38*100+(5-DC38)+DH38/10</f>
        <v>4</v>
      </c>
      <c r="DJ38" s="77">
        <f>RANK(DI38,DI38:DI41)</f>
        <v>1</v>
      </c>
      <c r="DL38" s="76">
        <f>IF(DL42=DJ38,CD38,0)</f>
        <v>0</v>
      </c>
      <c r="DM38" s="76">
        <f>IF(DM42=DJ38,CE38,0)</f>
        <v>0</v>
      </c>
      <c r="DN38" s="76">
        <f>IF(DN42=DJ38,CF38,0)</f>
        <v>0</v>
      </c>
      <c r="DO38" s="77">
        <f>SUM(DK38:DN38)</f>
        <v>0</v>
      </c>
      <c r="DP38" s="77">
        <f>(5-DJ38)*10000+DO38*100+(5-CM38)+CR38/10+(5-DX38)/100+BQ38/10000</f>
        <v>40004.04000504921</v>
      </c>
      <c r="DQ38" s="77">
        <f>RANK(DP38,DP38:DP41)</f>
        <v>1</v>
      </c>
      <c r="DT38" s="76">
        <f>IFERROR(VLOOKUP("612",$AX$7:$AY$42,2,0),0) + IFERROR(VLOOKUP("612",$AZ$7:$BA$42,2,0),0)</f>
        <v>0</v>
      </c>
      <c r="DU38" s="76">
        <f>IFERROR(VLOOKUP("613",$AX$7:$AY$42,2,0),0) + IFERROR(VLOOKUP("613",$AZ$7:$BA$42,2,0),0)</f>
        <v>0</v>
      </c>
      <c r="DV38" s="76">
        <f>IFERROR(VLOOKUP("614",$AX$7:$AY$42,2,0),0) + IFERROR(VLOOKUP("614",$AZ$7:$BA$42,2,0),0)</f>
        <v>0</v>
      </c>
      <c r="DW38" s="77">
        <f>SUM(DS38:DV38)</f>
        <v>0</v>
      </c>
      <c r="DX38" s="77">
        <f>RANK(DW38,DW38:DW41)</f>
        <v>1</v>
      </c>
      <c r="DZ38" s="77" t="str">
        <f>BD38</f>
        <v>Portugal</v>
      </c>
      <c r="EA38" s="77">
        <f>EI38*10000+EO38*100+ET38</f>
        <v>100</v>
      </c>
      <c r="EB38" s="76">
        <f>COUNTIF(EA38:EA41,EA38)</f>
        <v>4</v>
      </c>
      <c r="EC38" s="76">
        <f>COUNTIF(CG38:CG41,CG38)</f>
        <v>4</v>
      </c>
      <c r="ED38" s="77">
        <f>IF(AND(EB38&gt;=2,EC38=2),EA38,-EA38-0.4)</f>
        <v>-100.4</v>
      </c>
      <c r="EF38" s="76">
        <f>IFERROR(VLOOKUP("612",$AO$7:$AR$42,2,0),0) + IFERROR(VLOOKUP("612",$AS$7:$AV$42,2,0),0)</f>
        <v>0</v>
      </c>
      <c r="EG38" s="76">
        <f>IFERROR(VLOOKUP("613",$AO$7:$AR$42,2,0),0) + IFERROR(VLOOKUP("613",$AS$7:$AV$42,2,0),0)</f>
        <v>0</v>
      </c>
      <c r="EH38" s="76">
        <f>IFERROR(VLOOKUP("614",$AO$7:$AR$42,2,0),0) + IFERROR(VLOOKUP("614",$AS$7:$AV$42,2,0),0)</f>
        <v>0</v>
      </c>
      <c r="EI38" s="77">
        <f>SUM(EE38:EH38)</f>
        <v>0</v>
      </c>
      <c r="EK38" s="76">
        <f>IFERROR(VLOOKUP("612",$AO$7:$AR$42,3,0),0) + IFERROR(VLOOKUP("612",$AS$7:$AV$42,3,0),0)</f>
        <v>0</v>
      </c>
      <c r="EL38" s="76">
        <f>IFERROR(VLOOKUP("613",$AO$7:$AR$42,3,0),0) + IFERROR(VLOOKUP("613",$AS$7:$AV$42,3,0),0)</f>
        <v>0</v>
      </c>
      <c r="EM38" s="76">
        <f>IFERROR(VLOOKUP("614",$AO$7:$AR$42,3,0),0) + IFERROR(VLOOKUP("614",$AS$7:$AV$42,3,0),0)</f>
        <v>0</v>
      </c>
      <c r="EN38" s="77">
        <f>SUM(EJ38:EM38)</f>
        <v>0</v>
      </c>
      <c r="EO38" s="77">
        <f>RANK(EN38,EN38:EN41)</f>
        <v>1</v>
      </c>
      <c r="EQ38" s="76">
        <f>IFERROR(VLOOKUP("612",$AO$7:$AR$42,4,0),0) + IFERROR(VLOOKUP("612",$AS$7:$AV$42,4,0),0)</f>
        <v>0</v>
      </c>
      <c r="ER38" s="76">
        <f>IFERROR(VLOOKUP("613",$AO$7:$AR$42,4,0),0) + IFERROR(VLOOKUP("613",$AS$7:$AV$42,4,0),0)</f>
        <v>0</v>
      </c>
      <c r="ES38" s="76">
        <f>IFERROR(VLOOKUP("614",$AO$7:$AR$42,4,0),0) + IFERROR(VLOOKUP("614",$AS$7:$AV$42,4,0),0)</f>
        <v>0</v>
      </c>
      <c r="ET38" s="77">
        <f>SUM(EP38:ES38)</f>
        <v>0</v>
      </c>
      <c r="EV38" s="132">
        <v>7</v>
      </c>
      <c r="EW38" s="47" t="str">
        <f>VLOOKUP(EV38,$Z$46:$AC$53,3,0)</f>
        <v>1D</v>
      </c>
      <c r="EX38" s="48"/>
      <c r="EY38" s="89"/>
      <c r="EZ38" s="64"/>
      <c r="FA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</row>
    <row r="39" spans="1:173">
      <c r="A39" s="49">
        <v>30</v>
      </c>
      <c r="B39" s="50" t="str">
        <f t="shared" si="27"/>
        <v>Tue</v>
      </c>
      <c r="C39" s="51" t="str">
        <f t="shared" si="28"/>
        <v>Jun 25, 2024</v>
      </c>
      <c r="D39" s="52">
        <f t="shared" si="29"/>
        <v>0.54166666666666663</v>
      </c>
      <c r="E39" s="53" t="str">
        <f>BD26</f>
        <v>France</v>
      </c>
      <c r="F39" s="41"/>
      <c r="G39" s="42"/>
      <c r="H39" s="54" t="str">
        <f>BD29</f>
        <v>Poland</v>
      </c>
      <c r="I39" s="133" t="str">
        <f>INDEX(T,108,lang)</f>
        <v>Dortmund</v>
      </c>
      <c r="J39" s="133"/>
      <c r="K39" s="133"/>
      <c r="L39" s="85"/>
      <c r="M39" s="86"/>
      <c r="O39" s="33" t="str">
        <f>VLOOKUP(1,BC38:BM41,2,0)</f>
        <v>Portugal</v>
      </c>
      <c r="P39" s="34">
        <f>Q39+R39+S39</f>
        <v>0</v>
      </c>
      <c r="Q39" s="34">
        <f>VLOOKUP(1,BC38:BM41,3,0)</f>
        <v>0</v>
      </c>
      <c r="R39" s="34">
        <f>VLOOKUP(1,BC38:BM41,4,0)</f>
        <v>0</v>
      </c>
      <c r="S39" s="34">
        <f>VLOOKUP(1,BC38:BM41,5,0)</f>
        <v>0</v>
      </c>
      <c r="T39" s="34" t="str">
        <f>VLOOKUP(1,BC38:BM41,6,0) &amp; " - " &amp; VLOOKUP(1,BC38:BM41,7,0)</f>
        <v>0 - 0</v>
      </c>
      <c r="U39" s="35">
        <f>Q39*3+R39</f>
        <v>0</v>
      </c>
      <c r="W39" s="76">
        <f>DATE(2024,6,26)+TIME(5,0,0)+gmt_delta</f>
        <v>45469.541666666672</v>
      </c>
      <c r="X39" s="78" t="str">
        <f t="shared" si="0"/>
        <v/>
      </c>
      <c r="Y39" s="78" t="str">
        <f t="shared" si="1"/>
        <v/>
      </c>
      <c r="Z39" s="77">
        <f t="shared" si="2"/>
        <v>0</v>
      </c>
      <c r="AA39" s="76">
        <f t="shared" si="3"/>
        <v>0</v>
      </c>
      <c r="AB39" s="76">
        <f t="shared" si="4"/>
        <v>0</v>
      </c>
      <c r="AC39" s="76">
        <f t="shared" si="5"/>
        <v>5</v>
      </c>
      <c r="AD39" s="76">
        <f t="shared" si="6"/>
        <v>4</v>
      </c>
      <c r="AE39" s="76">
        <f t="shared" si="7"/>
        <v>3</v>
      </c>
      <c r="AF39" s="76" t="str">
        <f t="shared" si="8"/>
        <v>543</v>
      </c>
      <c r="AG39" s="76">
        <f t="shared" si="9"/>
        <v>0</v>
      </c>
      <c r="AH39" s="76">
        <f t="shared" si="10"/>
        <v>0</v>
      </c>
      <c r="AI39" s="76">
        <f t="shared" si="11"/>
        <v>0</v>
      </c>
      <c r="AJ39" s="76" t="str">
        <f t="shared" si="12"/>
        <v>534</v>
      </c>
      <c r="AK39" s="76">
        <f t="shared" si="13"/>
        <v>0</v>
      </c>
      <c r="AL39" s="76">
        <f t="shared" si="14"/>
        <v>0</v>
      </c>
      <c r="AM39" s="76">
        <f t="shared" si="15"/>
        <v>0</v>
      </c>
      <c r="AO39" s="76" t="str">
        <f t="shared" si="33"/>
        <v>543</v>
      </c>
      <c r="AP39" s="76">
        <v>0</v>
      </c>
      <c r="AQ39" s="76">
        <v>0</v>
      </c>
      <c r="AR39" s="76">
        <v>0</v>
      </c>
      <c r="AS39" s="76" t="str">
        <f t="shared" si="34"/>
        <v>534</v>
      </c>
      <c r="AT39" s="76">
        <v>0</v>
      </c>
      <c r="AU39" s="76">
        <v>0</v>
      </c>
      <c r="AV39" s="76">
        <v>0</v>
      </c>
      <c r="AW39" s="76">
        <f t="shared" si="35"/>
        <v>0</v>
      </c>
      <c r="AX39" s="76" t="str">
        <f t="shared" si="24"/>
        <v>543</v>
      </c>
      <c r="AY39" s="76">
        <f t="shared" si="36"/>
        <v>0</v>
      </c>
      <c r="AZ39" s="76" t="str">
        <f t="shared" si="25"/>
        <v>534</v>
      </c>
      <c r="BA39" s="76">
        <f t="shared" si="37"/>
        <v>0</v>
      </c>
      <c r="BC39" s="76">
        <f>DQ39</f>
        <v>2</v>
      </c>
      <c r="BD39" s="77" t="str">
        <f>INDEX(T,46,lang)</f>
        <v>Turkey</v>
      </c>
      <c r="BE39" s="76">
        <f>COUNTIF($X$7:$Y$42,"=" &amp; BD39 &amp; "_win")</f>
        <v>0</v>
      </c>
      <c r="BF39" s="76">
        <f>COUNTIF($X$7:$Y$42,"=" &amp; BD39 &amp; "_draw")</f>
        <v>0</v>
      </c>
      <c r="BG39" s="76">
        <f>COUNTIF($X$7:$Y$42,"=" &amp; BD39 &amp; "_lose")</f>
        <v>0</v>
      </c>
      <c r="BH39" s="76">
        <f>SUMIF($E$10:$E$45,$BD39,$F$10:$F$45) + SUMIF($H$10:$H$45,$BD39,$G$10:$G$45)</f>
        <v>0</v>
      </c>
      <c r="BI39" s="76">
        <f>SUMIF($E$10:$E$45,$BD39,$G$10:$G$45) + SUMIF($H$10:$H$45,$BD39,$F$10:$F$45)</f>
        <v>0</v>
      </c>
      <c r="BJ39" s="76">
        <f>BM39*10000</f>
        <v>0</v>
      </c>
      <c r="BK39" s="76">
        <f>BH39-BI39</f>
        <v>0</v>
      </c>
      <c r="BL39" s="76">
        <f>(BK39-BK43)/BK42</f>
        <v>0</v>
      </c>
      <c r="BM39" s="76">
        <f>BE39*3+BF39</f>
        <v>0</v>
      </c>
      <c r="BN39" s="76">
        <f>BT39/BT42*10+BU39/BU42+BX39/BX42*0.1+BV39/BV42*0.01</f>
        <v>0</v>
      </c>
      <c r="BP39" s="76">
        <f>IF(VLOOKUP(BD39,db_fifarank,2,0)="",MIN(db_fifarank),VLOOKUP(BD39,db_fifarank,2,0))</f>
        <v>38.6</v>
      </c>
      <c r="BQ39" s="76">
        <f t="shared" ref="BQ39:BQ41" si="39">0.1*((BP39-$BP$44)/$BP$46-(COUNTIF($BP$8:$BP$41,BP39)-1)/(100-ROW(BP39)))</f>
        <v>3.2214633542423245E-2</v>
      </c>
      <c r="BR39" s="77">
        <f>10000000*BM39/BM42+100000*BN39/BN42+100*BL39+10*BH39/BH42+1*BN39/BN42+BQ39</f>
        <v>3.2214633542423245E-2</v>
      </c>
      <c r="BS39" s="77" t="str">
        <f>IF(SUM(BE38:BG41)=12,O40,INDEX(T,81,lang))</f>
        <v>2F</v>
      </c>
      <c r="BT39" s="76">
        <f>SUMPRODUCT(($X$7:$X$42=BD39&amp;"_win")*($Z$7:$Z$42))+SUMPRODUCT(($Y$7:$Y$42=BD39&amp;"_win")*($Z$7:$Z$42))</f>
        <v>0</v>
      </c>
      <c r="BU39" s="76">
        <f>SUMPRODUCT(($X$7:$X$42=BD39&amp;"_draw")*($Z$7:$Z$42))+SUMPRODUCT(($Y$7:$Y$42=BD39&amp;"_draw")*($Z$7:$Z$42))</f>
        <v>0</v>
      </c>
      <c r="BV39" s="76">
        <f>SUMPRODUCT(($E$10:$E$45=BD39)*($Z$7:$Z$42)*($F$10:$F$45))+SUMPRODUCT(($H$10:$H$45=BD39)*($Z$7:$Z$42)*($G$10:$G$45))</f>
        <v>0</v>
      </c>
      <c r="BW39" s="76">
        <f>SUMPRODUCT(($E$10:$E$45=BD39)*($Z$7:$Z$42)*($G$10:$G$45))+SUMPRODUCT(($H$10:$H$45=BD39)*($Z$7:$Z$42)*($F$10:$F$45))</f>
        <v>0</v>
      </c>
      <c r="BX39" s="76">
        <f>BV39-BW39</f>
        <v>0</v>
      </c>
      <c r="CC39" s="76">
        <f>IFERROR(VLOOKUP("621",$AF$7:$AI$42,2,0),0) + IFERROR(VLOOKUP("621",$AJ$7:$AM$42,2,0),0)</f>
        <v>0</v>
      </c>
      <c r="CE39" s="76">
        <f>IFERROR(VLOOKUP("623",$AF$7:$AI$42,2,0),0) + IFERROR(VLOOKUP("623",$AJ$7:$AM$42,2,0),0)</f>
        <v>0</v>
      </c>
      <c r="CF39" s="76">
        <f>IFERROR(VLOOKUP("624",$AF$7:$AI$42,2,0),0) + IFERROR(VLOOKUP("624",$AJ$7:$AM$42,2,0),0)</f>
        <v>0</v>
      </c>
      <c r="CG39" s="77">
        <f>SUM(CC39:CF39)</f>
        <v>0</v>
      </c>
      <c r="CH39" s="76">
        <f>IFERROR(VLOOKUP("621",$AF$7:$AI$42,3,0),0) + IFERROR(VLOOKUP("621",$AJ$7:$AM$42,3,0),0)</f>
        <v>0</v>
      </c>
      <c r="CJ39" s="76">
        <f>IFERROR(VLOOKUP("623",$AF$7:$AI$42,3,0),0) + IFERROR(VLOOKUP("623",$AJ$7:$AM$42,3,0),0)</f>
        <v>0</v>
      </c>
      <c r="CK39" s="76">
        <f>IFERROR(VLOOKUP("624",$AF$7:$AI$42,3,0),0) + IFERROR(VLOOKUP("624",$AJ$7:$AM$42,3,0),0)</f>
        <v>0</v>
      </c>
      <c r="CL39" s="77">
        <f>SUM(CH39:CK39)</f>
        <v>0</v>
      </c>
      <c r="CM39" s="77">
        <f>RANK(CL39,CL38:CL41)</f>
        <v>1</v>
      </c>
      <c r="CN39" s="76">
        <f>IFERROR(VLOOKUP("621",$AF$7:$AI$42,4,0),0) + IFERROR(VLOOKUP("621",$AJ$7:$AM$42,4,0),0)</f>
        <v>0</v>
      </c>
      <c r="CP39" s="76">
        <f>IFERROR(VLOOKUP("623",$AF$7:$AI$42,4,0),0) + IFERROR(VLOOKUP("623",$AJ$7:$AM$42,4,0),0)</f>
        <v>0</v>
      </c>
      <c r="CQ39" s="76">
        <f>IFERROR(VLOOKUP("624",$AF$7:$AI$42,4,0),0) + IFERROR(VLOOKUP("624",$AJ$7:$AM$42,4,0),0)</f>
        <v>0</v>
      </c>
      <c r="CR39" s="77">
        <f>SUM(CN39:CQ39)</f>
        <v>0</v>
      </c>
      <c r="CS39" s="76">
        <f>IF(CC42=CG39,CC39,0)</f>
        <v>0</v>
      </c>
      <c r="CU39" s="76">
        <f>IF(CE42=CG39,CE39,0)</f>
        <v>0</v>
      </c>
      <c r="CV39" s="76">
        <f>IF(CF42=CG39,CF39,0)</f>
        <v>0</v>
      </c>
      <c r="CW39" s="77">
        <f>SUM(CS39:CV39)</f>
        <v>0</v>
      </c>
      <c r="CX39" s="76">
        <f>IF(CC42=CG39,CH39,0)</f>
        <v>0</v>
      </c>
      <c r="CZ39" s="76">
        <f>IF(CE42=CG39,CJ39,0)</f>
        <v>0</v>
      </c>
      <c r="DA39" s="76">
        <f>IF(CF42=CG39,CK39,0)</f>
        <v>0</v>
      </c>
      <c r="DB39" s="77">
        <f>SUM(CX39:DA39)</f>
        <v>0</v>
      </c>
      <c r="DC39" s="77">
        <f>RANK(DB39,DB38:DB41)</f>
        <v>1</v>
      </c>
      <c r="DD39" s="76">
        <f>IF(CC42=CG39,CN39,0)</f>
        <v>0</v>
      </c>
      <c r="DF39" s="76">
        <f>IF(CE42=CG39,CP39,0)</f>
        <v>0</v>
      </c>
      <c r="DG39" s="76">
        <f>IF(CF42=CG39,CQ39,0)</f>
        <v>0</v>
      </c>
      <c r="DH39" s="77">
        <f>SUM(DD39:DG39)</f>
        <v>0</v>
      </c>
      <c r="DI39" s="77">
        <f>CG39*10000+CW39*100+(5-DC39)+DH39/10</f>
        <v>4</v>
      </c>
      <c r="DJ39" s="77">
        <f>RANK(DI39,DI38:DI41)</f>
        <v>1</v>
      </c>
      <c r="DK39" s="76">
        <f>IF(DK42=DJ39,CC39,0)</f>
        <v>0</v>
      </c>
      <c r="DM39" s="76">
        <f>IF(DM42=DJ39,CE39,0)</f>
        <v>0</v>
      </c>
      <c r="DN39" s="76">
        <f>IF(DN42=DJ39,CF39,0)</f>
        <v>0</v>
      </c>
      <c r="DO39" s="77">
        <f>SUM(DK39:DN39)</f>
        <v>0</v>
      </c>
      <c r="DP39" s="77">
        <f>(5-DJ39)*10000+DO39*100+(5-CM39)+CR39/10+(5-DX39)/100+BQ39/10000</f>
        <v>40004.040003221467</v>
      </c>
      <c r="DQ39" s="77">
        <f>RANK(DP39,DP38:DP41)</f>
        <v>2</v>
      </c>
      <c r="DS39" s="76">
        <f>IFERROR(VLOOKUP("621",$AX$7:$AY$42,2,0),0) + IFERROR(VLOOKUP("621",$AZ$7:$BA$42,2,0),0)</f>
        <v>0</v>
      </c>
      <c r="DU39" s="76">
        <f>IFERROR(VLOOKUP("623",$AX$7:$AY$42,2,0),0) + IFERROR(VLOOKUP("623",$AZ$7:$BA$42,2,0),0)</f>
        <v>0</v>
      </c>
      <c r="DV39" s="76">
        <f>IFERROR(VLOOKUP("624",$AX$7:$AY$42,2,0),0) + IFERROR(VLOOKUP("624",$AZ$7:$BA$42,2,0),0)</f>
        <v>0</v>
      </c>
      <c r="DW39" s="77">
        <f>SUM(DS39:DV39)</f>
        <v>0</v>
      </c>
      <c r="DX39" s="77">
        <f>RANK(DW39,DW38:DW41)</f>
        <v>1</v>
      </c>
      <c r="DZ39" s="77" t="str">
        <f>BD39</f>
        <v>Turkey</v>
      </c>
      <c r="EA39" s="77">
        <f>EI39*10000+EO39*100+ET39</f>
        <v>100</v>
      </c>
      <c r="EB39" s="76">
        <f>COUNTIF(EA38:EA41,EA39)</f>
        <v>4</v>
      </c>
      <c r="EC39" s="76">
        <f>COUNTIF(CG38:CG41,CG39)</f>
        <v>4</v>
      </c>
      <c r="ED39" s="77">
        <f>IF(AND(EB39&gt;=2,EC39=2),EA39,-EA39-0.3)</f>
        <v>-100.3</v>
      </c>
      <c r="EE39" s="76">
        <f>IFERROR(VLOOKUP("621",$AO$7:$AR$42,2,0),0) + IFERROR(VLOOKUP("621",$AS$7:$AV$42,2,0),0)</f>
        <v>0</v>
      </c>
      <c r="EG39" s="76">
        <f>IFERROR(VLOOKUP("623",$AO$7:$AR$42,2,0),0) + IFERROR(VLOOKUP("623",$AS$7:$AV$42,2,0),0)</f>
        <v>0</v>
      </c>
      <c r="EH39" s="76">
        <f>IFERROR(VLOOKUP("624",$AO$7:$AR$42,2,0),0) + IFERROR(VLOOKUP("624",$AS$7:$AV$42,2,0),0)</f>
        <v>0</v>
      </c>
      <c r="EI39" s="77">
        <f>SUM(EE39:EH39)</f>
        <v>0</v>
      </c>
      <c r="EJ39" s="76">
        <f>IFERROR(VLOOKUP("621",$AO$7:$AR$42,3,0),0) + IFERROR(VLOOKUP("621",$AS$7:$AV$42,3,0),0)</f>
        <v>0</v>
      </c>
      <c r="EL39" s="76">
        <f>IFERROR(VLOOKUP("623",$AO$7:$AR$42,3,0),0) + IFERROR(VLOOKUP("623",$AS$7:$AV$42,3,0),0)</f>
        <v>0</v>
      </c>
      <c r="EM39" s="76">
        <f>IFERROR(VLOOKUP("624",$AO$7:$AR$42,3,0),0) + IFERROR(VLOOKUP("624",$AS$7:$AV$42,3,0),0)</f>
        <v>0</v>
      </c>
      <c r="EN39" s="77">
        <f>SUM(EJ39:EM39)</f>
        <v>0</v>
      </c>
      <c r="EO39" s="77">
        <f>RANK(EN39,EN38:EN41)</f>
        <v>1</v>
      </c>
      <c r="EP39" s="76">
        <f>IFERROR(VLOOKUP("621",$AO$7:$AR$42,4,0),0) + IFERROR(VLOOKUP("621",$AS$7:$AV$42,4,0),0)</f>
        <v>0</v>
      </c>
      <c r="ER39" s="76">
        <f>IFERROR(VLOOKUP("623",$AO$7:$AR$42,4,0),0) + IFERROR(VLOOKUP("623",$AS$7:$AV$42,4,0),0)</f>
        <v>0</v>
      </c>
      <c r="ES39" s="76">
        <f>IFERROR(VLOOKUP("624",$AO$7:$AR$42,4,0),0) + IFERROR(VLOOKUP("624",$AS$7:$AV$42,4,0),0)</f>
        <v>0</v>
      </c>
      <c r="ET39" s="77">
        <f>SUM(EP39:ES39)</f>
        <v>0</v>
      </c>
      <c r="EV39" s="132"/>
      <c r="EW39" s="55" t="str">
        <f>VLOOKUP(EV38,$Z$46:$AC$53,4,0)</f>
        <v>2F</v>
      </c>
      <c r="EX39" s="56"/>
      <c r="EY39" s="57"/>
      <c r="EZ39" s="32"/>
      <c r="FA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</row>
    <row r="40" spans="1:173">
      <c r="A40" s="49">
        <v>31</v>
      </c>
      <c r="B40" s="50" t="str">
        <f t="shared" si="27"/>
        <v>Tue</v>
      </c>
      <c r="C40" s="51" t="str">
        <f t="shared" si="28"/>
        <v>Jun 25, 2024</v>
      </c>
      <c r="D40" s="52">
        <f t="shared" si="29"/>
        <v>0.66666666666666663</v>
      </c>
      <c r="E40" s="53" t="str">
        <f>BD20</f>
        <v>England</v>
      </c>
      <c r="F40" s="41"/>
      <c r="G40" s="42"/>
      <c r="H40" s="54" t="str">
        <f>BD23</f>
        <v>Slovenia</v>
      </c>
      <c r="I40" s="133" t="str">
        <f>INDEX(T,104,lang)</f>
        <v>Cologne</v>
      </c>
      <c r="J40" s="133"/>
      <c r="K40" s="133"/>
      <c r="L40" s="85"/>
      <c r="M40" s="86"/>
      <c r="O40" s="44" t="str">
        <f>VLOOKUP(2,BC38:BM41,2,0)</f>
        <v>Turkey</v>
      </c>
      <c r="P40" s="45">
        <f>Q40+R40+S40</f>
        <v>0</v>
      </c>
      <c r="Q40" s="45">
        <f>VLOOKUP(2,BC38:BM41,3,0)</f>
        <v>0</v>
      </c>
      <c r="R40" s="45">
        <f>VLOOKUP(2,BC38:BM41,4,0)</f>
        <v>0</v>
      </c>
      <c r="S40" s="45">
        <f>VLOOKUP(2,BC38:BM41,5,0)</f>
        <v>0</v>
      </c>
      <c r="T40" s="45" t="str">
        <f>VLOOKUP(2,BC38:BM41,6,0) &amp; " - " &amp; VLOOKUP(2,BC38:BM41,7,0)</f>
        <v>0 - 0</v>
      </c>
      <c r="U40" s="46">
        <f>Q40*3+R40</f>
        <v>0</v>
      </c>
      <c r="W40" s="76">
        <f>DATE(2024,6,26)+TIME(5,0,0)+gmt_delta</f>
        <v>45469.541666666672</v>
      </c>
      <c r="X40" s="78" t="str">
        <f t="shared" si="0"/>
        <v/>
      </c>
      <c r="Y40" s="78" t="str">
        <f t="shared" si="1"/>
        <v/>
      </c>
      <c r="Z40" s="77">
        <f t="shared" si="2"/>
        <v>0</v>
      </c>
      <c r="AA40" s="76">
        <f t="shared" si="3"/>
        <v>0</v>
      </c>
      <c r="AB40" s="76">
        <f t="shared" si="4"/>
        <v>0</v>
      </c>
      <c r="AC40" s="76">
        <f t="shared" si="5"/>
        <v>5</v>
      </c>
      <c r="AD40" s="76">
        <f t="shared" si="6"/>
        <v>2</v>
      </c>
      <c r="AE40" s="76">
        <f t="shared" si="7"/>
        <v>1</v>
      </c>
      <c r="AF40" s="76" t="str">
        <f t="shared" si="8"/>
        <v>521</v>
      </c>
      <c r="AG40" s="76">
        <f t="shared" si="9"/>
        <v>0</v>
      </c>
      <c r="AH40" s="76">
        <f t="shared" si="10"/>
        <v>0</v>
      </c>
      <c r="AI40" s="76">
        <f t="shared" si="11"/>
        <v>0</v>
      </c>
      <c r="AJ40" s="76" t="str">
        <f t="shared" si="12"/>
        <v>512</v>
      </c>
      <c r="AK40" s="76">
        <f t="shared" si="13"/>
        <v>0</v>
      </c>
      <c r="AL40" s="76">
        <f t="shared" si="14"/>
        <v>0</v>
      </c>
      <c r="AM40" s="76">
        <f t="shared" si="15"/>
        <v>0</v>
      </c>
      <c r="AO40" s="76" t="str">
        <f t="shared" si="33"/>
        <v>521</v>
      </c>
      <c r="AP40" s="76">
        <v>0</v>
      </c>
      <c r="AQ40" s="76">
        <v>0</v>
      </c>
      <c r="AR40" s="76">
        <v>0</v>
      </c>
      <c r="AS40" s="76" t="str">
        <f t="shared" si="34"/>
        <v>512</v>
      </c>
      <c r="AT40" s="76">
        <v>0</v>
      </c>
      <c r="AU40" s="76">
        <v>0</v>
      </c>
      <c r="AV40" s="76">
        <v>0</v>
      </c>
      <c r="AW40" s="76">
        <f t="shared" si="35"/>
        <v>0</v>
      </c>
      <c r="AX40" s="76" t="str">
        <f t="shared" si="24"/>
        <v>521</v>
      </c>
      <c r="AY40" s="76">
        <f t="shared" si="36"/>
        <v>0</v>
      </c>
      <c r="AZ40" s="76" t="str">
        <f t="shared" si="25"/>
        <v>512</v>
      </c>
      <c r="BA40" s="76">
        <f t="shared" si="37"/>
        <v>0</v>
      </c>
      <c r="BC40" s="76">
        <f>DQ40</f>
        <v>3</v>
      </c>
      <c r="BD40" s="77" t="str">
        <f>INDEX(T,58,lang)</f>
        <v>Czech Republic</v>
      </c>
      <c r="BE40" s="76">
        <f>COUNTIF($X$7:$Y$42,"=" &amp; BD40 &amp; "_win")</f>
        <v>0</v>
      </c>
      <c r="BF40" s="76">
        <f>COUNTIF($X$7:$Y$42,"=" &amp; BD40 &amp; "_draw")</f>
        <v>0</v>
      </c>
      <c r="BG40" s="76">
        <f>COUNTIF($X$7:$Y$42,"=" &amp; BD40 &amp; "_lose")</f>
        <v>0</v>
      </c>
      <c r="BH40" s="76">
        <f>SUMIF($E$10:$E$45,$BD40,$F$10:$F$45) + SUMIF($H$10:$H$45,$BD40,$G$10:$G$45)</f>
        <v>0</v>
      </c>
      <c r="BI40" s="76">
        <f>SUMIF($E$10:$E$45,$BD40,$G$10:$G$45) + SUMIF($H$10:$H$45,$BD40,$F$10:$F$45)</f>
        <v>0</v>
      </c>
      <c r="BJ40" s="76">
        <f>BM40*10000</f>
        <v>0</v>
      </c>
      <c r="BK40" s="76">
        <f>BH40-BI40</f>
        <v>0</v>
      </c>
      <c r="BL40" s="76">
        <f>(BK40-BK43)/BK42</f>
        <v>0</v>
      </c>
      <c r="BM40" s="76">
        <f>BE40*3+BF40</f>
        <v>0</v>
      </c>
      <c r="BN40" s="76">
        <f>BT40/BT42*10+BU40/BU42+BX40/BX42*0.1+BV40/BV42*0.01</f>
        <v>0</v>
      </c>
      <c r="BP40" s="76">
        <f>IF(VLOOKUP(BD40,db_fifarank,2,0)="",MIN(db_fifarank),VLOOKUP(BD40,db_fifarank,2,0))</f>
        <v>36.049999999999997</v>
      </c>
      <c r="BQ40" s="76">
        <f t="shared" si="39"/>
        <v>2.7917148123693187E-2</v>
      </c>
      <c r="BR40" s="77">
        <f>10000000*BM40/BM42+100000*BN40/BN42+100*BL40+10*BH40/BH42+1*BN40/BN42+BQ40</f>
        <v>2.7917148123693187E-2</v>
      </c>
      <c r="BS40" s="77" t="str">
        <f>IF(SUM(BE38:BG41)&gt;0,O41,"3F")</f>
        <v>3F</v>
      </c>
      <c r="BT40" s="76">
        <f>SUMPRODUCT(($X$7:$X$42=BD40&amp;"_win")*($Z$7:$Z$42))+SUMPRODUCT(($Y$7:$Y$42=BD40&amp;"_win")*($Z$7:$Z$42))</f>
        <v>0</v>
      </c>
      <c r="BU40" s="76">
        <f>SUMPRODUCT(($X$7:$X$42=BD40&amp;"_draw")*($Z$7:$Z$42))+SUMPRODUCT(($Y$7:$Y$42=BD40&amp;"_draw")*($Z$7:$Z$42))</f>
        <v>0</v>
      </c>
      <c r="BV40" s="76">
        <f>SUMPRODUCT(($E$10:$E$45=BD40)*($Z$7:$Z$42)*($F$10:$F$45))+SUMPRODUCT(($H$10:$H$45=BD40)*($Z$7:$Z$42)*($G$10:$G$45))</f>
        <v>0</v>
      </c>
      <c r="BW40" s="76">
        <f>SUMPRODUCT(($E$10:$E$45=BD40)*($Z$7:$Z$42)*($G$10:$G$45))+SUMPRODUCT(($H$10:$H$45=BD40)*($Z$7:$Z$42)*($F$10:$F$45))</f>
        <v>0</v>
      </c>
      <c r="BX40" s="76">
        <f>BV40-BW40</f>
        <v>0</v>
      </c>
      <c r="CC40" s="76">
        <f>IFERROR(VLOOKUP("631",$AF$7:$AI$42,2,0),0) + IFERROR(VLOOKUP("631",$AJ$7:$AM$42,2,0),0)</f>
        <v>0</v>
      </c>
      <c r="CD40" s="76">
        <f>IFERROR(VLOOKUP("632",$AF$7:$AI$42,2,0),0) + IFERROR(VLOOKUP("632",$AJ$7:$AM$42,2,0),0)</f>
        <v>0</v>
      </c>
      <c r="CF40" s="76">
        <f>IFERROR(VLOOKUP("634",$AF$7:$AI$42,2,0),0) + IFERROR(VLOOKUP("634",$AJ$7:$AM$42,2,0),0)</f>
        <v>0</v>
      </c>
      <c r="CG40" s="77">
        <f>SUM(CC40:CF40)</f>
        <v>0</v>
      </c>
      <c r="CH40" s="76">
        <f>IFERROR(VLOOKUP("631",$AF$7:$AI$42,3,0),0) + IFERROR(VLOOKUP("631",$AJ$7:$AM$42,3,0),0)</f>
        <v>0</v>
      </c>
      <c r="CI40" s="76">
        <f>IFERROR(VLOOKUP("632",$AF$7:$AI$42,3,0),0) + IFERROR(VLOOKUP("632",$AJ$7:$AM$42,3,0),0)</f>
        <v>0</v>
      </c>
      <c r="CK40" s="76">
        <f>IFERROR(VLOOKUP("634",$AF$7:$AI$42,3,0),0) + IFERROR(VLOOKUP("634",$AJ$7:$AM$42,3,0),0)</f>
        <v>0</v>
      </c>
      <c r="CL40" s="77">
        <f>SUM(CH40:CK40)</f>
        <v>0</v>
      </c>
      <c r="CM40" s="77">
        <f>RANK(CL40,CL38:CL41)</f>
        <v>1</v>
      </c>
      <c r="CN40" s="76">
        <f>IFERROR(VLOOKUP("631",$AF$7:$AI$42,4,0),0) + IFERROR(VLOOKUP("631",$AJ$7:$AM$42,4,0),0)</f>
        <v>0</v>
      </c>
      <c r="CO40" s="76">
        <f>IFERROR(VLOOKUP("632",$AF$7:$AI$42,4,0),0) + IFERROR(VLOOKUP("632",$AJ$7:$AM$42,4,0),0)</f>
        <v>0</v>
      </c>
      <c r="CQ40" s="76">
        <f>IFERROR(VLOOKUP("634",$AF$7:$AI$42,4,0),0) + IFERROR(VLOOKUP("634",$AJ$7:$AM$42,4,0),0)</f>
        <v>0</v>
      </c>
      <c r="CR40" s="77">
        <f>SUM(CN40:CQ40)</f>
        <v>0</v>
      </c>
      <c r="CS40" s="76">
        <f>IF(CC42=CG40,CC40,0)</f>
        <v>0</v>
      </c>
      <c r="CT40" s="76">
        <f>IF(CD42=CG40,CD40,0)</f>
        <v>0</v>
      </c>
      <c r="CV40" s="76">
        <f>IF(CF42=CG40,CF40,0)</f>
        <v>0</v>
      </c>
      <c r="CW40" s="77">
        <f>SUM(CS40:CV40)</f>
        <v>0</v>
      </c>
      <c r="CX40" s="76">
        <f>IF(CC42=CG40,CH40,0)</f>
        <v>0</v>
      </c>
      <c r="CY40" s="76">
        <f>IF(CD42=CG40,CI40,0)</f>
        <v>0</v>
      </c>
      <c r="DA40" s="76">
        <f>IF(CF42=CG40,CK40,0)</f>
        <v>0</v>
      </c>
      <c r="DB40" s="77">
        <f>SUM(CX40:DA40)</f>
        <v>0</v>
      </c>
      <c r="DC40" s="77">
        <f>RANK(DB40,DB38:DB41)</f>
        <v>1</v>
      </c>
      <c r="DD40" s="76">
        <f>IF(CC42=CG40,CN40,0)</f>
        <v>0</v>
      </c>
      <c r="DE40" s="76">
        <f>IF(CD42=CG40,CO40,0)</f>
        <v>0</v>
      </c>
      <c r="DG40" s="76">
        <f>IF(CF42=CG40,CQ40,0)</f>
        <v>0</v>
      </c>
      <c r="DH40" s="77">
        <f>SUM(DD40:DG40)</f>
        <v>0</v>
      </c>
      <c r="DI40" s="77">
        <f>CG40*10000+CW40*100+(5-DC40)+DH40/10</f>
        <v>4</v>
      </c>
      <c r="DJ40" s="77">
        <f>RANK(DI40,DI38:DI41)</f>
        <v>1</v>
      </c>
      <c r="DK40" s="76">
        <f>IF(DK42=DJ40,CC40,0)</f>
        <v>0</v>
      </c>
      <c r="DL40" s="76">
        <f>IF(DL42=DJ40,CD40,0)</f>
        <v>0</v>
      </c>
      <c r="DN40" s="76">
        <f>IF(DN42=DJ40,CF40,0)</f>
        <v>0</v>
      </c>
      <c r="DO40" s="77">
        <f>SUM(DK40:DN40)</f>
        <v>0</v>
      </c>
      <c r="DP40" s="77">
        <f>(5-DJ40)*10000+DO40*100+(5-CM40)+CR40/10+(5-DX40)/100+BQ40/10000</f>
        <v>40004.040002791713</v>
      </c>
      <c r="DQ40" s="77">
        <f>RANK(DP40,DP38:DP41)</f>
        <v>3</v>
      </c>
      <c r="DS40" s="76">
        <f>IFERROR(VLOOKUP("631",$AX$7:$AY$42,2,0),0) + IFERROR(VLOOKUP("631",$AZ$7:$BA$42,2,0),0)</f>
        <v>0</v>
      </c>
      <c r="DT40" s="76">
        <f>IFERROR(VLOOKUP("632",$AX$7:$AY$42,2,0),0) + IFERROR(VLOOKUP("632",$AZ$7:$BA$42,2,0),0)</f>
        <v>0</v>
      </c>
      <c r="DV40" s="76">
        <f>IFERROR(VLOOKUP("634",$AX$7:$AY$42,2,0),0) + IFERROR(VLOOKUP("634",$AZ$7:$BA$42,2,0),0)</f>
        <v>0</v>
      </c>
      <c r="DW40" s="77">
        <f>SUM(DS40:DV40)</f>
        <v>0</v>
      </c>
      <c r="DX40" s="77">
        <f>RANK(DW40,DW38:DW41)</f>
        <v>1</v>
      </c>
      <c r="DZ40" s="77" t="str">
        <f>BD40</f>
        <v>Czech Republic</v>
      </c>
      <c r="EA40" s="77">
        <f>EI40*10000+EO40*100+ET40</f>
        <v>100</v>
      </c>
      <c r="EB40" s="76">
        <f>COUNTIF(EA38:EA41,EA40)</f>
        <v>4</v>
      </c>
      <c r="EC40" s="76">
        <f>COUNTIF(CG38:CG41,CG40)</f>
        <v>4</v>
      </c>
      <c r="ED40" s="77">
        <f>IF(AND(EB40&gt;=2,EC40=2),EA40,-EA40-0.2)</f>
        <v>-100.2</v>
      </c>
      <c r="EE40" s="76">
        <f>IFERROR(VLOOKUP("631",$AO$7:$AR$42,2,0),0) + IFERROR(VLOOKUP("631",$AS$7:$AV$42,2,0),0)</f>
        <v>0</v>
      </c>
      <c r="EF40" s="76">
        <f>IFERROR(VLOOKUP("632",$AO$7:$AR$42,2,0),0) + IFERROR(VLOOKUP("632",$AS$7:$AV$42,2,0),0)</f>
        <v>0</v>
      </c>
      <c r="EH40" s="76">
        <f>IFERROR(VLOOKUP("634",$AO$7:$AR$42,2,0),0) + IFERROR(VLOOKUP("634",$AS$7:$AV$42,2,0),0)</f>
        <v>0</v>
      </c>
      <c r="EI40" s="77">
        <f>SUM(EE40:EH40)</f>
        <v>0</v>
      </c>
      <c r="EJ40" s="76">
        <f>IFERROR(VLOOKUP("631",$AO$7:$AR$42,3,0),0) + IFERROR(VLOOKUP("631",$AS$7:$AV$42,3,0),0)</f>
        <v>0</v>
      </c>
      <c r="EK40" s="76">
        <f>IFERROR(VLOOKUP("632",$AO$7:$AR$42,3,0),0) + IFERROR(VLOOKUP("632",$AS$7:$AV$42,3,0),0)</f>
        <v>0</v>
      </c>
      <c r="EM40" s="76">
        <f>IFERROR(VLOOKUP("634",$AO$7:$AR$42,3,0),0) + IFERROR(VLOOKUP("634",$AS$7:$AV$42,3,0),0)</f>
        <v>0</v>
      </c>
      <c r="EN40" s="77">
        <f>SUM(EJ40:EM40)</f>
        <v>0</v>
      </c>
      <c r="EO40" s="77">
        <f>RANK(EN40,EN38:EN41)</f>
        <v>1</v>
      </c>
      <c r="EP40" s="76">
        <f>IFERROR(VLOOKUP("631",$AO$7:$AR$42,4,0),0) + IFERROR(VLOOKUP("631",$AS$7:$AV$42,4,0),0)</f>
        <v>0</v>
      </c>
      <c r="EQ40" s="76">
        <f>IFERROR(VLOOKUP("632",$AO$7:$AR$42,4,0),0) + IFERROR(VLOOKUP("632",$AS$7:$AV$42,4,0),0)</f>
        <v>0</v>
      </c>
      <c r="ES40" s="76">
        <f>IFERROR(VLOOKUP("634",$AO$7:$AR$42,4,0),0) + IFERROR(VLOOKUP("634",$AS$7:$AV$42,4,0),0)</f>
        <v>0</v>
      </c>
      <c r="ET40" s="77">
        <f>SUM(EP40:ES40)</f>
        <v>0</v>
      </c>
      <c r="EV40" s="82"/>
    </row>
    <row r="41" spans="1:173">
      <c r="A41" s="49">
        <v>32</v>
      </c>
      <c r="B41" s="50" t="str">
        <f t="shared" si="27"/>
        <v>Tue</v>
      </c>
      <c r="C41" s="51" t="str">
        <f t="shared" si="28"/>
        <v>Jun 25, 2024</v>
      </c>
      <c r="D41" s="52">
        <f t="shared" si="29"/>
        <v>0.66666666666666663</v>
      </c>
      <c r="E41" s="53" t="str">
        <f>BD21</f>
        <v>Denmark</v>
      </c>
      <c r="F41" s="41"/>
      <c r="G41" s="42"/>
      <c r="H41" s="54" t="str">
        <f>BD22</f>
        <v>Serbia</v>
      </c>
      <c r="I41" s="133" t="str">
        <f>INDEX(T,103,lang)</f>
        <v>Munich</v>
      </c>
      <c r="J41" s="133"/>
      <c r="K41" s="133"/>
      <c r="L41" s="85"/>
      <c r="M41" s="86"/>
      <c r="O41" s="44" t="str">
        <f>VLOOKUP(3,BC38:BM41,2,0)</f>
        <v>Czech Republic</v>
      </c>
      <c r="P41" s="45">
        <f>Q41+R41+S41</f>
        <v>0</v>
      </c>
      <c r="Q41" s="45">
        <f>VLOOKUP(3,BC38:BM41,3,0)</f>
        <v>0</v>
      </c>
      <c r="R41" s="45">
        <f>VLOOKUP(3,BC38:BM41,4,0)</f>
        <v>0</v>
      </c>
      <c r="S41" s="45">
        <f>VLOOKUP(3,BC38:BM41,5,0)</f>
        <v>0</v>
      </c>
      <c r="T41" s="45" t="str">
        <f>VLOOKUP(3,BC38:BM41,6,0) &amp; " - " &amp; VLOOKUP(3,BC38:BM41,7,0)</f>
        <v>0 - 0</v>
      </c>
      <c r="U41" s="46">
        <f>Q41*3+R41</f>
        <v>0</v>
      </c>
      <c r="W41" s="76">
        <f>DATE(2024,6,26)+TIME(8,0,0)+gmt_delta</f>
        <v>45469.666666666672</v>
      </c>
      <c r="X41" s="78" t="str">
        <f t="shared" si="0"/>
        <v/>
      </c>
      <c r="Y41" s="78" t="str">
        <f t="shared" si="1"/>
        <v/>
      </c>
      <c r="Z41" s="77">
        <f t="shared" si="2"/>
        <v>0</v>
      </c>
      <c r="AA41" s="76">
        <f t="shared" si="3"/>
        <v>0</v>
      </c>
      <c r="AB41" s="76">
        <f t="shared" si="4"/>
        <v>0</v>
      </c>
      <c r="AC41" s="76">
        <f t="shared" si="5"/>
        <v>6</v>
      </c>
      <c r="AD41" s="76">
        <f t="shared" si="6"/>
        <v>4</v>
      </c>
      <c r="AE41" s="76">
        <f t="shared" si="7"/>
        <v>1</v>
      </c>
      <c r="AF41" s="76" t="str">
        <f t="shared" si="8"/>
        <v>641</v>
      </c>
      <c r="AG41" s="76">
        <f t="shared" si="9"/>
        <v>0</v>
      </c>
      <c r="AH41" s="76">
        <f t="shared" si="10"/>
        <v>0</v>
      </c>
      <c r="AI41" s="76">
        <f t="shared" si="11"/>
        <v>0</v>
      </c>
      <c r="AJ41" s="76" t="str">
        <f t="shared" si="12"/>
        <v>614</v>
      </c>
      <c r="AK41" s="76">
        <f t="shared" si="13"/>
        <v>0</v>
      </c>
      <c r="AL41" s="76">
        <f t="shared" si="14"/>
        <v>0</v>
      </c>
      <c r="AM41" s="76">
        <f t="shared" si="15"/>
        <v>0</v>
      </c>
      <c r="AO41" s="76" t="str">
        <f t="shared" si="33"/>
        <v>641</v>
      </c>
      <c r="AP41" s="76">
        <v>0</v>
      </c>
      <c r="AQ41" s="76">
        <v>0</v>
      </c>
      <c r="AR41" s="76">
        <v>0</v>
      </c>
      <c r="AS41" s="76" t="str">
        <f t="shared" si="34"/>
        <v>614</v>
      </c>
      <c r="AT41" s="76">
        <v>0</v>
      </c>
      <c r="AU41" s="76">
        <v>0</v>
      </c>
      <c r="AV41" s="76">
        <v>0</v>
      </c>
      <c r="AW41" s="76">
        <f t="shared" si="35"/>
        <v>0</v>
      </c>
      <c r="AX41" s="76" t="str">
        <f t="shared" si="24"/>
        <v>641</v>
      </c>
      <c r="AY41" s="76">
        <f t="shared" si="36"/>
        <v>0</v>
      </c>
      <c r="AZ41" s="76" t="str">
        <f t="shared" si="25"/>
        <v>614</v>
      </c>
      <c r="BA41" s="76">
        <f t="shared" si="37"/>
        <v>0</v>
      </c>
      <c r="BC41" s="76">
        <f>DQ41</f>
        <v>4</v>
      </c>
      <c r="BD41" s="77" t="str">
        <f>INDEX(T,65,lang)</f>
        <v>Georgia</v>
      </c>
      <c r="BE41" s="76">
        <f>COUNTIF($X$7:$Y$42,"=" &amp; BD41 &amp; "_win")</f>
        <v>0</v>
      </c>
      <c r="BF41" s="76">
        <f>COUNTIF($X$7:$Y$42,"=" &amp; BD41 &amp; "_draw")</f>
        <v>0</v>
      </c>
      <c r="BG41" s="76">
        <f>COUNTIF($X$7:$Y$42,"=" &amp; BD41 &amp; "_lose")</f>
        <v>0</v>
      </c>
      <c r="BH41" s="76">
        <f>SUMIF($E$10:$E$45,$BD41,$F$10:$F$45) + SUMIF($H$10:$H$45,$BD41,$G$10:$G$45)</f>
        <v>0</v>
      </c>
      <c r="BI41" s="76">
        <f>SUMIF($E$10:$E$45,$BD41,$G$10:$G$45) + SUMIF($H$10:$H$45,$BD41,$F$10:$F$45)</f>
        <v>0</v>
      </c>
      <c r="BJ41" s="76">
        <f>BM41*10000</f>
        <v>0</v>
      </c>
      <c r="BK41" s="76">
        <f>BH41-BI41</f>
        <v>0</v>
      </c>
      <c r="BL41" s="76">
        <f>(BK41-BK43)/BK42</f>
        <v>0</v>
      </c>
      <c r="BM41" s="76">
        <f>BE41*3+BF41</f>
        <v>0</v>
      </c>
      <c r="BN41" s="76">
        <f>BT41/BT42*10+BU41/BU42+BX41/BX42*0.1+BV41/BV42*0.01</f>
        <v>0</v>
      </c>
      <c r="BP41" s="76">
        <f>IF(VLOOKUP(BD41,db_fifarank,2,0)="",MIN(db_fifarank),VLOOKUP(BD41,db_fifarank,2,0))</f>
        <v>7.625</v>
      </c>
      <c r="BQ41" s="76">
        <f t="shared" si="39"/>
        <v>2.57923407065038E-4</v>
      </c>
      <c r="BR41" s="77">
        <f>10000000*BM41/BM42+100000*BN41/BN42+100*BL41+10*BH41/BH42+1*BN41/BN42+BQ41</f>
        <v>2.57923407065038E-4</v>
      </c>
      <c r="BT41" s="76">
        <f>SUMPRODUCT(($X$7:$X$42=BD41&amp;"_win")*($Z$7:$Z$42))+SUMPRODUCT(($Y$7:$Y$42=BD41&amp;"_win")*($Z$7:$Z$42))</f>
        <v>0</v>
      </c>
      <c r="BU41" s="76">
        <f>SUMPRODUCT(($X$7:$X$42=BD41&amp;"_draw")*($Z$7:$Z$42))+SUMPRODUCT(($Y$7:$Y$42=BD41&amp;"_draw")*($Z$7:$Z$42))</f>
        <v>0</v>
      </c>
      <c r="BV41" s="76">
        <f>SUMPRODUCT(($E$10:$E$45=BD41)*($Z$7:$Z$42)*($F$10:$F$45))+SUMPRODUCT(($H$10:$H$45=BD41)*($Z$7:$Z$42)*($G$10:$G$45))</f>
        <v>0</v>
      </c>
      <c r="BW41" s="76">
        <f>SUMPRODUCT(($E$10:$E$45=BD41)*($Z$7:$Z$42)*($G$10:$G$45))+SUMPRODUCT(($H$10:$H$45=BD41)*($Z$7:$Z$42)*($F$10:$F$45))</f>
        <v>0</v>
      </c>
      <c r="BX41" s="76">
        <f>BV41-BW41</f>
        <v>0</v>
      </c>
      <c r="CC41" s="76">
        <f>IFERROR(VLOOKUP("641",$AF$7:$AI$42,2,0),0) + IFERROR(VLOOKUP("641",$AJ$7:$AM$42,2,0),0)</f>
        <v>0</v>
      </c>
      <c r="CD41" s="76">
        <f>IFERROR(VLOOKUP("642",$AF$7:$AI$42,2,0),0) + IFERROR(VLOOKUP("642",$AJ$7:$AM$42,2,0),0)</f>
        <v>0</v>
      </c>
      <c r="CE41" s="76">
        <f>IFERROR(VLOOKUP("643",$AF$7:$AI$42,2,0),0) + IFERROR(VLOOKUP("643",$AJ$7:$AM$42,2,0),0)</f>
        <v>0</v>
      </c>
      <c r="CG41" s="77">
        <f>SUM(CC41:CF41)</f>
        <v>0</v>
      </c>
      <c r="CH41" s="76">
        <f>IFERROR(VLOOKUP("641",$AF$7:$AI$42,3,0),0) + IFERROR(VLOOKUP("641",$AJ$7:$AM$42,3,0),0)</f>
        <v>0</v>
      </c>
      <c r="CI41" s="76">
        <f>IFERROR(VLOOKUP("642",$AF$7:$AI$42,3,0),0) + IFERROR(VLOOKUP("642",$AJ$7:$AM$42,3,0),0)</f>
        <v>0</v>
      </c>
      <c r="CJ41" s="76">
        <f>IFERROR(VLOOKUP("643",$AF$7:$AI$42,3,0),0) + IFERROR(VLOOKUP("643",$AJ$7:$AM$42,3,0),0)</f>
        <v>0</v>
      </c>
      <c r="CL41" s="77">
        <f>SUM(CH41:CK41)</f>
        <v>0</v>
      </c>
      <c r="CM41" s="77">
        <f>RANK(CL41,CL38:CL41)</f>
        <v>1</v>
      </c>
      <c r="CN41" s="76">
        <f>IFERROR(VLOOKUP("641",$AF$7:$AI$42,4,0),0) + IFERROR(VLOOKUP("641",$AJ$7:$AM$42,4,0),0)</f>
        <v>0</v>
      </c>
      <c r="CO41" s="76">
        <f>IFERROR(VLOOKUP("642",$AF$7:$AI$42,4,0),0) + IFERROR(VLOOKUP("642",$AJ$7:$AM$42,4,0),0)</f>
        <v>0</v>
      </c>
      <c r="CP41" s="76">
        <f>IFERROR(VLOOKUP("643",$AF$7:$AI$42,4,0),0) + IFERROR(VLOOKUP("643",$AJ$7:$AM$42,4,0),0)</f>
        <v>0</v>
      </c>
      <c r="CR41" s="77">
        <f>SUM(CN41:CQ41)</f>
        <v>0</v>
      </c>
      <c r="CS41" s="76">
        <f>IF(CC42=CG41,CC41,0)</f>
        <v>0</v>
      </c>
      <c r="CT41" s="76">
        <f>IF(CD42=CG41,CD41,0)</f>
        <v>0</v>
      </c>
      <c r="CU41" s="76">
        <f>IF(CE42=CG41,CE41,0)</f>
        <v>0</v>
      </c>
      <c r="CW41" s="77">
        <f>SUM(CS41:CV41)</f>
        <v>0</v>
      </c>
      <c r="CX41" s="76">
        <f>IF(CC42=CG41,CH41,0)</f>
        <v>0</v>
      </c>
      <c r="CY41" s="76">
        <f>IF(CD42=CG41,CI41,0)</f>
        <v>0</v>
      </c>
      <c r="CZ41" s="76">
        <f>IF(CE42=CG41,CJ41,0)</f>
        <v>0</v>
      </c>
      <c r="DB41" s="77">
        <f>SUM(CX41:DA41)</f>
        <v>0</v>
      </c>
      <c r="DC41" s="77">
        <f>RANK(DB41,DB38:DB41)</f>
        <v>1</v>
      </c>
      <c r="DD41" s="76">
        <f>IF(CC42=CG41,CN41,0)</f>
        <v>0</v>
      </c>
      <c r="DE41" s="76">
        <f>IF(CD42=CG41,CO41,0)</f>
        <v>0</v>
      </c>
      <c r="DF41" s="76">
        <f>IF(CE42=CG41,CP41,0)</f>
        <v>0</v>
      </c>
      <c r="DH41" s="77">
        <f>SUM(DD41:DG41)</f>
        <v>0</v>
      </c>
      <c r="DI41" s="77">
        <f>CG41*10000+CW41*100+(5-DC41)+DH41/10</f>
        <v>4</v>
      </c>
      <c r="DJ41" s="77">
        <f>RANK(DI41,DI38:DI41)</f>
        <v>1</v>
      </c>
      <c r="DK41" s="76">
        <f>IF(DK42=DJ41,CC41,0)</f>
        <v>0</v>
      </c>
      <c r="DL41" s="76">
        <f>IF(DL42=DJ41,CD41,0)</f>
        <v>0</v>
      </c>
      <c r="DM41" s="76">
        <f>IF(DM42=DJ41,CE41,0)</f>
        <v>0</v>
      </c>
      <c r="DO41" s="77">
        <f>SUM(DK41:DN41)</f>
        <v>0</v>
      </c>
      <c r="DP41" s="77">
        <f>(5-DJ41)*10000+DO41*100+(5-CM41)+CR41/10+(5-DX41)/100+BQ41/10000</f>
        <v>40004.040000025794</v>
      </c>
      <c r="DQ41" s="77">
        <f>RANK(DP41,DP38:DP41)</f>
        <v>4</v>
      </c>
      <c r="DS41" s="76">
        <f>IFERROR(VLOOKUP("641",$AX$7:$AY$42,2,0),0) + IFERROR(VLOOKUP("641",$AZ$7:$BA$42,2,0),0)</f>
        <v>0</v>
      </c>
      <c r="DT41" s="76">
        <f>IFERROR(VLOOKUP("642",$AX$7:$AY$42,2,0),0) + IFERROR(VLOOKUP("642",$AZ$7:$BA$42,2,0),0)</f>
        <v>0</v>
      </c>
      <c r="DU41" s="76">
        <f>IFERROR(VLOOKUP("643",$AX$7:$AY$42,2,0),0) + IFERROR(VLOOKUP("643",$AZ$7:$BA$42,2,0),0)</f>
        <v>0</v>
      </c>
      <c r="DW41" s="77">
        <f>SUM(DS41:DV41)</f>
        <v>0</v>
      </c>
      <c r="DX41" s="77">
        <f>RANK(DW41,DW38:DW41)</f>
        <v>1</v>
      </c>
      <c r="DZ41" s="77" t="str">
        <f>BD41</f>
        <v>Georgia</v>
      </c>
      <c r="EA41" s="77">
        <f>EI41*10000+EO41*100+ET41</f>
        <v>100</v>
      </c>
      <c r="EB41" s="76">
        <f>COUNTIF(EA38:EA41,EA41)</f>
        <v>4</v>
      </c>
      <c r="EC41" s="76">
        <f>COUNTIF(CG38:CG41,CG41)</f>
        <v>4</v>
      </c>
      <c r="ED41" s="77">
        <f>IF(AND(EB41&gt;=2,EC41=2),EA41,-EA41-0.1)</f>
        <v>-100.1</v>
      </c>
      <c r="EE41" s="76">
        <f>IFERROR(VLOOKUP("641",$AO$7:$AR$42,2,0),0) + IFERROR(VLOOKUP("641",$AS$7:$AV$42,2,0),0)</f>
        <v>0</v>
      </c>
      <c r="EF41" s="76">
        <f>IFERROR(VLOOKUP("642",$AO$7:$AR$42,2,0),0) + IFERROR(VLOOKUP("642",$AS$7:$AV$42,2,0),0)</f>
        <v>0</v>
      </c>
      <c r="EG41" s="76">
        <f>IFERROR(VLOOKUP("643",$AO$7:$AR$42,2,0),0) + IFERROR(VLOOKUP("643",$AS$7:$AV$42,2,0),0)</f>
        <v>0</v>
      </c>
      <c r="EI41" s="77">
        <f>SUM(EE41:EH41)</f>
        <v>0</v>
      </c>
      <c r="EJ41" s="76">
        <f>IFERROR(VLOOKUP("641",$AO$7:$AR$42,3,0),0) + IFERROR(VLOOKUP("641",$AS$7:$AV$42,3,0),0)</f>
        <v>0</v>
      </c>
      <c r="EK41" s="76">
        <f>IFERROR(VLOOKUP("642",$AO$7:$AR$42,3,0),0) + IFERROR(VLOOKUP("642",$AS$7:$AV$42,3,0),0)</f>
        <v>0</v>
      </c>
      <c r="EL41" s="76">
        <f>IFERROR(VLOOKUP("643",$AO$7:$AR$42,3,0),0) + IFERROR(VLOOKUP("643",$AS$7:$AV$42,3,0),0)</f>
        <v>0</v>
      </c>
      <c r="EN41" s="77">
        <f>SUM(EJ41:EM41)</f>
        <v>0</v>
      </c>
      <c r="EO41" s="77">
        <f>RANK(EN41,EN38:EN41)</f>
        <v>1</v>
      </c>
      <c r="EP41" s="76">
        <f>IFERROR(VLOOKUP("641",$AO$7:$AR$42,4,0),0) + IFERROR(VLOOKUP("641",$AS$7:$AV$42,4,0),0)</f>
        <v>0</v>
      </c>
      <c r="EQ41" s="76">
        <f>IFERROR(VLOOKUP("642",$AO$7:$AR$42,4,0),0) + IFERROR(VLOOKUP("642",$AS$7:$AV$42,4,0),0)</f>
        <v>0</v>
      </c>
      <c r="ER41" s="76">
        <f>IFERROR(VLOOKUP("643",$AO$7:$AR$42,4,0),0) + IFERROR(VLOOKUP("643",$AS$7:$AV$42,4,0),0)</f>
        <v>0</v>
      </c>
      <c r="ET41" s="77">
        <f>SUM(EP41:ES41)</f>
        <v>0</v>
      </c>
      <c r="FG41" s="135" t="str">
        <f>INDEX(T,102,lang)</f>
        <v>Champion 2024</v>
      </c>
      <c r="FH41" s="135"/>
      <c r="FI41" s="135"/>
      <c r="FJ41" s="135"/>
      <c r="FK41" s="135"/>
      <c r="FL41" s="136" t="str">
        <f>X73</f>
        <v/>
      </c>
      <c r="FM41" s="136"/>
      <c r="FN41" s="136"/>
      <c r="FO41" s="136"/>
      <c r="FP41" s="136"/>
      <c r="FQ41" s="136"/>
    </row>
    <row r="42" spans="1:173">
      <c r="A42" s="49">
        <v>33</v>
      </c>
      <c r="B42" s="50" t="str">
        <f t="shared" si="27"/>
        <v>Wed</v>
      </c>
      <c r="C42" s="51" t="str">
        <f t="shared" si="28"/>
        <v>Jun 26, 2024</v>
      </c>
      <c r="D42" s="52">
        <f t="shared" si="29"/>
        <v>0.54166666666666663</v>
      </c>
      <c r="E42" s="53" t="str">
        <f>BD35</f>
        <v>Slovakia</v>
      </c>
      <c r="F42" s="41"/>
      <c r="G42" s="42"/>
      <c r="H42" s="54" t="str">
        <f>BD34</f>
        <v>Romania</v>
      </c>
      <c r="I42" s="133" t="str">
        <f>INDEX(T,106,lang)</f>
        <v>Frankfurt</v>
      </c>
      <c r="J42" s="133"/>
      <c r="K42" s="133"/>
      <c r="L42" s="85"/>
      <c r="M42" s="86"/>
      <c r="O42" s="59" t="str">
        <f>VLOOKUP(4,BC38:BM41,2,0)</f>
        <v>Georgia</v>
      </c>
      <c r="P42" s="60">
        <f>Q42+R42+S42</f>
        <v>0</v>
      </c>
      <c r="Q42" s="60">
        <f>VLOOKUP(4,BC38:BM41,3,0)</f>
        <v>0</v>
      </c>
      <c r="R42" s="60">
        <f>VLOOKUP(4,BC38:BM41,4,0)</f>
        <v>0</v>
      </c>
      <c r="S42" s="60">
        <f>VLOOKUP(4,BC38:BM41,5,0)</f>
        <v>0</v>
      </c>
      <c r="T42" s="60" t="str">
        <f>VLOOKUP(4,BC38:BM41,6,0) &amp; " - " &amp; VLOOKUP(4,BC38:BM41,7,0)</f>
        <v>0 - 0</v>
      </c>
      <c r="U42" s="61">
        <f>Q42*3+R42</f>
        <v>0</v>
      </c>
      <c r="W42" s="76">
        <f>DATE(2024,6,26)+TIME(8,0,0)+gmt_delta</f>
        <v>45469.666666666672</v>
      </c>
      <c r="X42" s="78" t="str">
        <f t="shared" si="0"/>
        <v/>
      </c>
      <c r="Y42" s="78" t="str">
        <f t="shared" si="1"/>
        <v/>
      </c>
      <c r="Z42" s="77">
        <f t="shared" si="2"/>
        <v>0</v>
      </c>
      <c r="AA42" s="76">
        <f t="shared" si="3"/>
        <v>0</v>
      </c>
      <c r="AB42" s="76">
        <f t="shared" si="4"/>
        <v>0</v>
      </c>
      <c r="AC42" s="76">
        <f t="shared" si="5"/>
        <v>6</v>
      </c>
      <c r="AD42" s="76">
        <f t="shared" si="6"/>
        <v>3</v>
      </c>
      <c r="AE42" s="76">
        <f t="shared" si="7"/>
        <v>2</v>
      </c>
      <c r="AF42" s="76" t="str">
        <f t="shared" si="8"/>
        <v>632</v>
      </c>
      <c r="AG42" s="76">
        <f t="shared" si="9"/>
        <v>0</v>
      </c>
      <c r="AH42" s="76">
        <f t="shared" si="10"/>
        <v>0</v>
      </c>
      <c r="AI42" s="76">
        <f t="shared" si="11"/>
        <v>0</v>
      </c>
      <c r="AJ42" s="76" t="str">
        <f t="shared" si="12"/>
        <v>623</v>
      </c>
      <c r="AK42" s="76">
        <f t="shared" si="13"/>
        <v>0</v>
      </c>
      <c r="AL42" s="76">
        <f t="shared" si="14"/>
        <v>0</v>
      </c>
      <c r="AM42" s="76">
        <f t="shared" si="15"/>
        <v>0</v>
      </c>
      <c r="AO42" s="76" t="str">
        <f t="shared" si="33"/>
        <v>632</v>
      </c>
      <c r="AP42" s="76">
        <v>0</v>
      </c>
      <c r="AQ42" s="76">
        <v>0</v>
      </c>
      <c r="AR42" s="76">
        <v>0</v>
      </c>
      <c r="AS42" s="76" t="str">
        <f t="shared" si="34"/>
        <v>623</v>
      </c>
      <c r="AT42" s="76">
        <v>0</v>
      </c>
      <c r="AU42" s="76">
        <v>0</v>
      </c>
      <c r="AV42" s="76">
        <v>0</v>
      </c>
      <c r="AW42" s="76">
        <f t="shared" si="35"/>
        <v>0</v>
      </c>
      <c r="AX42" s="76" t="str">
        <f t="shared" si="24"/>
        <v>632</v>
      </c>
      <c r="AY42" s="76">
        <f t="shared" si="36"/>
        <v>0</v>
      </c>
      <c r="AZ42" s="76" t="str">
        <f t="shared" si="25"/>
        <v>623</v>
      </c>
      <c r="BA42" s="76">
        <f t="shared" si="37"/>
        <v>0</v>
      </c>
      <c r="BE42" s="76">
        <f>MAX(BE38:BE41)-MIN(BE38:BE41)+1</f>
        <v>1</v>
      </c>
      <c r="BF42" s="76">
        <f>MAX(BF38:BF41)-MIN(BF38:BF41)+1</f>
        <v>1</v>
      </c>
      <c r="BG42" s="76">
        <f>MAX(BG38:BG41)-MIN(BG38:BG41)+1</f>
        <v>1</v>
      </c>
      <c r="BH42" s="76">
        <f>MAX(BH38:BH41)-MIN(BH38:BH41)+1</f>
        <v>1</v>
      </c>
      <c r="BI42" s="76">
        <f>MAX(BI38:BI41)-MIN(BI38:BI41)+1</f>
        <v>1</v>
      </c>
      <c r="BJ42" s="76">
        <f>MAX(BJ38:BJ41)-BJ43+1</f>
        <v>1</v>
      </c>
      <c r="BK42" s="76">
        <f>MAX(BK38:BK41)-BK43+1</f>
        <v>1</v>
      </c>
      <c r="BM42" s="76">
        <f>MAX(BM38:BM41)-MIN(BM38:BM41)+1</f>
        <v>1</v>
      </c>
      <c r="BN42" s="76">
        <f>MAX(BN38:BN41)-MIN(BN38:BN41)+1</f>
        <v>1</v>
      </c>
      <c r="BT42" s="76">
        <f>MAX(BT38:BT41)-MIN(BT38:BT41)+1</f>
        <v>1</v>
      </c>
      <c r="BU42" s="76">
        <f>MAX(BU38:BU41)-MIN(BU38:BU41)+1</f>
        <v>1</v>
      </c>
      <c r="BV42" s="76">
        <f>MAX(BV38:BV41)-MIN(BV38:BV41)+1</f>
        <v>1</v>
      </c>
      <c r="BW42" s="76">
        <f>MAX(BW38:BW41)-MIN(BW38:BW41)+1</f>
        <v>1</v>
      </c>
      <c r="BX42" s="76">
        <f>MAX(BX38:BX41)-MIN(BX38:BX41)+1</f>
        <v>1</v>
      </c>
      <c r="CC42" s="76">
        <f>CG38</f>
        <v>0</v>
      </c>
      <c r="CD42" s="76">
        <f>CG39</f>
        <v>0</v>
      </c>
      <c r="CE42" s="76">
        <f>CG40</f>
        <v>0</v>
      </c>
      <c r="CF42" s="76">
        <f>CG41</f>
        <v>0</v>
      </c>
      <c r="DK42" s="76">
        <f>DJ38</f>
        <v>1</v>
      </c>
      <c r="DL42" s="76">
        <f>DJ39</f>
        <v>1</v>
      </c>
      <c r="DM42" s="76">
        <f>DJ40</f>
        <v>1</v>
      </c>
      <c r="DN42" s="76">
        <f>DJ41</f>
        <v>1</v>
      </c>
      <c r="DO42" s="77">
        <f>SUM(DK42:DN42)</f>
        <v>4</v>
      </c>
      <c r="DS42" s="76">
        <f>DW38</f>
        <v>0</v>
      </c>
      <c r="DT42" s="76">
        <f>DW39</f>
        <v>0</v>
      </c>
      <c r="DU42" s="76">
        <f>DW40</f>
        <v>0</v>
      </c>
      <c r="DV42" s="76">
        <f>DW41</f>
        <v>0</v>
      </c>
      <c r="EE42" s="76">
        <f>EI38</f>
        <v>0</v>
      </c>
      <c r="EF42" s="76">
        <f>EI39</f>
        <v>0</v>
      </c>
      <c r="EG42" s="76">
        <f>EI40</f>
        <v>0</v>
      </c>
      <c r="EH42" s="76">
        <f>EI41</f>
        <v>0</v>
      </c>
      <c r="FG42" s="135"/>
      <c r="FH42" s="135"/>
      <c r="FI42" s="135"/>
      <c r="FJ42" s="135"/>
      <c r="FK42" s="135"/>
      <c r="FL42" s="136"/>
      <c r="FM42" s="136"/>
      <c r="FN42" s="136"/>
      <c r="FO42" s="136"/>
      <c r="FP42" s="136"/>
      <c r="FQ42" s="136"/>
    </row>
    <row r="43" spans="1:173">
      <c r="A43" s="49">
        <v>34</v>
      </c>
      <c r="B43" s="50" t="str">
        <f t="shared" si="27"/>
        <v>Wed</v>
      </c>
      <c r="C43" s="51" t="str">
        <f t="shared" si="28"/>
        <v>Jun 26, 2024</v>
      </c>
      <c r="D43" s="52">
        <f t="shared" si="29"/>
        <v>0.54166666666666663</v>
      </c>
      <c r="E43" s="53" t="str">
        <f>BD33</f>
        <v>Ukraine</v>
      </c>
      <c r="F43" s="41"/>
      <c r="G43" s="42"/>
      <c r="H43" s="54" t="str">
        <f>BD32</f>
        <v>Belgium</v>
      </c>
      <c r="I43" s="133" t="str">
        <f>INDEX(T,105,lang)</f>
        <v>Stuttgart</v>
      </c>
      <c r="J43" s="133"/>
      <c r="K43" s="133"/>
      <c r="L43" s="85"/>
      <c r="M43" s="86"/>
      <c r="BJ43" s="76">
        <f>MIN(BJ38:BJ41)</f>
        <v>0</v>
      </c>
      <c r="BK43" s="76">
        <f>MIN(BK38:BK41)</f>
        <v>0</v>
      </c>
    </row>
    <row r="44" spans="1:173">
      <c r="A44" s="49">
        <v>35</v>
      </c>
      <c r="B44" s="50" t="str">
        <f t="shared" si="27"/>
        <v>Wed</v>
      </c>
      <c r="C44" s="51" t="str">
        <f t="shared" si="28"/>
        <v>Jun 26, 2024</v>
      </c>
      <c r="D44" s="52">
        <f t="shared" si="29"/>
        <v>0.66666666666666663</v>
      </c>
      <c r="E44" s="53" t="str">
        <f>BD41</f>
        <v>Georgia</v>
      </c>
      <c r="F44" s="41"/>
      <c r="G44" s="42"/>
      <c r="H44" s="54" t="str">
        <f>BD38</f>
        <v>Portugal</v>
      </c>
      <c r="I44" s="133" t="str">
        <f>INDEX(T,110,lang)</f>
        <v>Gelsenkirchen</v>
      </c>
      <c r="J44" s="133"/>
      <c r="K44" s="133"/>
      <c r="L44" s="85"/>
      <c r="M44" s="86"/>
      <c r="O44" s="30" t="str">
        <f>INDEX(T,9,lang) &amp; " "</f>
        <v xml:space="preserve">Group </v>
      </c>
      <c r="P44" s="31" t="str">
        <f>INDEX(T,10,lang)</f>
        <v>PL</v>
      </c>
      <c r="Q44" s="31" t="str">
        <f>INDEX(T,11,lang)</f>
        <v>W</v>
      </c>
      <c r="R44" s="31" t="str">
        <f>INDEX(T,12,lang)</f>
        <v>DRAW</v>
      </c>
      <c r="S44" s="31" t="str">
        <f>INDEX(T,13,lang)</f>
        <v>L</v>
      </c>
      <c r="T44" s="31" t="str">
        <f>INDEX(T,14,lang)</f>
        <v>GF - GA</v>
      </c>
      <c r="U44" s="31" t="str">
        <f>INDEX(T,15,lang)</f>
        <v>PNT</v>
      </c>
      <c r="AW44" s="77" t="str">
        <f>IF(AX44&lt;5,"A","")</f>
        <v>A</v>
      </c>
      <c r="BB44" s="77" t="str">
        <f>IF(BC44&lt;5,"A","")</f>
        <v>A</v>
      </c>
      <c r="BC44" s="76">
        <f t="shared" ref="BC44:BC49" si="40">COUNTIF($BR$44:$BR$49,CONCATENATE("&gt;=",BR44))</f>
        <v>1</v>
      </c>
      <c r="BD44" s="77" t="str">
        <f>BS10</f>
        <v>3A</v>
      </c>
      <c r="BE44" s="76">
        <f>IFERROR(VLOOKUP($BD44,$BD$8:$BI$41,2,0),0)</f>
        <v>0</v>
      </c>
      <c r="BF44" s="76">
        <f t="shared" ref="BF44:BF49" si="41">IFERROR(VLOOKUP($BD44,$BD$8:$BI$41,3,0),0)</f>
        <v>0</v>
      </c>
      <c r="BG44" s="76">
        <f t="shared" ref="BG44:BG49" si="42">IFERROR(VLOOKUP($BD44,$BD$8:$BI$41,4,0),0)</f>
        <v>0</v>
      </c>
      <c r="BH44" s="76">
        <f t="shared" ref="BH44:BH49" si="43">IFERROR(VLOOKUP($BD44,$BD$8:$BI$41,5,0),0)</f>
        <v>0</v>
      </c>
      <c r="BI44" s="76">
        <f t="shared" ref="BI44:BI49" si="44">IFERROR(VLOOKUP($BD44,$BD$8:$BI$41,6,0),0)</f>
        <v>0</v>
      </c>
      <c r="BK44" s="76">
        <f t="shared" ref="BK44:BK49" si="45">BH44-BI44</f>
        <v>0</v>
      </c>
      <c r="BL44" s="76">
        <f>(BK44-BK51)/BK50</f>
        <v>0</v>
      </c>
      <c r="BM44" s="76">
        <f t="shared" ref="BM44:BM49" si="46">BE44*3+BF44</f>
        <v>0</v>
      </c>
      <c r="BP44" s="76">
        <f>MIN(BP8:BP41)</f>
        <v>7.375</v>
      </c>
      <c r="BQ44" s="76">
        <f>IFERROR(VLOOKUP(BD44,db_fifarank,2,0)/2000000,6)</f>
        <v>6</v>
      </c>
      <c r="BR44" s="77">
        <f>BM44/$BM$50*10000+BL44*1000+BH44/$BH$50*100+BE44/$BE$50*10+BQ44</f>
        <v>6</v>
      </c>
    </row>
    <row r="45" spans="1:173">
      <c r="A45" s="67">
        <v>36</v>
      </c>
      <c r="B45" s="68" t="str">
        <f t="shared" si="27"/>
        <v>Wed</v>
      </c>
      <c r="C45" s="69" t="str">
        <f t="shared" si="28"/>
        <v>Jun 26, 2024</v>
      </c>
      <c r="D45" s="70">
        <f t="shared" si="29"/>
        <v>0.66666666666666663</v>
      </c>
      <c r="E45" s="71" t="str">
        <f>BD40</f>
        <v>Czech Republic</v>
      </c>
      <c r="F45" s="56"/>
      <c r="G45" s="57"/>
      <c r="H45" s="72" t="str">
        <f>BD39</f>
        <v>Turkey</v>
      </c>
      <c r="I45" s="137" t="str">
        <f>INDEX(T,109,lang)</f>
        <v>Hamburg</v>
      </c>
      <c r="J45" s="137"/>
      <c r="K45" s="137"/>
      <c r="L45" s="87"/>
      <c r="M45" s="88"/>
      <c r="O45" s="73" t="str">
        <f>VLOOKUP(1,BC44:BM49,2,0)</f>
        <v>3A</v>
      </c>
      <c r="P45" s="34">
        <f t="shared" ref="P45:P50" si="47">Q45+R45+S45</f>
        <v>0</v>
      </c>
      <c r="Q45" s="34">
        <f>VLOOKUP(1,BC44:BM49,3,0)</f>
        <v>0</v>
      </c>
      <c r="R45" s="34">
        <f>VLOOKUP(1,BC44:BM49,4,0)</f>
        <v>0</v>
      </c>
      <c r="S45" s="34">
        <f>VLOOKUP(1,BC44:BM49,5,0)</f>
        <v>0</v>
      </c>
      <c r="T45" s="34" t="str">
        <f>VLOOKUP(1,BC44:BM49,6,0) &amp; " - " &amp; VLOOKUP(1,BC44:BM49,7,0)</f>
        <v>0 - 0</v>
      </c>
      <c r="U45" s="35">
        <f t="shared" ref="U45:U50" si="48">Q45*3+R45</f>
        <v>0</v>
      </c>
      <c r="AW45" s="77" t="str">
        <f>IF(AX45&lt;5,"B","")</f>
        <v>B</v>
      </c>
      <c r="BB45" s="77" t="str">
        <f>IF(BC45&lt;5,"B","")</f>
        <v>B</v>
      </c>
      <c r="BC45" s="76">
        <f t="shared" si="40"/>
        <v>2</v>
      </c>
      <c r="BD45" s="77" t="str">
        <f>BS16</f>
        <v>3B</v>
      </c>
      <c r="BE45" s="76">
        <f>IFERROR(VLOOKUP(BD45,$BD$8:$BI$41,2,0),0)</f>
        <v>0</v>
      </c>
      <c r="BF45" s="76">
        <f t="shared" si="41"/>
        <v>0</v>
      </c>
      <c r="BG45" s="76">
        <f t="shared" si="42"/>
        <v>0</v>
      </c>
      <c r="BH45" s="76">
        <f t="shared" si="43"/>
        <v>0</v>
      </c>
      <c r="BI45" s="76">
        <f t="shared" si="44"/>
        <v>0</v>
      </c>
      <c r="BK45" s="76">
        <f t="shared" si="45"/>
        <v>0</v>
      </c>
      <c r="BL45" s="76">
        <f>(BK45-BK51)/BK50</f>
        <v>0</v>
      </c>
      <c r="BM45" s="76">
        <f t="shared" si="46"/>
        <v>0</v>
      </c>
      <c r="BP45" s="76">
        <f>MAX(BP8:BP41)</f>
        <v>104.303</v>
      </c>
      <c r="BQ45" s="76">
        <f>IFERROR(VLOOKUP(BD45,db_fifarank,2,0)/2000000,5)</f>
        <v>5</v>
      </c>
      <c r="BR45" s="77">
        <f>BM45/$BM$50*10000+BL45*1000+BH45/$BH$50*100+BE45/$BE$50*10+BQ45</f>
        <v>5</v>
      </c>
    </row>
    <row r="46" spans="1:173">
      <c r="O46" s="44" t="str">
        <f>VLOOKUP(2,BC44:BM49,2,0)</f>
        <v>3B</v>
      </c>
      <c r="P46" s="45">
        <f t="shared" si="47"/>
        <v>0</v>
      </c>
      <c r="Q46" s="45">
        <f>VLOOKUP(2,BC44:BM49,3,0)</f>
        <v>0</v>
      </c>
      <c r="R46" s="45">
        <f>VLOOKUP(2,BC44:BM49,4,0)</f>
        <v>0</v>
      </c>
      <c r="S46" s="45">
        <f>VLOOKUP(2,BC44:BM49,5,0)</f>
        <v>0</v>
      </c>
      <c r="T46" s="45" t="str">
        <f>VLOOKUP(2,BC44:BM49,6,0) &amp; " - " &amp; VLOOKUP(2,BC44:BM49,7,0)</f>
        <v>0 - 0</v>
      </c>
      <c r="U46" s="46">
        <f t="shared" si="48"/>
        <v>0</v>
      </c>
      <c r="W46" s="76">
        <f>DATE(2024,6,29)+TIME(5,0,0)+gmt_delta</f>
        <v>45472.541666666672</v>
      </c>
      <c r="X46" s="78" t="str">
        <f>IF(OR(EX10="",EX11=""),"",IF(EX10&gt;EX11,EW10,IF(EX10&lt;EX11,EW11,IF(OR(EY10="",EY11=""),"draw",IF(EY10&gt;EY11,EW10,IF(EY10&lt;EY11,EW11,IF(OR(#REF!="",#REF!=""),"draw",IF(#REF!&gt;#REF!,EW10,IF(#REF!&lt;#REF!,EW11,"draw")))))))))</f>
        <v/>
      </c>
      <c r="Y46" s="78" t="str">
        <f>IF(OR(X46="",X46="draw"),INDEX(T,86,lang),X46)</f>
        <v>W37</v>
      </c>
      <c r="Z46" s="77">
        <v>1</v>
      </c>
      <c r="AA46" s="76" t="str">
        <f t="shared" ref="AA46:AA53" si="49">INDEX(T,24+MONTH(W46),lang) &amp; " " &amp; DAY(W46) &amp; ", " &amp; YEAR(W46) &amp; "   " &amp; TEXT(HOUR(W46), "00") &amp; ":" &amp; TEXT(MINUTE(W46),"00")</f>
        <v>Jun 29, 2024   13:00</v>
      </c>
      <c r="AB46" s="76" t="str">
        <f>BS9</f>
        <v>2A</v>
      </c>
      <c r="AC46" s="76" t="str">
        <f>BS15</f>
        <v>2B</v>
      </c>
      <c r="AW46" s="77" t="str">
        <f>IF(AX46&lt;5,"C","")</f>
        <v>C</v>
      </c>
      <c r="BB46" s="77" t="str">
        <f>IF(BC46&lt;5,"C","")</f>
        <v>C</v>
      </c>
      <c r="BC46" s="76">
        <f t="shared" si="40"/>
        <v>3</v>
      </c>
      <c r="BD46" s="77" t="str">
        <f>BS22</f>
        <v>3C</v>
      </c>
      <c r="BE46" s="76">
        <f>IFERROR(VLOOKUP(BD46,$BD$8:$BI$41,2,0),0)</f>
        <v>0</v>
      </c>
      <c r="BF46" s="76">
        <f t="shared" si="41"/>
        <v>0</v>
      </c>
      <c r="BG46" s="76">
        <f t="shared" si="42"/>
        <v>0</v>
      </c>
      <c r="BH46" s="76">
        <f t="shared" si="43"/>
        <v>0</v>
      </c>
      <c r="BI46" s="76">
        <f t="shared" si="44"/>
        <v>0</v>
      </c>
      <c r="BK46" s="76">
        <f t="shared" si="45"/>
        <v>0</v>
      </c>
      <c r="BL46" s="76">
        <f>(BK46-BK51)/BK50</f>
        <v>0</v>
      </c>
      <c r="BM46" s="76">
        <f t="shared" si="46"/>
        <v>0</v>
      </c>
      <c r="BP46" s="76">
        <f>IF(BP45-BP44=0,0.1,BP45-BP44)</f>
        <v>96.927999999999997</v>
      </c>
      <c r="BQ46" s="76">
        <f>IFERROR(VLOOKUP(BD46,db_fifarank,2,0)/2000000,4)</f>
        <v>4</v>
      </c>
      <c r="BR46" s="77">
        <f t="shared" ref="BR46:BR49" si="50">BM46/$BM$50*10000+BL46*1000+BH46/$BH$50*100+BE46/$BE$50*10+BQ46</f>
        <v>4</v>
      </c>
    </row>
    <row r="47" spans="1:173">
      <c r="O47" s="44" t="str">
        <f>VLOOKUP(3,BC44:BM49,2,0)</f>
        <v>3C</v>
      </c>
      <c r="P47" s="45">
        <f t="shared" si="47"/>
        <v>0</v>
      </c>
      <c r="Q47" s="45">
        <f>VLOOKUP(3,BC44:BM49,3,0)</f>
        <v>0</v>
      </c>
      <c r="R47" s="45">
        <f>VLOOKUP(3,BC44:BM49,4,0)</f>
        <v>0</v>
      </c>
      <c r="S47" s="45">
        <f>VLOOKUP(3,BC44:BM49,5,0)</f>
        <v>0</v>
      </c>
      <c r="T47" s="45" t="str">
        <f>VLOOKUP(3,BC44:BM49,6,0) &amp; " - " &amp; VLOOKUP(3,BC44:BM49,7,0)</f>
        <v>0 - 0</v>
      </c>
      <c r="U47" s="46">
        <f t="shared" si="48"/>
        <v>0</v>
      </c>
      <c r="W47" s="76">
        <f>DATE(2024,6,29)+TIME(8,0,0)+gmt_delta</f>
        <v>45472.666666666672</v>
      </c>
      <c r="X47" s="78" t="str">
        <f>IF(OR(EX14="",EX15=""),"",IF(EX14&gt;EX15,EW14,IF(EX14&lt;EX15,EW15,IF(OR(EY14="",EY15=""),"draw",IF(EY14&gt;EY15,EW14,IF(EY14&lt;EY15,EW15,IF(OR(#REF!="",#REF!=""),"draw",IF(#REF!&gt;#REF!,EW14,IF(#REF!&lt;#REF!,EW15,"draw")))))))))</f>
        <v/>
      </c>
      <c r="Y47" s="78" t="str">
        <f>IF(OR(X47="",X47="draw"),INDEX(T,87,lang),X47)</f>
        <v>W39</v>
      </c>
      <c r="Z47" s="77">
        <v>2</v>
      </c>
      <c r="AA47" s="76" t="str">
        <f t="shared" si="49"/>
        <v>Jun 29, 2024   16:00</v>
      </c>
      <c r="AB47" s="76" t="str">
        <f>BS8</f>
        <v>1A</v>
      </c>
      <c r="AC47" s="76" t="str">
        <f>BS21</f>
        <v>2C</v>
      </c>
      <c r="AW47" s="77" t="str">
        <f>IF(AX47&lt;5,"D","")</f>
        <v>D</v>
      </c>
      <c r="BB47" s="77" t="str">
        <f>IF(BC47&lt;5,"D","")</f>
        <v>D</v>
      </c>
      <c r="BC47" s="76">
        <f t="shared" si="40"/>
        <v>4</v>
      </c>
      <c r="BD47" s="77" t="str">
        <f>BS28</f>
        <v>3D</v>
      </c>
      <c r="BE47" s="76">
        <f>IFERROR(VLOOKUP(BD47,$BD$8:$BI$41,2,0),0)</f>
        <v>0</v>
      </c>
      <c r="BF47" s="76">
        <f t="shared" si="41"/>
        <v>0</v>
      </c>
      <c r="BG47" s="76">
        <f t="shared" si="42"/>
        <v>0</v>
      </c>
      <c r="BH47" s="76">
        <f t="shared" si="43"/>
        <v>0</v>
      </c>
      <c r="BI47" s="76">
        <f t="shared" si="44"/>
        <v>0</v>
      </c>
      <c r="BK47" s="76">
        <f t="shared" si="45"/>
        <v>0</v>
      </c>
      <c r="BL47" s="76">
        <f>(BK47-BK51)/BK50</f>
        <v>0</v>
      </c>
      <c r="BM47" s="76">
        <f t="shared" si="46"/>
        <v>0</v>
      </c>
      <c r="BQ47" s="76">
        <f>IFERROR(VLOOKUP(BD47,db_fifarank,2,0)/2000000,3)</f>
        <v>3</v>
      </c>
      <c r="BR47" s="77">
        <f t="shared" si="50"/>
        <v>3</v>
      </c>
    </row>
    <row r="48" spans="1:173">
      <c r="O48" s="44" t="str">
        <f>VLOOKUP(4,BC44:BM49,2,0)</f>
        <v>3D</v>
      </c>
      <c r="P48" s="45">
        <f t="shared" si="47"/>
        <v>0</v>
      </c>
      <c r="Q48" s="45">
        <f>VLOOKUP(4,BC44:BM49,3,0)</f>
        <v>0</v>
      </c>
      <c r="R48" s="45">
        <f>VLOOKUP(4,BC44:BM49,4,0)</f>
        <v>0</v>
      </c>
      <c r="S48" s="45">
        <f>VLOOKUP(4,BC44:BM49,5,0)</f>
        <v>0</v>
      </c>
      <c r="T48" s="45" t="str">
        <f>VLOOKUP(4,BC44:BM49,6,0) &amp; " - " &amp; VLOOKUP(4,BC44:BM49,7,0)</f>
        <v>0 - 0</v>
      </c>
      <c r="U48" s="46">
        <f t="shared" si="48"/>
        <v>0</v>
      </c>
      <c r="W48" s="76">
        <f>DATE(2024,6,30)+TIME(5,0,0)+gmt_delta</f>
        <v>45473.541666666672</v>
      </c>
      <c r="X48" s="78" t="str">
        <f>IF(OR(EX26="",EX27=""),"",IF(EX26&gt;EX27,EW26,IF(EX26&lt;EX27,EW27,IF(OR(EY26="",EY27=""),"draw",IF(EY26&gt;EY27,EW26,IF(EY26&lt;EY27,EW27,IF(OR(#REF!="",#REF!=""),"draw",IF(#REF!&gt;#REF!,EW26,IF(#REF!&lt;#REF!,EW27,"draw")))))))))</f>
        <v/>
      </c>
      <c r="Y48" s="78" t="str">
        <f>IF(OR(X48="",X48="draw"),INDEX(T,88,lang),X48)</f>
        <v>W41</v>
      </c>
      <c r="Z48" s="77">
        <v>3</v>
      </c>
      <c r="AA48" s="76" t="str">
        <f t="shared" si="49"/>
        <v>Jun 30, 2024   13:00</v>
      </c>
      <c r="AB48" s="76" t="str">
        <f>BS20</f>
        <v>1C</v>
      </c>
      <c r="AC48" s="76" t="str">
        <f>VLOOKUP(lookup_3rd,tbl_lookup_3rd,3,0)</f>
        <v>3D</v>
      </c>
      <c r="AW48" s="77" t="str">
        <f>IF(AX48&lt;5,"E","")</f>
        <v>E</v>
      </c>
      <c r="BB48" s="77" t="str">
        <f>IF(BC48&lt;5,"E","")</f>
        <v/>
      </c>
      <c r="BC48" s="76">
        <f t="shared" si="40"/>
        <v>5</v>
      </c>
      <c r="BD48" s="77" t="str">
        <f>BS34</f>
        <v>3E</v>
      </c>
      <c r="BE48" s="76">
        <f>IFERROR(VLOOKUP(BD48,$BD$8:$BI$41,2,0),0)</f>
        <v>0</v>
      </c>
      <c r="BF48" s="76">
        <f t="shared" si="41"/>
        <v>0</v>
      </c>
      <c r="BG48" s="76">
        <f t="shared" si="42"/>
        <v>0</v>
      </c>
      <c r="BH48" s="76">
        <f t="shared" si="43"/>
        <v>0</v>
      </c>
      <c r="BI48" s="76">
        <f t="shared" si="44"/>
        <v>0</v>
      </c>
      <c r="BK48" s="76">
        <f t="shared" si="45"/>
        <v>0</v>
      </c>
      <c r="BL48" s="76">
        <f>(BK48-BK51)/BK50</f>
        <v>0</v>
      </c>
      <c r="BM48" s="76">
        <f t="shared" si="46"/>
        <v>0</v>
      </c>
      <c r="BQ48" s="76">
        <f>IFERROR(VLOOKUP(BD48,db_fifarank,2,0)/2000000,2)</f>
        <v>2</v>
      </c>
      <c r="BR48" s="77">
        <f t="shared" si="50"/>
        <v>2</v>
      </c>
    </row>
    <row r="49" spans="4:70">
      <c r="O49" s="44" t="str">
        <f>VLOOKUP(5,BC44:BM49,2,0)</f>
        <v>3E</v>
      </c>
      <c r="P49" s="45">
        <f t="shared" si="47"/>
        <v>0</v>
      </c>
      <c r="Q49" s="45">
        <f>VLOOKUP(5,BC44:BM49,3,0)</f>
        <v>0</v>
      </c>
      <c r="R49" s="45">
        <f>VLOOKUP(5,BC44:BM49,4,0)</f>
        <v>0</v>
      </c>
      <c r="S49" s="45">
        <f>VLOOKUP(5,BC44:BM49,5,0)</f>
        <v>0</v>
      </c>
      <c r="T49" s="45" t="str">
        <f>VLOOKUP(5,BC44:BM49,6,0) &amp; " - " &amp; VLOOKUP(5,BC44:BM49,7,0)</f>
        <v>0 - 0</v>
      </c>
      <c r="U49" s="46">
        <f t="shared" si="48"/>
        <v>0</v>
      </c>
      <c r="W49" s="76">
        <f>DATE(2024,6,30)+TIME(8,0,0)+gmt_delta</f>
        <v>45473.666666666672</v>
      </c>
      <c r="X49" s="78" t="str">
        <f>IF(OR(EX30="",EX31=""),"",IF(EX30&gt;EX31,EW30,IF(EX30&lt;EX31,EW31,IF(OR(EY30="",EY31=""),"draw",IF(EY30&gt;EY31,EW30,IF(EY30&lt;EY31,EW31,IF(OR(#REF!="",#REF!=""),"draw",IF(#REF!&gt;#REF!,EW30,IF(#REF!&lt;#REF!,EW31,"draw")))))))))</f>
        <v/>
      </c>
      <c r="Y49" s="78" t="str">
        <f>IF(OR(X49="",X49="draw"),INDEX(T,89,lang),X49)</f>
        <v>W43</v>
      </c>
      <c r="Z49" s="77">
        <v>4</v>
      </c>
      <c r="AA49" s="76" t="str">
        <f t="shared" si="49"/>
        <v>Jun 30, 2024   16:00</v>
      </c>
      <c r="AB49" s="76" t="str">
        <f>BS14</f>
        <v>1B</v>
      </c>
      <c r="AC49" s="76" t="str">
        <f>VLOOKUP(lookup_3rd,tbl_lookup_3rd,2,0)</f>
        <v>3A</v>
      </c>
      <c r="AW49" s="77" t="str">
        <f>IF(AX49&lt;5,"F","")</f>
        <v>F</v>
      </c>
      <c r="BB49" s="77" t="str">
        <f>IF(BC49&lt;5,"F","")</f>
        <v/>
      </c>
      <c r="BC49" s="76">
        <f t="shared" si="40"/>
        <v>6</v>
      </c>
      <c r="BD49" s="77" t="str">
        <f>BS40</f>
        <v>3F</v>
      </c>
      <c r="BE49" s="76">
        <f>IFERROR(VLOOKUP(BD49,$BD$8:$BI$41,2,0),0)</f>
        <v>0</v>
      </c>
      <c r="BF49" s="76">
        <f t="shared" si="41"/>
        <v>0</v>
      </c>
      <c r="BG49" s="76">
        <f t="shared" si="42"/>
        <v>0</v>
      </c>
      <c r="BH49" s="76">
        <f t="shared" si="43"/>
        <v>0</v>
      </c>
      <c r="BI49" s="76">
        <f t="shared" si="44"/>
        <v>0</v>
      </c>
      <c r="BK49" s="76">
        <f t="shared" si="45"/>
        <v>0</v>
      </c>
      <c r="BL49" s="76">
        <f>(BK49-BK51)/BK50</f>
        <v>0</v>
      </c>
      <c r="BM49" s="76">
        <f t="shared" si="46"/>
        <v>0</v>
      </c>
      <c r="BQ49" s="76">
        <f>IFERROR(VLOOKUP(BD49,db_fifarank,2,0)/2000000,1)</f>
        <v>1</v>
      </c>
      <c r="BR49" s="77">
        <f t="shared" si="50"/>
        <v>1</v>
      </c>
    </row>
    <row r="50" spans="4:70">
      <c r="O50" s="59" t="str">
        <f>VLOOKUP(6,BC44:BM49,2,0)</f>
        <v>3F</v>
      </c>
      <c r="P50" s="60">
        <f t="shared" si="47"/>
        <v>0</v>
      </c>
      <c r="Q50" s="60">
        <f>VLOOKUP(6,BC44:BM49,3,0)</f>
        <v>0</v>
      </c>
      <c r="R50" s="60">
        <f>VLOOKUP(6,BC44:BM49,4,0)</f>
        <v>0</v>
      </c>
      <c r="S50" s="60">
        <f>VLOOKUP(6,BC44:BM49,5,0)</f>
        <v>0</v>
      </c>
      <c r="T50" s="60" t="str">
        <f>VLOOKUP(6,BC44:BM49,6,0) &amp; " - " &amp; VLOOKUP(6,BC44:BM49,7,0)</f>
        <v>0 - 0</v>
      </c>
      <c r="U50" s="61">
        <f t="shared" si="48"/>
        <v>0</v>
      </c>
      <c r="W50" s="76">
        <f>DATE(2024,7,1)+TIME(5,0,0)+gmt_delta</f>
        <v>45474.541666666672</v>
      </c>
      <c r="X50" s="78" t="str">
        <f>IF(OR(EX18="",EX19=""),"",IF(EX18&gt;EX19,EW18,IF(EX18&lt;EX19,EW19,IF(OR(EY18="",EY19=""),"draw",IF(EY18&gt;EY19,EW18,IF(EY18&lt;EY19,EW19,IF(OR(#REF!="",#REF!=""),"draw",IF(#REF!&gt;#REF!,EW18,IF(#REF!&lt;#REF!,EW19,"draw")))))))))</f>
        <v/>
      </c>
      <c r="Y50" s="78" t="str">
        <f>IF(OR(X50="",X50="draw"),INDEX(T,90,lang),X50)</f>
        <v>W38</v>
      </c>
      <c r="Z50" s="77">
        <v>5</v>
      </c>
      <c r="AA50" s="76" t="str">
        <f t="shared" si="49"/>
        <v>Jul 1, 2024   13:00</v>
      </c>
      <c r="AB50" s="76" t="str">
        <f>BS27</f>
        <v>2D</v>
      </c>
      <c r="AC50" s="76" t="str">
        <f>BS33</f>
        <v>2E</v>
      </c>
      <c r="AW50" s="77" t="str">
        <f>AW44&amp;AW45&amp;AW46&amp;AW47&amp;AW48&amp;AW49</f>
        <v>ABCDEF</v>
      </c>
      <c r="BB50" s="77" t="str">
        <f>BB44&amp;BB45&amp;BB46&amp;BB47&amp;BB48&amp;BB49</f>
        <v>ABCD</v>
      </c>
      <c r="BE50" s="76">
        <f>MAX(BE44:BE49)-MIN(BE44:BE49)+1</f>
        <v>1</v>
      </c>
      <c r="BF50" s="76">
        <f>MAX(BF44:BF49)-MIN(BF44:BF49)+1</f>
        <v>1</v>
      </c>
      <c r="BG50" s="76">
        <f>MAX(BG44:BG49)-MIN(BG44:BG49)+1</f>
        <v>1</v>
      </c>
      <c r="BH50" s="76">
        <f>MAX(BH44:BH49)-MIN(BH44:BH49)+1</f>
        <v>1</v>
      </c>
      <c r="BI50" s="76">
        <f>MAX(BI44:BI49)-MIN(BI44:BI49)+1</f>
        <v>1</v>
      </c>
      <c r="BK50" s="76">
        <f>MAX(BK44:BK49)-BK51+1</f>
        <v>1</v>
      </c>
      <c r="BM50" s="76">
        <f>MAX(BM44:BM49)-MIN(BM44:BM49)+1</f>
        <v>1</v>
      </c>
      <c r="BQ50" s="76"/>
    </row>
    <row r="51" spans="4:70">
      <c r="W51" s="76">
        <f>DATE(2024,7,1)+TIME(8,0,0)+gmt_delta</f>
        <v>45474.666666666672</v>
      </c>
      <c r="X51" s="78" t="str">
        <f>IF(OR(EX22="",EX23=""),"",IF(EX22&gt;EX23,EW22,IF(EX22&lt;EX23,EW23,IF(OR(EY22="",EY23=""),"draw",IF(EY22&gt;EY23,EW22,IF(EY22&lt;EY23,EW23,IF(OR(#REF!="",#REF!=""),"draw",IF(#REF!&gt;#REF!,EW22,IF(#REF!&lt;#REF!,EW23,"draw")))))))))</f>
        <v/>
      </c>
      <c r="Y51" s="78" t="str">
        <f>IF(OR(X51="",X51="draw"),INDEX(T,91,lang),X51)</f>
        <v>W42</v>
      </c>
      <c r="Z51" s="77">
        <v>6</v>
      </c>
      <c r="AA51" s="76" t="str">
        <f t="shared" si="49"/>
        <v>Jul 1, 2024   16:00</v>
      </c>
      <c r="AB51" s="76" t="str">
        <f>BS38</f>
        <v>1F</v>
      </c>
      <c r="AC51" s="76" t="str">
        <f>VLOOKUP(lookup_3rd,tbl_lookup_3rd,5,0)</f>
        <v>3C</v>
      </c>
      <c r="BK51" s="76">
        <f>MIN(BK44:BK49)</f>
        <v>0</v>
      </c>
      <c r="BQ51" s="76"/>
    </row>
    <row r="52" spans="4:70"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38"/>
      <c r="P52" s="138"/>
      <c r="Q52" s="138"/>
      <c r="R52" s="138"/>
      <c r="S52" s="138"/>
      <c r="T52" s="138"/>
      <c r="U52" s="138"/>
      <c r="W52" s="76">
        <f>DATE(2024,7,2)+TIME(8,0,0)+gmt_delta</f>
        <v>45475.666666666672</v>
      </c>
      <c r="X52" s="78" t="str">
        <f>IF(OR(EX34="",EX35=""),"",IF(EX34&gt;EX35,EW34,IF(EX34&lt;EX35,EW35,IF(OR(EY34="",EY35=""),"draw",IF(EY34&gt;EY35,EW34,IF(EY34&lt;EY35,EW35,IF(OR(#REF!="",#REF!=""),"draw",IF(#REF!&gt;#REF!,EW34,IF(#REF!&lt;#REF!,EW35,"draw")))))))))</f>
        <v/>
      </c>
      <c r="Y52" s="78" t="str">
        <f>IF(OR(X52="",X52="draw"),INDEX(T,92,lang),X52)</f>
        <v>W40</v>
      </c>
      <c r="Z52" s="77">
        <v>7</v>
      </c>
      <c r="AA52" s="76" t="str">
        <f t="shared" si="49"/>
        <v>Jul 2, 2024   16:00</v>
      </c>
      <c r="AB52" s="76" t="str">
        <f>BS26</f>
        <v>1D</v>
      </c>
      <c r="AC52" s="76" t="str">
        <f>BS39</f>
        <v>2F</v>
      </c>
      <c r="BQ52" s="76"/>
    </row>
    <row r="53" spans="4:70"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38"/>
      <c r="P53" s="138"/>
      <c r="Q53" s="138"/>
      <c r="R53" s="138"/>
      <c r="S53" s="138"/>
      <c r="T53" s="138"/>
      <c r="U53" s="138"/>
      <c r="W53" s="76">
        <f>DATE(2024,7,2)+TIME(5,0,0)+gmt_delta</f>
        <v>45475.541666666672</v>
      </c>
      <c r="X53" s="78" t="str">
        <f>IF(OR(EX38="",EX39=""),"",IF(EX38&gt;EX39,EW38,IF(EX38&lt;EX39,EW39,IF(OR(EY38="",EY39=""),"draw",IF(EY38&gt;EY39,EW38,IF(EY38&lt;EY39,EW39,IF(OR(#REF!="",#REF!=""),"draw",IF(#REF!&gt;#REF!,EW38,IF(#REF!&lt;#REF!,EW39,"draw")))))))))</f>
        <v/>
      </c>
      <c r="Y53" s="78" t="str">
        <f>IF(OR(X53="",X53="draw"),INDEX(T,93,lang),X53)</f>
        <v>W44</v>
      </c>
      <c r="Z53" s="77">
        <v>8</v>
      </c>
      <c r="AA53" s="76" t="str">
        <f t="shared" si="49"/>
        <v>Jul 2, 2024   13:00</v>
      </c>
      <c r="AB53" s="76" t="str">
        <f>BS32</f>
        <v>1E</v>
      </c>
      <c r="AC53" s="76" t="str">
        <f>VLOOKUP(lookup_3rd,tbl_lookup_3rd,4,0)</f>
        <v>3B</v>
      </c>
      <c r="BD53" s="80" t="s">
        <v>2519</v>
      </c>
      <c r="BE53" s="80" t="str">
        <f>$BD$44</f>
        <v>3A</v>
      </c>
      <c r="BF53" s="80" t="str">
        <f>$BD$47</f>
        <v>3D</v>
      </c>
      <c r="BG53" s="80" t="str">
        <f>$BD$45</f>
        <v>3B</v>
      </c>
      <c r="BH53" s="80" t="str">
        <f>$BD$46</f>
        <v>3C</v>
      </c>
      <c r="BI53" s="80" t="s">
        <v>2551</v>
      </c>
      <c r="BJ53" s="80" t="s">
        <v>357</v>
      </c>
      <c r="BK53" s="80" t="s">
        <v>367</v>
      </c>
      <c r="BL53" s="80" t="s">
        <v>612</v>
      </c>
      <c r="BQ53" s="76"/>
    </row>
    <row r="54" spans="4:70">
      <c r="BD54" s="80" t="s">
        <v>2524</v>
      </c>
      <c r="BE54" s="80" t="str">
        <f>$BD$44</f>
        <v>3A</v>
      </c>
      <c r="BF54" s="80" t="str">
        <f>$BD$48</f>
        <v>3E</v>
      </c>
      <c r="BG54" s="80" t="str">
        <f>$BD$45</f>
        <v>3B</v>
      </c>
      <c r="BH54" s="80" t="str">
        <f>$BD$46</f>
        <v>3C</v>
      </c>
      <c r="BI54" s="80" t="s">
        <v>2551</v>
      </c>
      <c r="BJ54" s="80" t="s">
        <v>349</v>
      </c>
      <c r="BK54" s="80" t="s">
        <v>367</v>
      </c>
      <c r="BL54" s="80" t="s">
        <v>612</v>
      </c>
    </row>
    <row r="55" spans="4:70">
      <c r="BD55" s="80" t="s">
        <v>2526</v>
      </c>
      <c r="BE55" s="80" t="str">
        <f>$BD$44</f>
        <v>3A</v>
      </c>
      <c r="BF55" s="80" t="str">
        <f>$BD$49</f>
        <v>3F</v>
      </c>
      <c r="BG55" s="80" t="str">
        <f>$BD$45</f>
        <v>3B</v>
      </c>
      <c r="BH55" s="80" t="str">
        <f>$BD$46</f>
        <v>3C</v>
      </c>
      <c r="BI55" s="80" t="s">
        <v>2551</v>
      </c>
      <c r="BJ55" s="80" t="s">
        <v>321</v>
      </c>
      <c r="BK55" s="80" t="s">
        <v>367</v>
      </c>
      <c r="BL55" s="80" t="s">
        <v>612</v>
      </c>
    </row>
    <row r="56" spans="4:70" ht="12.75" customHeight="1">
      <c r="N56" s="27"/>
      <c r="BD56" s="80" t="s">
        <v>2528</v>
      </c>
      <c r="BE56" s="80" t="str">
        <f>$BD$47</f>
        <v>3D</v>
      </c>
      <c r="BF56" s="80" t="str">
        <f>$BD$48</f>
        <v>3E</v>
      </c>
      <c r="BG56" s="80" t="str">
        <f>$BD$44</f>
        <v>3A</v>
      </c>
      <c r="BH56" s="80" t="str">
        <f>$BD$45</f>
        <v>3B</v>
      </c>
      <c r="BI56" s="80" t="s">
        <v>357</v>
      </c>
      <c r="BJ56" s="80" t="s">
        <v>349</v>
      </c>
      <c r="BK56" s="80" t="s">
        <v>2551</v>
      </c>
      <c r="BL56" s="80" t="s">
        <v>367</v>
      </c>
    </row>
    <row r="57" spans="4:70" ht="12.75" customHeight="1">
      <c r="N57" s="27"/>
      <c r="W57" s="76">
        <f>DATE(2024,7,5)+TIME(8,0,0)+gmt_delta</f>
        <v>45478.666666666672</v>
      </c>
      <c r="X57" s="78" t="str">
        <f>IF(OR(FD12="",FD13=""),"",IF(FD12&gt;FD13,FC12,IF(FD12&lt;FD13,FC13,IF(OR(FE12="",FE13=""),"draw",IF(FE12&gt;FE13,FC12,IF(FE12&lt;FE13,FC13,IF(OR(#REF!="",#REF!=""),"draw",IF(#REF!&gt;#REF!,FC12,IF(#REF!&lt;#REF!,FC13,"draw")))))))))</f>
        <v/>
      </c>
      <c r="Y57" s="78" t="str">
        <f>IF(OR(X57="",X57="draw"),INDEX(T,94,lang),X57)</f>
        <v>W45</v>
      </c>
      <c r="BD57" s="80" t="s">
        <v>2529</v>
      </c>
      <c r="BE57" s="80" t="str">
        <f>$BD$47</f>
        <v>3D</v>
      </c>
      <c r="BF57" s="80" t="str">
        <f>$BD$49</f>
        <v>3F</v>
      </c>
      <c r="BG57" s="80" t="str">
        <f>$BD$44</f>
        <v>3A</v>
      </c>
      <c r="BH57" s="80" t="str">
        <f>$BD$45</f>
        <v>3B</v>
      </c>
      <c r="BI57" s="80" t="s">
        <v>357</v>
      </c>
      <c r="BJ57" s="80" t="s">
        <v>321</v>
      </c>
      <c r="BK57" s="80" t="s">
        <v>2551</v>
      </c>
      <c r="BL57" s="80" t="s">
        <v>367</v>
      </c>
    </row>
    <row r="58" spans="4:70">
      <c r="W58" s="76">
        <f>DATE(2024,7,5)+TIME(5,0,0)+gmt_delta</f>
        <v>45478.541666666672</v>
      </c>
      <c r="X58" s="78" t="str">
        <f>IF(OR(FD20="",FD21=""),"",IF(FD20&gt;FD21,FC20,IF(FD20&lt;FD21,FC21,IF(OR(FE20="",FE21=""),"draw",IF(FE20&gt;FE21,FC20,IF(FE20&lt;FE21,FC21,IF(OR(#REF!="",#REF!=""),"draw",IF(#REF!&gt;#REF!,FC20,IF(#REF!&lt;#REF!,FC21,"draw")))))))))</f>
        <v/>
      </c>
      <c r="Y58" s="78" t="str">
        <f>IF(OR(X58="",X58="draw"),INDEX(T,95,lang),X58)</f>
        <v>W46</v>
      </c>
      <c r="BD58" s="80" t="s">
        <v>2530</v>
      </c>
      <c r="BE58" s="80" t="str">
        <f>$BD$48</f>
        <v>3E</v>
      </c>
      <c r="BF58" s="80" t="str">
        <f>$BD$49</f>
        <v>3F</v>
      </c>
      <c r="BG58" s="80" t="str">
        <f>$BD$45</f>
        <v>3B</v>
      </c>
      <c r="BH58" s="80" t="str">
        <f>$BD$44</f>
        <v>3A</v>
      </c>
      <c r="BI58" s="80" t="s">
        <v>349</v>
      </c>
      <c r="BJ58" s="80" t="s">
        <v>321</v>
      </c>
      <c r="BK58" s="80" t="s">
        <v>367</v>
      </c>
      <c r="BL58" s="80" t="s">
        <v>2551</v>
      </c>
    </row>
    <row r="59" spans="4:70" ht="12.75" customHeight="1">
      <c r="W59" s="76">
        <f>DATE(2024,7,6)+TIME(5,0,0)+gmt_delta</f>
        <v>45479.541666666672</v>
      </c>
      <c r="X59" s="78" t="str">
        <f>IF(OR(FD28="",FD29=""),"",IF(FD28&gt;FD29,FC28,IF(FD28&lt;FD29,FC29,IF(OR(FE28="",FE29=""),"draw",IF(FE28&gt;FE29,FC28,IF(FE28&lt;FE29,FC29,IF(OR(#REF!="",#REF!=""),"draw",IF(#REF!&gt;#REF!,FC28,IF(#REF!&lt;#REF!,FC29,"draw")))))))))</f>
        <v/>
      </c>
      <c r="Y59" s="78" t="str">
        <f>IF(OR(X59="",X59="draw"),INDEX(T,96,lang),X59)</f>
        <v>W47</v>
      </c>
      <c r="BD59" s="80" t="s">
        <v>2531</v>
      </c>
      <c r="BE59" s="80" t="str">
        <f>$BD$48</f>
        <v>3E</v>
      </c>
      <c r="BF59" s="80" t="str">
        <f>$BD$47</f>
        <v>3D</v>
      </c>
      <c r="BG59" s="80" t="str">
        <f>$BD$46</f>
        <v>3C</v>
      </c>
      <c r="BH59" s="80" t="str">
        <f>$BD$44</f>
        <v>3A</v>
      </c>
      <c r="BI59" s="80" t="s">
        <v>349</v>
      </c>
      <c r="BJ59" s="80" t="s">
        <v>357</v>
      </c>
      <c r="BK59" s="80" t="s">
        <v>612</v>
      </c>
      <c r="BL59" s="80" t="s">
        <v>2551</v>
      </c>
    </row>
    <row r="60" spans="4:70" ht="12.75" customHeight="1">
      <c r="W60" s="76">
        <f>DATE(2024,7,6)+TIME(8,0,0)+gmt_delta</f>
        <v>45479.666666666672</v>
      </c>
      <c r="X60" s="78" t="str">
        <f>IF(OR(FD36="",FD37=""),"",IF(FD36&gt;FD37,FC36,IF(FD36&lt;FD37,FC37,IF(OR(FE36="",FE37=""),"draw",IF(FE36&gt;FE37,FC36,IF(FE36&lt;FE37,FC37,IF(OR(#REF!="",#REF!=""),"draw",IF(#REF!&gt;#REF!,FC36,IF(#REF!&lt;#REF!,FC37,"draw")))))))))</f>
        <v/>
      </c>
      <c r="Y60" s="78" t="str">
        <f>IF(OR(X60="",X60="draw"),INDEX(T,97,lang),X60)</f>
        <v>W48</v>
      </c>
      <c r="BD60" s="80" t="s">
        <v>2532</v>
      </c>
      <c r="BE60" s="80" t="str">
        <f>$BD$49</f>
        <v>3F</v>
      </c>
      <c r="BF60" s="80" t="str">
        <f>$BD$47</f>
        <v>3D</v>
      </c>
      <c r="BG60" s="80" t="str">
        <f>$BD$46</f>
        <v>3C</v>
      </c>
      <c r="BH60" s="80" t="str">
        <f>$BD$44</f>
        <v>3A</v>
      </c>
      <c r="BI60" s="80" t="s">
        <v>321</v>
      </c>
      <c r="BJ60" s="80" t="s">
        <v>357</v>
      </c>
      <c r="BK60" s="80" t="s">
        <v>612</v>
      </c>
      <c r="BL60" s="80" t="s">
        <v>2551</v>
      </c>
    </row>
    <row r="61" spans="4:70" ht="12.75" customHeight="1">
      <c r="BD61" s="80" t="s">
        <v>2533</v>
      </c>
      <c r="BE61" s="80" t="str">
        <f>$BD$48</f>
        <v>3E</v>
      </c>
      <c r="BF61" s="80" t="str">
        <f>$BD$49</f>
        <v>3F</v>
      </c>
      <c r="BG61" s="80" t="str">
        <f>$BD$46</f>
        <v>3C</v>
      </c>
      <c r="BH61" s="80" t="str">
        <f>$BD$44</f>
        <v>3A</v>
      </c>
      <c r="BI61" s="80" t="s">
        <v>349</v>
      </c>
      <c r="BJ61" s="80" t="s">
        <v>321</v>
      </c>
      <c r="BK61" s="80" t="s">
        <v>612</v>
      </c>
      <c r="BL61" s="80" t="s">
        <v>2551</v>
      </c>
    </row>
    <row r="62" spans="4:70" ht="12.75" customHeight="1">
      <c r="BD62" s="80" t="s">
        <v>2534</v>
      </c>
      <c r="BE62" s="80" t="str">
        <f>$BD$48</f>
        <v>3E</v>
      </c>
      <c r="BF62" s="80" t="str">
        <f>$BD$49</f>
        <v>3F</v>
      </c>
      <c r="BG62" s="80" t="str">
        <f>$BD$47</f>
        <v>3D</v>
      </c>
      <c r="BH62" s="80" t="str">
        <f>$BD$44</f>
        <v>3A</v>
      </c>
      <c r="BI62" s="80" t="s">
        <v>349</v>
      </c>
      <c r="BJ62" s="80" t="s">
        <v>321</v>
      </c>
      <c r="BK62" s="80" t="s">
        <v>357</v>
      </c>
      <c r="BL62" s="80" t="s">
        <v>2551</v>
      </c>
    </row>
    <row r="63" spans="4:70" ht="12.75" customHeight="1">
      <c r="BD63" s="80" t="s">
        <v>2535</v>
      </c>
      <c r="BE63" s="80" t="str">
        <f>$BD$48</f>
        <v>3E</v>
      </c>
      <c r="BF63" s="80" t="str">
        <f>$BD$47</f>
        <v>3D</v>
      </c>
      <c r="BG63" s="80" t="str">
        <f>$BD$45</f>
        <v>3B</v>
      </c>
      <c r="BH63" s="80" t="str">
        <f>$BD$46</f>
        <v>3C</v>
      </c>
      <c r="BI63" s="80" t="s">
        <v>349</v>
      </c>
      <c r="BJ63" s="80" t="s">
        <v>357</v>
      </c>
      <c r="BK63" s="80" t="s">
        <v>367</v>
      </c>
      <c r="BL63" s="80" t="s">
        <v>612</v>
      </c>
    </row>
    <row r="64" spans="4:70" ht="12.75" customHeight="1">
      <c r="W64" s="76">
        <f>DATE(2024,7,9)+TIME(8,0,0)+gmt_delta</f>
        <v>45482.666666666672</v>
      </c>
      <c r="X64" s="78" t="str">
        <f>IF(OR(FJ16="",FJ17=""),"",IF(FJ16&gt;FJ17,FI16,IF(FJ16&lt;FJ17,FI17,IF(OR(FK16="",FK17=""),"draw",IF(FK16&gt;FK17,FI16,IF(FK16&lt;FK17,FI17,IF(OR(#REF!="",#REF!=""),"draw",IF(#REF!&gt;#REF!,FI16,IF(#REF!&lt;#REF!,FI17,"draw")))))))))</f>
        <v/>
      </c>
      <c r="Y64" s="78" t="str">
        <f>IF(OR(X64="",X64="draw"),INDEX(T,98,lang),X64)</f>
        <v>W49</v>
      </c>
      <c r="Z64" s="78" t="str">
        <f>IF(OR(FJ16="",FJ17=""),"",IF(FJ16&lt;FJ17,FI16,IF(FJ16&gt;FJ17,FI17,IF(OR(#REF!="",#REF!=""),"draw",IF(#REF!&lt;#REF!,FI16,IF(#REF!&gt;#REF!,FI17,"draw"))))))</f>
        <v/>
      </c>
      <c r="BD64" s="80" t="s">
        <v>2536</v>
      </c>
      <c r="BE64" s="80" t="str">
        <f>$BD$49</f>
        <v>3F</v>
      </c>
      <c r="BF64" s="80" t="str">
        <f>$BD$47</f>
        <v>3D</v>
      </c>
      <c r="BG64" s="80" t="str">
        <f>$BD$46</f>
        <v>3C</v>
      </c>
      <c r="BH64" s="80" t="str">
        <f>$BD$45</f>
        <v>3B</v>
      </c>
      <c r="BI64" s="80" t="s">
        <v>321</v>
      </c>
      <c r="BJ64" s="80" t="s">
        <v>357</v>
      </c>
      <c r="BK64" s="80" t="s">
        <v>612</v>
      </c>
      <c r="BL64" s="80" t="s">
        <v>367</v>
      </c>
    </row>
    <row r="65" spans="23:64" ht="12.75" customHeight="1">
      <c r="W65" s="76">
        <f>DATE(2024,7,10)+TIME(8,0,0)+gmt_delta</f>
        <v>45483.666666666672</v>
      </c>
      <c r="X65" s="78" t="str">
        <f>IF(OR(FJ32="",FJ33=""),"",IF(FJ32&gt;FJ33,FI32,IF(FJ32&lt;FJ33,FI33,IF(OR(FK32="",FK33=""),"draw",IF(FK32&gt;FK33,FI32,IF(FK32&lt;FK33,FI33,IF(OR(#REF!="",#REF!=""),"draw",IF(#REF!&gt;#REF!,FI32,IF(#REF!&lt;#REF!,FI33,"draw")))))))))</f>
        <v/>
      </c>
      <c r="Y65" s="78" t="str">
        <f>IF(OR(X65="",X65="draw"),INDEX(T,99,lang),X65)</f>
        <v>W50</v>
      </c>
      <c r="Z65" s="78" t="str">
        <f>IF(OR(FJ32="",FJ33=""),"",IF(FJ32&lt;FJ33,FI32,IF(FJ32&gt;FJ33,FI33,IF(OR(#REF!="",#REF!=""),"draw",IF(#REF!&lt;#REF!,FI32,IF(#REF!&gt;#REF!,FI33,"draw"))))))</f>
        <v/>
      </c>
      <c r="BD65" s="80" t="s">
        <v>2537</v>
      </c>
      <c r="BE65" s="80" t="str">
        <f>$BD$49</f>
        <v>3F</v>
      </c>
      <c r="BF65" s="80" t="str">
        <f>$BD$48</f>
        <v>3E</v>
      </c>
      <c r="BG65" s="80" t="str">
        <f>$BD$46</f>
        <v>3C</v>
      </c>
      <c r="BH65" s="80" t="str">
        <f>$BD$45</f>
        <v>3B</v>
      </c>
      <c r="BI65" s="80" t="s">
        <v>321</v>
      </c>
      <c r="BJ65" s="80" t="s">
        <v>349</v>
      </c>
      <c r="BK65" s="80" t="s">
        <v>612</v>
      </c>
      <c r="BL65" s="80" t="s">
        <v>367</v>
      </c>
    </row>
    <row r="66" spans="23:64" ht="12.75" customHeight="1">
      <c r="BD66" s="80" t="s">
        <v>2538</v>
      </c>
      <c r="BE66" s="80" t="str">
        <f>$BD$49</f>
        <v>3F</v>
      </c>
      <c r="BF66" s="80" t="str">
        <f>$BD$48</f>
        <v>3E</v>
      </c>
      <c r="BG66" s="80" t="str">
        <f>$BD$47</f>
        <v>3D</v>
      </c>
      <c r="BH66" s="80" t="str">
        <f>$BD$45</f>
        <v>3B</v>
      </c>
      <c r="BI66" s="80" t="s">
        <v>321</v>
      </c>
      <c r="BJ66" s="80" t="s">
        <v>349</v>
      </c>
      <c r="BK66" s="80" t="s">
        <v>357</v>
      </c>
      <c r="BL66" s="80" t="s">
        <v>367</v>
      </c>
    </row>
    <row r="67" spans="23:64" ht="12.75" customHeight="1">
      <c r="BD67" s="80" t="s">
        <v>2539</v>
      </c>
      <c r="BE67" s="80" t="str">
        <f>$BD$49</f>
        <v>3F</v>
      </c>
      <c r="BF67" s="80" t="str">
        <f>$BD$48</f>
        <v>3E</v>
      </c>
      <c r="BG67" s="80" t="str">
        <f>$BD$47</f>
        <v>3D</v>
      </c>
      <c r="BH67" s="80" t="str">
        <f>$BD$46</f>
        <v>3C</v>
      </c>
      <c r="BI67" s="80" t="s">
        <v>321</v>
      </c>
      <c r="BJ67" s="80" t="s">
        <v>349</v>
      </c>
      <c r="BK67" s="80" t="s">
        <v>357</v>
      </c>
      <c r="BL67" s="80" t="s">
        <v>612</v>
      </c>
    </row>
    <row r="68" spans="23:64" ht="12.75" customHeight="1"/>
    <row r="69" spans="23:64" ht="12.75" customHeight="1">
      <c r="W69" s="76">
        <f>DATE(2024,7,12)+TIME(9,0,0)+gmt_delta</f>
        <v>45485.708333333336</v>
      </c>
      <c r="Y69" s="78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/>
    <row r="71" spans="23:64" ht="12.75" customHeight="1"/>
    <row r="72" spans="23:64" ht="12.75" customHeight="1"/>
    <row r="73" spans="23:64" ht="12.75" customHeight="1">
      <c r="W73" s="76">
        <f>DATE(2024,7,14)+TIME(8,0,0)+gmt_delta</f>
        <v>45487.666666666672</v>
      </c>
      <c r="X73" s="78" t="str">
        <f>IF(OR(FP23="",FP24=""),"",IF(FP23&gt;FP24,FO23,IF(FP23&lt;FP24,FO24,IF(OR(FQ23="",FQ24=""),"",IF(FQ23&gt;FQ24,FO23,IF(FQ23&lt;FQ24,FO24,IF(OR(#REF!="",#REF!=""),"",IF(#REF!&gt;#REF!,FO23,IF(#REF!&lt;#REF!,FO24,"")))))))))</f>
        <v/>
      </c>
      <c r="Y73" s="78" t="str">
        <f>X73</f>
        <v/>
      </c>
    </row>
    <row r="74" spans="23:64" ht="12.75" customHeight="1"/>
    <row r="75" spans="23:64" ht="12.75" customHeight="1"/>
    <row r="76" spans="23:64" ht="12.75" customHeight="1">
      <c r="AW76" s="78" t="str">
        <f>IF(OR(U64="",U64="draw"),INDEX(T,100,lang),U64)</f>
        <v>L61</v>
      </c>
      <c r="BB76" s="78" t="str">
        <f>IF(OR(Z64="",Z64="draw"),INDEX(T,100,lang),Z64)</f>
        <v>L61</v>
      </c>
    </row>
    <row r="77" spans="23:64" ht="12.75" customHeight="1">
      <c r="AW77" s="78" t="str">
        <f>IF(OR(U65="",U65="draw"),INDEX(T,101,lang),U65)</f>
        <v>L62</v>
      </c>
      <c r="BB77" s="78" t="str">
        <f>IF(OR(Z65="",Z65="draw"),INDEX(T,101,lang),Z65)</f>
        <v>L62</v>
      </c>
    </row>
    <row r="79" spans="23:64" ht="12.75" customHeight="1"/>
    <row r="80" spans="23:64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sheetProtection password="B93B" sheet="1" objects="1" scenarios="1"/>
  <mergeCells count="61">
    <mergeCell ref="I43:K43"/>
    <mergeCell ref="I44:K44"/>
    <mergeCell ref="I45:K45"/>
    <mergeCell ref="O52:U53"/>
    <mergeCell ref="I40:K40"/>
    <mergeCell ref="I41:K41"/>
    <mergeCell ref="FG41:FK42"/>
    <mergeCell ref="FL41:FQ42"/>
    <mergeCell ref="I42:K42"/>
    <mergeCell ref="I36:K36"/>
    <mergeCell ref="FB36:FB37"/>
    <mergeCell ref="I37:K37"/>
    <mergeCell ref="I38:K38"/>
    <mergeCell ref="EV38:EV39"/>
    <mergeCell ref="I39:K39"/>
    <mergeCell ref="I32:K32"/>
    <mergeCell ref="FH32:FH33"/>
    <mergeCell ref="I33:K33"/>
    <mergeCell ref="I34:K34"/>
    <mergeCell ref="EV34:EV35"/>
    <mergeCell ref="I35:K35"/>
    <mergeCell ref="I28:K28"/>
    <mergeCell ref="FB28:FB29"/>
    <mergeCell ref="I29:K29"/>
    <mergeCell ref="I30:K30"/>
    <mergeCell ref="EV30:EV31"/>
    <mergeCell ref="I31:K31"/>
    <mergeCell ref="FN23:FN24"/>
    <mergeCell ref="I24:K24"/>
    <mergeCell ref="I25:K25"/>
    <mergeCell ref="I26:K26"/>
    <mergeCell ref="EV26:EV27"/>
    <mergeCell ref="I27:K27"/>
    <mergeCell ref="I20:K20"/>
    <mergeCell ref="FB20:FB21"/>
    <mergeCell ref="I21:K21"/>
    <mergeCell ref="I22:K22"/>
    <mergeCell ref="EV22:EV23"/>
    <mergeCell ref="I23:K23"/>
    <mergeCell ref="I16:K16"/>
    <mergeCell ref="FH16:FH17"/>
    <mergeCell ref="I17:K17"/>
    <mergeCell ref="I18:K18"/>
    <mergeCell ref="EV18:EV19"/>
    <mergeCell ref="I19:K19"/>
    <mergeCell ref="I12:K12"/>
    <mergeCell ref="FB12:FB13"/>
    <mergeCell ref="I13:K13"/>
    <mergeCell ref="I14:K14"/>
    <mergeCell ref="EV14:EV15"/>
    <mergeCell ref="I15:K15"/>
    <mergeCell ref="FN6:FQ7"/>
    <mergeCell ref="A8:K9"/>
    <mergeCell ref="I10:K10"/>
    <mergeCell ref="EV10:EV11"/>
    <mergeCell ref="I11:K11"/>
    <mergeCell ref="A1:U1"/>
    <mergeCell ref="T6:U6"/>
    <mergeCell ref="EV6:EY7"/>
    <mergeCell ref="FB6:FE7"/>
    <mergeCell ref="FH6:FK7"/>
  </mergeCells>
  <conditionalFormatting sqref="E10:E45">
    <cfRule type="expression" dxfId="128" priority="4">
      <formula>IF(AND($F10&gt;$G10,ISNUMBER($F10),ISNUMBER($G10)),1,0)</formula>
    </cfRule>
    <cfRule type="expression" dxfId="127" priority="5">
      <formula>IF(AND($F10&lt;$G10,ISNUMBER($F10),ISNUMBER($G10)),1,0)</formula>
    </cfRule>
    <cfRule type="expression" dxfId="126" priority="6">
      <formula>IF(AND($F10=$G10,ISNUMBER($F10),ISNUMBER($G10)),1,0)</formula>
    </cfRule>
  </conditionalFormatting>
  <conditionalFormatting sqref="F10:F45">
    <cfRule type="expression" dxfId="125" priority="2">
      <formula>IF(AND($F10&gt;$G10,ISNUMBER($F10),ISNUMBER($G10)),1,0)</formula>
    </cfRule>
  </conditionalFormatting>
  <conditionalFormatting sqref="G10:G45">
    <cfRule type="expression" dxfId="124" priority="3">
      <formula>IF(AND($F10&lt;$G10,ISNUMBER($F10),ISNUMBER($G10)),1,0)</formula>
    </cfRule>
  </conditionalFormatting>
  <conditionalFormatting sqref="H10:H45">
    <cfRule type="expression" dxfId="123" priority="7">
      <formula>IF(AND($F10&lt;$G10,ISNUMBER($F10),ISNUMBER($G10)),1,0)</formula>
    </cfRule>
    <cfRule type="expression" dxfId="122" priority="8">
      <formula>IF(AND($F10&gt;$G10,ISNUMBER($F10),ISNUMBER($G10)),1,0)</formula>
    </cfRule>
    <cfRule type="expression" dxfId="121" priority="9">
      <formula>IF(AND($F10=$G10,ISNUMBER($F10),ISNUMBER($G10)),1,0)</formula>
    </cfRule>
  </conditionalFormatting>
  <conditionalFormatting sqref="L34:M45">
    <cfRule type="expression" dxfId="120" priority="82">
      <formula>IF($AW31=0,1,0)</formula>
    </cfRule>
  </conditionalFormatting>
  <conditionalFormatting sqref="EW10">
    <cfRule type="expression" dxfId="119" priority="22">
      <formula>IF($EW10=$Y46,1,0)</formula>
    </cfRule>
    <cfRule type="expression" dxfId="118" priority="23">
      <formula>IF($EW11=$Y46,1,0)</formula>
    </cfRule>
  </conditionalFormatting>
  <conditionalFormatting sqref="EW11">
    <cfRule type="expression" dxfId="117" priority="24">
      <formula>IF($EW11=$Y46,1,0)</formula>
    </cfRule>
    <cfRule type="expression" dxfId="116" priority="25">
      <formula>IF($EW10=$Y46,1,0)</formula>
    </cfRule>
  </conditionalFormatting>
  <conditionalFormatting sqref="EW14">
    <cfRule type="expression" dxfId="115" priority="26">
      <formula>IF($EW14=$Y47,1,0)</formula>
    </cfRule>
    <cfRule type="expression" dxfId="114" priority="27">
      <formula>IF($EW15=$Y47,1,0)</formula>
    </cfRule>
  </conditionalFormatting>
  <conditionalFormatting sqref="EW15">
    <cfRule type="expression" dxfId="113" priority="28">
      <formula>IF($EW15=$Y47,1,0)</formula>
    </cfRule>
    <cfRule type="expression" dxfId="112" priority="29">
      <formula>IF($EW14=$Y47,1,0)</formula>
    </cfRule>
  </conditionalFormatting>
  <conditionalFormatting sqref="EW18">
    <cfRule type="expression" dxfId="111" priority="46">
      <formula>IF($EW18=$Y50,1,0)</formula>
    </cfRule>
    <cfRule type="expression" dxfId="110" priority="47">
      <formula>IF($EW19=$Y50,1,0)</formula>
    </cfRule>
  </conditionalFormatting>
  <conditionalFormatting sqref="EW19">
    <cfRule type="expression" dxfId="109" priority="48">
      <formula>IF($EW19=$Y50,1,0)</formula>
    </cfRule>
    <cfRule type="expression" dxfId="108" priority="49">
      <formula>IF($EW18=$Y50,1,0)</formula>
    </cfRule>
  </conditionalFormatting>
  <conditionalFormatting sqref="EW22">
    <cfRule type="expression" dxfId="107" priority="50">
      <formula>IF($EW22=$Y51,1,0)</formula>
    </cfRule>
    <cfRule type="expression" dxfId="106" priority="51">
      <formula>IF($EW23=$Y51,1,0)</formula>
    </cfRule>
  </conditionalFormatting>
  <conditionalFormatting sqref="EW23">
    <cfRule type="expression" dxfId="105" priority="52">
      <formula>IF($EW23=$Y51,1,0)</formula>
    </cfRule>
    <cfRule type="expression" dxfId="104" priority="53">
      <formula>IF($EW22=$Y51,1,0)</formula>
    </cfRule>
  </conditionalFormatting>
  <conditionalFormatting sqref="EW26">
    <cfRule type="expression" dxfId="103" priority="38">
      <formula>IF($EW26=$Y48,1,0)</formula>
    </cfRule>
    <cfRule type="expression" dxfId="102" priority="39">
      <formula>IF($EW27=$Y48,1,0)</formula>
    </cfRule>
  </conditionalFormatting>
  <conditionalFormatting sqref="EW27">
    <cfRule type="expression" dxfId="101" priority="40">
      <formula>IF($EW27=$Y48,1,0)</formula>
    </cfRule>
    <cfRule type="expression" dxfId="100" priority="41">
      <formula>IF($EW26=$Y48,1,0)</formula>
    </cfRule>
  </conditionalFormatting>
  <conditionalFormatting sqref="EW30">
    <cfRule type="expression" dxfId="99" priority="42">
      <formula>IF($EW30=$Y49,1,0)</formula>
    </cfRule>
    <cfRule type="expression" dxfId="98" priority="43">
      <formula>IF($EW31=$Y49,1,0)</formula>
    </cfRule>
  </conditionalFormatting>
  <conditionalFormatting sqref="EW31">
    <cfRule type="expression" dxfId="97" priority="44">
      <formula>IF($EW31=$Y49,1,0)</formula>
    </cfRule>
    <cfRule type="expression" dxfId="96" priority="45">
      <formula>IF($EW30=$Y49,1,0)</formula>
    </cfRule>
  </conditionalFormatting>
  <conditionalFormatting sqref="EW34">
    <cfRule type="expression" dxfId="95" priority="30">
      <formula>IF($EW34=$Y52,1,0)</formula>
    </cfRule>
    <cfRule type="expression" dxfId="94" priority="31">
      <formula>IF($EW35=$Y52,1,0)</formula>
    </cfRule>
  </conditionalFormatting>
  <conditionalFormatting sqref="EW35">
    <cfRule type="expression" dxfId="93" priority="32">
      <formula>IF($EW35=$Y52,1,0)</formula>
    </cfRule>
    <cfRule type="expression" dxfId="92" priority="33">
      <formula>IF($EW34=$Y52,1,0)</formula>
    </cfRule>
  </conditionalFormatting>
  <conditionalFormatting sqref="EW38">
    <cfRule type="expression" dxfId="91" priority="34">
      <formula>IF($EW38=$Y53,1,0)</formula>
    </cfRule>
    <cfRule type="expression" dxfId="90" priority="35">
      <formula>IF($EW39=$Y53,1,0)</formula>
    </cfRule>
  </conditionalFormatting>
  <conditionalFormatting sqref="EW39">
    <cfRule type="expression" dxfId="89" priority="36">
      <formula>IF($EW39=$Y53,1,0)</formula>
    </cfRule>
    <cfRule type="expression" dxfId="88" priority="37">
      <formula>IF($EW38=$Y53,1,0)</formula>
    </cfRule>
  </conditionalFormatting>
  <conditionalFormatting sqref="EX10:EY10">
    <cfRule type="expression" dxfId="87" priority="10">
      <formula>IF(AND($EX10&gt;$EX11,ISNUMBER($EX10),ISNUMBER($EX11)),1,0)</formula>
    </cfRule>
  </conditionalFormatting>
  <conditionalFormatting sqref="EX11:EY11">
    <cfRule type="expression" dxfId="86" priority="11">
      <formula>IF(AND($EX10&lt;$EX11,ISNUMBER($EX10),ISNUMBER($EX11)),1,0)</formula>
    </cfRule>
  </conditionalFormatting>
  <conditionalFormatting sqref="EX14:EY14">
    <cfRule type="expression" dxfId="85" priority="87">
      <formula>IF(AND($EX14&gt;$EX15,ISNUMBER($EX14),ISNUMBER($EX15)),1,0)</formula>
    </cfRule>
  </conditionalFormatting>
  <conditionalFormatting sqref="EX15:EY15">
    <cfRule type="expression" dxfId="84" priority="88">
      <formula>IF(AND($EX14&lt;$EX15,ISNUMBER($EX14),ISNUMBER($EX15)),1,0)</formula>
    </cfRule>
  </conditionalFormatting>
  <conditionalFormatting sqref="EX18:EY18">
    <cfRule type="expression" dxfId="83" priority="95">
      <formula>IF(AND($EX18&gt;$EX19,ISNUMBER($EX18),ISNUMBER($EX19)),1,0)</formula>
    </cfRule>
  </conditionalFormatting>
  <conditionalFormatting sqref="EX19:EY19">
    <cfRule type="expression" dxfId="82" priority="96">
      <formula>IF(AND($EX18&lt;$EX19,ISNUMBER($EX18),ISNUMBER($EX19)),1,0)</formula>
    </cfRule>
  </conditionalFormatting>
  <conditionalFormatting sqref="EX22:EY22">
    <cfRule type="expression" dxfId="81" priority="103">
      <formula>IF(AND($EX22&gt;$EX23,ISNUMBER($EX22),ISNUMBER($EX23)),1,0)</formula>
    </cfRule>
  </conditionalFormatting>
  <conditionalFormatting sqref="EX23:EY23">
    <cfRule type="expression" dxfId="80" priority="104">
      <formula>IF(AND($EX22&lt;$EX23,ISNUMBER($EX22),ISNUMBER($EX23)),1,0)</formula>
    </cfRule>
  </conditionalFormatting>
  <conditionalFormatting sqref="EX26:EY26">
    <cfRule type="expression" dxfId="79" priority="111">
      <formula>IF(AND($EX26&gt;$EX27,ISNUMBER($EX26),ISNUMBER($EX27)),1,0)</formula>
    </cfRule>
  </conditionalFormatting>
  <conditionalFormatting sqref="EX27:EY27">
    <cfRule type="expression" dxfId="78" priority="112">
      <formula>IF(AND($EX26&lt;$EX27,ISNUMBER($EX26),ISNUMBER($EX27)),1,0)</formula>
    </cfRule>
  </conditionalFormatting>
  <conditionalFormatting sqref="EX30:EY30">
    <cfRule type="expression" dxfId="77" priority="119">
      <formula>IF(AND($EX30&gt;$EX31,ISNUMBER($EX30),ISNUMBER($EX31)),1,0)</formula>
    </cfRule>
  </conditionalFormatting>
  <conditionalFormatting sqref="EX31:EY31">
    <cfRule type="expression" dxfId="76" priority="120">
      <formula>IF(AND($EX30&lt;$EX31,ISNUMBER($EX30),ISNUMBER($EX31)),1,0)</formula>
    </cfRule>
  </conditionalFormatting>
  <conditionalFormatting sqref="EX34:EY34">
    <cfRule type="expression" dxfId="75" priority="127">
      <formula>IF(AND($EX34&gt;$EX35,ISNUMBER($EX34),ISNUMBER($EX35)),1,0)</formula>
    </cfRule>
  </conditionalFormatting>
  <conditionalFormatting sqref="EX35:EY35">
    <cfRule type="expression" dxfId="74" priority="128">
      <formula>IF(AND($EX34&lt;$EX35,ISNUMBER($EX34),ISNUMBER($EX35)),1,0)</formula>
    </cfRule>
  </conditionalFormatting>
  <conditionalFormatting sqref="EX38:EY38">
    <cfRule type="expression" dxfId="73" priority="135">
      <formula>IF(AND($EX38&gt;$EX39,ISNUMBER($EX38),ISNUMBER($EX39)),1,0)</formula>
    </cfRule>
  </conditionalFormatting>
  <conditionalFormatting sqref="EX39:EY39">
    <cfRule type="expression" dxfId="72" priority="136">
      <formula>IF(AND($EX38&lt;$EX39,ISNUMBER($EX38),ISNUMBER($EX39)),1,0)</formula>
    </cfRule>
  </conditionalFormatting>
  <conditionalFormatting sqref="EY10">
    <cfRule type="expression" dxfId="71" priority="83">
      <formula>IF(OR(EX10="",EX11="",EX10&lt;&gt;EX11),1,0)</formula>
    </cfRule>
  </conditionalFormatting>
  <conditionalFormatting sqref="EY11">
    <cfRule type="expression" dxfId="70" priority="84">
      <formula>IF(OR(EX10="",EX11="",EX10&lt;&gt;EX11),1,0)</formula>
    </cfRule>
  </conditionalFormatting>
  <conditionalFormatting sqref="EY14">
    <cfRule type="expression" dxfId="69" priority="91">
      <formula>IF(OR(EX14="",EX15="",EX14&lt;&gt;EX15),1,0)</formula>
    </cfRule>
  </conditionalFormatting>
  <conditionalFormatting sqref="EY15">
    <cfRule type="expression" dxfId="68" priority="92">
      <formula>IF(OR(EX14="",EX15="",EX14&lt;&gt;EX15),1,0)</formula>
    </cfRule>
  </conditionalFormatting>
  <conditionalFormatting sqref="EY18">
    <cfRule type="expression" dxfId="67" priority="99">
      <formula>IF(OR(EX18="",EX19="",EX18&lt;&gt;EX19),1,0)</formula>
    </cfRule>
  </conditionalFormatting>
  <conditionalFormatting sqref="EY19">
    <cfRule type="expression" dxfId="66" priority="100">
      <formula>IF(OR(EX18="",EX19="",EX18&lt;&gt;EX19),1,0)</formula>
    </cfRule>
  </conditionalFormatting>
  <conditionalFormatting sqref="EY22">
    <cfRule type="expression" dxfId="65" priority="107">
      <formula>IF(OR(EX22="",EX23="",EX22&lt;&gt;EX23),1,0)</formula>
    </cfRule>
  </conditionalFormatting>
  <conditionalFormatting sqref="EY23">
    <cfRule type="expression" dxfId="64" priority="108">
      <formula>IF(OR(EX22="",EX23="",EX22&lt;&gt;EX23),1,0)</formula>
    </cfRule>
  </conditionalFormatting>
  <conditionalFormatting sqref="EY26">
    <cfRule type="expression" dxfId="63" priority="115">
      <formula>IF(OR(EX26="",EX27="",EX26&lt;&gt;EX27),1,0)</formula>
    </cfRule>
  </conditionalFormatting>
  <conditionalFormatting sqref="EY27">
    <cfRule type="expression" dxfId="62" priority="116">
      <formula>IF(OR(EX26="",EX27="",EX26&lt;&gt;EX27),1,0)</formula>
    </cfRule>
  </conditionalFormatting>
  <conditionalFormatting sqref="EY30">
    <cfRule type="expression" dxfId="61" priority="123">
      <formula>IF(OR(EX30="",EX31="",EX30&lt;&gt;EX31),1,0)</formula>
    </cfRule>
  </conditionalFormatting>
  <conditionalFormatting sqref="EY31">
    <cfRule type="expression" dxfId="60" priority="124">
      <formula>IF(OR(EX30="",EX31="",EX30&lt;&gt;EX31),1,0)</formula>
    </cfRule>
  </conditionalFormatting>
  <conditionalFormatting sqref="EY34">
    <cfRule type="expression" dxfId="59" priority="131">
      <formula>IF(OR(EX34="",EX35="",EX34&lt;&gt;EX35),1,0)</formula>
    </cfRule>
  </conditionalFormatting>
  <conditionalFormatting sqref="EY35">
    <cfRule type="expression" dxfId="58" priority="132">
      <formula>IF(OR(EX34="",EX35="",EX34&lt;&gt;EX35),1,0)</formula>
    </cfRule>
  </conditionalFormatting>
  <conditionalFormatting sqref="EY38">
    <cfRule type="expression" dxfId="57" priority="139">
      <formula>IF(OR(EX38="",EX39="",EX38&lt;&gt;EX39),1,0)</formula>
    </cfRule>
  </conditionalFormatting>
  <conditionalFormatting sqref="EY39">
    <cfRule type="expression" dxfId="56" priority="140">
      <formula>IF(OR(EX38="",EX39="",EX38&lt;&gt;EX39),1,0)</formula>
    </cfRule>
  </conditionalFormatting>
  <conditionalFormatting sqref="FD12:FE12">
    <cfRule type="expression" dxfId="55" priority="167">
      <formula>IF(AND($EX12&gt;$EX13,ISNUMBER($EX12),ISNUMBER($EX13)),1,0)</formula>
    </cfRule>
  </conditionalFormatting>
  <conditionalFormatting sqref="FD13:FE13">
    <cfRule type="expression" dxfId="54" priority="168">
      <formula>IF(AND($EX12&lt;$EX13,ISNUMBER($EX12),ISNUMBER($EX13)),1,0)</formula>
    </cfRule>
  </conditionalFormatting>
  <conditionalFormatting sqref="FD20:FE20">
    <cfRule type="expression" dxfId="53" priority="159">
      <formula>IF(AND($EX20&gt;$EX21,ISNUMBER($EX20),ISNUMBER($EX21)),1,0)</formula>
    </cfRule>
  </conditionalFormatting>
  <conditionalFormatting sqref="FD21:FE21">
    <cfRule type="expression" dxfId="52" priority="160">
      <formula>IF(AND($EX20&lt;$EX21,ISNUMBER($EX20),ISNUMBER($EX21)),1,0)</formula>
    </cfRule>
  </conditionalFormatting>
  <conditionalFormatting sqref="FD28:FE28">
    <cfRule type="expression" dxfId="51" priority="151">
      <formula>IF(AND($EX28&gt;$EX29,ISNUMBER($EX28),ISNUMBER($EX29)),1,0)</formula>
    </cfRule>
  </conditionalFormatting>
  <conditionalFormatting sqref="FD29:FE29">
    <cfRule type="expression" dxfId="50" priority="152">
      <formula>IF(AND($EX28&lt;$EX29,ISNUMBER($EX28),ISNUMBER($EX29)),1,0)</formula>
    </cfRule>
  </conditionalFormatting>
  <conditionalFormatting sqref="FD36:FE36">
    <cfRule type="expression" dxfId="49" priority="143">
      <formula>IF(AND($EX36&gt;$EX37,ISNUMBER($EX36),ISNUMBER($EX37)),1,0)</formula>
    </cfRule>
  </conditionalFormatting>
  <conditionalFormatting sqref="FD37:FE37">
    <cfRule type="expression" dxfId="48" priority="144">
      <formula>IF(AND($EX36&lt;$EX37,ISNUMBER($EX36),ISNUMBER($EX37)),1,0)</formula>
    </cfRule>
  </conditionalFormatting>
  <conditionalFormatting sqref="FE12">
    <cfRule type="expression" dxfId="47" priority="171">
      <formula>IF(OR(FD12="",FD13="",FD12&lt;&gt;FD13),1,0)</formula>
    </cfRule>
  </conditionalFormatting>
  <conditionalFormatting sqref="FE13">
    <cfRule type="expression" dxfId="46" priority="172">
      <formula>IF(OR(FD12="",FD13="",FD12&lt;&gt;FD13),1,0)</formula>
    </cfRule>
  </conditionalFormatting>
  <conditionalFormatting sqref="FE20">
    <cfRule type="expression" dxfId="45" priority="163">
      <formula>IF(OR(FD20="",FD21="",FD20&lt;&gt;FD21),1,0)</formula>
    </cfRule>
  </conditionalFormatting>
  <conditionalFormatting sqref="FE21">
    <cfRule type="expression" dxfId="44" priority="164">
      <formula>IF(OR(FD20="",FD21="",FD20&lt;&gt;FD21),1,0)</formula>
    </cfRule>
  </conditionalFormatting>
  <conditionalFormatting sqref="FE28">
    <cfRule type="expression" dxfId="43" priority="155">
      <formula>IF(OR(FD28="",FD29="",FD28&lt;&gt;FD29),1,0)</formula>
    </cfRule>
  </conditionalFormatting>
  <conditionalFormatting sqref="FE29">
    <cfRule type="expression" dxfId="42" priority="156">
      <formula>IF(OR(FD28="",FD29="",FD28&lt;&gt;FD29),1,0)</formula>
    </cfRule>
  </conditionalFormatting>
  <conditionalFormatting sqref="FE36">
    <cfRule type="expression" dxfId="41" priority="147">
      <formula>IF(OR(FD36="",FD37="",FD36&lt;&gt;FD37),1,0)</formula>
    </cfRule>
  </conditionalFormatting>
  <conditionalFormatting sqref="FE37">
    <cfRule type="expression" dxfId="40" priority="148">
      <formula>IF(OR(FD36="",FD37="",FD36&lt;&gt;FD37),1,0)</formula>
    </cfRule>
  </conditionalFormatting>
  <conditionalFormatting sqref="FJ16:FK16">
    <cfRule type="expression" dxfId="39" priority="175">
      <formula>IF(AND($EX16&gt;$EX17,ISNUMBER($EX16),ISNUMBER($EX17)),1,0)</formula>
    </cfRule>
  </conditionalFormatting>
  <conditionalFormatting sqref="FJ17:FK17">
    <cfRule type="expression" dxfId="38" priority="176">
      <formula>IF(AND($EX16&lt;$EX17,ISNUMBER($EX16),ISNUMBER($EX17)),1,0)</formula>
    </cfRule>
  </conditionalFormatting>
  <conditionalFormatting sqref="FJ32:FK32">
    <cfRule type="expression" dxfId="37" priority="183">
      <formula>IF(AND($EX32&gt;$EX33,ISNUMBER($EX32),ISNUMBER($EX33)),1,0)</formula>
    </cfRule>
  </conditionalFormatting>
  <conditionalFormatting sqref="FJ33:FK33">
    <cfRule type="expression" dxfId="36" priority="184">
      <formula>IF(AND($EX32&lt;$EX33,ISNUMBER($EX32),ISNUMBER($EX33)),1,0)</formula>
    </cfRule>
  </conditionalFormatting>
  <conditionalFormatting sqref="FK16">
    <cfRule type="expression" dxfId="35" priority="179">
      <formula>IF(OR(FJ16="",FJ17="",FJ16&lt;&gt;FJ17),1,0)</formula>
    </cfRule>
  </conditionalFormatting>
  <conditionalFormatting sqref="FK17">
    <cfRule type="expression" dxfId="34" priority="180">
      <formula>IF(OR(FJ16="",FJ17="",FJ16&lt;&gt;FJ17),1,0)</formula>
    </cfRule>
  </conditionalFormatting>
  <conditionalFormatting sqref="FK32">
    <cfRule type="expression" dxfId="33" priority="187">
      <formula>IF(OR(FJ32="",FJ33="",FJ32&lt;&gt;FJ33),1,0)</formula>
    </cfRule>
  </conditionalFormatting>
  <conditionalFormatting sqref="FK33">
    <cfRule type="expression" dxfId="32" priority="188">
      <formula>IF(OR(FJ32="",FJ33="",FJ32&lt;&gt;FJ33),1,0)</formula>
    </cfRule>
  </conditionalFormatting>
  <conditionalFormatting sqref="FP23:FQ23">
    <cfRule type="expression" dxfId="31" priority="191">
      <formula>IF(AND($EX23&gt;$EX24,ISNUMBER($EX23),ISNUMBER($EX24)),1,0)</formula>
    </cfRule>
  </conditionalFormatting>
  <conditionalFormatting sqref="FP24:FQ24">
    <cfRule type="expression" dxfId="30" priority="192">
      <formula>IF(AND($EX23&lt;$EX24,ISNUMBER($EX23),ISNUMBER($EX24)),1,0)</formula>
    </cfRule>
  </conditionalFormatting>
  <conditionalFormatting sqref="FQ23">
    <cfRule type="expression" dxfId="29" priority="195">
      <formula>IF(OR(FP23="",FP24="",FP23&lt;&gt;FP24),1,0)</formula>
    </cfRule>
  </conditionalFormatting>
  <conditionalFormatting sqref="FQ24">
    <cfRule type="expression" dxfId="28" priority="196">
      <formula>IF(OR(FP23="",FP24="",FP23&lt;&gt;FP24),1,0)</formula>
    </cfRule>
  </conditionalFormatting>
  <conditionalFormatting sqref="FC12">
    <cfRule type="expression" dxfId="27" priority="199">
      <formula>IF($FC12=$Y57,1,0)</formula>
    </cfRule>
    <cfRule type="expression" dxfId="26" priority="200">
      <formula>IF($FC13=$Y57,1,0)</formula>
    </cfRule>
  </conditionalFormatting>
  <conditionalFormatting sqref="FC13">
    <cfRule type="expression" dxfId="25" priority="201">
      <formula>IF($FC13=$Y57,1,0)</formula>
    </cfRule>
    <cfRule type="expression" dxfId="24" priority="202">
      <formula>IF($FC12=$Y57,1,0)</formula>
    </cfRule>
  </conditionalFormatting>
  <conditionalFormatting sqref="FC20">
    <cfRule type="expression" dxfId="23" priority="203">
      <formula>IF($FC20=$Y58,1,0)</formula>
    </cfRule>
    <cfRule type="expression" dxfId="22" priority="204">
      <formula>IF($FC21=$Y58,1,0)</formula>
    </cfRule>
  </conditionalFormatting>
  <conditionalFormatting sqref="FC21">
    <cfRule type="expression" dxfId="21" priority="205">
      <formula>IF($FC21=$Y58,1,0)</formula>
    </cfRule>
    <cfRule type="expression" dxfId="20" priority="206">
      <formula>IF($FC20=$Y58,1,0)</formula>
    </cfRule>
  </conditionalFormatting>
  <conditionalFormatting sqref="FC28">
    <cfRule type="expression" dxfId="19" priority="207">
      <formula>IF($FC28=$Y59,1,0)</formula>
    </cfRule>
    <cfRule type="expression" dxfId="18" priority="208">
      <formula>IF($FC29=$Y59,1,0)</formula>
    </cfRule>
  </conditionalFormatting>
  <conditionalFormatting sqref="FC29">
    <cfRule type="expression" dxfId="17" priority="209">
      <formula>IF($FC29=$Y59,1,0)</formula>
    </cfRule>
    <cfRule type="expression" dxfId="16" priority="210">
      <formula>IF($FC28=$Y59,1,0)</formula>
    </cfRule>
  </conditionalFormatting>
  <conditionalFormatting sqref="FC36">
    <cfRule type="expression" dxfId="15" priority="211">
      <formula>IF($FC36=$Y60,1,0)</formula>
    </cfRule>
    <cfRule type="expression" dxfId="14" priority="212">
      <formula>IF($FC37=$Y60,1,0)</formula>
    </cfRule>
  </conditionalFormatting>
  <conditionalFormatting sqref="FC37">
    <cfRule type="expression" dxfId="13" priority="213">
      <formula>IF($FC37=$Y60,1,0)</formula>
    </cfRule>
    <cfRule type="expression" dxfId="12" priority="214">
      <formula>IF($FC36=$Y60,1,0)</formula>
    </cfRule>
  </conditionalFormatting>
  <conditionalFormatting sqref="FI16">
    <cfRule type="expression" dxfId="11" priority="251">
      <formula>IF($FI16=$Y64,1,0)</formula>
    </cfRule>
    <cfRule type="expression" dxfId="10" priority="252">
      <formula>IF($FI17=$Y64,1,0)</formula>
    </cfRule>
  </conditionalFormatting>
  <conditionalFormatting sqref="FI17">
    <cfRule type="expression" dxfId="9" priority="253">
      <formula>IF($FI17=$Y64,1,0)</formula>
    </cfRule>
    <cfRule type="expression" dxfId="8" priority="254">
      <formula>IF($FI16=$Y64,1,0)</formula>
    </cfRule>
  </conditionalFormatting>
  <conditionalFormatting sqref="FI32">
    <cfRule type="expression" dxfId="7" priority="255">
      <formula>IF($FI32=$Y65,1,0)</formula>
    </cfRule>
    <cfRule type="expression" dxfId="6" priority="256">
      <formula>IF($FI33=$Y65,1,0)</formula>
    </cfRule>
  </conditionalFormatting>
  <conditionalFormatting sqref="FI33">
    <cfRule type="expression" dxfId="5" priority="257">
      <formula>IF($FI33=$Y65,1,0)</formula>
    </cfRule>
    <cfRule type="expression" dxfId="4" priority="258">
      <formula>IF($FI32=$Y65,1,0)</formula>
    </cfRule>
  </conditionalFormatting>
  <conditionalFormatting sqref="FO23">
    <cfRule type="expression" dxfId="3" priority="263">
      <formula>IF($FO23=$Y73,1,0)</formula>
    </cfRule>
    <cfRule type="expression" dxfId="2" priority="264">
      <formula>IF($FO24=$Y73,1,0)</formula>
    </cfRule>
  </conditionalFormatting>
  <conditionalFormatting sqref="FO24">
    <cfRule type="expression" dxfId="1" priority="265">
      <formula>IF($FO24=$Y73,1,0)</formula>
    </cfRule>
    <cfRule type="expression" dxfId="0" priority="266">
      <formula>IF($FO23=$Y73,1,0)</formula>
    </cfRule>
  </conditionalFormatting>
  <dataValidations count="1">
    <dataValidation type="list" allowBlank="1" showInputMessage="1" showErrorMessage="1" sqref="F10:G45 EX10:EY11 FD12:FE13 EX14:EY15 FJ16:FK17 EX18:EY19 FD20:FE21 EX22:EY23 FP23:FQ24 EX26:EY27 FD28:FE29 EX30:EY31 FJ32:FK33 EX38:EY39 EX34:EY35 FD36:FE37">
      <formula1>"0,1,2,3,4,5,6,7,8,9"</formula1>
      <formula2>0</formula2>
    </dataValidation>
  </dataValidations>
  <printOptions horizontalCentered="1"/>
  <pageMargins left="0.59027777777777801" right="0.59027777777777801" top="0.78749999999999998" bottom="0.78749999999999998" header="0.51180555555555496" footer="0.51180555555555496"/>
  <pageSetup paperSize="9" scale="49" firstPageNumber="0" orientation="landscape" r:id="rId1"/>
  <headerFooter>
    <oddFooter>&amp;Cwww.excely.com (c) 2024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34" baseType="lpstr">
      <vt:lpstr>UEFA EURO 2024</vt:lpstr>
      <vt:lpstr>A_Team1</vt:lpstr>
      <vt:lpstr>A_Team2</vt:lpstr>
      <vt:lpstr>A_Team3</vt:lpstr>
      <vt:lpstr>A_Team4</vt:lpstr>
      <vt:lpstr>B_Team1</vt:lpstr>
      <vt:lpstr>B_Team2</vt:lpstr>
      <vt:lpstr>B_Team3</vt:lpstr>
      <vt:lpstr>B_Team4</vt:lpstr>
      <vt:lpstr>C_Team1</vt:lpstr>
      <vt:lpstr>C_Team2</vt:lpstr>
      <vt:lpstr>C_Team3</vt:lpstr>
      <vt:lpstr>C_Team4</vt:lpstr>
      <vt:lpstr>D_Team1</vt:lpstr>
      <vt:lpstr>D_Team2</vt:lpstr>
      <vt:lpstr>D_Team3</vt:lpstr>
      <vt:lpstr>D_Team4</vt:lpstr>
      <vt:lpstr>db_fifarank</vt:lpstr>
      <vt:lpstr>E_Team1</vt:lpstr>
      <vt:lpstr>E_Team2</vt:lpstr>
      <vt:lpstr>E_Team3</vt:lpstr>
      <vt:lpstr>E_Team4</vt:lpstr>
      <vt:lpstr>F_Team1</vt:lpstr>
      <vt:lpstr>F_Team2</vt:lpstr>
      <vt:lpstr>F_Team3</vt:lpstr>
      <vt:lpstr>F_Team4</vt:lpstr>
      <vt:lpstr>gmt_delta</vt:lpstr>
      <vt:lpstr>itype</vt:lpstr>
      <vt:lpstr>lang</vt:lpstr>
      <vt:lpstr>lang_list</vt:lpstr>
      <vt:lpstr>lookup_3rd</vt:lpstr>
      <vt:lpstr>'UEFA EURO 2024'!Print_Area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2024 Schedule</dc:title>
  <dc:subject/>
  <dc:creator>Denys Kozyr</dc:creator>
  <dc:description/>
  <cp:lastModifiedBy>Bob</cp:lastModifiedBy>
  <cp:revision>12</cp:revision>
  <cp:lastPrinted>2016-04-03T12:59:36Z</cp:lastPrinted>
  <dcterms:created xsi:type="dcterms:W3CDTF">2008-09-24T12:14:29Z</dcterms:created>
  <dcterms:modified xsi:type="dcterms:W3CDTF">2024-06-03T15:23:45Z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Excely.com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