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Bob\Desktop\euro2024\nunosoccerpool.github.io\downloads\"/>
    </mc:Choice>
  </mc:AlternateContent>
  <bookViews>
    <workbookView xWindow="0" yWindow="0" windowWidth="28800" windowHeight="11700" tabRatio="500" firstSheet="3" activeTab="3"/>
  </bookViews>
  <sheets>
    <sheet name="T" sheetId="1" state="veryHidden" r:id="rId1"/>
    <sheet name="Settings" sheetId="2" state="veryHidden" r:id="rId2"/>
    <sheet name="3rd Places" sheetId="3" state="veryHidden" r:id="rId3"/>
    <sheet name="UEFA EURO 2024" sheetId="4" r:id="rId4"/>
    <sheet name="Lucky Bonus" sheetId="6" r:id="rId5"/>
  </sheets>
  <externalReferences>
    <externalReference r:id="rId6"/>
  </externalReferences>
  <definedNames>
    <definedName name="A_Team1">'UEFA EURO 2024'!$O$9</definedName>
    <definedName name="A_Team2">'UEFA EURO 2024'!$O$10</definedName>
    <definedName name="A_Team3">'UEFA EURO 2024'!$O$11</definedName>
    <definedName name="A_Team4">'UEFA EURO 2024'!$O$12</definedName>
    <definedName name="B_Team1">'UEFA EURO 2024'!$O$15</definedName>
    <definedName name="B_Team2">'UEFA EURO 2024'!$O$16</definedName>
    <definedName name="B_Team3">'UEFA EURO 2024'!$O$17</definedName>
    <definedName name="B_Team4">'UEFA EURO 2024'!$O$18</definedName>
    <definedName name="C_Team1">'UEFA EURO 2024'!$O$21</definedName>
    <definedName name="C_Team2">'UEFA EURO 2024'!$O$22</definedName>
    <definedName name="C_Team3">'UEFA EURO 2024'!$O$23</definedName>
    <definedName name="C_Team4">'UEFA EURO 2024'!$O$24</definedName>
    <definedName name="D_Team1">'UEFA EURO 2024'!$O$27</definedName>
    <definedName name="D_Team2">'UEFA EURO 2024'!$O$28</definedName>
    <definedName name="D_Team3">'UEFA EURO 2024'!$O$29</definedName>
    <definedName name="D_Team4">'UEFA EURO 2024'!$O$30</definedName>
    <definedName name="db_fifarank">Settings!$B$15:$C$46</definedName>
    <definedName name="E_Team1">'UEFA EURO 2024'!$O$33</definedName>
    <definedName name="E_Team2">'UEFA EURO 2024'!$O$34</definedName>
    <definedName name="E_Team3">'UEFA EURO 2024'!$O$35</definedName>
    <definedName name="E_Team4">'UEFA EURO 2024'!$O$36</definedName>
    <definedName name="F_Team1">'UEFA EURO 2024'!$O$39</definedName>
    <definedName name="F_Team2">'UEFA EURO 2024'!$O$40</definedName>
    <definedName name="F_Team3">'UEFA EURO 2024'!$O$41</definedName>
    <definedName name="F_Team4">'UEFA EURO 2024'!$O$42</definedName>
    <definedName name="gmt_delta">Settings!$G$14</definedName>
    <definedName name="GROUP_RANK_1ST">[1]POINTSYSTEM!$B$22</definedName>
    <definedName name="GROUP_RANK_1ST_PLUS1">[1]POINTSYSTEM!$B$23</definedName>
    <definedName name="GROUP_RANK_ALL">[1]POINTSYSTEM!$B$24</definedName>
    <definedName name="itype">Settings!$G$46</definedName>
    <definedName name="lang">Settings!$G$13</definedName>
    <definedName name="lang_list">T!$1:$1</definedName>
    <definedName name="lookup_3rd">'UEFA EURO 2024'!$BB$50</definedName>
    <definedName name="_xlnm.Print_Area" localSheetId="3">'UEFA EURO 2024'!$A$1:$EV$57</definedName>
    <definedName name="T">T!$1:$1048576</definedName>
    <definedName name="tbl_lookup_3rd">'UEFA EURO 2024'!$BD$53:$BH$67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9" i="4" l="1"/>
  <c r="AW49" i="4"/>
  <c r="AW48" i="4"/>
  <c r="AW47" i="4"/>
  <c r="AW46" i="4"/>
  <c r="AW45" i="4"/>
  <c r="AW44" i="4"/>
  <c r="AM42" i="4"/>
  <c r="AL42" i="4"/>
  <c r="AK42" i="4"/>
  <c r="AI42" i="4"/>
  <c r="AH42" i="4"/>
  <c r="AG42" i="4"/>
  <c r="AM41" i="4"/>
  <c r="AL41" i="4"/>
  <c r="AK41" i="4"/>
  <c r="AI41" i="4"/>
  <c r="AH41" i="4"/>
  <c r="AG41" i="4"/>
  <c r="AM40" i="4"/>
  <c r="AL40" i="4"/>
  <c r="AK40" i="4"/>
  <c r="AI40" i="4"/>
  <c r="AH40" i="4"/>
  <c r="AG40" i="4"/>
  <c r="AM39" i="4"/>
  <c r="AL39" i="4"/>
  <c r="AK39" i="4"/>
  <c r="AI39" i="4"/>
  <c r="AH39" i="4"/>
  <c r="AG39" i="4"/>
  <c r="AM38" i="4"/>
  <c r="AL38" i="4"/>
  <c r="AK38" i="4"/>
  <c r="AI38" i="4"/>
  <c r="AH38" i="4"/>
  <c r="AG38" i="4"/>
  <c r="AM37" i="4"/>
  <c r="AL37" i="4"/>
  <c r="AK37" i="4"/>
  <c r="AI37" i="4"/>
  <c r="AH37" i="4"/>
  <c r="AG37" i="4"/>
  <c r="AM36" i="4"/>
  <c r="AL36" i="4"/>
  <c r="AK36" i="4"/>
  <c r="AI36" i="4"/>
  <c r="AH36" i="4"/>
  <c r="AG36" i="4"/>
  <c r="AM35" i="4"/>
  <c r="AL35" i="4"/>
  <c r="AK35" i="4"/>
  <c r="AI35" i="4"/>
  <c r="AH35" i="4"/>
  <c r="AG35" i="4"/>
  <c r="AM34" i="4"/>
  <c r="AL34" i="4"/>
  <c r="AK34" i="4"/>
  <c r="AI34" i="4"/>
  <c r="AH34" i="4"/>
  <c r="AG34" i="4"/>
  <c r="AM33" i="4"/>
  <c r="AL33" i="4"/>
  <c r="AK33" i="4"/>
  <c r="AI33" i="4"/>
  <c r="AH33" i="4"/>
  <c r="AG33" i="4"/>
  <c r="AM32" i="4"/>
  <c r="AL32" i="4"/>
  <c r="AK32" i="4"/>
  <c r="AI32" i="4"/>
  <c r="AH32" i="4"/>
  <c r="AG32" i="4"/>
  <c r="AM31" i="4"/>
  <c r="AL31" i="4"/>
  <c r="AK31" i="4"/>
  <c r="AI31" i="4"/>
  <c r="AH31" i="4"/>
  <c r="AG31" i="4"/>
  <c r="AW30" i="4"/>
  <c r="AM30" i="4"/>
  <c r="AV30" i="4" s="1"/>
  <c r="AL30" i="4"/>
  <c r="AU30" i="4" s="1"/>
  <c r="AK30" i="4"/>
  <c r="AT30" i="4" s="1"/>
  <c r="AI30" i="4"/>
  <c r="AR30" i="4" s="1"/>
  <c r="AH30" i="4"/>
  <c r="AQ30" i="4" s="1"/>
  <c r="AG30" i="4"/>
  <c r="AP30" i="4" s="1"/>
  <c r="AM29" i="4"/>
  <c r="AV29" i="4" s="1"/>
  <c r="AL29" i="4"/>
  <c r="AU29" i="4" s="1"/>
  <c r="AK29" i="4"/>
  <c r="AT29" i="4" s="1"/>
  <c r="AI29" i="4"/>
  <c r="AR29" i="4" s="1"/>
  <c r="AH29" i="4"/>
  <c r="AQ29" i="4" s="1"/>
  <c r="AG29" i="4"/>
  <c r="AP29" i="4" s="1"/>
  <c r="AM28" i="4"/>
  <c r="AV28" i="4" s="1"/>
  <c r="AL28" i="4"/>
  <c r="AU28" i="4" s="1"/>
  <c r="AK28" i="4"/>
  <c r="AT28" i="4" s="1"/>
  <c r="AI28" i="4"/>
  <c r="AR28" i="4" s="1"/>
  <c r="AH28" i="4"/>
  <c r="AQ28" i="4" s="1"/>
  <c r="AG28" i="4"/>
  <c r="AP28" i="4" s="1"/>
  <c r="AM27" i="4"/>
  <c r="AV27" i="4" s="1"/>
  <c r="AL27" i="4"/>
  <c r="AU27" i="4" s="1"/>
  <c r="AK27" i="4"/>
  <c r="AT27" i="4" s="1"/>
  <c r="AI27" i="4"/>
  <c r="AR27" i="4" s="1"/>
  <c r="AH27" i="4"/>
  <c r="AQ27" i="4" s="1"/>
  <c r="AG27" i="4"/>
  <c r="AP27" i="4" s="1"/>
  <c r="AM26" i="4"/>
  <c r="AV26" i="4" s="1"/>
  <c r="AL26" i="4"/>
  <c r="AU26" i="4" s="1"/>
  <c r="AK26" i="4"/>
  <c r="AT26" i="4" s="1"/>
  <c r="AI26" i="4"/>
  <c r="AR26" i="4" s="1"/>
  <c r="AH26" i="4"/>
  <c r="AQ26" i="4" s="1"/>
  <c r="AG26" i="4"/>
  <c r="AP26" i="4" s="1"/>
  <c r="AM25" i="4"/>
  <c r="AV25" i="4" s="1"/>
  <c r="AL25" i="4"/>
  <c r="AU25" i="4" s="1"/>
  <c r="AK25" i="4"/>
  <c r="AT25" i="4" s="1"/>
  <c r="AI25" i="4"/>
  <c r="AR25" i="4" s="1"/>
  <c r="AH25" i="4"/>
  <c r="AQ25" i="4" s="1"/>
  <c r="AG25" i="4"/>
  <c r="AP25" i="4" s="1"/>
  <c r="AM24" i="4"/>
  <c r="AV24" i="4" s="1"/>
  <c r="AL24" i="4"/>
  <c r="AU24" i="4" s="1"/>
  <c r="AK24" i="4"/>
  <c r="AT24" i="4" s="1"/>
  <c r="AI24" i="4"/>
  <c r="AR24" i="4" s="1"/>
  <c r="AH24" i="4"/>
  <c r="AQ24" i="4" s="1"/>
  <c r="AG24" i="4"/>
  <c r="AP24" i="4" s="1"/>
  <c r="AM23" i="4"/>
  <c r="AV23" i="4" s="1"/>
  <c r="AL23" i="4"/>
  <c r="AU23" i="4" s="1"/>
  <c r="AK23" i="4"/>
  <c r="AT23" i="4" s="1"/>
  <c r="AI23" i="4"/>
  <c r="AR23" i="4" s="1"/>
  <c r="AH23" i="4"/>
  <c r="AQ23" i="4" s="1"/>
  <c r="AG23" i="4"/>
  <c r="AP23" i="4" s="1"/>
  <c r="AM22" i="4"/>
  <c r="AV22" i="4" s="1"/>
  <c r="AL22" i="4"/>
  <c r="AU22" i="4" s="1"/>
  <c r="AK22" i="4"/>
  <c r="AT22" i="4" s="1"/>
  <c r="AI22" i="4"/>
  <c r="AR22" i="4" s="1"/>
  <c r="AH22" i="4"/>
  <c r="AQ22" i="4" s="1"/>
  <c r="AG22" i="4"/>
  <c r="AP22" i="4" s="1"/>
  <c r="AM21" i="4"/>
  <c r="AV21" i="4" s="1"/>
  <c r="AL21" i="4"/>
  <c r="AU21" i="4" s="1"/>
  <c r="AK21" i="4"/>
  <c r="AT21" i="4" s="1"/>
  <c r="AI21" i="4"/>
  <c r="AR21" i="4" s="1"/>
  <c r="AH21" i="4"/>
  <c r="AQ21" i="4" s="1"/>
  <c r="AG21" i="4"/>
  <c r="AP21" i="4" s="1"/>
  <c r="AM20" i="4"/>
  <c r="AV20" i="4" s="1"/>
  <c r="AL20" i="4"/>
  <c r="AU20" i="4" s="1"/>
  <c r="AK20" i="4"/>
  <c r="AT20" i="4" s="1"/>
  <c r="AI20" i="4"/>
  <c r="AR20" i="4" s="1"/>
  <c r="AH20" i="4"/>
  <c r="AQ20" i="4" s="1"/>
  <c r="AG20" i="4"/>
  <c r="AP20" i="4" s="1"/>
  <c r="AM19" i="4"/>
  <c r="AV19" i="4" s="1"/>
  <c r="AL19" i="4"/>
  <c r="AU19" i="4" s="1"/>
  <c r="AK19" i="4"/>
  <c r="AT19" i="4" s="1"/>
  <c r="AI19" i="4"/>
  <c r="AR19" i="4" s="1"/>
  <c r="AH19" i="4"/>
  <c r="AQ19" i="4" s="1"/>
  <c r="AG19" i="4"/>
  <c r="AP19" i="4" s="1"/>
  <c r="AM18" i="4"/>
  <c r="AV18" i="4" s="1"/>
  <c r="AL18" i="4"/>
  <c r="AU18" i="4" s="1"/>
  <c r="AK18" i="4"/>
  <c r="AT18" i="4" s="1"/>
  <c r="AI18" i="4"/>
  <c r="AR18" i="4" s="1"/>
  <c r="AH18" i="4"/>
  <c r="AQ18" i="4" s="1"/>
  <c r="AG18" i="4"/>
  <c r="AP18" i="4" s="1"/>
  <c r="AM17" i="4"/>
  <c r="AV17" i="4" s="1"/>
  <c r="AL17" i="4"/>
  <c r="AU17" i="4" s="1"/>
  <c r="AK17" i="4"/>
  <c r="AT17" i="4" s="1"/>
  <c r="AI17" i="4"/>
  <c r="AR17" i="4" s="1"/>
  <c r="AH17" i="4"/>
  <c r="AQ17" i="4" s="1"/>
  <c r="AG17" i="4"/>
  <c r="AP17" i="4" s="1"/>
  <c r="AM16" i="4"/>
  <c r="AV16" i="4" s="1"/>
  <c r="AL16" i="4"/>
  <c r="AU16" i="4" s="1"/>
  <c r="AK16" i="4"/>
  <c r="AT16" i="4" s="1"/>
  <c r="AI16" i="4"/>
  <c r="AR16" i="4" s="1"/>
  <c r="AH16" i="4"/>
  <c r="AQ16" i="4" s="1"/>
  <c r="AG16" i="4"/>
  <c r="AP16" i="4" s="1"/>
  <c r="AM15" i="4"/>
  <c r="AV15" i="4" s="1"/>
  <c r="AL15" i="4"/>
  <c r="AU15" i="4" s="1"/>
  <c r="AK15" i="4"/>
  <c r="AT15" i="4" s="1"/>
  <c r="AI15" i="4"/>
  <c r="AR15" i="4" s="1"/>
  <c r="AH15" i="4"/>
  <c r="AQ15" i="4" s="1"/>
  <c r="AG15" i="4"/>
  <c r="AP15" i="4" s="1"/>
  <c r="AM14" i="4"/>
  <c r="AV14" i="4" s="1"/>
  <c r="AL14" i="4"/>
  <c r="AU14" i="4" s="1"/>
  <c r="AK14" i="4"/>
  <c r="AT14" i="4" s="1"/>
  <c r="AI14" i="4"/>
  <c r="AR14" i="4" s="1"/>
  <c r="AH14" i="4"/>
  <c r="AQ14" i="4" s="1"/>
  <c r="AG14" i="4"/>
  <c r="AP14" i="4" s="1"/>
  <c r="AM13" i="4"/>
  <c r="AV13" i="4" s="1"/>
  <c r="AL13" i="4"/>
  <c r="AU13" i="4" s="1"/>
  <c r="AK13" i="4"/>
  <c r="AT13" i="4" s="1"/>
  <c r="AI13" i="4"/>
  <c r="AR13" i="4" s="1"/>
  <c r="AH13" i="4"/>
  <c r="AQ13" i="4" s="1"/>
  <c r="AG13" i="4"/>
  <c r="AP13" i="4" s="1"/>
  <c r="AM12" i="4"/>
  <c r="AV12" i="4" s="1"/>
  <c r="AL12" i="4"/>
  <c r="AU12" i="4" s="1"/>
  <c r="AK12" i="4"/>
  <c r="AT12" i="4" s="1"/>
  <c r="AI12" i="4"/>
  <c r="AR12" i="4" s="1"/>
  <c r="AH12" i="4"/>
  <c r="AQ12" i="4" s="1"/>
  <c r="AG12" i="4"/>
  <c r="AP12" i="4" s="1"/>
  <c r="AM11" i="4"/>
  <c r="AV11" i="4" s="1"/>
  <c r="AL11" i="4"/>
  <c r="AU11" i="4" s="1"/>
  <c r="AK11" i="4"/>
  <c r="AT11" i="4" s="1"/>
  <c r="AI11" i="4"/>
  <c r="AR11" i="4" s="1"/>
  <c r="AH11" i="4"/>
  <c r="AQ11" i="4" s="1"/>
  <c r="AG11" i="4"/>
  <c r="AP11" i="4" s="1"/>
  <c r="AM10" i="4"/>
  <c r="AV10" i="4" s="1"/>
  <c r="AL10" i="4"/>
  <c r="AU10" i="4" s="1"/>
  <c r="AK10" i="4"/>
  <c r="AT10" i="4" s="1"/>
  <c r="AI10" i="4"/>
  <c r="AR10" i="4" s="1"/>
  <c r="AH10" i="4"/>
  <c r="AQ10" i="4" s="1"/>
  <c r="AG10" i="4"/>
  <c r="AP10" i="4" s="1"/>
  <c r="AM9" i="4"/>
  <c r="AV9" i="4" s="1"/>
  <c r="AL9" i="4"/>
  <c r="AU9" i="4" s="1"/>
  <c r="AK9" i="4"/>
  <c r="AT9" i="4" s="1"/>
  <c r="AI9" i="4"/>
  <c r="AR9" i="4" s="1"/>
  <c r="AH9" i="4"/>
  <c r="AQ9" i="4" s="1"/>
  <c r="AG9" i="4"/>
  <c r="AP9" i="4" s="1"/>
  <c r="AM8" i="4"/>
  <c r="AV8" i="4" s="1"/>
  <c r="AL8" i="4"/>
  <c r="AU8" i="4" s="1"/>
  <c r="AK8" i="4"/>
  <c r="AT8" i="4" s="1"/>
  <c r="AI8" i="4"/>
  <c r="AR8" i="4" s="1"/>
  <c r="AH8" i="4"/>
  <c r="AQ8" i="4" s="1"/>
  <c r="AG8" i="4"/>
  <c r="AP8" i="4" s="1"/>
  <c r="AM7" i="4"/>
  <c r="AV7" i="4" s="1"/>
  <c r="AL7" i="4"/>
  <c r="AU7" i="4" s="1"/>
  <c r="AK7" i="4"/>
  <c r="AT7" i="4" s="1"/>
  <c r="AI7" i="4"/>
  <c r="AR7" i="4" s="1"/>
  <c r="AH7" i="4"/>
  <c r="AQ7" i="4" s="1"/>
  <c r="AG7" i="4"/>
  <c r="AP7" i="4" s="1"/>
  <c r="G46" i="2"/>
  <c r="G14" i="2"/>
  <c r="G13" i="2"/>
  <c r="I21" i="4" l="1"/>
  <c r="I17" i="4"/>
  <c r="I14" i="4"/>
  <c r="I15" i="4"/>
  <c r="I12" i="4"/>
  <c r="B37" i="2"/>
  <c r="B31" i="2"/>
  <c r="B25" i="2"/>
  <c r="B19" i="2"/>
  <c r="BD39" i="4"/>
  <c r="BD29" i="4"/>
  <c r="BD17" i="4"/>
  <c r="BD9" i="4"/>
  <c r="BD41" i="4"/>
  <c r="BD28" i="4"/>
  <c r="I20" i="4"/>
  <c r="I39" i="4"/>
  <c r="I41" i="4"/>
  <c r="I37" i="4"/>
  <c r="I35" i="4"/>
  <c r="B36" i="2"/>
  <c r="B30" i="2"/>
  <c r="B24" i="2"/>
  <c r="B18" i="2"/>
  <c r="BD40" i="4"/>
  <c r="BD26" i="4"/>
  <c r="BD27" i="4"/>
  <c r="BD10" i="4"/>
  <c r="I45" i="4"/>
  <c r="I43" i="4"/>
  <c r="I38" i="4"/>
  <c r="I40" i="4"/>
  <c r="I36" i="4"/>
  <c r="I34" i="4"/>
  <c r="B35" i="2"/>
  <c r="B29" i="2"/>
  <c r="B23" i="2"/>
  <c r="B17" i="2"/>
  <c r="BD38" i="4"/>
  <c r="BD23" i="4"/>
  <c r="BD21" i="4"/>
  <c r="BD15" i="4"/>
  <c r="I44" i="4"/>
  <c r="I42" i="4"/>
  <c r="I30" i="4"/>
  <c r="I26" i="4"/>
  <c r="I27" i="4"/>
  <c r="I24" i="4"/>
  <c r="B34" i="2"/>
  <c r="B28" i="2"/>
  <c r="B22" i="2"/>
  <c r="B16" i="2"/>
  <c r="BD34" i="4"/>
  <c r="BD22" i="4"/>
  <c r="BD16" i="4"/>
  <c r="BD8" i="4"/>
  <c r="I32" i="4"/>
  <c r="I33" i="4"/>
  <c r="I29" i="4"/>
  <c r="I25" i="4"/>
  <c r="I22" i="4"/>
  <c r="I23" i="4"/>
  <c r="B33" i="2"/>
  <c r="B27" i="2"/>
  <c r="B21" i="2"/>
  <c r="B15" i="2"/>
  <c r="BD33" i="4"/>
  <c r="BD20" i="4"/>
  <c r="BD14" i="4"/>
  <c r="I31" i="4"/>
  <c r="I18" i="4"/>
  <c r="I19" i="4"/>
  <c r="I16" i="4"/>
  <c r="I13" i="4"/>
  <c r="B38" i="2"/>
  <c r="B32" i="2"/>
  <c r="B26" i="2"/>
  <c r="B20" i="2"/>
  <c r="BD32" i="4"/>
  <c r="BD11" i="4"/>
  <c r="W53" i="4"/>
  <c r="W52" i="4"/>
  <c r="AA52" i="4" s="1"/>
  <c r="W60" i="4"/>
  <c r="W47" i="4"/>
  <c r="AA47" i="4" s="1"/>
  <c r="W35" i="4"/>
  <c r="W31" i="4"/>
  <c r="W19" i="4"/>
  <c r="W23" i="4"/>
  <c r="W14" i="4"/>
  <c r="W8" i="4"/>
  <c r="W51" i="4"/>
  <c r="AA51" i="4" s="1"/>
  <c r="W37" i="4"/>
  <c r="W21" i="4"/>
  <c r="W12" i="4"/>
  <c r="W58" i="4"/>
  <c r="W73" i="4"/>
  <c r="W41" i="4"/>
  <c r="W29" i="4"/>
  <c r="W11" i="4"/>
  <c r="W49" i="4"/>
  <c r="AA49" i="4" s="1"/>
  <c r="W33" i="4"/>
  <c r="W28" i="4"/>
  <c r="W10" i="4"/>
  <c r="W48" i="4"/>
  <c r="AA48" i="4" s="1"/>
  <c r="W34" i="4"/>
  <c r="W24" i="4"/>
  <c r="W15" i="4"/>
  <c r="W59" i="4"/>
  <c r="W46" i="4"/>
  <c r="AA46" i="4" s="1"/>
  <c r="W36" i="4"/>
  <c r="W32" i="4"/>
  <c r="W20" i="4"/>
  <c r="W22" i="4"/>
  <c r="W13" i="4"/>
  <c r="W7" i="4"/>
  <c r="W42" i="4"/>
  <c r="W30" i="4"/>
  <c r="W18" i="4"/>
  <c r="W69" i="4"/>
  <c r="W50" i="4"/>
  <c r="AA50" i="4" s="1"/>
  <c r="W38" i="4"/>
  <c r="W25" i="4"/>
  <c r="W17" i="4"/>
  <c r="W57" i="4"/>
  <c r="W65" i="4"/>
  <c r="W40" i="4"/>
  <c r="W26" i="4"/>
  <c r="W16" i="4"/>
  <c r="W64" i="4"/>
  <c r="W39" i="4"/>
  <c r="W27" i="4"/>
  <c r="W9" i="4"/>
  <c r="C12" i="4" s="1"/>
  <c r="AW50" i="4"/>
  <c r="H23" i="4"/>
  <c r="DZ11" i="4"/>
  <c r="BY11" i="4"/>
  <c r="E11" i="4"/>
  <c r="T8" i="4"/>
  <c r="AW77" i="4"/>
  <c r="AW76" i="4"/>
  <c r="S38" i="4"/>
  <c r="BD35" i="4"/>
  <c r="R38" i="4"/>
  <c r="O38" i="4"/>
  <c r="T38" i="4"/>
  <c r="U32" i="4"/>
  <c r="U38" i="4"/>
  <c r="T32" i="4"/>
  <c r="Q38" i="4"/>
  <c r="S32" i="4"/>
  <c r="P38" i="4"/>
  <c r="R32" i="4"/>
  <c r="Q32" i="4"/>
  <c r="T26" i="4"/>
  <c r="S26" i="4"/>
  <c r="P32" i="4"/>
  <c r="U26" i="4"/>
  <c r="O32" i="4"/>
  <c r="O26" i="4"/>
  <c r="P20" i="4"/>
  <c r="O20" i="4"/>
  <c r="I28" i="4"/>
  <c r="U20" i="4"/>
  <c r="T20" i="4"/>
  <c r="P26" i="4"/>
  <c r="R20" i="4"/>
  <c r="O14" i="4"/>
  <c r="Q20" i="4"/>
  <c r="R26" i="4"/>
  <c r="U14" i="4"/>
  <c r="Q26" i="4"/>
  <c r="T14" i="4"/>
  <c r="S14" i="4"/>
  <c r="S20" i="4"/>
  <c r="P14" i="4"/>
  <c r="O8" i="4"/>
  <c r="AA53" i="4"/>
  <c r="P8" i="4"/>
  <c r="I10" i="4"/>
  <c r="I11" i="4"/>
  <c r="A1" i="4"/>
  <c r="Q14" i="4"/>
  <c r="U8" i="4"/>
  <c r="Q8" i="4"/>
  <c r="R8" i="4"/>
  <c r="R14" i="4"/>
  <c r="A8" i="4"/>
  <c r="S8" i="4"/>
  <c r="X8" i="4" l="1"/>
  <c r="E16" i="4"/>
  <c r="BP22" i="4"/>
  <c r="H41" i="4"/>
  <c r="H37" i="4"/>
  <c r="BP15" i="4"/>
  <c r="H27" i="4"/>
  <c r="E36" i="4"/>
  <c r="H13" i="4"/>
  <c r="BP17" i="4"/>
  <c r="H22" i="4"/>
  <c r="H42" i="4"/>
  <c r="E17" i="4"/>
  <c r="BP34" i="4"/>
  <c r="H33" i="4"/>
  <c r="E26" i="4"/>
  <c r="H15" i="4"/>
  <c r="E41" i="4"/>
  <c r="BP21" i="4"/>
  <c r="H39" i="4"/>
  <c r="E29" i="4"/>
  <c r="BP29" i="4"/>
  <c r="H40" i="4"/>
  <c r="BP23" i="4"/>
  <c r="E15" i="4"/>
  <c r="D12" i="4"/>
  <c r="H24" i="4"/>
  <c r="BP10" i="4"/>
  <c r="H11" i="4"/>
  <c r="Z5" i="6" s="1"/>
  <c r="BP35" i="4"/>
  <c r="H36" i="4"/>
  <c r="E27" i="4"/>
  <c r="E12" i="4"/>
  <c r="BP14" i="4"/>
  <c r="H44" i="4"/>
  <c r="E21" i="4"/>
  <c r="BP38" i="4"/>
  <c r="E30" i="4"/>
  <c r="Z24" i="6" s="1"/>
  <c r="E38" i="4"/>
  <c r="BP27" i="4"/>
  <c r="H29" i="4"/>
  <c r="BP28" i="4"/>
  <c r="H38" i="4"/>
  <c r="E19" i="4"/>
  <c r="B12" i="4"/>
  <c r="H35" i="4"/>
  <c r="BP11" i="4"/>
  <c r="H16" i="4"/>
  <c r="E40" i="4"/>
  <c r="BP20" i="4"/>
  <c r="H26" i="4"/>
  <c r="H34" i="4"/>
  <c r="BP8" i="4"/>
  <c r="H30" i="4"/>
  <c r="BP26" i="4"/>
  <c r="H19" i="4"/>
  <c r="E39" i="4"/>
  <c r="Z33" i="6" s="1"/>
  <c r="E31" i="4"/>
  <c r="Z25" i="6" s="1"/>
  <c r="E44" i="4"/>
  <c r="Z38" i="6" s="1"/>
  <c r="H20" i="4"/>
  <c r="BP41" i="4"/>
  <c r="E20" i="4"/>
  <c r="Z14" i="6" s="1"/>
  <c r="E32" i="4"/>
  <c r="BP39" i="4"/>
  <c r="H43" i="4"/>
  <c r="E33" i="4"/>
  <c r="BP32" i="4"/>
  <c r="E18" i="4"/>
  <c r="E43" i="4"/>
  <c r="H28" i="4"/>
  <c r="H17" i="4"/>
  <c r="BP33" i="4"/>
  <c r="H12" i="4"/>
  <c r="E22" i="4"/>
  <c r="E37" i="4"/>
  <c r="BP16" i="4"/>
  <c r="H21" i="4"/>
  <c r="H31" i="4"/>
  <c r="BP40" i="4"/>
  <c r="H10" i="4"/>
  <c r="E24" i="4"/>
  <c r="Z18" i="6" s="1"/>
  <c r="BP9" i="4"/>
  <c r="E42" i="4"/>
  <c r="Z36" i="6" s="1"/>
  <c r="E28" i="4"/>
  <c r="D23" i="4"/>
  <c r="B23" i="4"/>
  <c r="C23" i="4"/>
  <c r="E23" i="4"/>
  <c r="DZ8" i="4"/>
  <c r="BY8" i="4"/>
  <c r="E10" i="4"/>
  <c r="BY13" i="4"/>
  <c r="E13" i="4"/>
  <c r="DZ15" i="4"/>
  <c r="D20" i="4"/>
  <c r="C20" i="4"/>
  <c r="B20" i="4"/>
  <c r="D26" i="4"/>
  <c r="C26" i="4"/>
  <c r="B26" i="4"/>
  <c r="D35" i="4"/>
  <c r="C35" i="4"/>
  <c r="B35" i="4"/>
  <c r="D42" i="4"/>
  <c r="C42" i="4"/>
  <c r="B42" i="4"/>
  <c r="X39" i="4"/>
  <c r="X25" i="4"/>
  <c r="DZ32" i="4"/>
  <c r="BY24" i="4"/>
  <c r="X27" i="4"/>
  <c r="DZ29" i="4"/>
  <c r="BY23" i="4"/>
  <c r="E14" i="4"/>
  <c r="X23" i="4"/>
  <c r="DZ16" i="4"/>
  <c r="BY14" i="4"/>
  <c r="X9" i="4"/>
  <c r="B15" i="4"/>
  <c r="C15" i="4"/>
  <c r="D15" i="4"/>
  <c r="C31" i="4"/>
  <c r="B31" i="4"/>
  <c r="D31" i="4"/>
  <c r="D40" i="4"/>
  <c r="C40" i="4"/>
  <c r="B40" i="4"/>
  <c r="B45" i="4"/>
  <c r="D45" i="4"/>
  <c r="C45" i="4"/>
  <c r="X37" i="4"/>
  <c r="DZ26" i="4"/>
  <c r="BY20" i="4"/>
  <c r="X36" i="4"/>
  <c r="BY12" i="4"/>
  <c r="DZ14" i="4"/>
  <c r="B17" i="4"/>
  <c r="C17" i="4"/>
  <c r="D17" i="4"/>
  <c r="C33" i="4"/>
  <c r="B33" i="4"/>
  <c r="D33" i="4"/>
  <c r="D41" i="4"/>
  <c r="C41" i="4"/>
  <c r="B41" i="4"/>
  <c r="X35" i="4"/>
  <c r="Y35" i="4" s="1"/>
  <c r="X19" i="4"/>
  <c r="DZ17" i="4"/>
  <c r="BY15" i="4"/>
  <c r="X38" i="4"/>
  <c r="DZ27" i="4"/>
  <c r="X26" i="4"/>
  <c r="BY21" i="4"/>
  <c r="H14" i="4"/>
  <c r="DZ34" i="4"/>
  <c r="BY26" i="4"/>
  <c r="X16" i="4"/>
  <c r="Y16" i="4" s="1"/>
  <c r="D14" i="4"/>
  <c r="C14" i="4"/>
  <c r="B14" i="4"/>
  <c r="D19" i="4"/>
  <c r="C19" i="4"/>
  <c r="B19" i="4"/>
  <c r="B22" i="4"/>
  <c r="D22" i="4"/>
  <c r="C22" i="4"/>
  <c r="C37" i="4"/>
  <c r="D37" i="4"/>
  <c r="B37" i="4"/>
  <c r="DZ20" i="4"/>
  <c r="BY16" i="4"/>
  <c r="X12" i="4"/>
  <c r="X15" i="4"/>
  <c r="DZ33" i="4"/>
  <c r="BY25" i="4"/>
  <c r="E34" i="4"/>
  <c r="X21" i="4"/>
  <c r="DZ10" i="4"/>
  <c r="BY10" i="4"/>
  <c r="D16" i="4"/>
  <c r="C16" i="4"/>
  <c r="B16" i="4"/>
  <c r="B29" i="4"/>
  <c r="D29" i="4"/>
  <c r="C29" i="4"/>
  <c r="D30" i="4"/>
  <c r="C30" i="4"/>
  <c r="B30" i="4"/>
  <c r="D44" i="4"/>
  <c r="C44" i="4"/>
  <c r="B44" i="4"/>
  <c r="DZ28" i="4"/>
  <c r="BY22" i="4"/>
  <c r="X14" i="4"/>
  <c r="X40" i="4"/>
  <c r="DZ35" i="4"/>
  <c r="BY27" i="4"/>
  <c r="H18" i="4"/>
  <c r="E35" i="4"/>
  <c r="Y8" i="4"/>
  <c r="DZ9" i="4"/>
  <c r="BY9" i="4"/>
  <c r="D13" i="4"/>
  <c r="C13" i="4"/>
  <c r="B13" i="4"/>
  <c r="D27" i="4"/>
  <c r="C27" i="4"/>
  <c r="B27" i="4"/>
  <c r="D24" i="4"/>
  <c r="C24" i="4"/>
  <c r="B24" i="4"/>
  <c r="D32" i="4"/>
  <c r="C32" i="4"/>
  <c r="B32" i="4"/>
  <c r="D43" i="4"/>
  <c r="C43" i="4"/>
  <c r="B43" i="4"/>
  <c r="X34" i="4"/>
  <c r="DZ22" i="4"/>
  <c r="H25" i="4"/>
  <c r="BY18" i="4"/>
  <c r="X24" i="4"/>
  <c r="DZ21" i="4"/>
  <c r="X13" i="4"/>
  <c r="BY17" i="4"/>
  <c r="DZ41" i="4"/>
  <c r="BY31" i="4"/>
  <c r="X17" i="4"/>
  <c r="X28" i="4"/>
  <c r="B21" i="4"/>
  <c r="C21" i="4"/>
  <c r="D21" i="4"/>
  <c r="C25" i="4"/>
  <c r="B25" i="4"/>
  <c r="D25" i="4"/>
  <c r="C34" i="4"/>
  <c r="B34" i="4"/>
  <c r="D34" i="4"/>
  <c r="D36" i="4"/>
  <c r="C36" i="4"/>
  <c r="B36" i="4"/>
  <c r="X41" i="4"/>
  <c r="Y41" i="4" s="1"/>
  <c r="H32" i="4"/>
  <c r="BY28" i="4"/>
  <c r="DZ38" i="4"/>
  <c r="B10" i="4"/>
  <c r="D10" i="4"/>
  <c r="C10" i="4"/>
  <c r="B11" i="4"/>
  <c r="D11" i="4"/>
  <c r="C11" i="4"/>
  <c r="D18" i="4"/>
  <c r="C18" i="4"/>
  <c r="B18" i="4"/>
  <c r="D28" i="4"/>
  <c r="C28" i="4"/>
  <c r="B28" i="4"/>
  <c r="D39" i="4"/>
  <c r="C39" i="4"/>
  <c r="B39" i="4"/>
  <c r="D38" i="4"/>
  <c r="C38" i="4"/>
  <c r="B38" i="4"/>
  <c r="X33" i="4"/>
  <c r="DZ23" i="4"/>
  <c r="BY19" i="4"/>
  <c r="E25" i="4"/>
  <c r="H45" i="4"/>
  <c r="DZ39" i="4"/>
  <c r="BY29" i="4"/>
  <c r="X18" i="4"/>
  <c r="Y18" i="4" s="1"/>
  <c r="E45" i="4"/>
  <c r="Z39" i="6" s="1"/>
  <c r="DZ40" i="4"/>
  <c r="X29" i="4"/>
  <c r="BY30" i="4"/>
  <c r="X20" i="4" l="1"/>
  <c r="Y20" i="4" s="1"/>
  <c r="Z17" i="6"/>
  <c r="Z20" i="6"/>
  <c r="X10" i="4"/>
  <c r="Y10" i="4" s="1"/>
  <c r="Z7" i="6"/>
  <c r="Z31" i="6"/>
  <c r="Z37" i="6"/>
  <c r="Z26" i="6"/>
  <c r="Z32" i="6"/>
  <c r="Z6" i="6"/>
  <c r="Z23" i="6"/>
  <c r="X31" i="4"/>
  <c r="Y31" i="4" s="1"/>
  <c r="Z28" i="6"/>
  <c r="Z16" i="6"/>
  <c r="Z12" i="6"/>
  <c r="Z13" i="6"/>
  <c r="Z21" i="6"/>
  <c r="Z30" i="6"/>
  <c r="Z10" i="6"/>
  <c r="X22" i="4"/>
  <c r="Y22" i="4" s="1"/>
  <c r="Z19" i="6"/>
  <c r="X7" i="4"/>
  <c r="Z4" i="6"/>
  <c r="Z34" i="6"/>
  <c r="Z9" i="6"/>
  <c r="Z11" i="6"/>
  <c r="X32" i="4"/>
  <c r="Y32" i="4" s="1"/>
  <c r="Z29" i="6"/>
  <c r="Z8" i="6"/>
  <c r="Z22" i="6"/>
  <c r="Z27" i="6"/>
  <c r="Z15" i="6"/>
  <c r="Z35" i="6"/>
  <c r="BP45" i="4"/>
  <c r="BP44" i="4"/>
  <c r="BP46" i="4" s="1"/>
  <c r="Y23" i="4"/>
  <c r="Y34" i="4"/>
  <c r="Y29" i="4"/>
  <c r="AE32" i="4"/>
  <c r="Y14" i="4"/>
  <c r="Y38" i="4"/>
  <c r="Y24" i="4"/>
  <c r="AE15" i="4"/>
  <c r="Y26" i="4"/>
  <c r="AE42" i="4"/>
  <c r="Y28" i="4"/>
  <c r="Y36" i="4"/>
  <c r="Y37" i="4"/>
  <c r="AE29" i="4"/>
  <c r="Y17" i="4"/>
  <c r="AE12" i="4"/>
  <c r="AE20" i="4"/>
  <c r="BH26" i="4"/>
  <c r="X30" i="4"/>
  <c r="Y30" i="4" s="1"/>
  <c r="Y25" i="4"/>
  <c r="Y13" i="4"/>
  <c r="Y21" i="4"/>
  <c r="Y7" i="4"/>
  <c r="Y33" i="4"/>
  <c r="AE31" i="4"/>
  <c r="Y27" i="4"/>
  <c r="BH20" i="4"/>
  <c r="X42" i="4"/>
  <c r="Y42" i="4" s="1"/>
  <c r="Y12" i="4"/>
  <c r="Y39" i="4"/>
  <c r="BH23" i="4"/>
  <c r="BH14" i="4"/>
  <c r="X11" i="4"/>
  <c r="Y11" i="4" s="1"/>
  <c r="Y40" i="4"/>
  <c r="Y15" i="4"/>
  <c r="Y19" i="4"/>
  <c r="Y9" i="4"/>
  <c r="AE41" i="4"/>
  <c r="BH38" i="4"/>
  <c r="AC28" i="4"/>
  <c r="AD28" i="4"/>
  <c r="AD13" i="4"/>
  <c r="AC13" i="4"/>
  <c r="AC24" i="4"/>
  <c r="AD24" i="4"/>
  <c r="BH9" i="4"/>
  <c r="BI35" i="4"/>
  <c r="AD14" i="4"/>
  <c r="AC14" i="4"/>
  <c r="AD21" i="4"/>
  <c r="AC21" i="4"/>
  <c r="AE30" i="4"/>
  <c r="AC12" i="4"/>
  <c r="AD12" i="4"/>
  <c r="BI34" i="4"/>
  <c r="BI27" i="4"/>
  <c r="AD35" i="4"/>
  <c r="AC35" i="4"/>
  <c r="AE26" i="4"/>
  <c r="AE36" i="4"/>
  <c r="AE16" i="4"/>
  <c r="BH32" i="4"/>
  <c r="AD7" i="4"/>
  <c r="AC7" i="4"/>
  <c r="BI11" i="4"/>
  <c r="BH11" i="4"/>
  <c r="AE18" i="4"/>
  <c r="BI21" i="4"/>
  <c r="BH21" i="4"/>
  <c r="BI40" i="4"/>
  <c r="AD18" i="4"/>
  <c r="AC18" i="4"/>
  <c r="AE13" i="4"/>
  <c r="AD41" i="4"/>
  <c r="AC41" i="4"/>
  <c r="AD17" i="4"/>
  <c r="AC17" i="4"/>
  <c r="AE34" i="4"/>
  <c r="AE21" i="4"/>
  <c r="BH28" i="4"/>
  <c r="BH10" i="4"/>
  <c r="AD31" i="4"/>
  <c r="AC31" i="4"/>
  <c r="BI20" i="4"/>
  <c r="AE10" i="4"/>
  <c r="AC8" i="4"/>
  <c r="BI32" i="4"/>
  <c r="BH15" i="4"/>
  <c r="BI8" i="4"/>
  <c r="AD20" i="4"/>
  <c r="AC20" i="4"/>
  <c r="AD42" i="4"/>
  <c r="AC42" i="4"/>
  <c r="AE24" i="4"/>
  <c r="AC30" i="4"/>
  <c r="AD30" i="4"/>
  <c r="AC38" i="4"/>
  <c r="AD38" i="4"/>
  <c r="AE28" i="4"/>
  <c r="BH39" i="4"/>
  <c r="AD22" i="4"/>
  <c r="AC22" i="4"/>
  <c r="AD33" i="4"/>
  <c r="AC33" i="4"/>
  <c r="AD32" i="4"/>
  <c r="AC32" i="4"/>
  <c r="AD16" i="4"/>
  <c r="AC16" i="4"/>
  <c r="BH17" i="4"/>
  <c r="AD8" i="4"/>
  <c r="BI15" i="4"/>
  <c r="AC11" i="4"/>
  <c r="AD11" i="4"/>
  <c r="BI38" i="4"/>
  <c r="BH41" i="4"/>
  <c r="BI22" i="4"/>
  <c r="AE8" i="4"/>
  <c r="AE38" i="4"/>
  <c r="AE33" i="4"/>
  <c r="AC26" i="4"/>
  <c r="AD26" i="4"/>
  <c r="BI14" i="4"/>
  <c r="BI26" i="4"/>
  <c r="AC25" i="4"/>
  <c r="AD25" i="4"/>
  <c r="AD39" i="4"/>
  <c r="AC39" i="4"/>
  <c r="AE23" i="4"/>
  <c r="BI17" i="4"/>
  <c r="AE17" i="4"/>
  <c r="BI39" i="4"/>
  <c r="BI9" i="4"/>
  <c r="AE25" i="4"/>
  <c r="AD15" i="4"/>
  <c r="AC15" i="4"/>
  <c r="AE9" i="4"/>
  <c r="AE19" i="4"/>
  <c r="AE14" i="4"/>
  <c r="BH16" i="4"/>
  <c r="BI29" i="4"/>
  <c r="AE35" i="4"/>
  <c r="BI41" i="4"/>
  <c r="BH27" i="4"/>
  <c r="BI10" i="4"/>
  <c r="BI33" i="4"/>
  <c r="AE39" i="4"/>
  <c r="AE40" i="4"/>
  <c r="AC36" i="4"/>
  <c r="AD36" i="4"/>
  <c r="BI16" i="4"/>
  <c r="AD27" i="4"/>
  <c r="AC27" i="4"/>
  <c r="BH22" i="4"/>
  <c r="BI28" i="4"/>
  <c r="AC29" i="4"/>
  <c r="AD29" i="4"/>
  <c r="BH40" i="4"/>
  <c r="BI23" i="4"/>
  <c r="AD34" i="4"/>
  <c r="AC34" i="4"/>
  <c r="BH35" i="4"/>
  <c r="AE22" i="4"/>
  <c r="AC40" i="4"/>
  <c r="AD40" i="4"/>
  <c r="AE27" i="4"/>
  <c r="AE7" i="4"/>
  <c r="BH33" i="4"/>
  <c r="BH34" i="4"/>
  <c r="AE11" i="4"/>
  <c r="AD19" i="4"/>
  <c r="AC19" i="4"/>
  <c r="AD37" i="4"/>
  <c r="AC37" i="4"/>
  <c r="AC9" i="4"/>
  <c r="AD9" i="4"/>
  <c r="AD23" i="4"/>
  <c r="AC23" i="4"/>
  <c r="BH29" i="4"/>
  <c r="AE37" i="4"/>
  <c r="AD10" i="4"/>
  <c r="AC10" i="4"/>
  <c r="BH8" i="4"/>
  <c r="BQ33" i="4" l="1"/>
  <c r="BQ22" i="4"/>
  <c r="BQ10" i="4"/>
  <c r="BQ20" i="4"/>
  <c r="BQ9" i="4"/>
  <c r="BQ8" i="4"/>
  <c r="BQ35" i="4"/>
  <c r="BQ29" i="4"/>
  <c r="BQ40" i="4"/>
  <c r="BQ15" i="4"/>
  <c r="BQ28" i="4"/>
  <c r="BQ16" i="4"/>
  <c r="BQ27" i="4"/>
  <c r="BQ39" i="4"/>
  <c r="BQ14" i="4"/>
  <c r="BQ41" i="4"/>
  <c r="BQ32" i="4"/>
  <c r="BQ11" i="4"/>
  <c r="BQ21" i="4"/>
  <c r="BQ17" i="4"/>
  <c r="BQ26" i="4"/>
  <c r="BQ34" i="4"/>
  <c r="BQ38" i="4"/>
  <c r="BQ23" i="4"/>
  <c r="BK23" i="4"/>
  <c r="BK20" i="4"/>
  <c r="BE32" i="4"/>
  <c r="BE11" i="4"/>
  <c r="BE8" i="4"/>
  <c r="BE26" i="4"/>
  <c r="BG34" i="4"/>
  <c r="BG10" i="4"/>
  <c r="BF41" i="4"/>
  <c r="BE39" i="4"/>
  <c r="BF11" i="4"/>
  <c r="BE16" i="4"/>
  <c r="BG27" i="4"/>
  <c r="BE20" i="4"/>
  <c r="BF28" i="4"/>
  <c r="BG22" i="4"/>
  <c r="BF40" i="4"/>
  <c r="BG11" i="4"/>
  <c r="BG8" i="4"/>
  <c r="BG26" i="4"/>
  <c r="BG17" i="4"/>
  <c r="BF27" i="4"/>
  <c r="BF34" i="4"/>
  <c r="BF10" i="4"/>
  <c r="BE28" i="4"/>
  <c r="BE35" i="4"/>
  <c r="BF9" i="4"/>
  <c r="BG21" i="4"/>
  <c r="BE41" i="4"/>
  <c r="BE40" i="4"/>
  <c r="BG15" i="4"/>
  <c r="BG32" i="4"/>
  <c r="BG14" i="4"/>
  <c r="BE27" i="4"/>
  <c r="BE34" i="4"/>
  <c r="BF22" i="4"/>
  <c r="BE21" i="4"/>
  <c r="BF39" i="4"/>
  <c r="BF26" i="4"/>
  <c r="BG9" i="4"/>
  <c r="BG41" i="4"/>
  <c r="BF15" i="4"/>
  <c r="BF32" i="4"/>
  <c r="BF14" i="4"/>
  <c r="BF17" i="4"/>
  <c r="BG33" i="4"/>
  <c r="BF35" i="4"/>
  <c r="BE22" i="4"/>
  <c r="BG38" i="4"/>
  <c r="BF23" i="4"/>
  <c r="BG23" i="4"/>
  <c r="BE38" i="4"/>
  <c r="BF8" i="4"/>
  <c r="BE15" i="4"/>
  <c r="BF29" i="4"/>
  <c r="BG16" i="4"/>
  <c r="BE14" i="4"/>
  <c r="BG20" i="4"/>
  <c r="BF33" i="4"/>
  <c r="BE10" i="4"/>
  <c r="BG28" i="4"/>
  <c r="BF16" i="4"/>
  <c r="BE29" i="4"/>
  <c r="BE17" i="4"/>
  <c r="BF20" i="4"/>
  <c r="BE33" i="4"/>
  <c r="BG35" i="4"/>
  <c r="BE9" i="4"/>
  <c r="BF21" i="4"/>
  <c r="BF38" i="4"/>
  <c r="BE23" i="4"/>
  <c r="BG40" i="4"/>
  <c r="BG29" i="4"/>
  <c r="BG39" i="4"/>
  <c r="BK27" i="4"/>
  <c r="BK34" i="4"/>
  <c r="BK35" i="4"/>
  <c r="BI30" i="4"/>
  <c r="BH18" i="4"/>
  <c r="BK40" i="4"/>
  <c r="BK21" i="4"/>
  <c r="BK11" i="4"/>
  <c r="BK39" i="4"/>
  <c r="BI18" i="4"/>
  <c r="BK17" i="4"/>
  <c r="AJ32" i="4"/>
  <c r="AF32" i="4"/>
  <c r="BI36" i="4"/>
  <c r="BH12" i="4"/>
  <c r="BK8" i="4"/>
  <c r="AF9" i="4"/>
  <c r="AJ9" i="4"/>
  <c r="AJ27" i="4"/>
  <c r="AF27" i="4"/>
  <c r="AJ36" i="4"/>
  <c r="AF36" i="4"/>
  <c r="BK16" i="4"/>
  <c r="AJ26" i="4"/>
  <c r="AF26" i="4"/>
  <c r="BK41" i="4"/>
  <c r="AF42" i="4"/>
  <c r="AJ42" i="4"/>
  <c r="AJ8" i="4"/>
  <c r="AF8" i="4"/>
  <c r="AJ7" i="4"/>
  <c r="AF7" i="4"/>
  <c r="BK32" i="4"/>
  <c r="BH36" i="4"/>
  <c r="AF14" i="4"/>
  <c r="AJ14" i="4"/>
  <c r="AJ10" i="4"/>
  <c r="AF10" i="4"/>
  <c r="AJ29" i="4"/>
  <c r="AF29" i="4"/>
  <c r="AF39" i="4"/>
  <c r="AJ39" i="4"/>
  <c r="AF16" i="4"/>
  <c r="AJ16" i="4"/>
  <c r="AF31" i="4"/>
  <c r="AJ31" i="4"/>
  <c r="AF17" i="4"/>
  <c r="AJ17" i="4"/>
  <c r="AJ28" i="4"/>
  <c r="AF28" i="4"/>
  <c r="BH24" i="4"/>
  <c r="BI42" i="4"/>
  <c r="AF20" i="4"/>
  <c r="AJ20" i="4"/>
  <c r="BI24" i="4"/>
  <c r="BH42" i="4"/>
  <c r="BK38" i="4"/>
  <c r="BK14" i="4"/>
  <c r="BK33" i="4"/>
  <c r="AF34" i="4"/>
  <c r="AJ34" i="4"/>
  <c r="AF33" i="4"/>
  <c r="AJ33" i="4"/>
  <c r="AJ38" i="4"/>
  <c r="AF38" i="4"/>
  <c r="AJ41" i="4"/>
  <c r="AF41" i="4"/>
  <c r="AF12" i="4"/>
  <c r="AJ12" i="4"/>
  <c r="BK9" i="4"/>
  <c r="BK22" i="4"/>
  <c r="BI12" i="4"/>
  <c r="BK10" i="4"/>
  <c r="BK26" i="4"/>
  <c r="AJ19" i="4"/>
  <c r="AF19" i="4"/>
  <c r="AF11" i="4"/>
  <c r="AJ11" i="4"/>
  <c r="AJ18" i="4"/>
  <c r="AF18" i="4"/>
  <c r="AJ13" i="4"/>
  <c r="AF13" i="4"/>
  <c r="AJ40" i="4"/>
  <c r="AF40" i="4"/>
  <c r="AJ37" i="4"/>
  <c r="AF37" i="4"/>
  <c r="BK29" i="4"/>
  <c r="AJ23" i="4"/>
  <c r="AF23" i="4"/>
  <c r="AF15" i="4"/>
  <c r="AJ15" i="4"/>
  <c r="AJ25" i="4"/>
  <c r="AF25" i="4"/>
  <c r="AF22" i="4"/>
  <c r="AJ22" i="4"/>
  <c r="AJ30" i="4"/>
  <c r="AF30" i="4"/>
  <c r="BK15" i="4"/>
  <c r="BK28" i="4"/>
  <c r="AF35" i="4"/>
  <c r="AJ35" i="4"/>
  <c r="AJ21" i="4"/>
  <c r="AF21" i="4"/>
  <c r="AJ24" i="4"/>
  <c r="AF24" i="4"/>
  <c r="BH30" i="4"/>
  <c r="BM9" i="4" l="1"/>
  <c r="BJ9" i="4" s="1"/>
  <c r="BM28" i="4"/>
  <c r="BJ28" i="4" s="1"/>
  <c r="BM27" i="4"/>
  <c r="BJ27" i="4" s="1"/>
  <c r="BM17" i="4"/>
  <c r="BJ17" i="4" s="1"/>
  <c r="BM23" i="4"/>
  <c r="BJ23" i="4" s="1"/>
  <c r="BM15" i="4"/>
  <c r="BJ15" i="4" s="1"/>
  <c r="BF24" i="4"/>
  <c r="BF12" i="4"/>
  <c r="BM29" i="4"/>
  <c r="BJ29" i="4" s="1"/>
  <c r="BM10" i="4"/>
  <c r="BJ10" i="4" s="1"/>
  <c r="BM33" i="4"/>
  <c r="BJ33" i="4" s="1"/>
  <c r="BG18" i="4"/>
  <c r="BF18" i="4"/>
  <c r="BM11" i="4"/>
  <c r="BJ11" i="4" s="1"/>
  <c r="BG42" i="4"/>
  <c r="BG24" i="4"/>
  <c r="BM35" i="4"/>
  <c r="BJ35" i="4" s="1"/>
  <c r="BM39" i="4"/>
  <c r="BJ39" i="4" s="1"/>
  <c r="BM14" i="4"/>
  <c r="BE18" i="4"/>
  <c r="BM22" i="4"/>
  <c r="BJ22" i="4" s="1"/>
  <c r="BG36" i="4"/>
  <c r="BF30" i="4"/>
  <c r="BF42" i="4"/>
  <c r="BM40" i="4"/>
  <c r="BJ40" i="4" s="1"/>
  <c r="BE24" i="4"/>
  <c r="BM20" i="4"/>
  <c r="BE30" i="4"/>
  <c r="BM26" i="4"/>
  <c r="BM21" i="4"/>
  <c r="BJ21" i="4" s="1"/>
  <c r="BM41" i="4"/>
  <c r="BJ41" i="4" s="1"/>
  <c r="BM8" i="4"/>
  <c r="BE12" i="4"/>
  <c r="BG30" i="4"/>
  <c r="BM16" i="4"/>
  <c r="BJ16" i="4" s="1"/>
  <c r="BE42" i="4"/>
  <c r="BM38" i="4"/>
  <c r="BF36" i="4"/>
  <c r="BM34" i="4"/>
  <c r="BJ34" i="4" s="1"/>
  <c r="BG12" i="4"/>
  <c r="BE36" i="4"/>
  <c r="BM32" i="4"/>
  <c r="AX18" i="4"/>
  <c r="AO18" i="4"/>
  <c r="AO23" i="4"/>
  <c r="AX23" i="4"/>
  <c r="AO35" i="4"/>
  <c r="AX35" i="4"/>
  <c r="AS23" i="4"/>
  <c r="AZ23" i="4"/>
  <c r="BK31" i="4"/>
  <c r="AZ22" i="4"/>
  <c r="AS22" i="4"/>
  <c r="AS13" i="4"/>
  <c r="AZ13" i="4"/>
  <c r="AS12" i="4"/>
  <c r="AZ12" i="4"/>
  <c r="AS41" i="4"/>
  <c r="AZ41" i="4"/>
  <c r="AS28" i="4"/>
  <c r="AZ28" i="4"/>
  <c r="AS16" i="4"/>
  <c r="AZ16" i="4"/>
  <c r="BK37" i="4"/>
  <c r="AZ36" i="4"/>
  <c r="AS36" i="4"/>
  <c r="AX29" i="4"/>
  <c r="AO29" i="4"/>
  <c r="AO24" i="4"/>
  <c r="AX24" i="4"/>
  <c r="AZ37" i="4"/>
  <c r="AS37" i="4"/>
  <c r="AS29" i="4"/>
  <c r="AZ29" i="4"/>
  <c r="AS27" i="4"/>
  <c r="AZ27" i="4"/>
  <c r="AS24" i="4"/>
  <c r="AZ24" i="4"/>
  <c r="AZ25" i="4"/>
  <c r="AS25" i="4"/>
  <c r="AS11" i="4"/>
  <c r="AZ11" i="4"/>
  <c r="AX10" i="4"/>
  <c r="AO10" i="4"/>
  <c r="AX8" i="4"/>
  <c r="AO8" i="4"/>
  <c r="AZ9" i="4"/>
  <c r="AS9" i="4"/>
  <c r="AZ32" i="4"/>
  <c r="AS32" i="4"/>
  <c r="AX37" i="4"/>
  <c r="AO37" i="4"/>
  <c r="AX32" i="4"/>
  <c r="AO32" i="4"/>
  <c r="AZ15" i="4"/>
  <c r="AS15" i="4"/>
  <c r="AX11" i="4"/>
  <c r="AO11" i="4"/>
  <c r="AX38" i="4"/>
  <c r="AO38" i="4"/>
  <c r="AZ17" i="4"/>
  <c r="AS17" i="4"/>
  <c r="AZ10" i="4"/>
  <c r="AS10" i="4"/>
  <c r="AS8" i="4"/>
  <c r="AZ8" i="4"/>
  <c r="AX26" i="4"/>
  <c r="AO26" i="4"/>
  <c r="AX9" i="4"/>
  <c r="AO9" i="4"/>
  <c r="AX22" i="4"/>
  <c r="AO22" i="4"/>
  <c r="AX27" i="4"/>
  <c r="AO27" i="4"/>
  <c r="AO25" i="4"/>
  <c r="AX25" i="4"/>
  <c r="AZ18" i="4"/>
  <c r="AS18" i="4"/>
  <c r="AX21" i="4"/>
  <c r="AO21" i="4"/>
  <c r="AZ21" i="4"/>
  <c r="AS21" i="4"/>
  <c r="AX15" i="4"/>
  <c r="AO15" i="4"/>
  <c r="AX40" i="4"/>
  <c r="AO40" i="4"/>
  <c r="AX19" i="4"/>
  <c r="AO19" i="4"/>
  <c r="AZ38" i="4"/>
  <c r="AS38" i="4"/>
  <c r="BK19" i="4"/>
  <c r="BK18" i="4" s="1"/>
  <c r="AZ20" i="4"/>
  <c r="AS20" i="4"/>
  <c r="AX17" i="4"/>
  <c r="AO17" i="4"/>
  <c r="AS14" i="4"/>
  <c r="AZ14" i="4"/>
  <c r="CO41" i="4"/>
  <c r="CE41" i="4"/>
  <c r="CQ40" i="4"/>
  <c r="CN41" i="4"/>
  <c r="CD41" i="4"/>
  <c r="CO40" i="4"/>
  <c r="CF40" i="4"/>
  <c r="CJ39" i="4"/>
  <c r="CC41" i="4"/>
  <c r="CN40" i="4"/>
  <c r="CD40" i="4"/>
  <c r="CH39" i="4"/>
  <c r="CC40" i="4"/>
  <c r="CQ39" i="4"/>
  <c r="CJ41" i="4"/>
  <c r="CI41" i="4"/>
  <c r="CH41" i="4"/>
  <c r="CP41" i="4"/>
  <c r="CN39" i="4"/>
  <c r="CO38" i="4"/>
  <c r="CE38" i="4"/>
  <c r="CJ35" i="4"/>
  <c r="CC34" i="4"/>
  <c r="CJ33" i="4"/>
  <c r="CD38" i="4"/>
  <c r="CI35" i="4"/>
  <c r="CH33" i="4"/>
  <c r="CK40" i="4"/>
  <c r="CI40" i="4"/>
  <c r="CK39" i="4"/>
  <c r="CH40" i="4"/>
  <c r="CF39" i="4"/>
  <c r="CJ38" i="4"/>
  <c r="CO35" i="4"/>
  <c r="CE35" i="4"/>
  <c r="CH34" i="4"/>
  <c r="CE39" i="4"/>
  <c r="CI38" i="4"/>
  <c r="CP39" i="4"/>
  <c r="CP38" i="4"/>
  <c r="CF38" i="4"/>
  <c r="CF34" i="4"/>
  <c r="CK33" i="4"/>
  <c r="CI32" i="4"/>
  <c r="CQ38" i="4"/>
  <c r="CP35" i="4"/>
  <c r="CD34" i="4"/>
  <c r="CQ32" i="4"/>
  <c r="CJ29" i="4"/>
  <c r="CN35" i="4"/>
  <c r="CQ34" i="4"/>
  <c r="CF33" i="4"/>
  <c r="CP32" i="4"/>
  <c r="CF32" i="4"/>
  <c r="CI29" i="4"/>
  <c r="CK38" i="4"/>
  <c r="CO34" i="4"/>
  <c r="CQ33" i="4"/>
  <c r="CE33" i="4"/>
  <c r="CO32" i="4"/>
  <c r="CE32" i="4"/>
  <c r="CH29" i="4"/>
  <c r="CH35" i="4"/>
  <c r="CN34" i="4"/>
  <c r="CP33" i="4"/>
  <c r="CC33" i="4"/>
  <c r="CD32" i="4"/>
  <c r="CP29" i="4"/>
  <c r="CN28" i="4"/>
  <c r="CD28" i="4"/>
  <c r="CK34" i="4"/>
  <c r="CN33" i="4"/>
  <c r="CE29" i="4"/>
  <c r="CO28" i="4"/>
  <c r="CC28" i="4"/>
  <c r="CK26" i="4"/>
  <c r="CI23" i="4"/>
  <c r="CI34" i="4"/>
  <c r="CK32" i="4"/>
  <c r="CD29" i="4"/>
  <c r="CK27" i="4"/>
  <c r="CJ26" i="4"/>
  <c r="CC39" i="4"/>
  <c r="CJ32" i="4"/>
  <c r="CC29" i="4"/>
  <c r="CJ27" i="4"/>
  <c r="CK28" i="4"/>
  <c r="CH27" i="4"/>
  <c r="CD35" i="4"/>
  <c r="CI28" i="4"/>
  <c r="CQ27" i="4"/>
  <c r="CQ28" i="4"/>
  <c r="CF28" i="4"/>
  <c r="CC27" i="4"/>
  <c r="CJ23" i="4"/>
  <c r="CP27" i="4"/>
  <c r="CI26" i="4"/>
  <c r="CO23" i="4"/>
  <c r="CC23" i="4"/>
  <c r="CO22" i="4"/>
  <c r="CF22" i="4"/>
  <c r="CQ21" i="4"/>
  <c r="CP20" i="4"/>
  <c r="CF20" i="4"/>
  <c r="CN27" i="4"/>
  <c r="CN23" i="4"/>
  <c r="CN22" i="4"/>
  <c r="CD22" i="4"/>
  <c r="CP21" i="4"/>
  <c r="CF21" i="4"/>
  <c r="CO20" i="4"/>
  <c r="CE20" i="4"/>
  <c r="CF27" i="4"/>
  <c r="CF26" i="4"/>
  <c r="CC22" i="4"/>
  <c r="CE27" i="4"/>
  <c r="CE26" i="4"/>
  <c r="CC21" i="4"/>
  <c r="CQ26" i="4"/>
  <c r="CD26" i="4"/>
  <c r="CH23" i="4"/>
  <c r="CK22" i="4"/>
  <c r="CK20" i="4"/>
  <c r="CC35" i="4"/>
  <c r="CN29" i="4"/>
  <c r="CH28" i="4"/>
  <c r="CP23" i="4"/>
  <c r="CD23" i="4"/>
  <c r="CQ22" i="4"/>
  <c r="CH21" i="4"/>
  <c r="CQ20" i="4"/>
  <c r="CP26" i="4"/>
  <c r="CE21" i="4"/>
  <c r="CJ20" i="4"/>
  <c r="CN16" i="4"/>
  <c r="CD16" i="4"/>
  <c r="CP15" i="4"/>
  <c r="CF15" i="4"/>
  <c r="CO14" i="4"/>
  <c r="CE14" i="4"/>
  <c r="CO11" i="4"/>
  <c r="CE11" i="4"/>
  <c r="CO26" i="4"/>
  <c r="CI20" i="4"/>
  <c r="CE17" i="4"/>
  <c r="CC16" i="4"/>
  <c r="CN15" i="4"/>
  <c r="CE15" i="4"/>
  <c r="CD14" i="4"/>
  <c r="CN11" i="4"/>
  <c r="CD20" i="4"/>
  <c r="CP17" i="4"/>
  <c r="CD17" i="4"/>
  <c r="CC15" i="4"/>
  <c r="CE23" i="4"/>
  <c r="CO17" i="4"/>
  <c r="CC17" i="4"/>
  <c r="CK16" i="4"/>
  <c r="CK14" i="4"/>
  <c r="CI22" i="4"/>
  <c r="CN17" i="4"/>
  <c r="CI16" i="4"/>
  <c r="CK15" i="4"/>
  <c r="CJ14" i="4"/>
  <c r="CJ21" i="4"/>
  <c r="CH17" i="4"/>
  <c r="CO16" i="4"/>
  <c r="CF16" i="4"/>
  <c r="CQ15" i="4"/>
  <c r="CP14" i="4"/>
  <c r="CF14" i="4"/>
  <c r="CP11" i="4"/>
  <c r="CK21" i="4"/>
  <c r="CH15" i="4"/>
  <c r="CI11" i="4"/>
  <c r="CO10" i="4"/>
  <c r="CF10" i="4"/>
  <c r="CQ9" i="4"/>
  <c r="CI8" i="4"/>
  <c r="CH10" i="4"/>
  <c r="CJ9" i="4"/>
  <c r="CH11" i="4"/>
  <c r="CN10" i="4"/>
  <c r="CD10" i="4"/>
  <c r="CP9" i="4"/>
  <c r="CF9" i="4"/>
  <c r="CQ8" i="4"/>
  <c r="CK9" i="4"/>
  <c r="CQ16" i="4"/>
  <c r="CD11" i="4"/>
  <c r="CC10" i="4"/>
  <c r="CN9" i="4"/>
  <c r="CE9" i="4"/>
  <c r="CP8" i="4"/>
  <c r="CF8" i="4"/>
  <c r="CH16" i="4"/>
  <c r="CC11" i="4"/>
  <c r="CC9" i="4"/>
  <c r="CO8" i="4"/>
  <c r="CE8" i="4"/>
  <c r="CI10" i="4"/>
  <c r="CO29" i="4"/>
  <c r="CQ14" i="4"/>
  <c r="CK10" i="4"/>
  <c r="CD8" i="4"/>
  <c r="CJ17" i="4"/>
  <c r="CH22" i="4"/>
  <c r="CN21" i="4"/>
  <c r="CJ15" i="4"/>
  <c r="CJ11" i="4"/>
  <c r="CQ10" i="4"/>
  <c r="CH9" i="4"/>
  <c r="CJ8" i="4"/>
  <c r="AX7" i="4"/>
  <c r="AO7" i="4"/>
  <c r="CI14" i="4"/>
  <c r="CI17" i="4"/>
  <c r="CK8" i="4"/>
  <c r="AS42" i="4"/>
  <c r="AZ42" i="4"/>
  <c r="AS26" i="4"/>
  <c r="AZ26" i="4"/>
  <c r="BK13" i="4"/>
  <c r="AX12" i="4"/>
  <c r="AO12" i="4"/>
  <c r="AX30" i="4"/>
  <c r="AO30" i="4"/>
  <c r="AZ40" i="4"/>
  <c r="AS40" i="4"/>
  <c r="AS19" i="4"/>
  <c r="AZ19" i="4"/>
  <c r="AS33" i="4"/>
  <c r="AZ33" i="4"/>
  <c r="AS34" i="4"/>
  <c r="AZ34" i="4"/>
  <c r="BK43" i="4"/>
  <c r="AX20" i="4"/>
  <c r="AO20" i="4"/>
  <c r="AS31" i="4"/>
  <c r="AZ31" i="4"/>
  <c r="AS39" i="4"/>
  <c r="AZ39" i="4"/>
  <c r="AX14" i="4"/>
  <c r="AO14" i="4"/>
  <c r="AZ7" i="4"/>
  <c r="AS7" i="4"/>
  <c r="AO42" i="4"/>
  <c r="AX42" i="4"/>
  <c r="BK25" i="4"/>
  <c r="AX16" i="4"/>
  <c r="AO16" i="4"/>
  <c r="AS35" i="4"/>
  <c r="AZ35" i="4"/>
  <c r="AS30" i="4"/>
  <c r="AZ30" i="4"/>
  <c r="AO13" i="4"/>
  <c r="AX13" i="4"/>
  <c r="AX41" i="4"/>
  <c r="AO41" i="4"/>
  <c r="AO33" i="4"/>
  <c r="AX33" i="4"/>
  <c r="AX34" i="4"/>
  <c r="AO34" i="4"/>
  <c r="AO28" i="4"/>
  <c r="AX28" i="4"/>
  <c r="AO31" i="4"/>
  <c r="AX31" i="4"/>
  <c r="AX39" i="4"/>
  <c r="AO39" i="4"/>
  <c r="AX36" i="4"/>
  <c r="AO36" i="4"/>
  <c r="Z8" i="4" l="1"/>
  <c r="AA8" i="4" s="1"/>
  <c r="Z35" i="4"/>
  <c r="AA35" i="4" s="1"/>
  <c r="Z34" i="4"/>
  <c r="AB34" i="4" s="1"/>
  <c r="Z21" i="4"/>
  <c r="AA21" i="4" s="1"/>
  <c r="Z22" i="4"/>
  <c r="AB22" i="4" s="1"/>
  <c r="BM42" i="4"/>
  <c r="BJ38" i="4"/>
  <c r="BM30" i="4"/>
  <c r="BJ26" i="4"/>
  <c r="BJ20" i="4"/>
  <c r="BM24" i="4"/>
  <c r="BM18" i="4"/>
  <c r="BJ14" i="4"/>
  <c r="BM36" i="4"/>
  <c r="BJ32" i="4"/>
  <c r="Z15" i="4" s="1"/>
  <c r="AA15" i="4" s="1"/>
  <c r="BJ8" i="4"/>
  <c r="Z31" i="4" s="1"/>
  <c r="AA31" i="4" s="1"/>
  <c r="BM12" i="4"/>
  <c r="BL16" i="4"/>
  <c r="CR21" i="4"/>
  <c r="CL9" i="4"/>
  <c r="CG32" i="4"/>
  <c r="CC36" i="4" s="1"/>
  <c r="CG16" i="4"/>
  <c r="CE18" i="4" s="1"/>
  <c r="CL8" i="4"/>
  <c r="CR15" i="4"/>
  <c r="CG39" i="4"/>
  <c r="CD42" i="4" s="1"/>
  <c r="CG28" i="4"/>
  <c r="CE30" i="4" s="1"/>
  <c r="CR39" i="4"/>
  <c r="CL41" i="4"/>
  <c r="CG41" i="4"/>
  <c r="CF42" i="4" s="1"/>
  <c r="BL14" i="4"/>
  <c r="BL17" i="4"/>
  <c r="CG20" i="4"/>
  <c r="CC24" i="4" s="1"/>
  <c r="CL35" i="4"/>
  <c r="CG10" i="4"/>
  <c r="CE12" i="4" s="1"/>
  <c r="CG9" i="4"/>
  <c r="CD12" i="4" s="1"/>
  <c r="CL28" i="4"/>
  <c r="CG21" i="4"/>
  <c r="CD24" i="4" s="1"/>
  <c r="CL29" i="4"/>
  <c r="CL38" i="4"/>
  <c r="BL15" i="4"/>
  <c r="CG29" i="4"/>
  <c r="CF30" i="4" s="1"/>
  <c r="CL22" i="4"/>
  <c r="CL16" i="4"/>
  <c r="CG35" i="4"/>
  <c r="CF36" i="4" s="1"/>
  <c r="CR32" i="4"/>
  <c r="CL32" i="4"/>
  <c r="CL34" i="4"/>
  <c r="CR38" i="4"/>
  <c r="CL39" i="4"/>
  <c r="CR41" i="4"/>
  <c r="CR8" i="4"/>
  <c r="DS40" i="4"/>
  <c r="DV39" i="4"/>
  <c r="DU41" i="4"/>
  <c r="DT41" i="4"/>
  <c r="DS39" i="4"/>
  <c r="DV33" i="4"/>
  <c r="DV40" i="4"/>
  <c r="DT38" i="4"/>
  <c r="DU38" i="4"/>
  <c r="DU32" i="4"/>
  <c r="DU29" i="4"/>
  <c r="DS34" i="4"/>
  <c r="DT29" i="4"/>
  <c r="DT35" i="4"/>
  <c r="DV28" i="4"/>
  <c r="DV27" i="4"/>
  <c r="DT26" i="4"/>
  <c r="DS22" i="4"/>
  <c r="DT20" i="4"/>
  <c r="DS21" i="4"/>
  <c r="DS27" i="4"/>
  <c r="DU23" i="4"/>
  <c r="DV21" i="4"/>
  <c r="DU20" i="4"/>
  <c r="DS15" i="4"/>
  <c r="DS11" i="4"/>
  <c r="DT23" i="4"/>
  <c r="DT14" i="4"/>
  <c r="DU9" i="4"/>
  <c r="DV8" i="4"/>
  <c r="DV22" i="4"/>
  <c r="DT10" i="4"/>
  <c r="CG8" i="4"/>
  <c r="CG11" i="4"/>
  <c r="CG17" i="4"/>
  <c r="CG14" i="4"/>
  <c r="CR29" i="4"/>
  <c r="CR28" i="4"/>
  <c r="CG40" i="4"/>
  <c r="BK36" i="4"/>
  <c r="BL33" i="4" s="1"/>
  <c r="CR22" i="4"/>
  <c r="CL33" i="4"/>
  <c r="CG15" i="4"/>
  <c r="CL21" i="4"/>
  <c r="CR23" i="4"/>
  <c r="CG33" i="4"/>
  <c r="CR35" i="4"/>
  <c r="CR40" i="4"/>
  <c r="CL10" i="4"/>
  <c r="BK42" i="4"/>
  <c r="BL38" i="4" s="1"/>
  <c r="CG22" i="4"/>
  <c r="BK24" i="4"/>
  <c r="BL22" i="4" s="1"/>
  <c r="CR17" i="4"/>
  <c r="CL23" i="4"/>
  <c r="CR27" i="4"/>
  <c r="CL26" i="4"/>
  <c r="CG38" i="4"/>
  <c r="CG23" i="4"/>
  <c r="BK30" i="4"/>
  <c r="CL14" i="4"/>
  <c r="CR9" i="4"/>
  <c r="CL20" i="4"/>
  <c r="CG26" i="4"/>
  <c r="CL27" i="4"/>
  <c r="CR33" i="4"/>
  <c r="CR34" i="4"/>
  <c r="CR14" i="4"/>
  <c r="EL41" i="4"/>
  <c r="EK41" i="4"/>
  <c r="EM40" i="4"/>
  <c r="EP39" i="4"/>
  <c r="EG39" i="4"/>
  <c r="EJ41" i="4"/>
  <c r="EK40" i="4"/>
  <c r="EE39" i="4"/>
  <c r="ES38" i="4"/>
  <c r="ER41" i="4"/>
  <c r="EJ40" i="4"/>
  <c r="ER38" i="4"/>
  <c r="EH38" i="4"/>
  <c r="EQ41" i="4"/>
  <c r="EG41" i="4"/>
  <c r="ES40" i="4"/>
  <c r="EP41" i="4"/>
  <c r="EF41" i="4"/>
  <c r="EE41" i="4"/>
  <c r="EP40" i="4"/>
  <c r="EF40" i="4"/>
  <c r="EE40" i="4"/>
  <c r="EH40" i="4"/>
  <c r="EJ39" i="4"/>
  <c r="EM38" i="4"/>
  <c r="EQ35" i="4"/>
  <c r="EG35" i="4"/>
  <c r="EJ34" i="4"/>
  <c r="EP33" i="4"/>
  <c r="EG33" i="4"/>
  <c r="EK32" i="4"/>
  <c r="EL38" i="4"/>
  <c r="EP35" i="4"/>
  <c r="EF35" i="4"/>
  <c r="ES34" i="4"/>
  <c r="EE33" i="4"/>
  <c r="ES32" i="4"/>
  <c r="ES39" i="4"/>
  <c r="EG38" i="4"/>
  <c r="EL35" i="4"/>
  <c r="EE34" i="4"/>
  <c r="ER39" i="4"/>
  <c r="EQ38" i="4"/>
  <c r="EF38" i="4"/>
  <c r="EQ40" i="4"/>
  <c r="EM39" i="4"/>
  <c r="EL39" i="4"/>
  <c r="ER35" i="4"/>
  <c r="EE35" i="4"/>
  <c r="EP34" i="4"/>
  <c r="EJ33" i="4"/>
  <c r="EL32" i="4"/>
  <c r="ER29" i="4"/>
  <c r="EH32" i="4"/>
  <c r="EQ29" i="4"/>
  <c r="EG29" i="4"/>
  <c r="EH39" i="4"/>
  <c r="EM34" i="4"/>
  <c r="EH33" i="4"/>
  <c r="EG32" i="4"/>
  <c r="EP29" i="4"/>
  <c r="EF29" i="4"/>
  <c r="EK38" i="4"/>
  <c r="EK34" i="4"/>
  <c r="ES33" i="4"/>
  <c r="ER32" i="4"/>
  <c r="EF32" i="4"/>
  <c r="EE29" i="4"/>
  <c r="EM28" i="4"/>
  <c r="EH34" i="4"/>
  <c r="ER33" i="4"/>
  <c r="EQ32" i="4"/>
  <c r="EK28" i="4"/>
  <c r="EF34" i="4"/>
  <c r="EM32" i="4"/>
  <c r="EJ29" i="4"/>
  <c r="EJ28" i="4"/>
  <c r="ES27" i="4"/>
  <c r="ER26" i="4"/>
  <c r="EH26" i="4"/>
  <c r="EP23" i="4"/>
  <c r="EF23" i="4"/>
  <c r="ER27" i="4"/>
  <c r="EH27" i="4"/>
  <c r="EQ26" i="4"/>
  <c r="EG26" i="4"/>
  <c r="EE23" i="4"/>
  <c r="EQ34" i="4"/>
  <c r="EM33" i="4"/>
  <c r="EH28" i="4"/>
  <c r="EP27" i="4"/>
  <c r="EG27" i="4"/>
  <c r="EF26" i="4"/>
  <c r="EL33" i="4"/>
  <c r="ES28" i="4"/>
  <c r="EF28" i="4"/>
  <c r="EE27" i="4"/>
  <c r="EQ28" i="4"/>
  <c r="EE28" i="4"/>
  <c r="EM26" i="4"/>
  <c r="EJ35" i="4"/>
  <c r="EK29" i="4"/>
  <c r="EJ27" i="4"/>
  <c r="ES26" i="4"/>
  <c r="EQ23" i="4"/>
  <c r="EG23" i="4"/>
  <c r="EM22" i="4"/>
  <c r="EM20" i="4"/>
  <c r="ER23" i="4"/>
  <c r="EK22" i="4"/>
  <c r="EM21" i="4"/>
  <c r="EL20" i="4"/>
  <c r="EL26" i="4"/>
  <c r="EJ22" i="4"/>
  <c r="EL21" i="4"/>
  <c r="EL29" i="4"/>
  <c r="EK26" i="4"/>
  <c r="EL23" i="4"/>
  <c r="ES22" i="4"/>
  <c r="EJ21" i="4"/>
  <c r="ES20" i="4"/>
  <c r="EJ17" i="4"/>
  <c r="EK23" i="4"/>
  <c r="EQ22" i="4"/>
  <c r="EH22" i="4"/>
  <c r="ES21" i="4"/>
  <c r="ER20" i="4"/>
  <c r="EH20" i="4"/>
  <c r="ER17" i="4"/>
  <c r="EL27" i="4"/>
  <c r="EE21" i="4"/>
  <c r="EP22" i="4"/>
  <c r="EG21" i="4"/>
  <c r="EK20" i="4"/>
  <c r="EF17" i="4"/>
  <c r="EK16" i="4"/>
  <c r="EM15" i="4"/>
  <c r="EL14" i="4"/>
  <c r="EL11" i="4"/>
  <c r="EK35" i="4"/>
  <c r="EG20" i="4"/>
  <c r="EQ17" i="4"/>
  <c r="EE17" i="4"/>
  <c r="EJ16" i="4"/>
  <c r="EL15" i="4"/>
  <c r="EK14" i="4"/>
  <c r="EK11" i="4"/>
  <c r="EJ23" i="4"/>
  <c r="EF22" i="4"/>
  <c r="EF20" i="4"/>
  <c r="EP17" i="4"/>
  <c r="ES16" i="4"/>
  <c r="EJ15" i="4"/>
  <c r="ES14" i="4"/>
  <c r="EE22" i="4"/>
  <c r="EQ16" i="4"/>
  <c r="EH16" i="4"/>
  <c r="ES15" i="4"/>
  <c r="ER14" i="4"/>
  <c r="EH14" i="4"/>
  <c r="ER11" i="4"/>
  <c r="EM27" i="4"/>
  <c r="EP16" i="4"/>
  <c r="EF16" i="4"/>
  <c r="ER15" i="4"/>
  <c r="EH15" i="4"/>
  <c r="EQ14" i="4"/>
  <c r="EG14" i="4"/>
  <c r="EQ11" i="4"/>
  <c r="EG11" i="4"/>
  <c r="EH21" i="4"/>
  <c r="EG17" i="4"/>
  <c r="EM16" i="4"/>
  <c r="EM14" i="4"/>
  <c r="EF11" i="4"/>
  <c r="EM10" i="4"/>
  <c r="EF8" i="4"/>
  <c r="EQ20" i="4"/>
  <c r="EK17" i="4"/>
  <c r="EE10" i="4"/>
  <c r="EH8" i="4"/>
  <c r="EE16" i="4"/>
  <c r="EE11" i="4"/>
  <c r="EK10" i="4"/>
  <c r="EM9" i="4"/>
  <c r="EF10" i="4"/>
  <c r="EJ10" i="4"/>
  <c r="EL9" i="4"/>
  <c r="EM8" i="4"/>
  <c r="EG9" i="4"/>
  <c r="ER8" i="4"/>
  <c r="ER21" i="4"/>
  <c r="EP15" i="4"/>
  <c r="EF14" i="4"/>
  <c r="ES10" i="4"/>
  <c r="EJ9" i="4"/>
  <c r="EL8" i="4"/>
  <c r="EL17" i="4"/>
  <c r="EP11" i="4"/>
  <c r="EP10" i="4"/>
  <c r="EH9" i="4"/>
  <c r="ES8" i="4"/>
  <c r="EP28" i="4"/>
  <c r="EP21" i="4"/>
  <c r="EQ10" i="4"/>
  <c r="EH10" i="4"/>
  <c r="ES9" i="4"/>
  <c r="EK8" i="4"/>
  <c r="EG15" i="4"/>
  <c r="EJ11" i="4"/>
  <c r="EE9" i="4"/>
  <c r="EQ8" i="4"/>
  <c r="EG8" i="4"/>
  <c r="ER9" i="4"/>
  <c r="EE15" i="4"/>
  <c r="EP9" i="4"/>
  <c r="CR26" i="4"/>
  <c r="CR16" i="4"/>
  <c r="CR20" i="4"/>
  <c r="CL40" i="4"/>
  <c r="CG34" i="4"/>
  <c r="BK12" i="4"/>
  <c r="BL10" i="4" s="1"/>
  <c r="CR10" i="4"/>
  <c r="CL11" i="4"/>
  <c r="CL15" i="4"/>
  <c r="CL17" i="4"/>
  <c r="CR11" i="4"/>
  <c r="CG27" i="4"/>
  <c r="Z40" i="4" l="1"/>
  <c r="AA40" i="4" s="1"/>
  <c r="Z27" i="4"/>
  <c r="AB27" i="4" s="1"/>
  <c r="Z23" i="4"/>
  <c r="AB23" i="4" s="1"/>
  <c r="Z13" i="4"/>
  <c r="AB13" i="4" s="1"/>
  <c r="Z9" i="4"/>
  <c r="AA9" i="4" s="1"/>
  <c r="AB8" i="4"/>
  <c r="AA34" i="4"/>
  <c r="Z30" i="4"/>
  <c r="AA30" i="4" s="1"/>
  <c r="AB35" i="4"/>
  <c r="AB21" i="4"/>
  <c r="AB15" i="4"/>
  <c r="AB31" i="4"/>
  <c r="BJ25" i="4"/>
  <c r="BJ24" i="4" s="1"/>
  <c r="Z20" i="4"/>
  <c r="BJ13" i="4"/>
  <c r="BJ12" i="4" s="1"/>
  <c r="Z7" i="4"/>
  <c r="Z32" i="4"/>
  <c r="Z14" i="4"/>
  <c r="Z37" i="4"/>
  <c r="BJ31" i="4"/>
  <c r="BJ30" i="4" s="1"/>
  <c r="AA22" i="4"/>
  <c r="Z16" i="4"/>
  <c r="BJ37" i="4"/>
  <c r="BJ36" i="4" s="1"/>
  <c r="Z25" i="4"/>
  <c r="Z39" i="4"/>
  <c r="BJ43" i="4"/>
  <c r="BJ42" i="4" s="1"/>
  <c r="Z41" i="4"/>
  <c r="Z19" i="4"/>
  <c r="BJ19" i="4"/>
  <c r="BJ18" i="4" s="1"/>
  <c r="Z36" i="4"/>
  <c r="Z10" i="4"/>
  <c r="BL41" i="4"/>
  <c r="EC20" i="4"/>
  <c r="EN15" i="4"/>
  <c r="EC21" i="4"/>
  <c r="ET28" i="4"/>
  <c r="EC16" i="4"/>
  <c r="EC10" i="4"/>
  <c r="EC9" i="4"/>
  <c r="BL32" i="4"/>
  <c r="CM28" i="4"/>
  <c r="CM20" i="4"/>
  <c r="BL11" i="4"/>
  <c r="EC35" i="4"/>
  <c r="EI27" i="4"/>
  <c r="EF30" i="4" s="1"/>
  <c r="EC41" i="4"/>
  <c r="CM34" i="4"/>
  <c r="CM40" i="4"/>
  <c r="CM32" i="4"/>
  <c r="CM33" i="4"/>
  <c r="CM11" i="4"/>
  <c r="EC32" i="4"/>
  <c r="EI35" i="4"/>
  <c r="EH36" i="4" s="1"/>
  <c r="EN21" i="4"/>
  <c r="CM35" i="4"/>
  <c r="EI11" i="4"/>
  <c r="EH12" i="4" s="1"/>
  <c r="ET14" i="4"/>
  <c r="EI23" i="4"/>
  <c r="EH24" i="4" s="1"/>
  <c r="CM29" i="4"/>
  <c r="BL40" i="4"/>
  <c r="EI34" i="4"/>
  <c r="EG36" i="4" s="1"/>
  <c r="ET35" i="4"/>
  <c r="ET41" i="4"/>
  <c r="BL21" i="4"/>
  <c r="CM27" i="4"/>
  <c r="BL20" i="4"/>
  <c r="CM9" i="4"/>
  <c r="ET9" i="4"/>
  <c r="EI17" i="4"/>
  <c r="EH18" i="4" s="1"/>
  <c r="EN27" i="4"/>
  <c r="BL23" i="4"/>
  <c r="EN26" i="4"/>
  <c r="EN35" i="4"/>
  <c r="EI26" i="4"/>
  <c r="ET26" i="4"/>
  <c r="EN28" i="4"/>
  <c r="ET29" i="4"/>
  <c r="CM22" i="4"/>
  <c r="CM38" i="4"/>
  <c r="CM15" i="4"/>
  <c r="EN10" i="4"/>
  <c r="ET16" i="4"/>
  <c r="ET27" i="4"/>
  <c r="EI32" i="4"/>
  <c r="EE36" i="4" s="1"/>
  <c r="BL39" i="4"/>
  <c r="BL35" i="4"/>
  <c r="CD30" i="4"/>
  <c r="EC27" i="4"/>
  <c r="EI8" i="4"/>
  <c r="BL28" i="4"/>
  <c r="BL26" i="4"/>
  <c r="CE24" i="4"/>
  <c r="EC22" i="4"/>
  <c r="CD36" i="4"/>
  <c r="EC33" i="4"/>
  <c r="CF18" i="4"/>
  <c r="EC17" i="4"/>
  <c r="EN8" i="4"/>
  <c r="ET10" i="4"/>
  <c r="EN16" i="4"/>
  <c r="ET32" i="4"/>
  <c r="EN39" i="4"/>
  <c r="EI39" i="4"/>
  <c r="CF24" i="4"/>
  <c r="EC23" i="4"/>
  <c r="CM41" i="4"/>
  <c r="EC40" i="4"/>
  <c r="CE42" i="4"/>
  <c r="EC11" i="4"/>
  <c r="CF12" i="4"/>
  <c r="DG34" i="4"/>
  <c r="DG32" i="4"/>
  <c r="CV34" i="4"/>
  <c r="CV33" i="4"/>
  <c r="DA32" i="4"/>
  <c r="DG33" i="4"/>
  <c r="DA34" i="4"/>
  <c r="DA33" i="4"/>
  <c r="CV32" i="4"/>
  <c r="ET17" i="4"/>
  <c r="EN38" i="4"/>
  <c r="EN32" i="4"/>
  <c r="CM8" i="4"/>
  <c r="CC42" i="4"/>
  <c r="EC38" i="4"/>
  <c r="CM21" i="4"/>
  <c r="CC12" i="4"/>
  <c r="EC8" i="4"/>
  <c r="BL9" i="4"/>
  <c r="BL8" i="4"/>
  <c r="CU11" i="4"/>
  <c r="CZ11" i="4"/>
  <c r="DF11" i="4"/>
  <c r="CU8" i="4"/>
  <c r="CZ9" i="4"/>
  <c r="CZ8" i="4"/>
  <c r="DF9" i="4"/>
  <c r="DF8" i="4"/>
  <c r="CU9" i="4"/>
  <c r="ET15" i="4"/>
  <c r="ET23" i="4"/>
  <c r="EI15" i="4"/>
  <c r="ET11" i="4"/>
  <c r="CT23" i="4"/>
  <c r="CY22" i="4"/>
  <c r="CY20" i="4"/>
  <c r="CY23" i="4"/>
  <c r="DE22" i="4"/>
  <c r="CT22" i="4"/>
  <c r="DE20" i="4"/>
  <c r="DE23" i="4"/>
  <c r="CT20" i="4"/>
  <c r="CY11" i="4"/>
  <c r="DE11" i="4"/>
  <c r="CT11" i="4"/>
  <c r="CY10" i="4"/>
  <c r="DE10" i="4"/>
  <c r="CY8" i="4"/>
  <c r="CT10" i="4"/>
  <c r="DE8" i="4"/>
  <c r="CT8" i="4"/>
  <c r="CS23" i="4"/>
  <c r="DD23" i="4"/>
  <c r="CX22" i="4"/>
  <c r="CX23" i="4"/>
  <c r="DD22" i="4"/>
  <c r="DD21" i="4"/>
  <c r="CS22" i="4"/>
  <c r="CX21" i="4"/>
  <c r="CS21" i="4"/>
  <c r="EI16" i="4"/>
  <c r="EI20" i="4"/>
  <c r="EN20" i="4"/>
  <c r="EI40" i="4"/>
  <c r="EN41" i="4"/>
  <c r="CC30" i="4"/>
  <c r="EC26" i="4"/>
  <c r="CM39" i="4"/>
  <c r="CM26" i="4"/>
  <c r="BL34" i="4"/>
  <c r="DD35" i="4"/>
  <c r="CS33" i="4"/>
  <c r="CS35" i="4"/>
  <c r="CS34" i="4"/>
  <c r="DD34" i="4"/>
  <c r="DD33" i="4"/>
  <c r="CX34" i="4"/>
  <c r="CX33" i="4"/>
  <c r="CX35" i="4"/>
  <c r="EC29" i="4"/>
  <c r="ET8" i="4"/>
  <c r="ET21" i="4"/>
  <c r="EN9" i="4"/>
  <c r="EI10" i="4"/>
  <c r="EN23" i="4"/>
  <c r="ET22" i="4"/>
  <c r="EN29" i="4"/>
  <c r="EI29" i="4"/>
  <c r="EI38" i="4"/>
  <c r="EI33" i="4"/>
  <c r="EN34" i="4"/>
  <c r="ET40" i="4"/>
  <c r="ET39" i="4"/>
  <c r="CM23" i="4"/>
  <c r="DF17" i="4"/>
  <c r="CU17" i="4"/>
  <c r="CZ15" i="4"/>
  <c r="DF14" i="4"/>
  <c r="DF15" i="4"/>
  <c r="CU14" i="4"/>
  <c r="CZ17" i="4"/>
  <c r="CU15" i="4"/>
  <c r="CZ14" i="4"/>
  <c r="DA28" i="4"/>
  <c r="CV27" i="4"/>
  <c r="DG28" i="4"/>
  <c r="CV28" i="4"/>
  <c r="DA27" i="4"/>
  <c r="DG27" i="4"/>
  <c r="CV26" i="4"/>
  <c r="DA26" i="4"/>
  <c r="DG26" i="4"/>
  <c r="EC28" i="4"/>
  <c r="ET33" i="4"/>
  <c r="CM10" i="4"/>
  <c r="CM16" i="4"/>
  <c r="CE36" i="4"/>
  <c r="EC34" i="4"/>
  <c r="CM17" i="4"/>
  <c r="BL29" i="4"/>
  <c r="EI9" i="4"/>
  <c r="EI22" i="4"/>
  <c r="EI21" i="4"/>
  <c r="EI28" i="4"/>
  <c r="EN33" i="4"/>
  <c r="ET38" i="4"/>
  <c r="EI41" i="4"/>
  <c r="EN40" i="4"/>
  <c r="CM14" i="4"/>
  <c r="DA40" i="4"/>
  <c r="DG40" i="4"/>
  <c r="DA39" i="4"/>
  <c r="DG38" i="4"/>
  <c r="CV40" i="4"/>
  <c r="CV39" i="4"/>
  <c r="DG39" i="4"/>
  <c r="DA38" i="4"/>
  <c r="CV38" i="4"/>
  <c r="EC39" i="4"/>
  <c r="EC15" i="4"/>
  <c r="CD18" i="4"/>
  <c r="CU29" i="4"/>
  <c r="CZ29" i="4"/>
  <c r="DF27" i="4"/>
  <c r="CU26" i="4"/>
  <c r="DF29" i="4"/>
  <c r="CU27" i="4"/>
  <c r="DF26" i="4"/>
  <c r="CZ26" i="4"/>
  <c r="CZ27" i="4"/>
  <c r="EN11" i="4"/>
  <c r="EI14" i="4"/>
  <c r="ET20" i="4"/>
  <c r="EN14" i="4"/>
  <c r="EN17" i="4"/>
  <c r="EN22" i="4"/>
  <c r="ET34" i="4"/>
  <c r="BL27" i="4"/>
  <c r="CY41" i="4"/>
  <c r="CY40" i="4"/>
  <c r="DE41" i="4"/>
  <c r="CT41" i="4"/>
  <c r="CY38" i="4"/>
  <c r="DE40" i="4"/>
  <c r="CT38" i="4"/>
  <c r="CT40" i="4"/>
  <c r="DE38" i="4"/>
  <c r="CC18" i="4"/>
  <c r="EC14" i="4"/>
  <c r="AB40" i="4" l="1"/>
  <c r="AA27" i="4"/>
  <c r="AA23" i="4"/>
  <c r="AA13" i="4"/>
  <c r="AB9" i="4"/>
  <c r="AB30" i="4"/>
  <c r="AB25" i="4"/>
  <c r="AA25" i="4"/>
  <c r="AB36" i="4"/>
  <c r="AA36" i="4"/>
  <c r="AA7" i="4"/>
  <c r="AB7" i="4"/>
  <c r="AA16" i="4"/>
  <c r="AB16" i="4"/>
  <c r="AB19" i="4"/>
  <c r="AA19" i="4"/>
  <c r="AA20" i="4"/>
  <c r="AB20" i="4"/>
  <c r="AB41" i="4"/>
  <c r="AA41" i="4"/>
  <c r="AB37" i="4"/>
  <c r="AA37" i="4"/>
  <c r="AB39" i="4"/>
  <c r="AA39" i="4"/>
  <c r="AB14" i="4"/>
  <c r="AA14" i="4"/>
  <c r="AB10" i="4"/>
  <c r="AA10" i="4"/>
  <c r="AB32" i="4"/>
  <c r="AA32" i="4"/>
  <c r="EO27" i="4"/>
  <c r="EA27" i="4" s="1"/>
  <c r="EO35" i="4"/>
  <c r="EA35" i="4" s="1"/>
  <c r="EO29" i="4"/>
  <c r="EA29" i="4" s="1"/>
  <c r="EO14" i="4"/>
  <c r="EA14" i="4" s="1"/>
  <c r="EO40" i="4"/>
  <c r="EA40" i="4" s="1"/>
  <c r="EO11" i="4"/>
  <c r="EA11" i="4" s="1"/>
  <c r="EO33" i="4"/>
  <c r="EA33" i="4" s="1"/>
  <c r="EO22" i="4"/>
  <c r="EA22" i="4" s="1"/>
  <c r="EE30" i="4"/>
  <c r="EO26" i="4"/>
  <c r="EA26" i="4" s="1"/>
  <c r="EO20" i="4"/>
  <c r="EA20" i="4" s="1"/>
  <c r="EF18" i="4"/>
  <c r="EO16" i="4"/>
  <c r="EA16" i="4" s="1"/>
  <c r="CZ20" i="4"/>
  <c r="CZ23" i="4"/>
  <c r="DB23" i="4" s="1"/>
  <c r="CZ21" i="4"/>
  <c r="DF20" i="4"/>
  <c r="DF21" i="4"/>
  <c r="CU20" i="4"/>
  <c r="CU23" i="4"/>
  <c r="CW23" i="4" s="1"/>
  <c r="CU21" i="4"/>
  <c r="DF23" i="4"/>
  <c r="DH23" i="4" s="1"/>
  <c r="CS17" i="4"/>
  <c r="CX16" i="4"/>
  <c r="DD17" i="4"/>
  <c r="CX15" i="4"/>
  <c r="DD16" i="4"/>
  <c r="CS16" i="4"/>
  <c r="DD15" i="4"/>
  <c r="CX17" i="4"/>
  <c r="CS15" i="4"/>
  <c r="EE18" i="4"/>
  <c r="EO23" i="4"/>
  <c r="EA23" i="4" s="1"/>
  <c r="EO28" i="4"/>
  <c r="EA28" i="4" s="1"/>
  <c r="EG18" i="4"/>
  <c r="DA9" i="4"/>
  <c r="DA8" i="4"/>
  <c r="DB8" i="4" s="1"/>
  <c r="DG10" i="4"/>
  <c r="CV8" i="4"/>
  <c r="CW8" i="4" s="1"/>
  <c r="CV10" i="4"/>
  <c r="DG9" i="4"/>
  <c r="CV9" i="4"/>
  <c r="DG8" i="4"/>
  <c r="DH8" i="4" s="1"/>
  <c r="DA10" i="4"/>
  <c r="EO8" i="4"/>
  <c r="EA8" i="4" s="1"/>
  <c r="DG16" i="4"/>
  <c r="DG14" i="4"/>
  <c r="CV16" i="4"/>
  <c r="DG15" i="4"/>
  <c r="CV14" i="4"/>
  <c r="CV15" i="4"/>
  <c r="DA15" i="4"/>
  <c r="DA16" i="4"/>
  <c r="DA14" i="4"/>
  <c r="DE29" i="4"/>
  <c r="CT29" i="4"/>
  <c r="DE26" i="4"/>
  <c r="DH26" i="4" s="1"/>
  <c r="CY28" i="4"/>
  <c r="CT26" i="4"/>
  <c r="CW26" i="4" s="1"/>
  <c r="CY29" i="4"/>
  <c r="DE28" i="4"/>
  <c r="CT28" i="4"/>
  <c r="CY26" i="4"/>
  <c r="DB26" i="4" s="1"/>
  <c r="EG30" i="4"/>
  <c r="CU35" i="4"/>
  <c r="CU33" i="4"/>
  <c r="CW33" i="4" s="1"/>
  <c r="CZ32" i="4"/>
  <c r="DF35" i="4"/>
  <c r="DF33" i="4"/>
  <c r="DH33" i="4" s="1"/>
  <c r="CZ35" i="4"/>
  <c r="DF32" i="4"/>
  <c r="CZ33" i="4"/>
  <c r="DB33" i="4" s="1"/>
  <c r="CU32" i="4"/>
  <c r="EG12" i="4"/>
  <c r="CX41" i="4"/>
  <c r="CS39" i="4"/>
  <c r="CX40" i="4"/>
  <c r="DB40" i="4" s="1"/>
  <c r="DD41" i="4"/>
  <c r="CS41" i="4"/>
  <c r="DD39" i="4"/>
  <c r="DD40" i="4"/>
  <c r="DH40" i="4" s="1"/>
  <c r="CX39" i="4"/>
  <c r="CS40" i="4"/>
  <c r="CW40" i="4" s="1"/>
  <c r="DA21" i="4"/>
  <c r="DG22" i="4"/>
  <c r="DH22" i="4" s="1"/>
  <c r="CV22" i="4"/>
  <c r="CW22" i="4" s="1"/>
  <c r="DG21" i="4"/>
  <c r="CV20" i="4"/>
  <c r="CV21" i="4"/>
  <c r="DA22" i="4"/>
  <c r="DB22" i="4" s="1"/>
  <c r="DA20" i="4"/>
  <c r="DG20" i="4"/>
  <c r="EO15" i="4"/>
  <c r="EA15" i="4" s="1"/>
  <c r="DE17" i="4"/>
  <c r="CY14" i="4"/>
  <c r="DE16" i="4"/>
  <c r="CT16" i="4"/>
  <c r="DE14" i="4"/>
  <c r="CT14" i="4"/>
  <c r="CT17" i="4"/>
  <c r="CY16" i="4"/>
  <c r="CY17" i="4"/>
  <c r="EF24" i="4"/>
  <c r="EO34" i="4"/>
  <c r="EA34" i="4" s="1"/>
  <c r="EO9" i="4"/>
  <c r="EA9" i="4" s="1"/>
  <c r="DD29" i="4"/>
  <c r="CS29" i="4"/>
  <c r="CX28" i="4"/>
  <c r="DD27" i="4"/>
  <c r="DH27" i="4" s="1"/>
  <c r="CS27" i="4"/>
  <c r="CW27" i="4" s="1"/>
  <c r="CX29" i="4"/>
  <c r="DD28" i="4"/>
  <c r="CX27" i="4"/>
  <c r="DB27" i="4" s="1"/>
  <c r="CS28" i="4"/>
  <c r="EF42" i="4"/>
  <c r="CT35" i="4"/>
  <c r="DE34" i="4"/>
  <c r="DH34" i="4" s="1"/>
  <c r="CY35" i="4"/>
  <c r="DE35" i="4"/>
  <c r="CT34" i="4"/>
  <c r="CW34" i="4" s="1"/>
  <c r="CY32" i="4"/>
  <c r="CT32" i="4"/>
  <c r="CY34" i="4"/>
  <c r="DB34" i="4" s="1"/>
  <c r="DE32" i="4"/>
  <c r="EG24" i="4"/>
  <c r="EF36" i="4"/>
  <c r="EO32" i="4"/>
  <c r="EA32" i="4" s="1"/>
  <c r="DF41" i="4"/>
  <c r="CU41" i="4"/>
  <c r="CZ41" i="4"/>
  <c r="DF39" i="4"/>
  <c r="CU39" i="4"/>
  <c r="CZ38" i="4"/>
  <c r="DB38" i="4" s="1"/>
  <c r="CU38" i="4"/>
  <c r="CW38" i="4" s="1"/>
  <c r="CZ39" i="4"/>
  <c r="DF38" i="4"/>
  <c r="DH38" i="4" s="1"/>
  <c r="EO39" i="4"/>
  <c r="EA39" i="4" s="1"/>
  <c r="EH42" i="4"/>
  <c r="EO10" i="4"/>
  <c r="EA10" i="4" s="1"/>
  <c r="EE42" i="4"/>
  <c r="EO41" i="4"/>
  <c r="EA41" i="4" s="1"/>
  <c r="EO38" i="4"/>
  <c r="EA38" i="4" s="1"/>
  <c r="EE24" i="4"/>
  <c r="EO17" i="4"/>
  <c r="EA17" i="4" s="1"/>
  <c r="EF12" i="4"/>
  <c r="EH30" i="4"/>
  <c r="EG42" i="4"/>
  <c r="CX11" i="4"/>
  <c r="DB11" i="4" s="1"/>
  <c r="DD11" i="4"/>
  <c r="DH11" i="4" s="1"/>
  <c r="CX10" i="4"/>
  <c r="CX9" i="4"/>
  <c r="CS11" i="4"/>
  <c r="CW11" i="4" s="1"/>
  <c r="DD10" i="4"/>
  <c r="DD9" i="4"/>
  <c r="CS10" i="4"/>
  <c r="CS9" i="4"/>
  <c r="EO21" i="4"/>
  <c r="EA21" i="4" s="1"/>
  <c r="EE12" i="4"/>
  <c r="DB32" i="4" l="1"/>
  <c r="CW14" i="4"/>
  <c r="CW9" i="4"/>
  <c r="DB9" i="4"/>
  <c r="DB10" i="4"/>
  <c r="CW35" i="4"/>
  <c r="DB28" i="4"/>
  <c r="CW21" i="4"/>
  <c r="DB20" i="4"/>
  <c r="DH28" i="4"/>
  <c r="CW29" i="4"/>
  <c r="CW32" i="4"/>
  <c r="DB29" i="4"/>
  <c r="DH21" i="4"/>
  <c r="CW10" i="4"/>
  <c r="DH9" i="4"/>
  <c r="DB35" i="4"/>
  <c r="CW20" i="4"/>
  <c r="DH20" i="4"/>
  <c r="DB39" i="4"/>
  <c r="DH35" i="4"/>
  <c r="EB35" i="4"/>
  <c r="ED35" i="4" s="1"/>
  <c r="DB14" i="4"/>
  <c r="DB21" i="4"/>
  <c r="EB39" i="4"/>
  <c r="ED39" i="4" s="1"/>
  <c r="DH10" i="4"/>
  <c r="CW17" i="4"/>
  <c r="EB10" i="4"/>
  <c r="ED10" i="4" s="1"/>
  <c r="EB15" i="4"/>
  <c r="ED15" i="4" s="1"/>
  <c r="EB29" i="4"/>
  <c r="ED29" i="4" s="1"/>
  <c r="EB33" i="4"/>
  <c r="ED33" i="4" s="1"/>
  <c r="CW28" i="4"/>
  <c r="DH29" i="4"/>
  <c r="EB21" i="4"/>
  <c r="ED21" i="4" s="1"/>
  <c r="DH14" i="4"/>
  <c r="EB40" i="4"/>
  <c r="ED40" i="4" s="1"/>
  <c r="EB8" i="4"/>
  <c r="ED8" i="4" s="1"/>
  <c r="EB9" i="4"/>
  <c r="ED9" i="4" s="1"/>
  <c r="DB41" i="4"/>
  <c r="EB28" i="4"/>
  <c r="ED28" i="4" s="1"/>
  <c r="DB16" i="4"/>
  <c r="EB16" i="4"/>
  <c r="ED16" i="4" s="1"/>
  <c r="DB17" i="4"/>
  <c r="DH39" i="4"/>
  <c r="DH15" i="4"/>
  <c r="CW41" i="4"/>
  <c r="CW16" i="4"/>
  <c r="EB41" i="4"/>
  <c r="ED41" i="4" s="1"/>
  <c r="EB38" i="4"/>
  <c r="ED38" i="4" s="1"/>
  <c r="EB32" i="4"/>
  <c r="ED32" i="4" s="1"/>
  <c r="EB26" i="4"/>
  <c r="ED26" i="4" s="1"/>
  <c r="DH41" i="4"/>
  <c r="DH16" i="4"/>
  <c r="EB27" i="4"/>
  <c r="ED27" i="4" s="1"/>
  <c r="CW15" i="4"/>
  <c r="EB22" i="4"/>
  <c r="ED22" i="4" s="1"/>
  <c r="EB23" i="4"/>
  <c r="ED23" i="4" s="1"/>
  <c r="DB15" i="4"/>
  <c r="EB17" i="4"/>
  <c r="ED17" i="4" s="1"/>
  <c r="EB20" i="4"/>
  <c r="ED20" i="4" s="1"/>
  <c r="DH32" i="4"/>
  <c r="EB34" i="4"/>
  <c r="ED34" i="4" s="1"/>
  <c r="CW39" i="4"/>
  <c r="EB14" i="4"/>
  <c r="ED14" i="4" s="1"/>
  <c r="DH17" i="4"/>
  <c r="EB11" i="4"/>
  <c r="ED11" i="4" s="1"/>
  <c r="AW31" i="4" l="1"/>
  <c r="AY31" i="4" s="1"/>
  <c r="DS10" i="4" s="1"/>
  <c r="DC35" i="4"/>
  <c r="DI35" i="4" s="1"/>
  <c r="AW37" i="4"/>
  <c r="AY37" i="4" s="1"/>
  <c r="BA37" i="4" s="1"/>
  <c r="DC21" i="4"/>
  <c r="DI21" i="4" s="1"/>
  <c r="DC41" i="4"/>
  <c r="DI41" i="4" s="1"/>
  <c r="DC28" i="4"/>
  <c r="DI28" i="4" s="1"/>
  <c r="DC10" i="4"/>
  <c r="DI10" i="4" s="1"/>
  <c r="DC8" i="4"/>
  <c r="DI8" i="4" s="1"/>
  <c r="DC9" i="4"/>
  <c r="DI9" i="4" s="1"/>
  <c r="DC11" i="4"/>
  <c r="DI11" i="4" s="1"/>
  <c r="AW38" i="4"/>
  <c r="AY38" i="4" s="1"/>
  <c r="BA38" i="4" s="1"/>
  <c r="DC29" i="4"/>
  <c r="DI29" i="4" s="1"/>
  <c r="DC27" i="4"/>
  <c r="DI27" i="4" s="1"/>
  <c r="AW34" i="4"/>
  <c r="AY34" i="4" s="1"/>
  <c r="DC26" i="4"/>
  <c r="DI26" i="4" s="1"/>
  <c r="DC33" i="4"/>
  <c r="DI33" i="4" s="1"/>
  <c r="DC40" i="4"/>
  <c r="DI40" i="4" s="1"/>
  <c r="DC38" i="4"/>
  <c r="DI38" i="4" s="1"/>
  <c r="AW36" i="4"/>
  <c r="AY36" i="4" s="1"/>
  <c r="AW40" i="4"/>
  <c r="AY40" i="4" s="1"/>
  <c r="DU33" i="4" s="1"/>
  <c r="DC34" i="4"/>
  <c r="DI34" i="4" s="1"/>
  <c r="DC32" i="4"/>
  <c r="DI32" i="4" s="1"/>
  <c r="AW35" i="4"/>
  <c r="AY35" i="4" s="1"/>
  <c r="AW39" i="4"/>
  <c r="AY39" i="4" s="1"/>
  <c r="BA39" i="4" s="1"/>
  <c r="DC23" i="4"/>
  <c r="DI23" i="4" s="1"/>
  <c r="AW32" i="4"/>
  <c r="AY32" i="4" s="1"/>
  <c r="DS9" i="4" s="1"/>
  <c r="AW33" i="4"/>
  <c r="AY33" i="4" s="1"/>
  <c r="DC15" i="4"/>
  <c r="DI15" i="4" s="1"/>
  <c r="DC20" i="4"/>
  <c r="DI20" i="4" s="1"/>
  <c r="AW42" i="4"/>
  <c r="AY42" i="4" s="1"/>
  <c r="DT40" i="4" s="1"/>
  <c r="DW40" i="4" s="1"/>
  <c r="DC22" i="4"/>
  <c r="DI22" i="4" s="1"/>
  <c r="DC39" i="4"/>
  <c r="DI39" i="4" s="1"/>
  <c r="DC17" i="4"/>
  <c r="DI17" i="4" s="1"/>
  <c r="DC16" i="4"/>
  <c r="DI16" i="4" s="1"/>
  <c r="DC14" i="4"/>
  <c r="DI14" i="4" s="1"/>
  <c r="AW41" i="4"/>
  <c r="AY41" i="4" s="1"/>
  <c r="DS33" i="4" l="1"/>
  <c r="DW33" i="4" s="1"/>
  <c r="DT36" i="4" s="1"/>
  <c r="BA36" i="4"/>
  <c r="DS29" i="4" s="1"/>
  <c r="DW29" i="4" s="1"/>
  <c r="DV30" i="4" s="1"/>
  <c r="DU26" i="4"/>
  <c r="BA34" i="4"/>
  <c r="DT16" i="4"/>
  <c r="BA33" i="4"/>
  <c r="DS17" i="4"/>
  <c r="BA40" i="4"/>
  <c r="DT34" i="4" s="1"/>
  <c r="DS35" i="4"/>
  <c r="BA31" i="4"/>
  <c r="DU8" i="4" s="1"/>
  <c r="DV9" i="4"/>
  <c r="DW9" i="4" s="1"/>
  <c r="DT12" i="4" s="1"/>
  <c r="BA35" i="4"/>
  <c r="DT28" i="4" s="1"/>
  <c r="DU17" i="4"/>
  <c r="DV10" i="4"/>
  <c r="DW10" i="4" s="1"/>
  <c r="DU12" i="4" s="1"/>
  <c r="DV26" i="4"/>
  <c r="DU27" i="4"/>
  <c r="DW27" i="4" s="1"/>
  <c r="DT30" i="4" s="1"/>
  <c r="DJ10" i="4"/>
  <c r="DM12" i="4" s="1"/>
  <c r="DJ11" i="4"/>
  <c r="DN12" i="4" s="1"/>
  <c r="DJ29" i="4"/>
  <c r="DN30" i="4" s="1"/>
  <c r="DT22" i="4"/>
  <c r="DW22" i="4" s="1"/>
  <c r="DU24" i="4" s="1"/>
  <c r="BA32" i="4"/>
  <c r="DT8" i="4" s="1"/>
  <c r="DJ8" i="4"/>
  <c r="DK12" i="4" s="1"/>
  <c r="DU14" i="4"/>
  <c r="DS23" i="4"/>
  <c r="DW23" i="4" s="1"/>
  <c r="DJ34" i="4"/>
  <c r="DM36" i="4" s="1"/>
  <c r="DJ28" i="4"/>
  <c r="DM30" i="4" s="1"/>
  <c r="DJ9" i="4"/>
  <c r="DL12" i="4" s="1"/>
  <c r="DT17" i="4"/>
  <c r="DJ26" i="4"/>
  <c r="DK30" i="4" s="1"/>
  <c r="DJ27" i="4"/>
  <c r="DJ23" i="4"/>
  <c r="DN24" i="4" s="1"/>
  <c r="DU35" i="4"/>
  <c r="DJ22" i="4"/>
  <c r="DM24" i="4" s="1"/>
  <c r="DJ21" i="4"/>
  <c r="DL24" i="4" s="1"/>
  <c r="BA42" i="4"/>
  <c r="DU39" i="4" s="1"/>
  <c r="DW39" i="4" s="1"/>
  <c r="DT42" i="4" s="1"/>
  <c r="DJ35" i="4"/>
  <c r="DN36" i="4" s="1"/>
  <c r="DJ33" i="4"/>
  <c r="DL36" i="4" s="1"/>
  <c r="DJ32" i="4"/>
  <c r="DK36" i="4" s="1"/>
  <c r="DJ20" i="4"/>
  <c r="DK24" i="4" s="1"/>
  <c r="DJ16" i="4"/>
  <c r="DM18" i="4" s="1"/>
  <c r="DJ39" i="4"/>
  <c r="DJ38" i="4"/>
  <c r="DJ40" i="4"/>
  <c r="DJ15" i="4"/>
  <c r="DJ17" i="4"/>
  <c r="BA41" i="4"/>
  <c r="DS41" i="4" s="1"/>
  <c r="DW41" i="4" s="1"/>
  <c r="DJ41" i="4"/>
  <c r="DJ14" i="4"/>
  <c r="DU42" i="4"/>
  <c r="DV38" i="4" l="1"/>
  <c r="DW38" i="4" s="1"/>
  <c r="DS42" i="4" s="1"/>
  <c r="DW26" i="4"/>
  <c r="DS30" i="4" s="1"/>
  <c r="DT32" i="4"/>
  <c r="DS16" i="4"/>
  <c r="DS28" i="4"/>
  <c r="DW28" i="4" s="1"/>
  <c r="DU21" i="4"/>
  <c r="DW21" i="4" s="1"/>
  <c r="DT24" i="4" s="1"/>
  <c r="DU15" i="4"/>
  <c r="DW8" i="4"/>
  <c r="DS12" i="4" s="1"/>
  <c r="DV20" i="4"/>
  <c r="DW20" i="4" s="1"/>
  <c r="DS24" i="4" s="1"/>
  <c r="DV14" i="4"/>
  <c r="DW14" i="4" s="1"/>
  <c r="DS18" i="4" s="1"/>
  <c r="DW35" i="4"/>
  <c r="DV36" i="4" s="1"/>
  <c r="DV34" i="4"/>
  <c r="DW34" i="4" s="1"/>
  <c r="DU36" i="4" s="1"/>
  <c r="DV32" i="4"/>
  <c r="DW17" i="4"/>
  <c r="DV18" i="4" s="1"/>
  <c r="DU11" i="4"/>
  <c r="DT11" i="4"/>
  <c r="DV15" i="4"/>
  <c r="DV16" i="4"/>
  <c r="DL10" i="4"/>
  <c r="DM29" i="4"/>
  <c r="DV24" i="4"/>
  <c r="DM26" i="4"/>
  <c r="DL8" i="4"/>
  <c r="DM27" i="4"/>
  <c r="DL11" i="4"/>
  <c r="DL30" i="4"/>
  <c r="DL29" i="4" s="1"/>
  <c r="DK21" i="4"/>
  <c r="DK22" i="4"/>
  <c r="DL35" i="4"/>
  <c r="DL34" i="4"/>
  <c r="DL32" i="4"/>
  <c r="DO24" i="4"/>
  <c r="DK23" i="4"/>
  <c r="DN42" i="4"/>
  <c r="DK18" i="4"/>
  <c r="DN18" i="4"/>
  <c r="DL18" i="4"/>
  <c r="DK29" i="4"/>
  <c r="DK28" i="4"/>
  <c r="DK27" i="4"/>
  <c r="DN22" i="4"/>
  <c r="DN20" i="4"/>
  <c r="DN21" i="4"/>
  <c r="DN26" i="4"/>
  <c r="DN27" i="4"/>
  <c r="DN28" i="4"/>
  <c r="DL23" i="4"/>
  <c r="DL20" i="4"/>
  <c r="DL22" i="4"/>
  <c r="DM42" i="4"/>
  <c r="DM11" i="4"/>
  <c r="DM9" i="4"/>
  <c r="DM8" i="4"/>
  <c r="DK42" i="4"/>
  <c r="DL42" i="4"/>
  <c r="DN32" i="4"/>
  <c r="DN34" i="4"/>
  <c r="DN33" i="4"/>
  <c r="DM23" i="4"/>
  <c r="DM20" i="4"/>
  <c r="DM21" i="4"/>
  <c r="DM35" i="4"/>
  <c r="DM33" i="4"/>
  <c r="DM32" i="4"/>
  <c r="DK33" i="4"/>
  <c r="DK34" i="4"/>
  <c r="DO36" i="4"/>
  <c r="DK35" i="4"/>
  <c r="DN8" i="4"/>
  <c r="DN10" i="4"/>
  <c r="DN9" i="4"/>
  <c r="DM17" i="4"/>
  <c r="DM14" i="4"/>
  <c r="DM15" i="4"/>
  <c r="DV42" i="4"/>
  <c r="DO12" i="4"/>
  <c r="DK10" i="4"/>
  <c r="DK11" i="4"/>
  <c r="DK9" i="4"/>
  <c r="DX41" i="4" l="1"/>
  <c r="DX38" i="4"/>
  <c r="DX39" i="4"/>
  <c r="DX40" i="4"/>
  <c r="DW16" i="4"/>
  <c r="DU18" i="4" s="1"/>
  <c r="DW32" i="4"/>
  <c r="DX35" i="4" s="1"/>
  <c r="DU30" i="4"/>
  <c r="DX26" i="4"/>
  <c r="DX27" i="4"/>
  <c r="DX29" i="4"/>
  <c r="DX28" i="4"/>
  <c r="DW15" i="4"/>
  <c r="DT18" i="4" s="1"/>
  <c r="DX23" i="4"/>
  <c r="DX21" i="4"/>
  <c r="DX22" i="4"/>
  <c r="DX20" i="4"/>
  <c r="DW11" i="4"/>
  <c r="DV12" i="4" s="1"/>
  <c r="DO30" i="4"/>
  <c r="DL28" i="4"/>
  <c r="DO28" i="4" s="1"/>
  <c r="DL26" i="4"/>
  <c r="DO26" i="4" s="1"/>
  <c r="DO22" i="4"/>
  <c r="DO32" i="4"/>
  <c r="DO35" i="4"/>
  <c r="DO11" i="4"/>
  <c r="DO23" i="4"/>
  <c r="DO8" i="4"/>
  <c r="DO21" i="4"/>
  <c r="DO27" i="4"/>
  <c r="DO20" i="4"/>
  <c r="DN16" i="4"/>
  <c r="DN14" i="4"/>
  <c r="DN15" i="4"/>
  <c r="DK39" i="4"/>
  <c r="DO42" i="4"/>
  <c r="DK41" i="4"/>
  <c r="DK40" i="4"/>
  <c r="DO29" i="4"/>
  <c r="DO9" i="4"/>
  <c r="DO18" i="4"/>
  <c r="DK17" i="4"/>
  <c r="DK15" i="4"/>
  <c r="DK16" i="4"/>
  <c r="DO34" i="4"/>
  <c r="DL41" i="4"/>
  <c r="DL38" i="4"/>
  <c r="DL40" i="4"/>
  <c r="DN39" i="4"/>
  <c r="DN40" i="4"/>
  <c r="DN38" i="4"/>
  <c r="DL17" i="4"/>
  <c r="DL16" i="4"/>
  <c r="DL14" i="4"/>
  <c r="DO10" i="4"/>
  <c r="DO33" i="4"/>
  <c r="DM39" i="4"/>
  <c r="DM41" i="4"/>
  <c r="DM38" i="4"/>
  <c r="DP26" i="4" l="1"/>
  <c r="DP29" i="4"/>
  <c r="DP20" i="4"/>
  <c r="DX32" i="4"/>
  <c r="DP32" i="4" s="1"/>
  <c r="DX34" i="4"/>
  <c r="DP34" i="4" s="1"/>
  <c r="DX33" i="4"/>
  <c r="DP33" i="4" s="1"/>
  <c r="DS36" i="4"/>
  <c r="DP22" i="4"/>
  <c r="DP23" i="4"/>
  <c r="DP27" i="4"/>
  <c r="DX15" i="4"/>
  <c r="DX16" i="4"/>
  <c r="DP21" i="4"/>
  <c r="DP28" i="4"/>
  <c r="DX14" i="4"/>
  <c r="DX17" i="4"/>
  <c r="DP35" i="4"/>
  <c r="DX11" i="4"/>
  <c r="DP11" i="4" s="1"/>
  <c r="DX9" i="4"/>
  <c r="DP9" i="4" s="1"/>
  <c r="DX8" i="4"/>
  <c r="DP8" i="4" s="1"/>
  <c r="DX10" i="4"/>
  <c r="DP10" i="4" s="1"/>
  <c r="DO14" i="4"/>
  <c r="DO16" i="4"/>
  <c r="DO15" i="4"/>
  <c r="DO41" i="4"/>
  <c r="DP41" i="4" s="1"/>
  <c r="DO40" i="4"/>
  <c r="DP40" i="4" s="1"/>
  <c r="DO17" i="4"/>
  <c r="DO38" i="4"/>
  <c r="DP38" i="4" s="1"/>
  <c r="DO39" i="4"/>
  <c r="DP39" i="4" s="1"/>
  <c r="DQ21" i="4" l="1"/>
  <c r="BC21" i="4" s="1"/>
  <c r="DQ28" i="4"/>
  <c r="BC28" i="4" s="1"/>
  <c r="DQ22" i="4"/>
  <c r="BC22" i="4" s="1"/>
  <c r="DP15" i="4"/>
  <c r="DP16" i="4"/>
  <c r="DP14" i="4"/>
  <c r="DQ20" i="4"/>
  <c r="BC20" i="4" s="1"/>
  <c r="DP17" i="4"/>
  <c r="DQ23" i="4"/>
  <c r="BC23" i="4" s="1"/>
  <c r="DQ29" i="4"/>
  <c r="BC29" i="4" s="1"/>
  <c r="DQ27" i="4"/>
  <c r="BC27" i="4" s="1"/>
  <c r="DQ26" i="4"/>
  <c r="BC26" i="4" s="1"/>
  <c r="DQ35" i="4"/>
  <c r="BC35" i="4" s="1"/>
  <c r="DQ33" i="4"/>
  <c r="BC33" i="4" s="1"/>
  <c r="DQ11" i="4"/>
  <c r="BC11" i="4" s="1"/>
  <c r="DQ9" i="4"/>
  <c r="BC9" i="4" s="1"/>
  <c r="DQ8" i="4"/>
  <c r="BC8" i="4" s="1"/>
  <c r="DQ10" i="4"/>
  <c r="BC10" i="4" s="1"/>
  <c r="DQ34" i="4"/>
  <c r="BC34" i="4" s="1"/>
  <c r="DQ32" i="4"/>
  <c r="BC32" i="4" s="1"/>
  <c r="DQ39" i="4"/>
  <c r="BC39" i="4" s="1"/>
  <c r="DQ40" i="4"/>
  <c r="BC40" i="4" s="1"/>
  <c r="DQ38" i="4"/>
  <c r="BC38" i="4" s="1"/>
  <c r="DQ41" i="4"/>
  <c r="BC41" i="4" s="1"/>
  <c r="S12" i="4" l="1"/>
  <c r="Q29" i="4"/>
  <c r="O23" i="4"/>
  <c r="DQ17" i="4"/>
  <c r="BC17" i="4" s="1"/>
  <c r="R22" i="4"/>
  <c r="S23" i="4"/>
  <c r="O21" i="4"/>
  <c r="S24" i="4"/>
  <c r="R23" i="4"/>
  <c r="O24" i="4"/>
  <c r="DQ16" i="4"/>
  <c r="BC16" i="4" s="1"/>
  <c r="DQ14" i="4"/>
  <c r="BC14" i="4" s="1"/>
  <c r="R24" i="4"/>
  <c r="Q24" i="4"/>
  <c r="DQ15" i="4"/>
  <c r="BC15" i="4" s="1"/>
  <c r="Q22" i="4"/>
  <c r="R28" i="4"/>
  <c r="Q21" i="4"/>
  <c r="T23" i="4"/>
  <c r="O22" i="4"/>
  <c r="Q23" i="4"/>
  <c r="T22" i="4"/>
  <c r="S22" i="4"/>
  <c r="R21" i="4"/>
  <c r="T24" i="4"/>
  <c r="T21" i="4"/>
  <c r="S21" i="4"/>
  <c r="R30" i="4"/>
  <c r="Q27" i="4"/>
  <c r="T27" i="4"/>
  <c r="Q30" i="4"/>
  <c r="T29" i="4"/>
  <c r="O27" i="4"/>
  <c r="S27" i="4"/>
  <c r="O28" i="4"/>
  <c r="S29" i="4"/>
  <c r="S30" i="4"/>
  <c r="O29" i="4"/>
  <c r="S28" i="4"/>
  <c r="T30" i="4"/>
  <c r="R27" i="4"/>
  <c r="T28" i="4"/>
  <c r="Q28" i="4"/>
  <c r="O30" i="4"/>
  <c r="R29" i="4"/>
  <c r="T9" i="4"/>
  <c r="Q33" i="4"/>
  <c r="T36" i="4"/>
  <c r="O11" i="4"/>
  <c r="S11" i="4"/>
  <c r="T35" i="4"/>
  <c r="S10" i="4"/>
  <c r="Q36" i="4"/>
  <c r="T11" i="4"/>
  <c r="Q11" i="4"/>
  <c r="R9" i="4"/>
  <c r="R11" i="4"/>
  <c r="R33" i="4"/>
  <c r="S34" i="4"/>
  <c r="S36" i="4"/>
  <c r="R10" i="4"/>
  <c r="O10" i="4"/>
  <c r="O9" i="4"/>
  <c r="S35" i="4"/>
  <c r="T10" i="4"/>
  <c r="Q10" i="4"/>
  <c r="S9" i="4"/>
  <c r="Q12" i="4"/>
  <c r="R34" i="4"/>
  <c r="T12" i="4"/>
  <c r="R12" i="4"/>
  <c r="Q9" i="4"/>
  <c r="O12" i="4"/>
  <c r="O35" i="4"/>
  <c r="Q35" i="4"/>
  <c r="O36" i="4"/>
  <c r="S33" i="4"/>
  <c r="Q34" i="4"/>
  <c r="R36" i="4"/>
  <c r="T34" i="4"/>
  <c r="O34" i="4"/>
  <c r="R35" i="4"/>
  <c r="O33" i="4"/>
  <c r="T33" i="4"/>
  <c r="S41" i="4"/>
  <c r="O42" i="4"/>
  <c r="R41" i="4"/>
  <c r="T40" i="4"/>
  <c r="Q41" i="4"/>
  <c r="S40" i="4"/>
  <c r="R40" i="4"/>
  <c r="T42" i="4"/>
  <c r="O41" i="4"/>
  <c r="S42" i="4"/>
  <c r="R42" i="4"/>
  <c r="Q42" i="4"/>
  <c r="T41" i="4"/>
  <c r="T39" i="4"/>
  <c r="R39" i="4"/>
  <c r="Q40" i="4"/>
  <c r="Q39" i="4"/>
  <c r="O40" i="4"/>
  <c r="O39" i="4"/>
  <c r="S39" i="4"/>
  <c r="BS39" i="4" l="1"/>
  <c r="AC52" i="4" s="1"/>
  <c r="W26" i="6"/>
  <c r="T26" i="6"/>
  <c r="U26" i="6"/>
  <c r="V26" i="6"/>
  <c r="Y26" i="6"/>
  <c r="AD26" i="6"/>
  <c r="T23" i="6"/>
  <c r="U23" i="6"/>
  <c r="W23" i="6"/>
  <c r="Y23" i="6"/>
  <c r="AD16" i="6"/>
  <c r="V23" i="6"/>
  <c r="BS27" i="4"/>
  <c r="AB50" i="4" s="1"/>
  <c r="X47" i="4" s="1"/>
  <c r="Y47" i="4" s="1"/>
  <c r="AD18" i="6"/>
  <c r="T16" i="6"/>
  <c r="U16" i="6"/>
  <c r="V16" i="6"/>
  <c r="W16" i="6"/>
  <c r="Y16" i="6"/>
  <c r="T22" i="6"/>
  <c r="U22" i="6"/>
  <c r="V22" i="6"/>
  <c r="W22" i="6"/>
  <c r="Y22" i="6"/>
  <c r="AD24" i="6"/>
  <c r="BS40" i="4"/>
  <c r="BD49" i="4" s="1"/>
  <c r="BG49" i="4" s="1"/>
  <c r="AD27" i="6"/>
  <c r="T8" i="6"/>
  <c r="U8" i="6"/>
  <c r="V8" i="6"/>
  <c r="W8" i="6"/>
  <c r="Y8" i="6"/>
  <c r="BS33" i="4"/>
  <c r="AC50" i="4" s="1"/>
  <c r="T27" i="6"/>
  <c r="U27" i="6"/>
  <c r="V27" i="6"/>
  <c r="W27" i="6"/>
  <c r="AD22" i="6"/>
  <c r="Y27" i="6"/>
  <c r="BS8" i="4"/>
  <c r="AB47" i="4" s="1"/>
  <c r="X50" i="4" s="1"/>
  <c r="Y50" i="4" s="1"/>
  <c r="X58" i="4" s="1"/>
  <c r="Y58" i="4" s="1"/>
  <c r="X64" i="4" s="1"/>
  <c r="Y64" i="4" s="1"/>
  <c r="X73" i="4" s="1"/>
  <c r="Y73" i="4" s="1"/>
  <c r="Y13" i="6"/>
  <c r="AD5" i="6"/>
  <c r="V13" i="6"/>
  <c r="W13" i="6"/>
  <c r="T13" i="6"/>
  <c r="U13" i="6"/>
  <c r="BS26" i="4"/>
  <c r="AB52" i="4" s="1"/>
  <c r="X53" i="4" s="1"/>
  <c r="Y53" i="4" s="1"/>
  <c r="V11" i="6"/>
  <c r="Y11" i="6"/>
  <c r="T11" i="6"/>
  <c r="U11" i="6"/>
  <c r="W11" i="6"/>
  <c r="AD17" i="6"/>
  <c r="BS22" i="4"/>
  <c r="BD46" i="4" s="1"/>
  <c r="BI46" i="4" s="1"/>
  <c r="T21" i="6"/>
  <c r="U21" i="6"/>
  <c r="V21" i="6"/>
  <c r="W21" i="6"/>
  <c r="AD15" i="6"/>
  <c r="Y21" i="6"/>
  <c r="BS32" i="4"/>
  <c r="AB53" i="4" s="1"/>
  <c r="X52" i="4" s="1"/>
  <c r="Y52" i="4" s="1"/>
  <c r="X60" i="4" s="1"/>
  <c r="Y60" i="4" s="1"/>
  <c r="Z65" i="4" s="1"/>
  <c r="BB77" i="4" s="1"/>
  <c r="T6" i="6"/>
  <c r="U6" i="6"/>
  <c r="V6" i="6"/>
  <c r="W6" i="6"/>
  <c r="Y6" i="6"/>
  <c r="AD21" i="6"/>
  <c r="U12" i="6"/>
  <c r="V12" i="6"/>
  <c r="Y12" i="6"/>
  <c r="T12" i="6"/>
  <c r="W12" i="6"/>
  <c r="AD28" i="6"/>
  <c r="BS34" i="4"/>
  <c r="BD48" i="4" s="1"/>
  <c r="BF67" i="4" s="1"/>
  <c r="I20" i="3" s="1"/>
  <c r="AD23" i="6"/>
  <c r="U19" i="6"/>
  <c r="W19" i="6"/>
  <c r="Y19" i="6"/>
  <c r="T19" i="6"/>
  <c r="V19" i="6"/>
  <c r="BS9" i="4"/>
  <c r="AB46" i="4" s="1"/>
  <c r="T20" i="6"/>
  <c r="U20" i="6"/>
  <c r="V20" i="6"/>
  <c r="W20" i="6"/>
  <c r="Y20" i="6"/>
  <c r="AD6" i="6"/>
  <c r="AD20" i="6"/>
  <c r="V17" i="6"/>
  <c r="T17" i="6"/>
  <c r="U17" i="6"/>
  <c r="W17" i="6"/>
  <c r="Y17" i="6"/>
  <c r="BS28" i="4"/>
  <c r="BD47" i="4" s="1"/>
  <c r="BG66" i="4" s="1"/>
  <c r="J19" i="3" s="1"/>
  <c r="T5" i="6"/>
  <c r="U5" i="6"/>
  <c r="V5" i="6"/>
  <c r="W5" i="6"/>
  <c r="AD19" i="6"/>
  <c r="Y5" i="6"/>
  <c r="BS21" i="4"/>
  <c r="AC47" i="4" s="1"/>
  <c r="Y9" i="6"/>
  <c r="AD14" i="6"/>
  <c r="T9" i="6"/>
  <c r="V9" i="6"/>
  <c r="U9" i="6"/>
  <c r="W9" i="6"/>
  <c r="BS38" i="4"/>
  <c r="AB51" i="4" s="1"/>
  <c r="T18" i="6"/>
  <c r="U18" i="6"/>
  <c r="V18" i="6"/>
  <c r="W18" i="6"/>
  <c r="Y18" i="6"/>
  <c r="AD25" i="6"/>
  <c r="T14" i="6"/>
  <c r="U14" i="6"/>
  <c r="V14" i="6"/>
  <c r="W14" i="6"/>
  <c r="AD8" i="6"/>
  <c r="Y14" i="6"/>
  <c r="BS10" i="4"/>
  <c r="BD44" i="4" s="1"/>
  <c r="BH62" i="4" s="1"/>
  <c r="K15" i="3" s="1"/>
  <c r="T25" i="6"/>
  <c r="V25" i="6"/>
  <c r="W25" i="6"/>
  <c r="Y25" i="6"/>
  <c r="AD7" i="6"/>
  <c r="U25" i="6"/>
  <c r="BS20" i="4"/>
  <c r="AB48" i="4" s="1"/>
  <c r="X48" i="4" s="1"/>
  <c r="Y48" i="4" s="1"/>
  <c r="X59" i="4" s="1"/>
  <c r="Y59" i="4" s="1"/>
  <c r="X65" i="4" s="1"/>
  <c r="Y65" i="4" s="1"/>
  <c r="AD13" i="6"/>
  <c r="U10" i="6"/>
  <c r="W10" i="6"/>
  <c r="T10" i="6"/>
  <c r="V10" i="6"/>
  <c r="Y10" i="6"/>
  <c r="Q15" i="4"/>
  <c r="U9" i="4"/>
  <c r="P23" i="4"/>
  <c r="U23" i="4"/>
  <c r="U22" i="4"/>
  <c r="U24" i="4"/>
  <c r="O15" i="4"/>
  <c r="R15" i="4"/>
  <c r="T15" i="4"/>
  <c r="S15" i="4"/>
  <c r="S16" i="4"/>
  <c r="R16" i="4"/>
  <c r="R17" i="4"/>
  <c r="O16" i="4"/>
  <c r="O18" i="4"/>
  <c r="S18" i="4"/>
  <c r="Q17" i="4"/>
  <c r="S17" i="4"/>
  <c r="Q18" i="4"/>
  <c r="T18" i="4"/>
  <c r="P24" i="4"/>
  <c r="O17" i="4"/>
  <c r="R18" i="4"/>
  <c r="Q16" i="4"/>
  <c r="T16" i="4"/>
  <c r="T17" i="4"/>
  <c r="U28" i="4"/>
  <c r="U27" i="4"/>
  <c r="P22" i="4"/>
  <c r="P28" i="4"/>
  <c r="U30" i="4"/>
  <c r="P27" i="4"/>
  <c r="P21" i="4"/>
  <c r="P30" i="4"/>
  <c r="U21" i="4"/>
  <c r="P29" i="4"/>
  <c r="U29" i="4"/>
  <c r="U34" i="4"/>
  <c r="U36" i="4"/>
  <c r="Z17" i="4"/>
  <c r="Z29" i="4"/>
  <c r="P12" i="4"/>
  <c r="P10" i="4"/>
  <c r="Z18" i="4"/>
  <c r="Z42" i="4"/>
  <c r="Z28" i="4"/>
  <c r="U10" i="4"/>
  <c r="P11" i="4"/>
  <c r="P9" i="4"/>
  <c r="U12" i="4"/>
  <c r="P36" i="4"/>
  <c r="P34" i="4"/>
  <c r="Z33" i="4"/>
  <c r="U11" i="4"/>
  <c r="P33" i="4"/>
  <c r="Z12" i="4"/>
  <c r="Z24" i="4"/>
  <c r="U33" i="4"/>
  <c r="Z11" i="4"/>
  <c r="AB11" i="4" s="1"/>
  <c r="P35" i="4"/>
  <c r="Z26" i="4"/>
  <c r="BE58" i="4"/>
  <c r="H11" i="3" s="1"/>
  <c r="BF66" i="4"/>
  <c r="I19" i="3" s="1"/>
  <c r="U35" i="4"/>
  <c r="BE63" i="4"/>
  <c r="H16" i="3" s="1"/>
  <c r="BF56" i="4"/>
  <c r="I9" i="3" s="1"/>
  <c r="BG48" i="4"/>
  <c r="BF49" i="4"/>
  <c r="BF61" i="4"/>
  <c r="I14" i="3" s="1"/>
  <c r="BE49" i="4"/>
  <c r="BE60" i="4"/>
  <c r="H13" i="3" s="1"/>
  <c r="BI49" i="4"/>
  <c r="BE64" i="4"/>
  <c r="H17" i="3" s="1"/>
  <c r="P42" i="4"/>
  <c r="U42" i="4"/>
  <c r="U39" i="4"/>
  <c r="P39" i="4"/>
  <c r="U40" i="4"/>
  <c r="P40" i="4"/>
  <c r="P41" i="4"/>
  <c r="U41" i="4"/>
  <c r="BH49" i="4" l="1"/>
  <c r="BF62" i="4"/>
  <c r="I15" i="3" s="1"/>
  <c r="BE48" i="4"/>
  <c r="BE65" i="4"/>
  <c r="H18" i="3" s="1"/>
  <c r="BF58" i="4"/>
  <c r="I11" i="3" s="1"/>
  <c r="BG65" i="4"/>
  <c r="J18" i="3" s="1"/>
  <c r="BG61" i="4"/>
  <c r="J14" i="3" s="1"/>
  <c r="BQ48" i="4"/>
  <c r="BI48" i="4"/>
  <c r="BE67" i="4"/>
  <c r="H20" i="3" s="1"/>
  <c r="BF55" i="4"/>
  <c r="I8" i="3" s="1"/>
  <c r="BF57" i="4"/>
  <c r="I10" i="3" s="1"/>
  <c r="BE59" i="4"/>
  <c r="H12" i="3" s="1"/>
  <c r="BE66" i="4"/>
  <c r="H19" i="3" s="1"/>
  <c r="BQ49" i="4"/>
  <c r="BH48" i="4"/>
  <c r="BF48" i="4"/>
  <c r="BM48" i="4" s="1"/>
  <c r="BF46" i="4"/>
  <c r="BG46" i="4"/>
  <c r="BH63" i="4"/>
  <c r="K16" i="3" s="1"/>
  <c r="BG60" i="4"/>
  <c r="J13" i="3" s="1"/>
  <c r="BG59" i="4"/>
  <c r="J12" i="3" s="1"/>
  <c r="BF65" i="4"/>
  <c r="I18" i="3" s="1"/>
  <c r="BE61" i="4"/>
  <c r="H14" i="3" s="1"/>
  <c r="BE62" i="4"/>
  <c r="H15" i="3" s="1"/>
  <c r="BF54" i="4"/>
  <c r="I7" i="3" s="1"/>
  <c r="BH60" i="4"/>
  <c r="K13" i="3" s="1"/>
  <c r="BH67" i="4"/>
  <c r="K20" i="3" s="1"/>
  <c r="BE46" i="4"/>
  <c r="BH54" i="4"/>
  <c r="K7" i="3" s="1"/>
  <c r="BH46" i="4"/>
  <c r="BK46" i="4" s="1"/>
  <c r="BH55" i="4"/>
  <c r="K8" i="3" s="1"/>
  <c r="BH53" i="4"/>
  <c r="K6" i="3" s="1"/>
  <c r="BG64" i="4"/>
  <c r="J17" i="3" s="1"/>
  <c r="BQ46" i="4"/>
  <c r="BE55" i="4"/>
  <c r="H8" i="3" s="1"/>
  <c r="BI44" i="4"/>
  <c r="BE54" i="4"/>
  <c r="H7" i="3" s="1"/>
  <c r="BH59" i="4"/>
  <c r="K12" i="3" s="1"/>
  <c r="BH58" i="4"/>
  <c r="K11" i="3" s="1"/>
  <c r="BH44" i="4"/>
  <c r="BQ44" i="4"/>
  <c r="BE44" i="4"/>
  <c r="BG56" i="4"/>
  <c r="J9" i="3" s="1"/>
  <c r="BE53" i="4"/>
  <c r="H6" i="3" s="1"/>
  <c r="BH61" i="4"/>
  <c r="K14" i="3" s="1"/>
  <c r="BF44" i="4"/>
  <c r="BG57" i="4"/>
  <c r="J10" i="3" s="1"/>
  <c r="BG44" i="4"/>
  <c r="BS16" i="4"/>
  <c r="BD45" i="4" s="1"/>
  <c r="Z38" i="4" s="1"/>
  <c r="AA38" i="4" s="1"/>
  <c r="T7" i="6"/>
  <c r="V7" i="6"/>
  <c r="AD11" i="6"/>
  <c r="U7" i="6"/>
  <c r="W7" i="6"/>
  <c r="Y7" i="6"/>
  <c r="BE57" i="4"/>
  <c r="H10" i="3" s="1"/>
  <c r="BF64" i="4"/>
  <c r="I17" i="3" s="1"/>
  <c r="BG62" i="4"/>
  <c r="J15" i="3" s="1"/>
  <c r="BI47" i="4"/>
  <c r="BG47" i="4"/>
  <c r="T4" i="6"/>
  <c r="U4" i="6"/>
  <c r="V4" i="6"/>
  <c r="W4" i="6"/>
  <c r="Y4" i="6"/>
  <c r="AD12" i="6"/>
  <c r="BF63" i="4"/>
  <c r="I16" i="3" s="1"/>
  <c r="BF47" i="4"/>
  <c r="BF60" i="4"/>
  <c r="I13" i="3" s="1"/>
  <c r="BE56" i="4"/>
  <c r="H9" i="3" s="1"/>
  <c r="BS15" i="4"/>
  <c r="AC46" i="4" s="1"/>
  <c r="X49" i="4" s="1"/>
  <c r="Y49" i="4" s="1"/>
  <c r="W15" i="6"/>
  <c r="U15" i="6"/>
  <c r="AD10" i="6"/>
  <c r="T15" i="6"/>
  <c r="V15" i="6"/>
  <c r="Y15" i="6"/>
  <c r="BQ47" i="4"/>
  <c r="BG67" i="4"/>
  <c r="J20" i="3" s="1"/>
  <c r="BF53" i="4"/>
  <c r="I6" i="3" s="1"/>
  <c r="BS14" i="4"/>
  <c r="AB49" i="4" s="1"/>
  <c r="T24" i="6"/>
  <c r="U24" i="6"/>
  <c r="V24" i="6"/>
  <c r="W24" i="6"/>
  <c r="Y24" i="6"/>
  <c r="AD9" i="6"/>
  <c r="BE47" i="4"/>
  <c r="BF59" i="4"/>
  <c r="I12" i="3" s="1"/>
  <c r="BH47" i="4"/>
  <c r="U15" i="4"/>
  <c r="U17" i="4"/>
  <c r="U18" i="4"/>
  <c r="P18" i="4"/>
  <c r="U16" i="4"/>
  <c r="P15" i="4"/>
  <c r="P16" i="4"/>
  <c r="P17" i="4"/>
  <c r="AB29" i="4"/>
  <c r="AA29" i="4"/>
  <c r="AA17" i="4"/>
  <c r="AB17" i="4"/>
  <c r="AA28" i="4"/>
  <c r="AB28" i="4"/>
  <c r="AA42" i="4"/>
  <c r="AB42" i="4"/>
  <c r="AA18" i="4"/>
  <c r="AB18" i="4"/>
  <c r="AA24" i="4"/>
  <c r="AB24" i="4"/>
  <c r="AA12" i="4"/>
  <c r="AB12" i="4"/>
  <c r="AA33" i="4"/>
  <c r="AB33" i="4"/>
  <c r="AA11" i="4"/>
  <c r="AA26" i="4"/>
  <c r="AB26" i="4"/>
  <c r="BK49" i="4"/>
  <c r="BM49" i="4"/>
  <c r="BK48" i="4" l="1"/>
  <c r="BM46" i="4"/>
  <c r="BU14" i="4"/>
  <c r="BU15" i="4"/>
  <c r="BW38" i="4"/>
  <c r="BW23" i="4"/>
  <c r="BV39" i="4"/>
  <c r="BH64" i="4"/>
  <c r="K17" i="3" s="1"/>
  <c r="BU17" i="4"/>
  <c r="BU9" i="4"/>
  <c r="BV40" i="4"/>
  <c r="BV23" i="4"/>
  <c r="BW22" i="4"/>
  <c r="BW35" i="4"/>
  <c r="BW33" i="4"/>
  <c r="AB38" i="4"/>
  <c r="BU16" i="4"/>
  <c r="BU18" i="4" s="1"/>
  <c r="BU27" i="4"/>
  <c r="BW29" i="4"/>
  <c r="BH65" i="4"/>
  <c r="K18" i="3" s="1"/>
  <c r="BU8" i="4"/>
  <c r="BW9" i="4"/>
  <c r="BW15" i="4"/>
  <c r="BT8" i="4"/>
  <c r="BT40" i="4"/>
  <c r="BW27" i="4"/>
  <c r="BV16" i="4"/>
  <c r="BV34" i="4"/>
  <c r="BT28" i="4"/>
  <c r="BT38" i="4"/>
  <c r="BV21" i="4"/>
  <c r="BV33" i="4"/>
  <c r="BU29" i="4"/>
  <c r="BV10" i="4"/>
  <c r="BT11" i="4"/>
  <c r="BU38" i="4"/>
  <c r="BW21" i="4"/>
  <c r="BT14" i="4"/>
  <c r="BV26" i="4"/>
  <c r="BW17" i="4"/>
  <c r="BV9" i="4"/>
  <c r="BT26" i="4"/>
  <c r="BV29" i="4"/>
  <c r="BX29" i="4" s="1"/>
  <c r="BW11" i="4"/>
  <c r="BU10" i="4"/>
  <c r="BE45" i="4"/>
  <c r="BG45" i="4"/>
  <c r="BF45" i="4"/>
  <c r="BV14" i="4"/>
  <c r="BV15" i="4"/>
  <c r="BT15" i="4"/>
  <c r="BU21" i="4"/>
  <c r="BU33" i="4"/>
  <c r="BU41" i="4"/>
  <c r="BI45" i="4"/>
  <c r="BI50" i="4" s="1"/>
  <c r="BH56" i="4"/>
  <c r="K9" i="3" s="1"/>
  <c r="BG58" i="4"/>
  <c r="J11" i="3" s="1"/>
  <c r="BU35" i="4"/>
  <c r="BV35" i="4"/>
  <c r="BW26" i="4"/>
  <c r="BW41" i="4"/>
  <c r="BT34" i="4"/>
  <c r="BU26" i="4"/>
  <c r="BU34" i="4"/>
  <c r="BU40" i="4"/>
  <c r="BV11" i="4"/>
  <c r="BT21" i="4"/>
  <c r="BV27" i="4"/>
  <c r="BX27" i="4" s="1"/>
  <c r="BU28" i="4"/>
  <c r="BW34" i="4"/>
  <c r="BW20" i="4"/>
  <c r="BT27" i="4"/>
  <c r="BH45" i="4"/>
  <c r="BK45" i="4" s="1"/>
  <c r="BH66" i="4"/>
  <c r="K19" i="3" s="1"/>
  <c r="BH57" i="4"/>
  <c r="K10" i="3" s="1"/>
  <c r="BG53" i="4"/>
  <c r="J6" i="3" s="1"/>
  <c r="BW28" i="4"/>
  <c r="BW14" i="4"/>
  <c r="BT32" i="4"/>
  <c r="BT39" i="4"/>
  <c r="BT23" i="4"/>
  <c r="BT17" i="4"/>
  <c r="BT33" i="4"/>
  <c r="BW39" i="4"/>
  <c r="BT35" i="4"/>
  <c r="BW16" i="4"/>
  <c r="BV17" i="4"/>
  <c r="BT9" i="4"/>
  <c r="BV20" i="4"/>
  <c r="BX20" i="4" s="1"/>
  <c r="BV28" i="4"/>
  <c r="BV22" i="4"/>
  <c r="BX22" i="4" s="1"/>
  <c r="BT20" i="4"/>
  <c r="BU20" i="4"/>
  <c r="BT29" i="4"/>
  <c r="BV8" i="4"/>
  <c r="BU32" i="4"/>
  <c r="BV38" i="4"/>
  <c r="BG54" i="4"/>
  <c r="J7" i="3" s="1"/>
  <c r="BV41" i="4"/>
  <c r="BT10" i="4"/>
  <c r="BT41" i="4"/>
  <c r="BT22" i="4"/>
  <c r="BU39" i="4"/>
  <c r="BW10" i="4"/>
  <c r="BW8" i="4"/>
  <c r="BU23" i="4"/>
  <c r="BT16" i="4"/>
  <c r="BU11" i="4"/>
  <c r="BV32" i="4"/>
  <c r="BW32" i="4"/>
  <c r="BU22" i="4"/>
  <c r="BW40" i="4"/>
  <c r="BQ45" i="4"/>
  <c r="BG55" i="4"/>
  <c r="J8" i="3" s="1"/>
  <c r="BG63" i="4"/>
  <c r="J16" i="3" s="1"/>
  <c r="BK44" i="4"/>
  <c r="BK47" i="4"/>
  <c r="BM44" i="4"/>
  <c r="BG50" i="4"/>
  <c r="BF50" i="4"/>
  <c r="BM47" i="4"/>
  <c r="BX23" i="4" l="1"/>
  <c r="BX38" i="4"/>
  <c r="BX14" i="4"/>
  <c r="BW24" i="4"/>
  <c r="BX39" i="4"/>
  <c r="BX15" i="4"/>
  <c r="BX28" i="4"/>
  <c r="BW30" i="4"/>
  <c r="BX21" i="4"/>
  <c r="BU42" i="4"/>
  <c r="BH50" i="4"/>
  <c r="BT24" i="4"/>
  <c r="BT42" i="4"/>
  <c r="BT36" i="4"/>
  <c r="BX35" i="4"/>
  <c r="BT30" i="4"/>
  <c r="BX9" i="4"/>
  <c r="BV24" i="4"/>
  <c r="BM45" i="4"/>
  <c r="BM50" i="4" s="1"/>
  <c r="BV12" i="4"/>
  <c r="BW42" i="4"/>
  <c r="BT12" i="4"/>
  <c r="BX34" i="4"/>
  <c r="BV42" i="4"/>
  <c r="BV30" i="4"/>
  <c r="BX16" i="4"/>
  <c r="BW12" i="4"/>
  <c r="BV36" i="4"/>
  <c r="BX40" i="4"/>
  <c r="BU36" i="4"/>
  <c r="BE50" i="4"/>
  <c r="BU12" i="4"/>
  <c r="BX10" i="4"/>
  <c r="BW18" i="4"/>
  <c r="BX11" i="4"/>
  <c r="BT18" i="4"/>
  <c r="BX33" i="4"/>
  <c r="BU24" i="4"/>
  <c r="BU30" i="4"/>
  <c r="BW36" i="4"/>
  <c r="BX32" i="4"/>
  <c r="BX17" i="4"/>
  <c r="BX26" i="4"/>
  <c r="BX30" i="4" s="1"/>
  <c r="BX41" i="4"/>
  <c r="BV18" i="4"/>
  <c r="BK51" i="4"/>
  <c r="BK50" i="4" s="1"/>
  <c r="BL44" i="4" s="1"/>
  <c r="BX8" i="4"/>
  <c r="BX12" i="4" s="1"/>
  <c r="BX24" i="4" l="1"/>
  <c r="BN21" i="4" s="1"/>
  <c r="BN27" i="4"/>
  <c r="BL46" i="4"/>
  <c r="BR46" i="4" s="1"/>
  <c r="BN9" i="4"/>
  <c r="BX42" i="4"/>
  <c r="BN40" i="4" s="1"/>
  <c r="BX18" i="4"/>
  <c r="BN14" i="4" s="1"/>
  <c r="BX36" i="4"/>
  <c r="BN35" i="4" s="1"/>
  <c r="BL48" i="4"/>
  <c r="BR48" i="4" s="1"/>
  <c r="BL47" i="4"/>
  <c r="BR47" i="4" s="1"/>
  <c r="BR44" i="4"/>
  <c r="BL49" i="4"/>
  <c r="BR49" i="4" s="1"/>
  <c r="BL45" i="4"/>
  <c r="BR45" i="4" s="1"/>
  <c r="BN28" i="4"/>
  <c r="BN26" i="4"/>
  <c r="BN29" i="4"/>
  <c r="BN11" i="4"/>
  <c r="BN8" i="4"/>
  <c r="BN10" i="4"/>
  <c r="BN20" i="4" l="1"/>
  <c r="BN23" i="4"/>
  <c r="BN22" i="4"/>
  <c r="BN15" i="4"/>
  <c r="BN16" i="4"/>
  <c r="BN41" i="4"/>
  <c r="BN34" i="4"/>
  <c r="BN17" i="4"/>
  <c r="BN38" i="4"/>
  <c r="BN33" i="4"/>
  <c r="BN39" i="4"/>
  <c r="BN32" i="4"/>
  <c r="BC47" i="4"/>
  <c r="BB47" i="4" s="1"/>
  <c r="BC49" i="4"/>
  <c r="BB49" i="4" s="1"/>
  <c r="BC48" i="4"/>
  <c r="BB48" i="4" s="1"/>
  <c r="BC45" i="4"/>
  <c r="BB45" i="4" s="1"/>
  <c r="BC44" i="4"/>
  <c r="BB44" i="4" s="1"/>
  <c r="BC46" i="4"/>
  <c r="BB46" i="4" s="1"/>
  <c r="BN24" i="4"/>
  <c r="BR20" i="4" s="1"/>
  <c r="BN30" i="4"/>
  <c r="BR27" i="4" s="1"/>
  <c r="BO9" i="4"/>
  <c r="BO10" i="4"/>
  <c r="BO8" i="4"/>
  <c r="BN12" i="4"/>
  <c r="BR9" i="4" s="1"/>
  <c r="BO11" i="4"/>
  <c r="BN18" i="4" l="1"/>
  <c r="BR17" i="4" s="1"/>
  <c r="BN42" i="4"/>
  <c r="BR38" i="4" s="1"/>
  <c r="BN36" i="4"/>
  <c r="BR35" i="4" s="1"/>
  <c r="BB50" i="4"/>
  <c r="AC51" i="4" s="1"/>
  <c r="X46" i="4" s="1"/>
  <c r="Y46" i="4" s="1"/>
  <c r="X57" i="4" s="1"/>
  <c r="Y57" i="4" s="1"/>
  <c r="Z64" i="4" s="1"/>
  <c r="BB76" i="4" s="1"/>
  <c r="BR22" i="4"/>
  <c r="BR21" i="4"/>
  <c r="BR8" i="4"/>
  <c r="BR29" i="4"/>
  <c r="BR28" i="4"/>
  <c r="BR23" i="4"/>
  <c r="BR11" i="4"/>
  <c r="BR10" i="4"/>
  <c r="BR26" i="4"/>
  <c r="BR40" i="4" l="1"/>
  <c r="BR15" i="4"/>
  <c r="BR14" i="4"/>
  <c r="BR16" i="4"/>
  <c r="BR41" i="4"/>
  <c r="BR39" i="4"/>
  <c r="BR32" i="4"/>
  <c r="BR34" i="4"/>
  <c r="BR33" i="4"/>
  <c r="C3" i="3"/>
  <c r="AC48" i="4"/>
  <c r="AC49" i="4"/>
  <c r="X51" i="4" s="1"/>
  <c r="Y51" i="4" s="1"/>
  <c r="AC53" i="4"/>
</calcChain>
</file>

<file path=xl/sharedStrings.xml><?xml version="1.0" encoding="utf-8"?>
<sst xmlns="http://schemas.openxmlformats.org/spreadsheetml/2006/main" count="4844" uniqueCount="2945">
  <si>
    <t>English</t>
  </si>
  <si>
    <t>Albanian</t>
  </si>
  <si>
    <t>Arabic</t>
  </si>
  <si>
    <t>Armenian</t>
  </si>
  <si>
    <t>Azerbaijan</t>
  </si>
  <si>
    <t>Bulgarian</t>
  </si>
  <si>
    <t>Català</t>
  </si>
  <si>
    <t>Chinese (Simplified)</t>
  </si>
  <si>
    <t>Chinese (Traditional)</t>
  </si>
  <si>
    <t>Croatian</t>
  </si>
  <si>
    <t>Czech</t>
  </si>
  <si>
    <t>Danish</t>
  </si>
  <si>
    <t>Dutch</t>
  </si>
  <si>
    <t>French</t>
  </si>
  <si>
    <t>Georgian</t>
  </si>
  <si>
    <t>German</t>
  </si>
  <si>
    <t>Greek</t>
  </si>
  <si>
    <t>Hebrew</t>
  </si>
  <si>
    <t>Hungarian</t>
  </si>
  <si>
    <t>Indonesia</t>
  </si>
  <si>
    <t>Icelandic</t>
  </si>
  <si>
    <t>Italian</t>
  </si>
  <si>
    <t>Korean</t>
  </si>
  <si>
    <t>Lithuanian</t>
  </si>
  <si>
    <t>Macedonian</t>
  </si>
  <si>
    <t>Maltese</t>
  </si>
  <si>
    <t>Norwegian</t>
  </si>
  <si>
    <t>Persian</t>
  </si>
  <si>
    <t>Polish</t>
  </si>
  <si>
    <t>Portuguese</t>
  </si>
  <si>
    <t>Romanian</t>
  </si>
  <si>
    <t>Serbian</t>
  </si>
  <si>
    <t>Slovak</t>
  </si>
  <si>
    <t>Slovenian</t>
  </si>
  <si>
    <t>Spanish</t>
  </si>
  <si>
    <t>Swedish</t>
  </si>
  <si>
    <t>Thai</t>
  </si>
  <si>
    <t>Turkish</t>
  </si>
  <si>
    <t>Vietnamese</t>
  </si>
  <si>
    <t>Ukrainian</t>
  </si>
  <si>
    <t>Urdu</t>
  </si>
  <si>
    <t>Group Stage</t>
  </si>
  <si>
    <t>Grupet</t>
  </si>
  <si>
    <t>الدور الأول</t>
  </si>
  <si>
    <t>Խմբային փուլ</t>
  </si>
  <si>
    <t>Qrup Mərhələsi</t>
  </si>
  <si>
    <t>Групова фаза</t>
  </si>
  <si>
    <t>Fase de grups</t>
  </si>
  <si>
    <t>小组赛阶段</t>
  </si>
  <si>
    <t>分組賽</t>
  </si>
  <si>
    <t>Prvi krug</t>
  </si>
  <si>
    <t>Základní skupiny</t>
  </si>
  <si>
    <t>Gruppespil</t>
  </si>
  <si>
    <t>Groepsfase</t>
  </si>
  <si>
    <t>Phase de groupes</t>
  </si>
  <si>
    <t>ჯგუფური ეტაპი</t>
  </si>
  <si>
    <t>Gruppenphase</t>
  </si>
  <si>
    <t>Φάση Ομίλων</t>
  </si>
  <si>
    <t>שלב הבתים</t>
  </si>
  <si>
    <t>Csoportkörök</t>
  </si>
  <si>
    <t>Babak Kualifikasi</t>
  </si>
  <si>
    <t>Riðlakeppnin</t>
  </si>
  <si>
    <t>Fase a gironi</t>
  </si>
  <si>
    <t>조별 리그</t>
  </si>
  <si>
    <t>Grupės Etapas</t>
  </si>
  <si>
    <t>Фаза по групи</t>
  </si>
  <si>
    <t>Fażi tal-Gruppi</t>
  </si>
  <si>
    <t>Gruppespill</t>
  </si>
  <si>
    <t>مرحله گروهی</t>
  </si>
  <si>
    <t>Faza Grupowa</t>
  </si>
  <si>
    <t>Fase de grupos</t>
  </si>
  <si>
    <t>Faza Grupelor</t>
  </si>
  <si>
    <t>Grupno takmičenje</t>
  </si>
  <si>
    <t>Skupinová fáza</t>
  </si>
  <si>
    <t>Skupinski del</t>
  </si>
  <si>
    <t>Gruppspel</t>
  </si>
  <si>
    <t>รอบแรก</t>
  </si>
  <si>
    <t>Grup Aşaması</t>
  </si>
  <si>
    <t>Vòng Bảng</t>
  </si>
  <si>
    <t>Груповий етап</t>
  </si>
  <si>
    <t>گروپ بندی</t>
  </si>
  <si>
    <t>Round of 16</t>
  </si>
  <si>
    <t>Rundi I 16</t>
  </si>
  <si>
    <t>دور الستة عشر</t>
  </si>
  <si>
    <t>1/8 Եզրափակիչ</t>
  </si>
  <si>
    <t>16-da bir raund</t>
  </si>
  <si>
    <t>1/8 - финали</t>
  </si>
  <si>
    <t>Vuitens de final</t>
  </si>
  <si>
    <r>
      <rPr>
        <sz val="10"/>
        <rFont val="Calibri"/>
        <family val="2"/>
        <charset val="204"/>
      </rPr>
      <t>16</t>
    </r>
    <r>
      <rPr>
        <sz val="10"/>
        <rFont val="Noto Sans CJK SC"/>
        <family val="2"/>
      </rPr>
      <t>强赛</t>
    </r>
  </si>
  <si>
    <t>十六強</t>
  </si>
  <si>
    <t>Drugi krug</t>
  </si>
  <si>
    <t>Osmifinále</t>
  </si>
  <si>
    <t>Runde af 16</t>
  </si>
  <si>
    <t>Achtste finales</t>
  </si>
  <si>
    <t>1/8e de finales</t>
  </si>
  <si>
    <t>მერვედფინალი</t>
  </si>
  <si>
    <t>Achtelfinale</t>
  </si>
  <si>
    <t>Φάση των 16</t>
  </si>
  <si>
    <t>שמינית גמר</t>
  </si>
  <si>
    <t>Nyolcaddöntők</t>
  </si>
  <si>
    <t>Per Delapan Final</t>
  </si>
  <si>
    <t>16 liða úrslit</t>
  </si>
  <si>
    <t>Ottavi di finale</t>
  </si>
  <si>
    <r>
      <rPr>
        <sz val="10"/>
        <rFont val="Calibri"/>
        <family val="2"/>
        <charset val="204"/>
      </rPr>
      <t>16</t>
    </r>
    <r>
      <rPr>
        <sz val="10"/>
        <rFont val="Noto Sans CJK SC"/>
        <family val="2"/>
      </rPr>
      <t>강전</t>
    </r>
  </si>
  <si>
    <t>16-tuko Raundas</t>
  </si>
  <si>
    <t>1/8 финале</t>
  </si>
  <si>
    <t>L-Aħħar Sittax</t>
  </si>
  <si>
    <t>8-dels finale</t>
  </si>
  <si>
    <t xml:space="preserve"> یک هشتم نهائی</t>
  </si>
  <si>
    <t>1/8 Finału</t>
  </si>
  <si>
    <t>Oitavos de Final</t>
  </si>
  <si>
    <t>Optimi</t>
  </si>
  <si>
    <t>Šesnaestina finala</t>
  </si>
  <si>
    <t>Osemfinále</t>
  </si>
  <si>
    <t>Osminafinala</t>
  </si>
  <si>
    <t>Octavos de final</t>
  </si>
  <si>
    <t>Åttondelsfinal</t>
  </si>
  <si>
    <t>รอบสอง</t>
  </si>
  <si>
    <t>Son 16</t>
  </si>
  <si>
    <t>Vòng 1/16</t>
  </si>
  <si>
    <t>1/8 фіналу</t>
  </si>
  <si>
    <t>سولھواں دور</t>
  </si>
  <si>
    <t>Quarterfinals</t>
  </si>
  <si>
    <t>Qerekfinalja</t>
  </si>
  <si>
    <t>دور الربع نهائي</t>
  </si>
  <si>
    <t>1/4 Եզրափակիչ</t>
  </si>
  <si>
    <t>Dörddə bir Final</t>
  </si>
  <si>
    <t>1/4 - финали</t>
  </si>
  <si>
    <t>Quarts de final</t>
  </si>
  <si>
    <r>
      <rPr>
        <sz val="10"/>
        <rFont val="Calibri"/>
        <family val="2"/>
        <charset val="204"/>
      </rPr>
      <t>8</t>
    </r>
    <r>
      <rPr>
        <sz val="10"/>
        <rFont val="Noto Sans CJK SC"/>
        <family val="2"/>
      </rPr>
      <t>强赛</t>
    </r>
  </si>
  <si>
    <t>八強</t>
  </si>
  <si>
    <t>Četvrtfinale</t>
  </si>
  <si>
    <t>Čtvrtfinále</t>
  </si>
  <si>
    <t>Kvartfinale</t>
  </si>
  <si>
    <t>Kwartfinales</t>
  </si>
  <si>
    <t>1/4 de finales</t>
  </si>
  <si>
    <t>მეოთხედფინალი</t>
  </si>
  <si>
    <t>Viertelfinale</t>
  </si>
  <si>
    <t>Προημιτελικοί</t>
  </si>
  <si>
    <t>רבע גמר</t>
  </si>
  <si>
    <t>Negyeddöntők</t>
  </si>
  <si>
    <t>Perempat Final</t>
  </si>
  <si>
    <t>8 liða úrslit</t>
  </si>
  <si>
    <t>Quarti di finale</t>
  </si>
  <si>
    <r>
      <rPr>
        <sz val="10"/>
        <rFont val="Calibri"/>
        <family val="2"/>
        <charset val="204"/>
      </rPr>
      <t>8</t>
    </r>
    <r>
      <rPr>
        <sz val="10"/>
        <rFont val="Noto Sans CJK SC"/>
        <family val="2"/>
      </rPr>
      <t>강전</t>
    </r>
  </si>
  <si>
    <t>Ketvirtfinaliai</t>
  </si>
  <si>
    <t>1/4 финале</t>
  </si>
  <si>
    <t>Kwarti-Finali</t>
  </si>
  <si>
    <t>یک چهارم نهائی</t>
  </si>
  <si>
    <t>Ćwierćfinały</t>
  </si>
  <si>
    <t>Quartos de Final</t>
  </si>
  <si>
    <t>Sferturi de finala</t>
  </si>
  <si>
    <t>Štvrťfinále</t>
  </si>
  <si>
    <t>Četrtfinale</t>
  </si>
  <si>
    <t>Cuartos de Final</t>
  </si>
  <si>
    <t>Kvartsfinal</t>
  </si>
  <si>
    <t>รอบก่อนรองชนะเลิศ</t>
  </si>
  <si>
    <t>Çeyrek Final</t>
  </si>
  <si>
    <t>Tứ kết</t>
  </si>
  <si>
    <t>Чвертьфінал</t>
  </si>
  <si>
    <t>کواٹر فائنل</t>
  </si>
  <si>
    <t>Semi-Finals</t>
  </si>
  <si>
    <t>Gjysmëfinalja</t>
  </si>
  <si>
    <t>دور النصف نهائي</t>
  </si>
  <si>
    <t>Կիսաեզրափակիչ</t>
  </si>
  <si>
    <t>Yarım Final</t>
  </si>
  <si>
    <t>1/2 - финали</t>
  </si>
  <si>
    <t>Semifinals</t>
  </si>
  <si>
    <t>半决赛</t>
  </si>
  <si>
    <t>準決賽</t>
  </si>
  <si>
    <t>Polufinale</t>
  </si>
  <si>
    <t>Semifinále</t>
  </si>
  <si>
    <t>Semifinale</t>
  </si>
  <si>
    <t>Halve finales</t>
  </si>
  <si>
    <t>1/2 finales</t>
  </si>
  <si>
    <t>ნახევარფინალი</t>
  </si>
  <si>
    <t>Halbfinale</t>
  </si>
  <si>
    <t>Ημιτελικοί</t>
  </si>
  <si>
    <t>חצי גמר</t>
  </si>
  <si>
    <t>Elődöntők</t>
  </si>
  <si>
    <t>Semi Final</t>
  </si>
  <si>
    <t>Undanúrslit</t>
  </si>
  <si>
    <t>Semifinali</t>
  </si>
  <si>
    <t>준결승전</t>
  </si>
  <si>
    <t>Pusfinaliai</t>
  </si>
  <si>
    <t>1/2 финале</t>
  </si>
  <si>
    <t>Semi-Finali</t>
  </si>
  <si>
    <t>نیمه نهائی</t>
  </si>
  <si>
    <t>Półfinały</t>
  </si>
  <si>
    <t>Semi-final</t>
  </si>
  <si>
    <t>Polfinale</t>
  </si>
  <si>
    <t>Semifinales</t>
  </si>
  <si>
    <t>Semifinal</t>
  </si>
  <si>
    <t>รอบรองชนะเลิศ</t>
  </si>
  <si>
    <t>Yarı Final</t>
  </si>
  <si>
    <t>Bán kết</t>
  </si>
  <si>
    <t>Півфінал</t>
  </si>
  <si>
    <t>سیمی فائنل</t>
  </si>
  <si>
    <t>Third-Place Play-Off</t>
  </si>
  <si>
    <t>Takimi për vendin e tretë</t>
  </si>
  <si>
    <t>تحديد المركزين الثالث والرابع</t>
  </si>
  <si>
    <t>3-րդ տեղի համար եզրափակիչ</t>
  </si>
  <si>
    <t>Üçüncü Yer Uğrunda</t>
  </si>
  <si>
    <t>Мач за трето място</t>
  </si>
  <si>
    <t>3r i 4t lloc</t>
  </si>
  <si>
    <t>季军赛</t>
  </si>
  <si>
    <t>季軍賽</t>
  </si>
  <si>
    <t>Za treće mjesto</t>
  </si>
  <si>
    <t>Zápas o 3.místo</t>
  </si>
  <si>
    <t>Tredjeplads Kamp</t>
  </si>
  <si>
    <t>Derde en vierde plaats</t>
  </si>
  <si>
    <t>Match pour la troisième place</t>
  </si>
  <si>
    <t>მესამე ადგილი</t>
  </si>
  <si>
    <t>Spiel um den dritten Platz</t>
  </si>
  <si>
    <t>Μικρός Τελικός</t>
  </si>
  <si>
    <t>מקום 3-4</t>
  </si>
  <si>
    <t>Bronzmeccs</t>
  </si>
  <si>
    <t>Perebutan Tempat Ketiga</t>
  </si>
  <si>
    <t>Leikur um 3.sæti</t>
  </si>
  <si>
    <t>Finale 3°- 4° posto</t>
  </si>
  <si>
    <r>
      <rPr>
        <sz val="10"/>
        <rFont val="Calibri"/>
        <family val="2"/>
        <charset val="204"/>
      </rPr>
      <t>3,4</t>
    </r>
    <r>
      <rPr>
        <sz val="10"/>
        <rFont val="Noto Sans CJK SC"/>
        <family val="2"/>
      </rPr>
      <t>위전</t>
    </r>
  </si>
  <si>
    <t>Rungtynės dėl Trečios Vietos</t>
  </si>
  <si>
    <t>Натпревар за трето место</t>
  </si>
  <si>
    <t>Final għat-Tielet u r-Raba' Post</t>
  </si>
  <si>
    <t>Bronsefinale</t>
  </si>
  <si>
    <t>رده بندی</t>
  </si>
  <si>
    <t>Mecz o trzecie miejsce</t>
  </si>
  <si>
    <t>3º/4º lugar</t>
  </si>
  <si>
    <t>Finala mica</t>
  </si>
  <si>
    <t xml:space="preserve">Zápas o 3. miesto </t>
  </si>
  <si>
    <t>Za tretje mesto</t>
  </si>
  <si>
    <t>Tercer puesto</t>
  </si>
  <si>
    <t>Match om tredje pris</t>
  </si>
  <si>
    <t>รอบชิงที่ 3</t>
  </si>
  <si>
    <t>Üçüncülük Maçı</t>
  </si>
  <si>
    <t>Tranh hạng 3</t>
  </si>
  <si>
    <t>Матч за третє місце</t>
  </si>
  <si>
    <t>تیسرے مقام کے لئے کھیل</t>
  </si>
  <si>
    <t>Final</t>
  </si>
  <si>
    <t>Finalja</t>
  </si>
  <si>
    <t>المباراة النهائية</t>
  </si>
  <si>
    <t>Եզրափակիչ</t>
  </si>
  <si>
    <t>Финал</t>
  </si>
  <si>
    <t>总决赛</t>
  </si>
  <si>
    <t>總決賽</t>
  </si>
  <si>
    <t>Finale</t>
  </si>
  <si>
    <t>Finále</t>
  </si>
  <si>
    <t>ფინალი</t>
  </si>
  <si>
    <t>Τελικός</t>
  </si>
  <si>
    <t>גמר</t>
  </si>
  <si>
    <t>Döntő</t>
  </si>
  <si>
    <t>Úrslit</t>
  </si>
  <si>
    <t>결승전</t>
  </si>
  <si>
    <t>Finalas</t>
  </si>
  <si>
    <t>Финале</t>
  </si>
  <si>
    <t>Finali</t>
  </si>
  <si>
    <t>فینال</t>
  </si>
  <si>
    <t>Finał</t>
  </si>
  <si>
    <t>FINALA</t>
  </si>
  <si>
    <t>รอบชิงชนะเลิศ</t>
  </si>
  <si>
    <t>Chung Kết</t>
  </si>
  <si>
    <t>Фінал</t>
  </si>
  <si>
    <t>فائنل</t>
  </si>
  <si>
    <t>Group</t>
  </si>
  <si>
    <t>Grupi</t>
  </si>
  <si>
    <t>المجموعة</t>
  </si>
  <si>
    <t>Խումբ</t>
  </si>
  <si>
    <t>Qrup</t>
  </si>
  <si>
    <t>Група</t>
  </si>
  <si>
    <t>Grup</t>
  </si>
  <si>
    <t>小组</t>
  </si>
  <si>
    <t>小組</t>
  </si>
  <si>
    <t>Grupa</t>
  </si>
  <si>
    <t>Skupina</t>
  </si>
  <si>
    <t>Gruppe</t>
  </si>
  <si>
    <t>Groep</t>
  </si>
  <si>
    <t>Groupe</t>
  </si>
  <si>
    <t>ჯგუფი</t>
  </si>
  <si>
    <t>Όμιλος</t>
  </si>
  <si>
    <t>בית</t>
  </si>
  <si>
    <t>Csoport</t>
  </si>
  <si>
    <t>Kelompok</t>
  </si>
  <si>
    <t>Riðill</t>
  </si>
  <si>
    <t>Gruppo</t>
  </si>
  <si>
    <t>그룹</t>
  </si>
  <si>
    <t>Grupė</t>
  </si>
  <si>
    <t>Grupp</t>
  </si>
  <si>
    <t>گروه</t>
  </si>
  <si>
    <t>Grupo</t>
  </si>
  <si>
    <t>สาย</t>
  </si>
  <si>
    <t>Bảng</t>
  </si>
  <si>
    <t>PL</t>
  </si>
  <si>
    <t>L</t>
  </si>
  <si>
    <t>لعب</t>
  </si>
  <si>
    <t>Խ</t>
  </si>
  <si>
    <t>O</t>
  </si>
  <si>
    <t>М</t>
  </si>
  <si>
    <t>J</t>
  </si>
  <si>
    <t>场次</t>
  </si>
  <si>
    <t>賽</t>
  </si>
  <si>
    <t>Z</t>
  </si>
  <si>
    <t>SP</t>
  </si>
  <si>
    <t>WG</t>
  </si>
  <si>
    <t>თ</t>
  </si>
  <si>
    <t>ΑΓ</t>
  </si>
  <si>
    <t>משחקים</t>
  </si>
  <si>
    <t>M</t>
  </si>
  <si>
    <t>Main</t>
  </si>
  <si>
    <t>G</t>
  </si>
  <si>
    <t>경기</t>
  </si>
  <si>
    <t>Žst</t>
  </si>
  <si>
    <t>О</t>
  </si>
  <si>
    <t>S</t>
  </si>
  <si>
    <t>بازی</t>
  </si>
  <si>
    <t>UT</t>
  </si>
  <si>
    <t>Sp</t>
  </si>
  <si>
    <t>แข่ง</t>
  </si>
  <si>
    <t>Trận</t>
  </si>
  <si>
    <t>І</t>
  </si>
  <si>
    <t>کھیلے گئے مقابلے</t>
  </si>
  <si>
    <t>W</t>
  </si>
  <si>
    <t>F</t>
  </si>
  <si>
    <t>فاز</t>
  </si>
  <si>
    <t>Հ</t>
  </si>
  <si>
    <t>Q</t>
  </si>
  <si>
    <t>П</t>
  </si>
  <si>
    <t>胜</t>
  </si>
  <si>
    <t>勝</t>
  </si>
  <si>
    <t>V</t>
  </si>
  <si>
    <t>მოგ</t>
  </si>
  <si>
    <t>Ν</t>
  </si>
  <si>
    <t>נצחונות</t>
  </si>
  <si>
    <t>GY</t>
  </si>
  <si>
    <t>Menang</t>
  </si>
  <si>
    <t>U</t>
  </si>
  <si>
    <t>승</t>
  </si>
  <si>
    <t>R</t>
  </si>
  <si>
    <t>برد</t>
  </si>
  <si>
    <t>P</t>
  </si>
  <si>
    <t>ชนะ</t>
  </si>
  <si>
    <t>T</t>
  </si>
  <si>
    <t>В</t>
  </si>
  <si>
    <t>جیت</t>
  </si>
  <si>
    <t>DRAW</t>
  </si>
  <si>
    <t>BAR</t>
  </si>
  <si>
    <t>تعادل</t>
  </si>
  <si>
    <t>Ո</t>
  </si>
  <si>
    <t>H</t>
  </si>
  <si>
    <t>Р</t>
  </si>
  <si>
    <t>E</t>
  </si>
  <si>
    <t>平</t>
  </si>
  <si>
    <t>和</t>
  </si>
  <si>
    <t>Uafgjort</t>
  </si>
  <si>
    <t>N</t>
  </si>
  <si>
    <t>ფრე</t>
  </si>
  <si>
    <t>Ι</t>
  </si>
  <si>
    <t>תיקו</t>
  </si>
  <si>
    <t>D</t>
  </si>
  <si>
    <t>Seri</t>
  </si>
  <si>
    <t>Jafnt</t>
  </si>
  <si>
    <t>무</t>
  </si>
  <si>
    <t>Lyg</t>
  </si>
  <si>
    <t>Н</t>
  </si>
  <si>
    <t>I</t>
  </si>
  <si>
    <t>مساوی</t>
  </si>
  <si>
    <t>NER.</t>
  </si>
  <si>
    <t>เสมอ</t>
  </si>
  <si>
    <t>B</t>
  </si>
  <si>
    <t>برابر</t>
  </si>
  <si>
    <t>خسر</t>
  </si>
  <si>
    <t>Պ</t>
  </si>
  <si>
    <t>З</t>
  </si>
  <si>
    <t>负</t>
  </si>
  <si>
    <t>負</t>
  </si>
  <si>
    <t>წაგ</t>
  </si>
  <si>
    <t xml:space="preserve">Η </t>
  </si>
  <si>
    <t>הפסדים</t>
  </si>
  <si>
    <t>Kalah</t>
  </si>
  <si>
    <t>패</t>
  </si>
  <si>
    <t>И</t>
  </si>
  <si>
    <t>باخت</t>
  </si>
  <si>
    <t>แพ้</t>
  </si>
  <si>
    <t>ہارے گئے مقابلے</t>
  </si>
  <si>
    <t>GF - GA</t>
  </si>
  <si>
    <t>GSH-GP</t>
  </si>
  <si>
    <t>عليه - له</t>
  </si>
  <si>
    <t>ԽԳ-ԲԳ</t>
  </si>
  <si>
    <t>QV - QB</t>
  </si>
  <si>
    <t>Гол. Разл.</t>
  </si>
  <si>
    <t>GF - GC</t>
  </si>
  <si>
    <t>得失球</t>
  </si>
  <si>
    <r>
      <rPr>
        <sz val="10"/>
        <rFont val="Noto Sans CJK SC"/>
        <family val="2"/>
      </rPr>
      <t xml:space="preserve">得球 </t>
    </r>
    <r>
      <rPr>
        <sz val="10"/>
        <rFont val="Calibri"/>
        <family val="2"/>
        <charset val="204"/>
      </rPr>
      <t xml:space="preserve">- </t>
    </r>
    <r>
      <rPr>
        <sz val="10"/>
        <rFont val="Noto Sans CJK SC"/>
        <family val="2"/>
      </rPr>
      <t>失球</t>
    </r>
  </si>
  <si>
    <t>GV - GI</t>
  </si>
  <si>
    <t>MF - MI</t>
  </si>
  <si>
    <t>DV-DT</t>
  </si>
  <si>
    <t>BP - BC</t>
  </si>
  <si>
    <t>გგ - მგ</t>
  </si>
  <si>
    <t>ET - KT</t>
  </si>
  <si>
    <t>Υ-Κ</t>
  </si>
  <si>
    <t>יחס שערים</t>
  </si>
  <si>
    <t>Gólkül.</t>
  </si>
  <si>
    <t xml:space="preserve">Skor </t>
  </si>
  <si>
    <t>S - F</t>
  </si>
  <si>
    <t>GF - GS</t>
  </si>
  <si>
    <t>골득실</t>
  </si>
  <si>
    <t>Įm - Pr</t>
  </si>
  <si>
    <t>Разлика</t>
  </si>
  <si>
    <t>GF - GK</t>
  </si>
  <si>
    <t>Mål</t>
  </si>
  <si>
    <t>خورده-زده</t>
  </si>
  <si>
    <t>Z - S</t>
  </si>
  <si>
    <t>GM - GS</t>
  </si>
  <si>
    <t>GM - GP</t>
  </si>
  <si>
    <t>GD - GP</t>
  </si>
  <si>
    <t>GS-GI</t>
  </si>
  <si>
    <t>GM – IM</t>
  </si>
  <si>
    <t>ได้ - เสีย</t>
  </si>
  <si>
    <t>A - Y</t>
  </si>
  <si>
    <t>Hiệu số</t>
  </si>
  <si>
    <t xml:space="preserve">М </t>
  </si>
  <si>
    <t>گول کئے- انکے خلاف گول کئے گئے</t>
  </si>
  <si>
    <t>PNT</t>
  </si>
  <si>
    <t>PIK</t>
  </si>
  <si>
    <t>النقاط</t>
  </si>
  <si>
    <t>Մ</t>
  </si>
  <si>
    <t>Xal</t>
  </si>
  <si>
    <t>Т</t>
  </si>
  <si>
    <t>Punts</t>
  </si>
  <si>
    <t>积分</t>
  </si>
  <si>
    <t>分數</t>
  </si>
  <si>
    <t>Body</t>
  </si>
  <si>
    <t>PTS</t>
  </si>
  <si>
    <t>ქულა</t>
  </si>
  <si>
    <t>PKT</t>
  </si>
  <si>
    <t>ΒΘ</t>
  </si>
  <si>
    <t>נקודות</t>
  </si>
  <si>
    <t>Nilai</t>
  </si>
  <si>
    <t>Stig</t>
  </si>
  <si>
    <t>Punti</t>
  </si>
  <si>
    <t>승점</t>
  </si>
  <si>
    <t>Tšk</t>
  </si>
  <si>
    <t>Б</t>
  </si>
  <si>
    <t>امتیاز</t>
  </si>
  <si>
    <t>Pkt</t>
  </si>
  <si>
    <t>BOD</t>
  </si>
  <si>
    <t>คะแนน</t>
  </si>
  <si>
    <t>Điểm</t>
  </si>
  <si>
    <t>نشان</t>
  </si>
  <si>
    <t>Sun</t>
  </si>
  <si>
    <t>Diel</t>
  </si>
  <si>
    <t>الأحد</t>
  </si>
  <si>
    <t>Կիր.</t>
  </si>
  <si>
    <t>Нед</t>
  </si>
  <si>
    <t>Diu</t>
  </si>
  <si>
    <t>周日</t>
  </si>
  <si>
    <t>Ned</t>
  </si>
  <si>
    <t>Ne</t>
  </si>
  <si>
    <t>Søn</t>
  </si>
  <si>
    <t>Zo</t>
  </si>
  <si>
    <t>Dim</t>
  </si>
  <si>
    <t>კვირა</t>
  </si>
  <si>
    <t>Κυρ</t>
  </si>
  <si>
    <t>ראשון</t>
  </si>
  <si>
    <t>Vas</t>
  </si>
  <si>
    <t>Min</t>
  </si>
  <si>
    <t>Dom</t>
  </si>
  <si>
    <t>일</t>
  </si>
  <si>
    <t>Sekm</t>
  </si>
  <si>
    <t>Ħad</t>
  </si>
  <si>
    <t>یکشنبه</t>
  </si>
  <si>
    <t>Nd</t>
  </si>
  <si>
    <t>Dum</t>
  </si>
  <si>
    <t>Sön</t>
  </si>
  <si>
    <t>อาทิตย์</t>
  </si>
  <si>
    <t>Paz</t>
  </si>
  <si>
    <t>CN</t>
  </si>
  <si>
    <t>Нд</t>
  </si>
  <si>
    <t>اتوار</t>
  </si>
  <si>
    <t>Mon</t>
  </si>
  <si>
    <t>Hënë</t>
  </si>
  <si>
    <t>الاثنين</t>
  </si>
  <si>
    <t>Երկ.</t>
  </si>
  <si>
    <t>BE</t>
  </si>
  <si>
    <t>Пон</t>
  </si>
  <si>
    <t>Dil</t>
  </si>
  <si>
    <t>周一</t>
  </si>
  <si>
    <t>Pon</t>
  </si>
  <si>
    <t>Po</t>
  </si>
  <si>
    <t>Man</t>
  </si>
  <si>
    <t>Ma</t>
  </si>
  <si>
    <t>Lun</t>
  </si>
  <si>
    <t>ორშ</t>
  </si>
  <si>
    <t>Δευ</t>
  </si>
  <si>
    <t>שני</t>
  </si>
  <si>
    <t>Hét</t>
  </si>
  <si>
    <t>Sen</t>
  </si>
  <si>
    <t>Mán</t>
  </si>
  <si>
    <t>월</t>
  </si>
  <si>
    <t>Pirm</t>
  </si>
  <si>
    <t>Tne</t>
  </si>
  <si>
    <t>دوشنبه</t>
  </si>
  <si>
    <t>Pn</t>
  </si>
  <si>
    <t>Seg</t>
  </si>
  <si>
    <t>Mån</t>
  </si>
  <si>
    <t>จันทร์</t>
  </si>
  <si>
    <t>Pzt</t>
  </si>
  <si>
    <t>T2</t>
  </si>
  <si>
    <t>Пн</t>
  </si>
  <si>
    <t>پیر</t>
  </si>
  <si>
    <t>Tue</t>
  </si>
  <si>
    <t>Mar</t>
  </si>
  <si>
    <t>الثلاثاء</t>
  </si>
  <si>
    <t>Երեք.</t>
  </si>
  <si>
    <t>ÇA</t>
  </si>
  <si>
    <t>Вт</t>
  </si>
  <si>
    <t>周二</t>
  </si>
  <si>
    <t>Uto</t>
  </si>
  <si>
    <t>Út</t>
  </si>
  <si>
    <t>Tir</t>
  </si>
  <si>
    <t>Di</t>
  </si>
  <si>
    <t>სამშ</t>
  </si>
  <si>
    <t>Τρι</t>
  </si>
  <si>
    <t>שלישי</t>
  </si>
  <si>
    <t>Ke</t>
  </si>
  <si>
    <t>Sel</t>
  </si>
  <si>
    <t>Þri</t>
  </si>
  <si>
    <t>화</t>
  </si>
  <si>
    <t>Antr</t>
  </si>
  <si>
    <t>Вто</t>
  </si>
  <si>
    <t>Tli</t>
  </si>
  <si>
    <t>Tirs</t>
  </si>
  <si>
    <t>سه شنبه</t>
  </si>
  <si>
    <t>Wt</t>
  </si>
  <si>
    <t>Ter</t>
  </si>
  <si>
    <t>Ut</t>
  </si>
  <si>
    <t>Tor</t>
  </si>
  <si>
    <t>Tis</t>
  </si>
  <si>
    <t>อังคาร</t>
  </si>
  <si>
    <t>Sal</t>
  </si>
  <si>
    <t>T3</t>
  </si>
  <si>
    <t>منگل</t>
  </si>
  <si>
    <t>Wed</t>
  </si>
  <si>
    <t>Mër</t>
  </si>
  <si>
    <t>الأربعاء</t>
  </si>
  <si>
    <t>Չոր.</t>
  </si>
  <si>
    <t>Ç</t>
  </si>
  <si>
    <t>Сря</t>
  </si>
  <si>
    <t>Dix</t>
  </si>
  <si>
    <t>周三</t>
  </si>
  <si>
    <t>Sri</t>
  </si>
  <si>
    <t>St</t>
  </si>
  <si>
    <t>Ons</t>
  </si>
  <si>
    <t>Wo</t>
  </si>
  <si>
    <t>Mer</t>
  </si>
  <si>
    <t>ოთხშ</t>
  </si>
  <si>
    <t>Τετ</t>
  </si>
  <si>
    <t>רביעי</t>
  </si>
  <si>
    <t>Sze</t>
  </si>
  <si>
    <t>Rab</t>
  </si>
  <si>
    <t>Mið</t>
  </si>
  <si>
    <t>수</t>
  </si>
  <si>
    <t>Treč</t>
  </si>
  <si>
    <t>Сре</t>
  </si>
  <si>
    <t>Erb</t>
  </si>
  <si>
    <t>چهارشنبه</t>
  </si>
  <si>
    <t>Śr</t>
  </si>
  <si>
    <t>Qua</t>
  </si>
  <si>
    <t>Mie</t>
  </si>
  <si>
    <t>Sre</t>
  </si>
  <si>
    <t>พุธ</t>
  </si>
  <si>
    <t>Çar</t>
  </si>
  <si>
    <t>T4</t>
  </si>
  <si>
    <t>Ср</t>
  </si>
  <si>
    <t>بدھ</t>
  </si>
  <si>
    <t>Thu</t>
  </si>
  <si>
    <t>Enjt</t>
  </si>
  <si>
    <t>الخميس</t>
  </si>
  <si>
    <t>Հինգ.</t>
  </si>
  <si>
    <t>CA</t>
  </si>
  <si>
    <t>Четв</t>
  </si>
  <si>
    <t>Dij</t>
  </si>
  <si>
    <t>周四</t>
  </si>
  <si>
    <t>Čet</t>
  </si>
  <si>
    <t>Čt</t>
  </si>
  <si>
    <t>Do</t>
  </si>
  <si>
    <t>Jeu</t>
  </si>
  <si>
    <t>ხუთშ</t>
  </si>
  <si>
    <t>Πεμ</t>
  </si>
  <si>
    <t>חמישי</t>
  </si>
  <si>
    <t>Csü</t>
  </si>
  <si>
    <t>Kam</t>
  </si>
  <si>
    <t>Fim</t>
  </si>
  <si>
    <t>Gio</t>
  </si>
  <si>
    <t>목</t>
  </si>
  <si>
    <t>Ketv</t>
  </si>
  <si>
    <t>Чет</t>
  </si>
  <si>
    <t>Ħam</t>
  </si>
  <si>
    <t>Tors</t>
  </si>
  <si>
    <t>پنجشنبه</t>
  </si>
  <si>
    <t>Cz</t>
  </si>
  <si>
    <t>Qui</t>
  </si>
  <si>
    <t>Joi</t>
  </si>
  <si>
    <t>Št</t>
  </si>
  <si>
    <t>พฤหัส</t>
  </si>
  <si>
    <t>Per</t>
  </si>
  <si>
    <t>T5</t>
  </si>
  <si>
    <t>Чт</t>
  </si>
  <si>
    <t>جمعرات</t>
  </si>
  <si>
    <t>Fri</t>
  </si>
  <si>
    <t>Pre</t>
  </si>
  <si>
    <t>الجمعة</t>
  </si>
  <si>
    <t>Ուրբ.</t>
  </si>
  <si>
    <t>C</t>
  </si>
  <si>
    <t>Пет</t>
  </si>
  <si>
    <t>Div</t>
  </si>
  <si>
    <t>周五</t>
  </si>
  <si>
    <t>Pet</t>
  </si>
  <si>
    <t>Pá</t>
  </si>
  <si>
    <t>Fre</t>
  </si>
  <si>
    <t>Vr</t>
  </si>
  <si>
    <t>Ven</t>
  </si>
  <si>
    <t>პარ</t>
  </si>
  <si>
    <t>Παρ</t>
  </si>
  <si>
    <t>שישי</t>
  </si>
  <si>
    <t>Pé</t>
  </si>
  <si>
    <t>Jum</t>
  </si>
  <si>
    <t>Fös</t>
  </si>
  <si>
    <t>금</t>
  </si>
  <si>
    <t>Penk</t>
  </si>
  <si>
    <t>Ġim</t>
  </si>
  <si>
    <t>جمعه</t>
  </si>
  <si>
    <t>Pt</t>
  </si>
  <si>
    <t>Sex</t>
  </si>
  <si>
    <t>Vin</t>
  </si>
  <si>
    <t>Pi</t>
  </si>
  <si>
    <t>ศุกร์</t>
  </si>
  <si>
    <t>Cum</t>
  </si>
  <si>
    <t>T6</t>
  </si>
  <si>
    <t>Пт</t>
  </si>
  <si>
    <t>جمعہ</t>
  </si>
  <si>
    <t>Sat</t>
  </si>
  <si>
    <t>Sht</t>
  </si>
  <si>
    <t>السبت</t>
  </si>
  <si>
    <t>Շաբ.</t>
  </si>
  <si>
    <t>Ş</t>
  </si>
  <si>
    <t>Съб</t>
  </si>
  <si>
    <t>Dis</t>
  </si>
  <si>
    <t>周六</t>
  </si>
  <si>
    <t>Sub</t>
  </si>
  <si>
    <t>So</t>
  </si>
  <si>
    <t>Lør</t>
  </si>
  <si>
    <t>Za</t>
  </si>
  <si>
    <t>Sam</t>
  </si>
  <si>
    <t>შაბ</t>
  </si>
  <si>
    <t>Σαβ</t>
  </si>
  <si>
    <t>שבת</t>
  </si>
  <si>
    <t>Szo</t>
  </si>
  <si>
    <t>Sab</t>
  </si>
  <si>
    <t>Lau</t>
  </si>
  <si>
    <t>토</t>
  </si>
  <si>
    <t>Šešt</t>
  </si>
  <si>
    <t>Саб</t>
  </si>
  <si>
    <t>Sib</t>
  </si>
  <si>
    <t>شنبه</t>
  </si>
  <si>
    <t>Sob</t>
  </si>
  <si>
    <t>Lör</t>
  </si>
  <si>
    <t>เสาร์</t>
  </si>
  <si>
    <t>Cmt</t>
  </si>
  <si>
    <t>T7</t>
  </si>
  <si>
    <t>Сб</t>
  </si>
  <si>
    <t>سنیچر</t>
  </si>
  <si>
    <t>Jan</t>
  </si>
  <si>
    <t>كانون ثاني</t>
  </si>
  <si>
    <t>Հունվ.</t>
  </si>
  <si>
    <t>Yan</t>
  </si>
  <si>
    <t>Януари</t>
  </si>
  <si>
    <t>Gen</t>
  </si>
  <si>
    <t>一月</t>
  </si>
  <si>
    <t>Sij</t>
  </si>
  <si>
    <t>Janv</t>
  </si>
  <si>
    <t>იან</t>
  </si>
  <si>
    <t>Ιαν</t>
  </si>
  <si>
    <t>ינואר</t>
  </si>
  <si>
    <r>
      <rPr>
        <sz val="10"/>
        <rFont val="Calibri"/>
        <family val="2"/>
        <charset val="204"/>
      </rPr>
      <t>1</t>
    </r>
    <r>
      <rPr>
        <sz val="10"/>
        <rFont val="Noto Sans CJK SC"/>
        <family val="2"/>
      </rPr>
      <t>월</t>
    </r>
  </si>
  <si>
    <t>Saus</t>
  </si>
  <si>
    <t>Јан</t>
  </si>
  <si>
    <t>زانویه</t>
  </si>
  <si>
    <t>Sty</t>
  </si>
  <si>
    <t>Ian</t>
  </si>
  <si>
    <t>Ene</t>
  </si>
  <si>
    <t>jan</t>
  </si>
  <si>
    <t>มกราคม</t>
  </si>
  <si>
    <t>Oca</t>
  </si>
  <si>
    <t>Tháng 1</t>
  </si>
  <si>
    <t>Січ</t>
  </si>
  <si>
    <t>جنوری</t>
  </si>
  <si>
    <t>Feb</t>
  </si>
  <si>
    <t>Shk</t>
  </si>
  <si>
    <t>شباط</t>
  </si>
  <si>
    <t>Փետր.</t>
  </si>
  <si>
    <t>Fev</t>
  </si>
  <si>
    <t>Февруари</t>
  </si>
  <si>
    <t>二月</t>
  </si>
  <si>
    <t>Vel</t>
  </si>
  <si>
    <t>Févr</t>
  </si>
  <si>
    <t>თებ</t>
  </si>
  <si>
    <t>Φεβ</t>
  </si>
  <si>
    <t>פברואר</t>
  </si>
  <si>
    <t>Peb</t>
  </si>
  <si>
    <r>
      <rPr>
        <sz val="10"/>
        <rFont val="Calibri"/>
        <family val="2"/>
        <charset val="204"/>
      </rPr>
      <t>2</t>
    </r>
    <r>
      <rPr>
        <sz val="10"/>
        <rFont val="Noto Sans CJK SC"/>
        <family val="2"/>
      </rPr>
      <t>월</t>
    </r>
  </si>
  <si>
    <t>Фев</t>
  </si>
  <si>
    <t>Fra</t>
  </si>
  <si>
    <t>فوریه</t>
  </si>
  <si>
    <t>Lut</t>
  </si>
  <si>
    <t>กุมภาพันธ์</t>
  </si>
  <si>
    <t>Şub</t>
  </si>
  <si>
    <t>Tháng 2</t>
  </si>
  <si>
    <t>Лют</t>
  </si>
  <si>
    <t>فروری</t>
  </si>
  <si>
    <t>آذار</t>
  </si>
  <si>
    <t>Մարտ</t>
  </si>
  <si>
    <t>Март</t>
  </si>
  <si>
    <t>三月</t>
  </si>
  <si>
    <t>Ožu</t>
  </si>
  <si>
    <t>Mrt</t>
  </si>
  <si>
    <t>Mars</t>
  </si>
  <si>
    <t>მარ</t>
  </si>
  <si>
    <t>Mrz</t>
  </si>
  <si>
    <t>Μαρ</t>
  </si>
  <si>
    <t>מרץ</t>
  </si>
  <si>
    <t>Már</t>
  </si>
  <si>
    <r>
      <rPr>
        <sz val="10"/>
        <rFont val="Calibri"/>
        <family val="2"/>
        <charset val="204"/>
      </rPr>
      <t>3</t>
    </r>
    <r>
      <rPr>
        <sz val="10"/>
        <rFont val="Noto Sans CJK SC"/>
        <family val="2"/>
      </rPr>
      <t>월</t>
    </r>
  </si>
  <si>
    <t>Kov</t>
  </si>
  <si>
    <t>Мар</t>
  </si>
  <si>
    <t>مارس</t>
  </si>
  <si>
    <t>mar</t>
  </si>
  <si>
    <t>มีนาคม</t>
  </si>
  <si>
    <t>Tháng 3</t>
  </si>
  <si>
    <t>Бер</t>
  </si>
  <si>
    <t>مارچ</t>
  </si>
  <si>
    <t>Apr</t>
  </si>
  <si>
    <t>Pri</t>
  </si>
  <si>
    <t>نيسان</t>
  </si>
  <si>
    <t>Ապրիլ</t>
  </si>
  <si>
    <t>Април</t>
  </si>
  <si>
    <t>Abr</t>
  </si>
  <si>
    <t>四月</t>
  </si>
  <si>
    <t>Tra</t>
  </si>
  <si>
    <t>Avr</t>
  </si>
  <si>
    <t>აპრ</t>
  </si>
  <si>
    <t>Απρ</t>
  </si>
  <si>
    <t>אפריל</t>
  </si>
  <si>
    <t>Ápr</t>
  </si>
  <si>
    <r>
      <rPr>
        <sz val="10"/>
        <rFont val="Calibri"/>
        <family val="2"/>
        <charset val="204"/>
      </rPr>
      <t>4</t>
    </r>
    <r>
      <rPr>
        <sz val="10"/>
        <rFont val="Noto Sans CJK SC"/>
        <family val="2"/>
      </rPr>
      <t>월</t>
    </r>
  </si>
  <si>
    <t>Bal</t>
  </si>
  <si>
    <t>Апр</t>
  </si>
  <si>
    <t>آوریل</t>
  </si>
  <si>
    <t>Kwi</t>
  </si>
  <si>
    <t>apr</t>
  </si>
  <si>
    <t>เมษายน</t>
  </si>
  <si>
    <t>Nis</t>
  </si>
  <si>
    <t>Tháng 4</t>
  </si>
  <si>
    <t>Квіт</t>
  </si>
  <si>
    <t>اپریل</t>
  </si>
  <si>
    <t>May</t>
  </si>
  <si>
    <t>Maj</t>
  </si>
  <si>
    <t>أياد</t>
  </si>
  <si>
    <t>Մայիս</t>
  </si>
  <si>
    <t>Май</t>
  </si>
  <si>
    <t>Mai</t>
  </si>
  <si>
    <t>五月</t>
  </si>
  <si>
    <t>Svi</t>
  </si>
  <si>
    <t>Mei</t>
  </si>
  <si>
    <t>მაი</t>
  </si>
  <si>
    <t>Μαϊ</t>
  </si>
  <si>
    <t>מאי</t>
  </si>
  <si>
    <t>Máj</t>
  </si>
  <si>
    <t>Maí</t>
  </si>
  <si>
    <t>Mag</t>
  </si>
  <si>
    <r>
      <rPr>
        <sz val="10"/>
        <rFont val="Calibri"/>
        <family val="2"/>
        <charset val="204"/>
      </rPr>
      <t>5</t>
    </r>
    <r>
      <rPr>
        <sz val="10"/>
        <rFont val="Noto Sans CJK SC"/>
        <family val="2"/>
      </rPr>
      <t>월</t>
    </r>
  </si>
  <si>
    <t>Geg</t>
  </si>
  <si>
    <t>Мај</t>
  </si>
  <si>
    <t>Mej</t>
  </si>
  <si>
    <t>می</t>
  </si>
  <si>
    <t>maj</t>
  </si>
  <si>
    <t>พฤษภาคม</t>
  </si>
  <si>
    <t>Tháng 5</t>
  </si>
  <si>
    <t>Трав</t>
  </si>
  <si>
    <t>مئی</t>
  </si>
  <si>
    <t>Jun</t>
  </si>
  <si>
    <t>Qer</t>
  </si>
  <si>
    <t>حزيران</t>
  </si>
  <si>
    <t>Հունիս</t>
  </si>
  <si>
    <t>İyn</t>
  </si>
  <si>
    <t>Юни</t>
  </si>
  <si>
    <t>六月</t>
  </si>
  <si>
    <t>Lip</t>
  </si>
  <si>
    <t>Čer</t>
  </si>
  <si>
    <t>Juin</t>
  </si>
  <si>
    <t>ივნ</t>
  </si>
  <si>
    <t>Ιουν</t>
  </si>
  <si>
    <t>יוני</t>
  </si>
  <si>
    <t>Jún</t>
  </si>
  <si>
    <t>Giu</t>
  </si>
  <si>
    <r>
      <rPr>
        <sz val="10"/>
        <rFont val="Calibri"/>
        <family val="2"/>
        <charset val="204"/>
      </rPr>
      <t>6</t>
    </r>
    <r>
      <rPr>
        <sz val="10"/>
        <rFont val="Noto Sans CJK SC"/>
        <family val="2"/>
      </rPr>
      <t>월</t>
    </r>
  </si>
  <si>
    <t>Birž</t>
  </si>
  <si>
    <t>Јун</t>
  </si>
  <si>
    <t>Ġun</t>
  </si>
  <si>
    <t>ژوئن</t>
  </si>
  <si>
    <t>Cze</t>
  </si>
  <si>
    <t>Iun</t>
  </si>
  <si>
    <t>jun</t>
  </si>
  <si>
    <t>มิถุนายน</t>
  </si>
  <si>
    <t>Haz</t>
  </si>
  <si>
    <t>Tháng 6</t>
  </si>
  <si>
    <t>Черв</t>
  </si>
  <si>
    <t>جون</t>
  </si>
  <si>
    <t>Jul</t>
  </si>
  <si>
    <t>Kor</t>
  </si>
  <si>
    <t>تموز</t>
  </si>
  <si>
    <t>Հուլիս</t>
  </si>
  <si>
    <t>İyl</t>
  </si>
  <si>
    <t>Юли</t>
  </si>
  <si>
    <t>七月</t>
  </si>
  <si>
    <t>Srp</t>
  </si>
  <si>
    <t>Čec</t>
  </si>
  <si>
    <t>Juil</t>
  </si>
  <si>
    <t>ივლ</t>
  </si>
  <si>
    <t>Ιουλ</t>
  </si>
  <si>
    <t>יולי</t>
  </si>
  <si>
    <t>Júl</t>
  </si>
  <si>
    <t>Lug</t>
  </si>
  <si>
    <r>
      <rPr>
        <sz val="10"/>
        <rFont val="Calibri"/>
        <family val="2"/>
        <charset val="204"/>
      </rPr>
      <t>7</t>
    </r>
    <r>
      <rPr>
        <sz val="10"/>
        <rFont val="Noto Sans CJK SC"/>
        <family val="2"/>
      </rPr>
      <t>월</t>
    </r>
  </si>
  <si>
    <t>Lie</t>
  </si>
  <si>
    <t>Јул</t>
  </si>
  <si>
    <t>Lul</t>
  </si>
  <si>
    <t>ژولای</t>
  </si>
  <si>
    <t>Iul</t>
  </si>
  <si>
    <t>jul</t>
  </si>
  <si>
    <t>กรกฎาคม</t>
  </si>
  <si>
    <t>Tem</t>
  </si>
  <si>
    <t>Tháng 7</t>
  </si>
  <si>
    <t>Лип</t>
  </si>
  <si>
    <t>جولائی</t>
  </si>
  <si>
    <t>Aug</t>
  </si>
  <si>
    <t>Gus</t>
  </si>
  <si>
    <t>آب</t>
  </si>
  <si>
    <t>Օգոս.</t>
  </si>
  <si>
    <t>Avq</t>
  </si>
  <si>
    <t>Август</t>
  </si>
  <si>
    <t>Ago</t>
  </si>
  <si>
    <t>八月</t>
  </si>
  <si>
    <t>Kol</t>
  </si>
  <si>
    <t>Août</t>
  </si>
  <si>
    <t>აგვ</t>
  </si>
  <si>
    <t>Αυγ</t>
  </si>
  <si>
    <t>אוגוסט</t>
  </si>
  <si>
    <t>Agu</t>
  </si>
  <si>
    <t>Ágú</t>
  </si>
  <si>
    <r>
      <rPr>
        <sz val="10"/>
        <rFont val="Calibri"/>
        <family val="2"/>
        <charset val="204"/>
      </rPr>
      <t>8</t>
    </r>
    <r>
      <rPr>
        <sz val="10"/>
        <rFont val="Noto Sans CJK SC"/>
        <family val="2"/>
      </rPr>
      <t>월</t>
    </r>
  </si>
  <si>
    <t>Rugp</t>
  </si>
  <si>
    <t>Авг</t>
  </si>
  <si>
    <t>Aww</t>
  </si>
  <si>
    <t>اگوست</t>
  </si>
  <si>
    <t>Się</t>
  </si>
  <si>
    <t>Avg</t>
  </si>
  <si>
    <t>สิงหาคม</t>
  </si>
  <si>
    <t>Ağu</t>
  </si>
  <si>
    <t>Tháng 8</t>
  </si>
  <si>
    <t>Серп</t>
  </si>
  <si>
    <t>اگست</t>
  </si>
  <si>
    <t>Sep</t>
  </si>
  <si>
    <t>Shta</t>
  </si>
  <si>
    <t>أيلول</t>
  </si>
  <si>
    <t>Սեպտ.</t>
  </si>
  <si>
    <t>Септември</t>
  </si>
  <si>
    <t>Set</t>
  </si>
  <si>
    <t>九月</t>
  </si>
  <si>
    <t>Ruj</t>
  </si>
  <si>
    <t>Sept</t>
  </si>
  <si>
    <t>სექ</t>
  </si>
  <si>
    <t>Σεπ</t>
  </si>
  <si>
    <t>ספטמבר</t>
  </si>
  <si>
    <t>Szep</t>
  </si>
  <si>
    <r>
      <rPr>
        <sz val="10"/>
        <rFont val="Calibri"/>
        <family val="2"/>
        <charset val="204"/>
      </rPr>
      <t>9</t>
    </r>
    <r>
      <rPr>
        <sz val="10"/>
        <rFont val="Noto Sans CJK SC"/>
        <family val="2"/>
      </rPr>
      <t>월</t>
    </r>
  </si>
  <si>
    <t>Rugs</t>
  </si>
  <si>
    <t>Сеп</t>
  </si>
  <si>
    <t>سپتامبر</t>
  </si>
  <si>
    <t>Wrz</t>
  </si>
  <si>
    <t>sep</t>
  </si>
  <si>
    <t>กันยายน</t>
  </si>
  <si>
    <t>Eyl</t>
  </si>
  <si>
    <t>Tháng 9</t>
  </si>
  <si>
    <t>Вер</t>
  </si>
  <si>
    <t>ستمبر</t>
  </si>
  <si>
    <t>Oct</t>
  </si>
  <si>
    <t>Tet</t>
  </si>
  <si>
    <t>تشرين أول</t>
  </si>
  <si>
    <t>Հոկտ.</t>
  </si>
  <si>
    <t>Okt</t>
  </si>
  <si>
    <t>Октомври</t>
  </si>
  <si>
    <t>十月</t>
  </si>
  <si>
    <t>Lis</t>
  </si>
  <si>
    <t>ოქტ</t>
  </si>
  <si>
    <t>Οκτ</t>
  </si>
  <si>
    <t>אוקטובר</t>
  </si>
  <si>
    <t>Ott</t>
  </si>
  <si>
    <r>
      <rPr>
        <sz val="10"/>
        <rFont val="Calibri"/>
        <family val="2"/>
        <charset val="204"/>
      </rPr>
      <t>10</t>
    </r>
    <r>
      <rPr>
        <sz val="10"/>
        <rFont val="Noto Sans CJK SC"/>
        <family val="2"/>
      </rPr>
      <t>월</t>
    </r>
  </si>
  <si>
    <t>Spa</t>
  </si>
  <si>
    <t>Окт</t>
  </si>
  <si>
    <t>اکتبر</t>
  </si>
  <si>
    <t>Paź</t>
  </si>
  <si>
    <t>Out</t>
  </si>
  <si>
    <t>okt</t>
  </si>
  <si>
    <t>ตุลาคม</t>
  </si>
  <si>
    <t>Eki</t>
  </si>
  <si>
    <t>Tháng 10</t>
  </si>
  <si>
    <t>Жовт</t>
  </si>
  <si>
    <t>اکتوبر</t>
  </si>
  <si>
    <t>Nov</t>
  </si>
  <si>
    <t>Nën</t>
  </si>
  <si>
    <t>تشرين ثاني</t>
  </si>
  <si>
    <t>Նոյեմ.</t>
  </si>
  <si>
    <t>Noy</t>
  </si>
  <si>
    <t>Ноември</t>
  </si>
  <si>
    <t>十一月</t>
  </si>
  <si>
    <t>Stu</t>
  </si>
  <si>
    <t>ნოე</t>
  </si>
  <si>
    <t>Νοε</t>
  </si>
  <si>
    <t>נובמבר</t>
  </si>
  <si>
    <t>Nop</t>
  </si>
  <si>
    <t>Nóv</t>
  </si>
  <si>
    <r>
      <rPr>
        <sz val="10"/>
        <rFont val="Calibri"/>
        <family val="2"/>
        <charset val="204"/>
      </rPr>
      <t>11</t>
    </r>
    <r>
      <rPr>
        <sz val="10"/>
        <rFont val="Noto Sans CJK SC"/>
        <family val="2"/>
      </rPr>
      <t>월</t>
    </r>
  </si>
  <si>
    <t>Lapk</t>
  </si>
  <si>
    <t>Ное</t>
  </si>
  <si>
    <t>نوامبر</t>
  </si>
  <si>
    <t>Noi</t>
  </si>
  <si>
    <t>nov</t>
  </si>
  <si>
    <t>พฤศจิกายน</t>
  </si>
  <si>
    <t>Kas</t>
  </si>
  <si>
    <t>Tháng 11</t>
  </si>
  <si>
    <t>Лист</t>
  </si>
  <si>
    <t>نومبر</t>
  </si>
  <si>
    <t>Dec</t>
  </si>
  <si>
    <t>Dhj</t>
  </si>
  <si>
    <t>كانون أول</t>
  </si>
  <si>
    <t>Դեկտ.</t>
  </si>
  <si>
    <t>Dek</t>
  </si>
  <si>
    <t>Декември</t>
  </si>
  <si>
    <t>Des</t>
  </si>
  <si>
    <t>十二月</t>
  </si>
  <si>
    <t>Pro</t>
  </si>
  <si>
    <t>Déc</t>
  </si>
  <si>
    <t>დეკ</t>
  </si>
  <si>
    <t>Dez</t>
  </si>
  <si>
    <t>Δεκ</t>
  </si>
  <si>
    <t>דצמבר</t>
  </si>
  <si>
    <t>Dic</t>
  </si>
  <si>
    <r>
      <rPr>
        <sz val="10"/>
        <rFont val="Calibri"/>
        <family val="2"/>
        <charset val="204"/>
      </rPr>
      <t>12</t>
    </r>
    <r>
      <rPr>
        <sz val="10"/>
        <rFont val="Noto Sans CJK SC"/>
        <family val="2"/>
      </rPr>
      <t>월</t>
    </r>
  </si>
  <si>
    <t>Gruo</t>
  </si>
  <si>
    <t>Дек</t>
  </si>
  <si>
    <t>Deċ</t>
  </si>
  <si>
    <t>دسامبر</t>
  </si>
  <si>
    <t>Gru</t>
  </si>
  <si>
    <t>dec</t>
  </si>
  <si>
    <t>ธันวาคม</t>
  </si>
  <si>
    <t>Ara</t>
  </si>
  <si>
    <t>Tháng 12</t>
  </si>
  <si>
    <t>Груд</t>
  </si>
  <si>
    <t>دسمبر</t>
  </si>
  <si>
    <t>Team</t>
  </si>
  <si>
    <t>Ekipi</t>
  </si>
  <si>
    <t>المنتخب</t>
  </si>
  <si>
    <t>Հավաքական</t>
  </si>
  <si>
    <t>Komanda</t>
  </si>
  <si>
    <t>Отбор</t>
  </si>
  <si>
    <t>Equip</t>
  </si>
  <si>
    <t>球队</t>
  </si>
  <si>
    <t>隊伍</t>
  </si>
  <si>
    <t>Hold</t>
  </si>
  <si>
    <t>Équipe</t>
  </si>
  <si>
    <t>ნაკრები</t>
  </si>
  <si>
    <t>Ομάδα</t>
  </si>
  <si>
    <t>קבוצה</t>
  </si>
  <si>
    <t>Csapat</t>
  </si>
  <si>
    <t>Tim</t>
  </si>
  <si>
    <t>Lið</t>
  </si>
  <si>
    <t>Squadra</t>
  </si>
  <si>
    <t>팀</t>
  </si>
  <si>
    <t>Тим</t>
  </si>
  <si>
    <t>Lag</t>
  </si>
  <si>
    <t>تیم</t>
  </si>
  <si>
    <t>Drużyna</t>
  </si>
  <si>
    <t>Equipa</t>
  </si>
  <si>
    <t>Echipa</t>
  </si>
  <si>
    <t>Reprezentacija</t>
  </si>
  <si>
    <t>Mužstvo</t>
  </si>
  <si>
    <t>Moštvo</t>
  </si>
  <si>
    <t>Equipo</t>
  </si>
  <si>
    <t>ทึม</t>
  </si>
  <si>
    <t>Takım</t>
  </si>
  <si>
    <t>Đội</t>
  </si>
  <si>
    <t>Команда</t>
  </si>
  <si>
    <t>ٹیم</t>
  </si>
  <si>
    <t>Albania</t>
  </si>
  <si>
    <t>Shqipëri</t>
  </si>
  <si>
    <t>ألبانيا</t>
  </si>
  <si>
    <t>Ալբանիա</t>
  </si>
  <si>
    <t>Albaniya</t>
  </si>
  <si>
    <t>Албания</t>
  </si>
  <si>
    <t>Albània</t>
  </si>
  <si>
    <t>阿尔巴尼亚</t>
  </si>
  <si>
    <t>阿爾巴尼亞</t>
  </si>
  <si>
    <t>Albanija</t>
  </si>
  <si>
    <t>Albánie</t>
  </si>
  <si>
    <t>Albanien</t>
  </si>
  <si>
    <t>Albanië</t>
  </si>
  <si>
    <t>Albanie</t>
  </si>
  <si>
    <t>Αλβανία</t>
  </si>
  <si>
    <t>אלבניה</t>
  </si>
  <si>
    <t>Albánia</t>
  </si>
  <si>
    <t>Albanía</t>
  </si>
  <si>
    <t>알바니아</t>
  </si>
  <si>
    <t>Албанија</t>
  </si>
  <si>
    <t>آلبانی</t>
  </si>
  <si>
    <t>Albânia</t>
  </si>
  <si>
    <t>Albánsko</t>
  </si>
  <si>
    <t>albanien</t>
  </si>
  <si>
    <t>แอลเบเนีย</t>
  </si>
  <si>
    <t>Arnavutluk</t>
  </si>
  <si>
    <t>Албанія</t>
  </si>
  <si>
    <t>البانیا</t>
  </si>
  <si>
    <t>Romania</t>
  </si>
  <si>
    <t>Rumani</t>
  </si>
  <si>
    <t>رومانيا</t>
  </si>
  <si>
    <t>Ռումինիա</t>
  </si>
  <si>
    <t>Rumıniya</t>
  </si>
  <si>
    <t>Румъния</t>
  </si>
  <si>
    <t>罗马尼亚</t>
  </si>
  <si>
    <t>羅馬尼亞</t>
  </si>
  <si>
    <t>Rumunija</t>
  </si>
  <si>
    <t>Rumunsko</t>
  </si>
  <si>
    <t>Rumænien</t>
  </si>
  <si>
    <t>Roemenië</t>
  </si>
  <si>
    <t>Roumanie</t>
  </si>
  <si>
    <t>რუმინეთი</t>
  </si>
  <si>
    <t>Rumänien</t>
  </si>
  <si>
    <t>Ρουμανία</t>
  </si>
  <si>
    <t>רומני</t>
  </si>
  <si>
    <t>Románia</t>
  </si>
  <si>
    <t>Rumania</t>
  </si>
  <si>
    <t>rúmenía</t>
  </si>
  <si>
    <t>루마니아</t>
  </si>
  <si>
    <t>Романија</t>
  </si>
  <si>
    <t>Ir-Rumanija</t>
  </si>
  <si>
    <t>رومانی</t>
  </si>
  <si>
    <t>Rumunia</t>
  </si>
  <si>
    <t>Romênia</t>
  </si>
  <si>
    <t>România</t>
  </si>
  <si>
    <t>Румунија</t>
  </si>
  <si>
    <t>Romunija</t>
  </si>
  <si>
    <t>rumänien</t>
  </si>
  <si>
    <t>โรมาเนีย</t>
  </si>
  <si>
    <t>Romanya</t>
  </si>
  <si>
    <t>Румунія</t>
  </si>
  <si>
    <t>رومانیہ</t>
  </si>
  <si>
    <t>Spain</t>
  </si>
  <si>
    <t>Spanjë</t>
  </si>
  <si>
    <t>إسبانيا</t>
  </si>
  <si>
    <t>Իսպանիա</t>
  </si>
  <si>
    <t>İspaniya</t>
  </si>
  <si>
    <t>Испания</t>
  </si>
  <si>
    <t>Espanya</t>
  </si>
  <si>
    <t>西班牙</t>
  </si>
  <si>
    <t>Španjolska</t>
  </si>
  <si>
    <t>Španělsko</t>
  </si>
  <si>
    <t>Spanien</t>
  </si>
  <si>
    <t>Spanje</t>
  </si>
  <si>
    <t>Espagne</t>
  </si>
  <si>
    <t>ესპანეთში</t>
  </si>
  <si>
    <t>Ισπανία</t>
  </si>
  <si>
    <t>ספרד</t>
  </si>
  <si>
    <t>Spanyolország</t>
  </si>
  <si>
    <t>Spanyol</t>
  </si>
  <si>
    <t>spain</t>
  </si>
  <si>
    <t>Spagna</t>
  </si>
  <si>
    <t>스페인</t>
  </si>
  <si>
    <t>Ispanija</t>
  </si>
  <si>
    <t>Шпанија</t>
  </si>
  <si>
    <t>Spanja</t>
  </si>
  <si>
    <t>Spania</t>
  </si>
  <si>
    <t>کشور اسپانیا</t>
  </si>
  <si>
    <t>Hiszpania</t>
  </si>
  <si>
    <t>Espanha</t>
  </si>
  <si>
    <t>španielsko</t>
  </si>
  <si>
    <t>Španija</t>
  </si>
  <si>
    <t>España</t>
  </si>
  <si>
    <t>สเปน</t>
  </si>
  <si>
    <t>İspanya</t>
  </si>
  <si>
    <t>Tây ban nha</t>
  </si>
  <si>
    <t>Іспанія</t>
  </si>
  <si>
    <t>سپین</t>
  </si>
  <si>
    <t>Italy</t>
  </si>
  <si>
    <t>Itali</t>
  </si>
  <si>
    <t>إيطاليا</t>
  </si>
  <si>
    <t>Իտալիա</t>
  </si>
  <si>
    <t>İtaliya</t>
  </si>
  <si>
    <t>Италия</t>
  </si>
  <si>
    <t>Itàlia</t>
  </si>
  <si>
    <t>意大利</t>
  </si>
  <si>
    <t>Italija</t>
  </si>
  <si>
    <t>Itálie</t>
  </si>
  <si>
    <t>Italien</t>
  </si>
  <si>
    <t>Italië</t>
  </si>
  <si>
    <t>Italie</t>
  </si>
  <si>
    <t>იტალიაში</t>
  </si>
  <si>
    <t>Ιταλία</t>
  </si>
  <si>
    <t>איטליה</t>
  </si>
  <si>
    <t>Olaszország</t>
  </si>
  <si>
    <t>Italia</t>
  </si>
  <si>
    <t>이탈리아</t>
  </si>
  <si>
    <t>Италија</t>
  </si>
  <si>
    <t>Italja</t>
  </si>
  <si>
    <t>ایتالیا</t>
  </si>
  <si>
    <t>Włochy</t>
  </si>
  <si>
    <t>Itália</t>
  </si>
  <si>
    <t>taliansko</t>
  </si>
  <si>
    <t>อิตาลี</t>
  </si>
  <si>
    <t>İtalya</t>
  </si>
  <si>
    <t>Ý</t>
  </si>
  <si>
    <t>Італія</t>
  </si>
  <si>
    <t>اٹلی</t>
  </si>
  <si>
    <t>Portugal</t>
  </si>
  <si>
    <t>Portugali</t>
  </si>
  <si>
    <t>البرتغال</t>
  </si>
  <si>
    <t>Պորտուգալիա</t>
  </si>
  <si>
    <t>Portuqaliya</t>
  </si>
  <si>
    <t>Португалия</t>
  </si>
  <si>
    <t>葡萄牙</t>
  </si>
  <si>
    <t>Portugalija</t>
  </si>
  <si>
    <t>Portugalsko</t>
  </si>
  <si>
    <t>პორტუგალიის</t>
  </si>
  <si>
    <t>Πορτογαλία</t>
  </si>
  <si>
    <t>פורטוגל</t>
  </si>
  <si>
    <t>Portugália</t>
  </si>
  <si>
    <t>Portogallo</t>
  </si>
  <si>
    <t>포르투갈</t>
  </si>
  <si>
    <t>Португалија</t>
  </si>
  <si>
    <t>Portugall</t>
  </si>
  <si>
    <t>پرتغال</t>
  </si>
  <si>
    <t>Portugalia</t>
  </si>
  <si>
    <t>Portugalska</t>
  </si>
  <si>
    <t>โปรตุเกส</t>
  </si>
  <si>
    <t>Portekiz</t>
  </si>
  <si>
    <t>Bồ Đào Nha</t>
  </si>
  <si>
    <t>Португалія</t>
  </si>
  <si>
    <t>پرتگال</t>
  </si>
  <si>
    <t>Hungary</t>
  </si>
  <si>
    <t>Hungari</t>
  </si>
  <si>
    <t>هنغاريا</t>
  </si>
  <si>
    <t>Հունգարիա</t>
  </si>
  <si>
    <t>Macarıstan</t>
  </si>
  <si>
    <t>Унгария</t>
  </si>
  <si>
    <t>Hongria</t>
  </si>
  <si>
    <t>匈牙利</t>
  </si>
  <si>
    <t>Mađarska</t>
  </si>
  <si>
    <t>Maďarsko</t>
  </si>
  <si>
    <t>Ungarn</t>
  </si>
  <si>
    <t>Hongarije</t>
  </si>
  <si>
    <t>Hongrie</t>
  </si>
  <si>
    <t>უნგრეთი</t>
  </si>
  <si>
    <t>Ουγγαρία</t>
  </si>
  <si>
    <t>הונגריה</t>
  </si>
  <si>
    <t>Magyarország</t>
  </si>
  <si>
    <t>Hongaria</t>
  </si>
  <si>
    <t>Ungverjaland</t>
  </si>
  <si>
    <t>Ungheria</t>
  </si>
  <si>
    <t>헝가리</t>
  </si>
  <si>
    <t>Vengrija</t>
  </si>
  <si>
    <t>Унгарија</t>
  </si>
  <si>
    <t>L-Ungerija</t>
  </si>
  <si>
    <t>مجارستان</t>
  </si>
  <si>
    <t>Węgry</t>
  </si>
  <si>
    <t>Hungria</t>
  </si>
  <si>
    <t>Ungaria</t>
  </si>
  <si>
    <t>Мађарска</t>
  </si>
  <si>
    <t>maďarsko</t>
  </si>
  <si>
    <t>Madžarska</t>
  </si>
  <si>
    <t>Hungría</t>
  </si>
  <si>
    <t>Ungern</t>
  </si>
  <si>
    <t>ฮังการี</t>
  </si>
  <si>
    <t>Macaristan</t>
  </si>
  <si>
    <t>Угорщина</t>
  </si>
  <si>
    <t>ہنگری</t>
  </si>
  <si>
    <t>Denmark</t>
  </si>
  <si>
    <t>Danimarkë</t>
  </si>
  <si>
    <t>الدنمارك</t>
  </si>
  <si>
    <t>Դանիա</t>
  </si>
  <si>
    <t>Danimarka</t>
  </si>
  <si>
    <t>Дания</t>
  </si>
  <si>
    <t>Dinamarca</t>
  </si>
  <si>
    <t>丹麦</t>
  </si>
  <si>
    <t>丹麥</t>
  </si>
  <si>
    <t>Danska</t>
  </si>
  <si>
    <t>Dánsko</t>
  </si>
  <si>
    <t>Danmark</t>
  </si>
  <si>
    <t>Denemarken</t>
  </si>
  <si>
    <t>Danemark</t>
  </si>
  <si>
    <t>დანია</t>
  </si>
  <si>
    <t>Dänemark</t>
  </si>
  <si>
    <t>Δανία</t>
  </si>
  <si>
    <t>דנמרק</t>
  </si>
  <si>
    <t>Dánia</t>
  </si>
  <si>
    <t>Danimarca</t>
  </si>
  <si>
    <t>덴마크</t>
  </si>
  <si>
    <t>Danija</t>
  </si>
  <si>
    <t>Данска</t>
  </si>
  <si>
    <t>Id-Danimarka</t>
  </si>
  <si>
    <t>دانمارک</t>
  </si>
  <si>
    <t>Dania</t>
  </si>
  <si>
    <t>Danemarca</t>
  </si>
  <si>
    <t>เดนมาร์ก</t>
  </si>
  <si>
    <t>Đan MạCh</t>
  </si>
  <si>
    <t>Данія</t>
  </si>
  <si>
    <t>ڈنمارک</t>
  </si>
  <si>
    <t>Ukraine</t>
  </si>
  <si>
    <t>Ukrainë</t>
  </si>
  <si>
    <t>أوكرانيا</t>
  </si>
  <si>
    <t>Ուկրաինան</t>
  </si>
  <si>
    <t>Ukrayna</t>
  </si>
  <si>
    <t>Украйна</t>
  </si>
  <si>
    <t>Ucraïna</t>
  </si>
  <si>
    <t>乌克兰</t>
  </si>
  <si>
    <t>烏克蘭</t>
  </si>
  <si>
    <t>Ukrajina</t>
  </si>
  <si>
    <t>Oekraïne</t>
  </si>
  <si>
    <t>უკრაინა</t>
  </si>
  <si>
    <t>Ουκρανία</t>
  </si>
  <si>
    <t>אוקראינה</t>
  </si>
  <si>
    <t>Ukrajna</t>
  </si>
  <si>
    <t>Ukraina</t>
  </si>
  <si>
    <t>Úkraína</t>
  </si>
  <si>
    <t>Ucraina</t>
  </si>
  <si>
    <t>우크라이나</t>
  </si>
  <si>
    <t>Украина</t>
  </si>
  <si>
    <t>اوکراین</t>
  </si>
  <si>
    <t>Ucrânia</t>
  </si>
  <si>
    <t>Украјина</t>
  </si>
  <si>
    <t>Ucrania</t>
  </si>
  <si>
    <t>ยูเครน</t>
  </si>
  <si>
    <t>Україна</t>
  </si>
  <si>
    <t>یوکرائن</t>
  </si>
  <si>
    <t>Turkey</t>
  </si>
  <si>
    <t>Turqi</t>
  </si>
  <si>
    <t>ديك رومي</t>
  </si>
  <si>
    <t>Турция</t>
  </si>
  <si>
    <t>Turquia</t>
  </si>
  <si>
    <t>火鸡</t>
  </si>
  <si>
    <t>火雞</t>
  </si>
  <si>
    <t>Turska</t>
  </si>
  <si>
    <t>Turecko</t>
  </si>
  <si>
    <t>Tyrkia</t>
  </si>
  <si>
    <t>Turkije</t>
  </si>
  <si>
    <t>Turquie</t>
  </si>
  <si>
    <t>თურქეთში</t>
  </si>
  <si>
    <t>Türkei</t>
  </si>
  <si>
    <t>טורקיה</t>
  </si>
  <si>
    <t>Törökország</t>
  </si>
  <si>
    <t>Turki</t>
  </si>
  <si>
    <t>Tyrkland</t>
  </si>
  <si>
    <t>터키</t>
  </si>
  <si>
    <t>Turkija</t>
  </si>
  <si>
    <t>Турција</t>
  </si>
  <si>
    <t>بوقلمون</t>
  </si>
  <si>
    <t>Turcja</t>
  </si>
  <si>
    <t>Turcia</t>
  </si>
  <si>
    <t>Турска</t>
  </si>
  <si>
    <t>Turquía</t>
  </si>
  <si>
    <t>ตุรกี</t>
  </si>
  <si>
    <t>Türkiye</t>
  </si>
  <si>
    <t>Thổ Nhĩ Kỳ</t>
  </si>
  <si>
    <t>Туреччина</t>
  </si>
  <si>
    <t>ترکی</t>
  </si>
  <si>
    <t>Finland</t>
  </si>
  <si>
    <t>Finlandë</t>
  </si>
  <si>
    <t>فنلندا</t>
  </si>
  <si>
    <t>Ֆինլանդիա</t>
  </si>
  <si>
    <t>Finlandiya</t>
  </si>
  <si>
    <t>Финландия</t>
  </si>
  <si>
    <t>Finlàndia</t>
  </si>
  <si>
    <t>芬兰</t>
  </si>
  <si>
    <t>芬蘭</t>
  </si>
  <si>
    <t>Finska</t>
  </si>
  <si>
    <t>Finsko</t>
  </si>
  <si>
    <t>Finlande</t>
  </si>
  <si>
    <t>ფინეთი</t>
  </si>
  <si>
    <t>Finnland</t>
  </si>
  <si>
    <t>Φινλανδία</t>
  </si>
  <si>
    <t>פינלנד</t>
  </si>
  <si>
    <t>Finnország</t>
  </si>
  <si>
    <t>Finlandia</t>
  </si>
  <si>
    <t>핀란드</t>
  </si>
  <si>
    <t>Suomija</t>
  </si>
  <si>
    <t>Финска</t>
  </si>
  <si>
    <t>Il-Finlandja</t>
  </si>
  <si>
    <t>فنلاند</t>
  </si>
  <si>
    <t>Finlândia</t>
  </si>
  <si>
    <t>Finlanda</t>
  </si>
  <si>
    <t>Fínsko</t>
  </si>
  <si>
    <t>ฟินแลนด์</t>
  </si>
  <si>
    <t>PhầN Lan</t>
  </si>
  <si>
    <t>Фінляндія</t>
  </si>
  <si>
    <t>فن لینڈ</t>
  </si>
  <si>
    <t>Netherlands</t>
  </si>
  <si>
    <t>Holandë</t>
  </si>
  <si>
    <t>هولندا</t>
  </si>
  <si>
    <t>Hollandiya</t>
  </si>
  <si>
    <t>Холандия</t>
  </si>
  <si>
    <t>Països Baixos</t>
  </si>
  <si>
    <t>荷兰</t>
  </si>
  <si>
    <t>荷蘭</t>
  </si>
  <si>
    <t>Nizozemska</t>
  </si>
  <si>
    <t>Holandsko</t>
  </si>
  <si>
    <t>Holland</t>
  </si>
  <si>
    <t>Nederland</t>
  </si>
  <si>
    <t>Pays-Bas</t>
  </si>
  <si>
    <t>ნიდერლანდები</t>
  </si>
  <si>
    <t>Niederlande</t>
  </si>
  <si>
    <t>Ολλανδία</t>
  </si>
  <si>
    <t>הולנד</t>
  </si>
  <si>
    <t>Hollandia</t>
  </si>
  <si>
    <t>Belanda</t>
  </si>
  <si>
    <t>Olanda</t>
  </si>
  <si>
    <t>네덜란드</t>
  </si>
  <si>
    <t>Nyderlandai</t>
  </si>
  <si>
    <t>Холандија</t>
  </si>
  <si>
    <t>Pajjiżi L-Baxxi</t>
  </si>
  <si>
    <t>هلند</t>
  </si>
  <si>
    <t>Holandia</t>
  </si>
  <si>
    <t>Países Baixos</t>
  </si>
  <si>
    <t>Низоземска</t>
  </si>
  <si>
    <t>Países Bajos</t>
  </si>
  <si>
    <t>Nederländerna</t>
  </si>
  <si>
    <t>เนเธอร์แลนด์</t>
  </si>
  <si>
    <t>Hollanda</t>
  </si>
  <si>
    <t>NướC Hà Lan</t>
  </si>
  <si>
    <t>Нідерланди</t>
  </si>
  <si>
    <t>ہالینڈ</t>
  </si>
  <si>
    <t>North Macedonia</t>
  </si>
  <si>
    <t>North Maqedoni</t>
  </si>
  <si>
    <t>شمال مقدونيا</t>
  </si>
  <si>
    <t>Հյուսիս Մակեդոնիա</t>
  </si>
  <si>
    <t>Şimali Makedoniya</t>
  </si>
  <si>
    <t>Северна Македония</t>
  </si>
  <si>
    <t>Nord Macedònia</t>
  </si>
  <si>
    <t>北马其顿</t>
  </si>
  <si>
    <t>北馬其頓</t>
  </si>
  <si>
    <t>Sjeverna Makedonija</t>
  </si>
  <si>
    <t>Severní Makedonie</t>
  </si>
  <si>
    <t>Nordmakedonien</t>
  </si>
  <si>
    <t>Noord-Macedonië</t>
  </si>
  <si>
    <t>Macédoine Du Nord</t>
  </si>
  <si>
    <t>ჩრდილოეთ მაკედონია</t>
  </si>
  <si>
    <t>Nord Mazedonien</t>
  </si>
  <si>
    <t>Βόρεια Μακεδονία</t>
  </si>
  <si>
    <t>צפון מקדוניה</t>
  </si>
  <si>
    <t>Észak-Macedónia</t>
  </si>
  <si>
    <t>Utara Makedonia</t>
  </si>
  <si>
    <t>Norður-Makedónía</t>
  </si>
  <si>
    <t>Nord Macedonia</t>
  </si>
  <si>
    <t>북 마케도니아</t>
  </si>
  <si>
    <t>Šiaurės Makedonija</t>
  </si>
  <si>
    <t>Северна Македонија</t>
  </si>
  <si>
    <t>Tramuntana Maċedonja</t>
  </si>
  <si>
    <t>Nord-Makedonia</t>
  </si>
  <si>
    <t>شمالی مقدونیه</t>
  </si>
  <si>
    <t>Północna Macedonia</t>
  </si>
  <si>
    <t>Norte Macedônia</t>
  </si>
  <si>
    <t>Macedonia De Nord</t>
  </si>
  <si>
    <t>Severné Macedónsko</t>
  </si>
  <si>
    <t>Severna Makedonija</t>
  </si>
  <si>
    <t>Norte Macedonia</t>
  </si>
  <si>
    <t>นอร์ทมาซิโดเนีย</t>
  </si>
  <si>
    <t>Kuzey Makedonya</t>
  </si>
  <si>
    <t>BắC Macedonia</t>
  </si>
  <si>
    <t>Північна Македонія</t>
  </si>
  <si>
    <t>شمالی مقدونیہ</t>
  </si>
  <si>
    <t>Scotland</t>
  </si>
  <si>
    <t>Skoci</t>
  </si>
  <si>
    <t>أسكتلندا</t>
  </si>
  <si>
    <t>Շոտլանդիա</t>
  </si>
  <si>
    <t>Şotlandiya</t>
  </si>
  <si>
    <t>Шотландия</t>
  </si>
  <si>
    <t>Escòcia</t>
  </si>
  <si>
    <t>苏格兰</t>
  </si>
  <si>
    <t>蘇格蘭</t>
  </si>
  <si>
    <t>Škotska</t>
  </si>
  <si>
    <t>Skotsko</t>
  </si>
  <si>
    <t>Skotland</t>
  </si>
  <si>
    <t>Schotland</t>
  </si>
  <si>
    <t>Écosse</t>
  </si>
  <si>
    <t>შოტლანდია</t>
  </si>
  <si>
    <t>Schottland</t>
  </si>
  <si>
    <t>Σκωτία</t>
  </si>
  <si>
    <t>סקוטלנד</t>
  </si>
  <si>
    <t>Skócia</t>
  </si>
  <si>
    <t>Skotlandia</t>
  </si>
  <si>
    <t>Scozia</t>
  </si>
  <si>
    <t>스코틀랜드</t>
  </si>
  <si>
    <t>Škotija</t>
  </si>
  <si>
    <t>Шкотска</t>
  </si>
  <si>
    <t>Iskozja</t>
  </si>
  <si>
    <t>Skottland</t>
  </si>
  <si>
    <t>اسکاتلند</t>
  </si>
  <si>
    <t>Szkocja</t>
  </si>
  <si>
    <t>Escócia</t>
  </si>
  <si>
    <t>Scoţia</t>
  </si>
  <si>
    <t>Škótsko</t>
  </si>
  <si>
    <t>Escocia</t>
  </si>
  <si>
    <t>ก็อตแลนด์</t>
  </si>
  <si>
    <t>İskoçya</t>
  </si>
  <si>
    <t>Шотландія</t>
  </si>
  <si>
    <t>اسکاٹ لینڈ</t>
  </si>
  <si>
    <t>Slovakia</t>
  </si>
  <si>
    <t>سلوفاكيا</t>
  </si>
  <si>
    <t>Սլովակիա</t>
  </si>
  <si>
    <t>Slovakiya</t>
  </si>
  <si>
    <t>Словакия</t>
  </si>
  <si>
    <t>Eslovàquia</t>
  </si>
  <si>
    <t>斯洛伐克</t>
  </si>
  <si>
    <t>Slovačka</t>
  </si>
  <si>
    <t>Slovensko</t>
  </si>
  <si>
    <t>Slovakiet</t>
  </si>
  <si>
    <t>Slowakije</t>
  </si>
  <si>
    <t>Slovaquie</t>
  </si>
  <si>
    <t>სლოვაკეთი</t>
  </si>
  <si>
    <t>Slowakei</t>
  </si>
  <si>
    <t>Σλοβακία</t>
  </si>
  <si>
    <t>סלובקיה</t>
  </si>
  <si>
    <t>Szlovákia</t>
  </si>
  <si>
    <t>Slovacchia</t>
  </si>
  <si>
    <t>슬로바키아</t>
  </si>
  <si>
    <t>Slovakija</t>
  </si>
  <si>
    <t>Словачка</t>
  </si>
  <si>
    <t>Slovakkja</t>
  </si>
  <si>
    <t>اسلواکی</t>
  </si>
  <si>
    <t>Słowacja</t>
  </si>
  <si>
    <t>Eslováquia</t>
  </si>
  <si>
    <t>Slovacia</t>
  </si>
  <si>
    <t>Slovaška</t>
  </si>
  <si>
    <t>Eslovaquia</t>
  </si>
  <si>
    <t>Slovakien</t>
  </si>
  <si>
    <t>สโลวะเกีย</t>
  </si>
  <si>
    <t>Slovakya</t>
  </si>
  <si>
    <t>Словаччина</t>
  </si>
  <si>
    <t>سلوواکیہ</t>
  </si>
  <si>
    <t>Germany</t>
  </si>
  <si>
    <t>Gjermani</t>
  </si>
  <si>
    <t>ألمانيا</t>
  </si>
  <si>
    <t>Գերմանիա</t>
  </si>
  <si>
    <t>Almaniya</t>
  </si>
  <si>
    <t>Германия</t>
  </si>
  <si>
    <t>Alemanya</t>
  </si>
  <si>
    <t>德国</t>
  </si>
  <si>
    <t>德國</t>
  </si>
  <si>
    <t>Njemačka</t>
  </si>
  <si>
    <t>Německo</t>
  </si>
  <si>
    <t>Tyskland</t>
  </si>
  <si>
    <t>Duitsland</t>
  </si>
  <si>
    <t>Allemagne</t>
  </si>
  <si>
    <t>გერმანია</t>
  </si>
  <si>
    <t>Deutschland</t>
  </si>
  <si>
    <t>Γερμανία</t>
  </si>
  <si>
    <t>גרמניה</t>
  </si>
  <si>
    <t>Németország</t>
  </si>
  <si>
    <t>Jerman</t>
  </si>
  <si>
    <t>Þýskaland</t>
  </si>
  <si>
    <t>Germania</t>
  </si>
  <si>
    <t>독일</t>
  </si>
  <si>
    <t>Vokietija</t>
  </si>
  <si>
    <t>германија</t>
  </si>
  <si>
    <t>Ġermanja</t>
  </si>
  <si>
    <t>آلمان</t>
  </si>
  <si>
    <t>Niemcy</t>
  </si>
  <si>
    <t>Alemanha</t>
  </si>
  <si>
    <t>Немачка</t>
  </si>
  <si>
    <t>nemecko</t>
  </si>
  <si>
    <t>Nemčija</t>
  </si>
  <si>
    <t>Alemania</t>
  </si>
  <si>
    <t>ประเทศเยอรมัน</t>
  </si>
  <si>
    <t>Almanya</t>
  </si>
  <si>
    <t>Đức</t>
  </si>
  <si>
    <t>Німеччина</t>
  </si>
  <si>
    <t>جرمنی</t>
  </si>
  <si>
    <t>Wales</t>
  </si>
  <si>
    <t>Uells</t>
  </si>
  <si>
    <t>ويلز</t>
  </si>
  <si>
    <t>Уелс</t>
  </si>
  <si>
    <t>Gal·les</t>
  </si>
  <si>
    <t>威尔士</t>
  </si>
  <si>
    <t>威爾士</t>
  </si>
  <si>
    <t>Vels</t>
  </si>
  <si>
    <t>Pays de Galles</t>
  </si>
  <si>
    <t>უელსი</t>
  </si>
  <si>
    <t>Ουαλία</t>
  </si>
  <si>
    <t>ויילס</t>
  </si>
  <si>
    <t>Galles</t>
  </si>
  <si>
    <t>웨일즈</t>
  </si>
  <si>
    <t>Velsas</t>
  </si>
  <si>
    <t>Велс</t>
  </si>
  <si>
    <t>wales</t>
  </si>
  <si>
    <t>ولز</t>
  </si>
  <si>
    <t>Walia</t>
  </si>
  <si>
    <t>país de Gales</t>
  </si>
  <si>
    <t>Țara Galilor</t>
  </si>
  <si>
    <t>Gales</t>
  </si>
  <si>
    <t>เวลส์</t>
  </si>
  <si>
    <t>Galler</t>
  </si>
  <si>
    <t>xứ Wales</t>
  </si>
  <si>
    <t>Уельс</t>
  </si>
  <si>
    <t>ویلز</t>
  </si>
  <si>
    <t>Croatia</t>
  </si>
  <si>
    <t>Kroacia</t>
  </si>
  <si>
    <t>كرواتيا</t>
  </si>
  <si>
    <t>Խորվաթիա</t>
  </si>
  <si>
    <t>Xorvatiya</t>
  </si>
  <si>
    <t>Хърватия</t>
  </si>
  <si>
    <t>Croàcia</t>
  </si>
  <si>
    <t>克罗地亚</t>
  </si>
  <si>
    <t>克羅地亞</t>
  </si>
  <si>
    <t>Hrvatska</t>
  </si>
  <si>
    <t>Chorvatsko</t>
  </si>
  <si>
    <t>Kroatien</t>
  </si>
  <si>
    <t>Kroatië</t>
  </si>
  <si>
    <t>Croatie</t>
  </si>
  <si>
    <t>ხორვატია</t>
  </si>
  <si>
    <t>Κροατία</t>
  </si>
  <si>
    <t>קרואטיה</t>
  </si>
  <si>
    <t>Horvátország</t>
  </si>
  <si>
    <t>Kroasia</t>
  </si>
  <si>
    <t>Croazia</t>
  </si>
  <si>
    <t>크로아티아</t>
  </si>
  <si>
    <t>Kroatija</t>
  </si>
  <si>
    <t>хрватска</t>
  </si>
  <si>
    <t>Kroazja</t>
  </si>
  <si>
    <t>Kroatia</t>
  </si>
  <si>
    <t>کرواسی</t>
  </si>
  <si>
    <t>Chorwacja</t>
  </si>
  <si>
    <t>Croácia</t>
  </si>
  <si>
    <t>Croația</t>
  </si>
  <si>
    <t>Хрватска</t>
  </si>
  <si>
    <t>chorvátsko</t>
  </si>
  <si>
    <t>Hrvaška</t>
  </si>
  <si>
    <t>Croacia</t>
  </si>
  <si>
    <t>โครเอเชีย</t>
  </si>
  <si>
    <t>Hırvatistan</t>
  </si>
  <si>
    <t>Хорватія</t>
  </si>
  <si>
    <t>کروشیا</t>
  </si>
  <si>
    <t>Northern Ireland</t>
  </si>
  <si>
    <t>Irlanada veriore</t>
  </si>
  <si>
    <t>إيرلندا الشمالية</t>
  </si>
  <si>
    <t>Հյուսիսային Իռլանդիա</t>
  </si>
  <si>
    <t>Şimali irlandiya</t>
  </si>
  <si>
    <t>Северна Ирландия</t>
  </si>
  <si>
    <t>Irlanda del Nord</t>
  </si>
  <si>
    <t>北爱尔兰</t>
  </si>
  <si>
    <t>北愛爾蘭</t>
  </si>
  <si>
    <t>Sjeverna Irska</t>
  </si>
  <si>
    <t>Severní Irsko</t>
  </si>
  <si>
    <t>Nordirland</t>
  </si>
  <si>
    <t>Noord-Ierland</t>
  </si>
  <si>
    <t>Irlande du nord</t>
  </si>
  <si>
    <t>ჩრდილოეთ ირლანდია</t>
  </si>
  <si>
    <t>Βόρεια Ιρλανδία</t>
  </si>
  <si>
    <t>אירלנד הצפונית</t>
  </si>
  <si>
    <t>Észak-Írország</t>
  </si>
  <si>
    <t>Irlandia Utara</t>
  </si>
  <si>
    <t>Norður Írland</t>
  </si>
  <si>
    <t>Irlanda del nord</t>
  </si>
  <si>
    <t>북 아일랜드</t>
  </si>
  <si>
    <t>Šiaurės Airija</t>
  </si>
  <si>
    <t>Северна Ирска</t>
  </si>
  <si>
    <t>Irlanda ta 'Fuq</t>
  </si>
  <si>
    <t>Nord-Irland</t>
  </si>
  <si>
    <t>ایرلند شمالی</t>
  </si>
  <si>
    <t>Irlandia Północna</t>
  </si>
  <si>
    <t>Irlanda do Norte</t>
  </si>
  <si>
    <t>Irlanda de Nord</t>
  </si>
  <si>
    <t>Severné Írsko</t>
  </si>
  <si>
    <t>Severna Irska</t>
  </si>
  <si>
    <t>Irlanda del Norte</t>
  </si>
  <si>
    <t>Norra Irland</t>
  </si>
  <si>
    <t>ไอร์แลนด์เหนือ</t>
  </si>
  <si>
    <t>Kuzey Irlanda</t>
  </si>
  <si>
    <t>Bắc Ireland</t>
  </si>
  <si>
    <t>Північна Ірландія</t>
  </si>
  <si>
    <t>شمالی آئر لینڈ</t>
  </si>
  <si>
    <t>Switzerland</t>
  </si>
  <si>
    <t>Zvicër</t>
  </si>
  <si>
    <t>سويسرا</t>
  </si>
  <si>
    <t>Շվեյցարիա</t>
  </si>
  <si>
    <t>İsveçrə</t>
  </si>
  <si>
    <t>Швейцария</t>
  </si>
  <si>
    <t>Suïssa</t>
  </si>
  <si>
    <t>瑞士</t>
  </si>
  <si>
    <t>Švajcarska</t>
  </si>
  <si>
    <t>Švýcarsko</t>
  </si>
  <si>
    <t>Schweiz</t>
  </si>
  <si>
    <t>Zwitserland</t>
  </si>
  <si>
    <t>Suisse</t>
  </si>
  <si>
    <t>შვეიცარია</t>
  </si>
  <si>
    <t>Ελβετία</t>
  </si>
  <si>
    <t>שוויץ</t>
  </si>
  <si>
    <t>Svájc</t>
  </si>
  <si>
    <t>Swiss</t>
  </si>
  <si>
    <t>Sviss</t>
  </si>
  <si>
    <t>Svizzera</t>
  </si>
  <si>
    <t>스위스</t>
  </si>
  <si>
    <t>Šveicarija</t>
  </si>
  <si>
    <t>Швајцарија</t>
  </si>
  <si>
    <t>Isvizzera</t>
  </si>
  <si>
    <t>Sveits</t>
  </si>
  <si>
    <t>سویس</t>
  </si>
  <si>
    <t>Szwajcaria</t>
  </si>
  <si>
    <t>Suíça</t>
  </si>
  <si>
    <t>Elveția</t>
  </si>
  <si>
    <t>Швајцарска</t>
  </si>
  <si>
    <t>švajčiarsko</t>
  </si>
  <si>
    <t>Švica</t>
  </si>
  <si>
    <t>Suiza</t>
  </si>
  <si>
    <t>ประเทศสวิสเซอร์แลนด์</t>
  </si>
  <si>
    <t>İsviçre</t>
  </si>
  <si>
    <t>Thụy Sĩ</t>
  </si>
  <si>
    <t>Швейцарія</t>
  </si>
  <si>
    <t>سوئٹزرلینڈ</t>
  </si>
  <si>
    <t>Czech Republic</t>
  </si>
  <si>
    <t>Republika Çeke</t>
  </si>
  <si>
    <t>جمهورية التشيك</t>
  </si>
  <si>
    <t>Չեխիայի Հանրապետություն</t>
  </si>
  <si>
    <t>Çexiya Respublikası</t>
  </si>
  <si>
    <t>Чехия</t>
  </si>
  <si>
    <t>República Txeca</t>
  </si>
  <si>
    <t>捷克共和国</t>
  </si>
  <si>
    <t>捷克共和國</t>
  </si>
  <si>
    <t>Češka Republika</t>
  </si>
  <si>
    <t>Česko</t>
  </si>
  <si>
    <t>Tjekkiet</t>
  </si>
  <si>
    <t>Tsjechische Republiek</t>
  </si>
  <si>
    <t>Rép. Tchèque</t>
  </si>
  <si>
    <t>ჩეხეთის რესპუბლიკა</t>
  </si>
  <si>
    <t>Tschechien</t>
  </si>
  <si>
    <t>Τσεχική Δημοκρατία</t>
  </si>
  <si>
    <t>הרפובליקה הצ'כית</t>
  </si>
  <si>
    <t>Cseh Köztársaság</t>
  </si>
  <si>
    <t>Republik Ceko</t>
  </si>
  <si>
    <t>Tékkland</t>
  </si>
  <si>
    <t>Repubblica Ceca</t>
  </si>
  <si>
    <t>체코 공화국</t>
  </si>
  <si>
    <t>Čekijos Respublika</t>
  </si>
  <si>
    <t>Република Чешка</t>
  </si>
  <si>
    <t>Repubblika Ċeka</t>
  </si>
  <si>
    <t>Tsjekkisk Republikk</t>
  </si>
  <si>
    <t>جمهوری چک</t>
  </si>
  <si>
    <t>Czechy</t>
  </si>
  <si>
    <t>República Checa</t>
  </si>
  <si>
    <t>Republica Cehă</t>
  </si>
  <si>
    <t>Чешка</t>
  </si>
  <si>
    <t>Česká republika</t>
  </si>
  <si>
    <t>Češka</t>
  </si>
  <si>
    <t>Tjeckien</t>
  </si>
  <si>
    <t>สาธารณรัฐเช็ก</t>
  </si>
  <si>
    <t>Çek Cumhuriyeti</t>
  </si>
  <si>
    <t>Cộng hòa Séc</t>
  </si>
  <si>
    <t>Чеська Республіка</t>
  </si>
  <si>
    <t>جمہوریہ چیک</t>
  </si>
  <si>
    <t>Republic of Ireland</t>
  </si>
  <si>
    <t>Republika e Irlandës</t>
  </si>
  <si>
    <t>جمهورية ايرلندا</t>
  </si>
  <si>
    <t>Իռլանդիա</t>
  </si>
  <si>
    <t>İrlandiya Respublikası</t>
  </si>
  <si>
    <t>Република Ирландия</t>
  </si>
  <si>
    <t>República d'Irlanda</t>
  </si>
  <si>
    <t>爱尔兰</t>
  </si>
  <si>
    <t>愛爾蘭</t>
  </si>
  <si>
    <t>Republika Irska</t>
  </si>
  <si>
    <t>Irsko</t>
  </si>
  <si>
    <t>Irland</t>
  </si>
  <si>
    <t>republiek Ierland</t>
  </si>
  <si>
    <t>Rép.d'Irlande</t>
  </si>
  <si>
    <t>ირლანდიის რესპუბლიკა</t>
  </si>
  <si>
    <t>Irische Republik</t>
  </si>
  <si>
    <t>Δημοκρατία της Ιρλανδίας</t>
  </si>
  <si>
    <t>רפובליקת אירלנד</t>
  </si>
  <si>
    <t>Ír Köztársaság</t>
  </si>
  <si>
    <t>Republik Irlandia</t>
  </si>
  <si>
    <t>Írland</t>
  </si>
  <si>
    <t>repubblica d'Irlanda</t>
  </si>
  <si>
    <t>아일랜드</t>
  </si>
  <si>
    <t>Airijos Respublika</t>
  </si>
  <si>
    <t>Република Ирска</t>
  </si>
  <si>
    <t>Repubblika tal-Irlanda</t>
  </si>
  <si>
    <t>Republikken Irland</t>
  </si>
  <si>
    <t>جمهوری ایرلند</t>
  </si>
  <si>
    <t>Irlandia</t>
  </si>
  <si>
    <t>República da Irlanda</t>
  </si>
  <si>
    <t>Republica Irlanda</t>
  </si>
  <si>
    <t>Írsko</t>
  </si>
  <si>
    <t>Republica de Irlanda</t>
  </si>
  <si>
    <t>republiken Irland</t>
  </si>
  <si>
    <t>สาธารณรัฐไอร์แลนด์</t>
  </si>
  <si>
    <t>irlanda Cumhuriyeti</t>
  </si>
  <si>
    <t>Cộng hòa Ireland</t>
  </si>
  <si>
    <t>Ірландія</t>
  </si>
  <si>
    <t>جمہوریہ آئرلینڈ</t>
  </si>
  <si>
    <t>Iceland</t>
  </si>
  <si>
    <t>Islandë</t>
  </si>
  <si>
    <t>أيسلندا</t>
  </si>
  <si>
    <t>Իսլանդիան</t>
  </si>
  <si>
    <t>İslandiya</t>
  </si>
  <si>
    <t>Исландия</t>
  </si>
  <si>
    <t>Islàndia</t>
  </si>
  <si>
    <t>冰岛</t>
  </si>
  <si>
    <t>冰島</t>
  </si>
  <si>
    <t>Island</t>
  </si>
  <si>
    <t>IJsland</t>
  </si>
  <si>
    <t>Islande</t>
  </si>
  <si>
    <t>ისლანდიის</t>
  </si>
  <si>
    <t>Ισλανδία</t>
  </si>
  <si>
    <t>אִיסלַנד</t>
  </si>
  <si>
    <t>Izland</t>
  </si>
  <si>
    <t>Islandia</t>
  </si>
  <si>
    <t>Ísland</t>
  </si>
  <si>
    <t>Islanda</t>
  </si>
  <si>
    <t>아이슬란드</t>
  </si>
  <si>
    <t>Islandija</t>
  </si>
  <si>
    <t>Исланд</t>
  </si>
  <si>
    <t>ایسلند</t>
  </si>
  <si>
    <t>Islândia</t>
  </si>
  <si>
    <t>island</t>
  </si>
  <si>
    <t>ประเทศไอซ์แลนด์</t>
  </si>
  <si>
    <t>İzlanda</t>
  </si>
  <si>
    <t>Ісландія</t>
  </si>
  <si>
    <t>آئس لینڈ</t>
  </si>
  <si>
    <t>Austria</t>
  </si>
  <si>
    <t>Austri</t>
  </si>
  <si>
    <t>النمسا</t>
  </si>
  <si>
    <t>austria</t>
  </si>
  <si>
    <t>Avstriya</t>
  </si>
  <si>
    <t>Австрия</t>
  </si>
  <si>
    <t>Àustria</t>
  </si>
  <si>
    <t>奥地利</t>
  </si>
  <si>
    <t>奧地利</t>
  </si>
  <si>
    <t>Austrija</t>
  </si>
  <si>
    <t>Rakousko</t>
  </si>
  <si>
    <t>Østrig</t>
  </si>
  <si>
    <t>Oostenrijk</t>
  </si>
  <si>
    <t>Autriche</t>
  </si>
  <si>
    <t>ავსტრიაში</t>
  </si>
  <si>
    <t>Österreich</t>
  </si>
  <si>
    <t>Αυστρία</t>
  </si>
  <si>
    <t>אוֹסְטְרֵיָה</t>
  </si>
  <si>
    <t>Ausztria</t>
  </si>
  <si>
    <t>Austurríki</t>
  </si>
  <si>
    <t>오스트리아</t>
  </si>
  <si>
    <t>Австрија</t>
  </si>
  <si>
    <t>awstrija</t>
  </si>
  <si>
    <t>Østerrike</t>
  </si>
  <si>
    <t>اتریش</t>
  </si>
  <si>
    <t>Áustria</t>
  </si>
  <si>
    <t>Аустрија</t>
  </si>
  <si>
    <t>Rakúsko</t>
  </si>
  <si>
    <t>Avstrija</t>
  </si>
  <si>
    <t>österrike</t>
  </si>
  <si>
    <t>ออสเตรีย</t>
  </si>
  <si>
    <t>Avusturya</t>
  </si>
  <si>
    <t>Áo</t>
  </si>
  <si>
    <t>Австрія</t>
  </si>
  <si>
    <t>آسٹریا</t>
  </si>
  <si>
    <t>France</t>
  </si>
  <si>
    <t>Francë</t>
  </si>
  <si>
    <t>فرنسا</t>
  </si>
  <si>
    <t>Fransa</t>
  </si>
  <si>
    <t>Франция</t>
  </si>
  <si>
    <t>França</t>
  </si>
  <si>
    <t>法国</t>
  </si>
  <si>
    <t>法國</t>
  </si>
  <si>
    <t>Francuska</t>
  </si>
  <si>
    <t>Francie</t>
  </si>
  <si>
    <t>Frankrig</t>
  </si>
  <si>
    <t>Frankrijk</t>
  </si>
  <si>
    <t>საფრანგეთი</t>
  </si>
  <si>
    <t>Frankreich</t>
  </si>
  <si>
    <t>Γαλλία</t>
  </si>
  <si>
    <t>צרפת</t>
  </si>
  <si>
    <t>Franciaország</t>
  </si>
  <si>
    <t>Perancis</t>
  </si>
  <si>
    <t>Francia</t>
  </si>
  <si>
    <t>프랑스</t>
  </si>
  <si>
    <t>Prancūzija</t>
  </si>
  <si>
    <t>Франција</t>
  </si>
  <si>
    <t>Franza</t>
  </si>
  <si>
    <t>Frankrike</t>
  </si>
  <si>
    <t>فرانسه</t>
  </si>
  <si>
    <t>Francja</t>
  </si>
  <si>
    <t>Franța</t>
  </si>
  <si>
    <t>Француска</t>
  </si>
  <si>
    <t>francúzsko</t>
  </si>
  <si>
    <t>ฝรั่งเศส</t>
  </si>
  <si>
    <t>Pháp</t>
  </si>
  <si>
    <t>Франція</t>
  </si>
  <si>
    <t>فرانس</t>
  </si>
  <si>
    <t>Poland</t>
  </si>
  <si>
    <t>Poloni</t>
  </si>
  <si>
    <t>بولندا</t>
  </si>
  <si>
    <t>poland</t>
  </si>
  <si>
    <t>Polşa</t>
  </si>
  <si>
    <t>Полша</t>
  </si>
  <si>
    <t>Polònia</t>
  </si>
  <si>
    <t>波兰</t>
  </si>
  <si>
    <t>波蘭</t>
  </si>
  <si>
    <t>Poljska</t>
  </si>
  <si>
    <t>Polsko</t>
  </si>
  <si>
    <t>Polen</t>
  </si>
  <si>
    <t>Pologne</t>
  </si>
  <si>
    <t>პოლონეთი</t>
  </si>
  <si>
    <t>Πολωνία</t>
  </si>
  <si>
    <t>פולין</t>
  </si>
  <si>
    <t>Lengyelország</t>
  </si>
  <si>
    <t>Polandia</t>
  </si>
  <si>
    <t>Polonia</t>
  </si>
  <si>
    <t>폴란드</t>
  </si>
  <si>
    <t>Lenkija</t>
  </si>
  <si>
    <t>Полска</t>
  </si>
  <si>
    <t>Il-Polonja</t>
  </si>
  <si>
    <t>لهستان</t>
  </si>
  <si>
    <t>Polska</t>
  </si>
  <si>
    <t>Polônia</t>
  </si>
  <si>
    <t>Пољска</t>
  </si>
  <si>
    <t>Poľsko</t>
  </si>
  <si>
    <t>polen</t>
  </si>
  <si>
    <t>โปแลนด์</t>
  </si>
  <si>
    <t>Polonya</t>
  </si>
  <si>
    <t>Ba Lan</t>
  </si>
  <si>
    <t>Польща</t>
  </si>
  <si>
    <t>پولینڈ</t>
  </si>
  <si>
    <t>England</t>
  </si>
  <si>
    <t>Angli</t>
  </si>
  <si>
    <t>انجلترا</t>
  </si>
  <si>
    <t>Անգլիա</t>
  </si>
  <si>
    <t>İngiltərə</t>
  </si>
  <si>
    <t>Англия</t>
  </si>
  <si>
    <t>Anglaterra</t>
  </si>
  <si>
    <t>英国</t>
  </si>
  <si>
    <t>英國</t>
  </si>
  <si>
    <t>Engleska</t>
  </si>
  <si>
    <t>Anglie</t>
  </si>
  <si>
    <t>Engeland</t>
  </si>
  <si>
    <t>Angleterre</t>
  </si>
  <si>
    <t>ინგლისი</t>
  </si>
  <si>
    <t>Αγγλία</t>
  </si>
  <si>
    <t>אנגליה</t>
  </si>
  <si>
    <t>Anglia</t>
  </si>
  <si>
    <t>Inggris</t>
  </si>
  <si>
    <t>Inghilterra</t>
  </si>
  <si>
    <t>영국</t>
  </si>
  <si>
    <t>Anglija</t>
  </si>
  <si>
    <t>Англија</t>
  </si>
  <si>
    <t>Ingilterra</t>
  </si>
  <si>
    <t>انگلستان</t>
  </si>
  <si>
    <t>Inglaterra</t>
  </si>
  <si>
    <t>Енглеска</t>
  </si>
  <si>
    <t>Anglicko</t>
  </si>
  <si>
    <t>อังกฤษ</t>
  </si>
  <si>
    <t>İngiltere</t>
  </si>
  <si>
    <t>Anh</t>
  </si>
  <si>
    <t>Англія</t>
  </si>
  <si>
    <t>انگلینڈ</t>
  </si>
  <si>
    <t>Belgium</t>
  </si>
  <si>
    <t>Belgjikë</t>
  </si>
  <si>
    <t>بلجيكا</t>
  </si>
  <si>
    <t>Բելգիա</t>
  </si>
  <si>
    <t>Belçika</t>
  </si>
  <si>
    <t>Белгия</t>
  </si>
  <si>
    <t>Bèlgica</t>
  </si>
  <si>
    <t>比利时</t>
  </si>
  <si>
    <t>比利時</t>
  </si>
  <si>
    <t>Belgija</t>
  </si>
  <si>
    <t>Belgie</t>
  </si>
  <si>
    <t>Belgien</t>
  </si>
  <si>
    <t>België</t>
  </si>
  <si>
    <t>Belgique</t>
  </si>
  <si>
    <t>ბელგიის</t>
  </si>
  <si>
    <t>Βέλγιο</t>
  </si>
  <si>
    <t>בלגיה</t>
  </si>
  <si>
    <t>Belgia</t>
  </si>
  <si>
    <t>Belgio</t>
  </si>
  <si>
    <t>벨기에</t>
  </si>
  <si>
    <t>белгија</t>
  </si>
  <si>
    <t>Il-Belġju</t>
  </si>
  <si>
    <t>بلژیک</t>
  </si>
  <si>
    <t>Bélgica</t>
  </si>
  <si>
    <t>Белгија</t>
  </si>
  <si>
    <t>belgicko</t>
  </si>
  <si>
    <t>เบลเยี่ยม</t>
  </si>
  <si>
    <t>Bỉ</t>
  </si>
  <si>
    <t>Бельгія</t>
  </si>
  <si>
    <t>بیلجئیم</t>
  </si>
  <si>
    <t>Sweden</t>
  </si>
  <si>
    <t>Suedi</t>
  </si>
  <si>
    <t>السويد</t>
  </si>
  <si>
    <t>sweden</t>
  </si>
  <si>
    <t>İsveç</t>
  </si>
  <si>
    <t>Швеция</t>
  </si>
  <si>
    <t>Suècia</t>
  </si>
  <si>
    <t>瑞典</t>
  </si>
  <si>
    <t>Švedska</t>
  </si>
  <si>
    <t>Švédsko</t>
  </si>
  <si>
    <t>Sverige</t>
  </si>
  <si>
    <t>Zweden</t>
  </si>
  <si>
    <t>Suède</t>
  </si>
  <si>
    <t>შვედეთი</t>
  </si>
  <si>
    <t>Schweden</t>
  </si>
  <si>
    <t>Σουηδία</t>
  </si>
  <si>
    <t>שוודיה</t>
  </si>
  <si>
    <t>Svédország</t>
  </si>
  <si>
    <t>Swedia</t>
  </si>
  <si>
    <t>Svíþjóð</t>
  </si>
  <si>
    <t>Svezia</t>
  </si>
  <si>
    <t>스웨덴</t>
  </si>
  <si>
    <t>Švedija</t>
  </si>
  <si>
    <t>Шведска</t>
  </si>
  <si>
    <t>l-Isvezja</t>
  </si>
  <si>
    <t>سوئد</t>
  </si>
  <si>
    <t>Szwecja</t>
  </si>
  <si>
    <t>Suécia</t>
  </si>
  <si>
    <t>Suedia</t>
  </si>
  <si>
    <t>Suecia</t>
  </si>
  <si>
    <t>sverige</t>
  </si>
  <si>
    <t>สวีเดน</t>
  </si>
  <si>
    <t>Thụy Điển</t>
  </si>
  <si>
    <t>Швеція</t>
  </si>
  <si>
    <t>سویڈن</t>
  </si>
  <si>
    <t>Russia</t>
  </si>
  <si>
    <t>Rusi</t>
  </si>
  <si>
    <t>روسيا</t>
  </si>
  <si>
    <t>Ռուսաստան</t>
  </si>
  <si>
    <t>Rusiya</t>
  </si>
  <si>
    <t>Русия</t>
  </si>
  <si>
    <t>Rússia</t>
  </si>
  <si>
    <t>俄国</t>
  </si>
  <si>
    <t>俄國</t>
  </si>
  <si>
    <t>Rusija</t>
  </si>
  <si>
    <t>Rusko</t>
  </si>
  <si>
    <t>Rusland</t>
  </si>
  <si>
    <t>Russie</t>
  </si>
  <si>
    <t>რუსეთის</t>
  </si>
  <si>
    <t>Russland</t>
  </si>
  <si>
    <t>Ρωσία</t>
  </si>
  <si>
    <t>רוסיה</t>
  </si>
  <si>
    <t>Oroszország</t>
  </si>
  <si>
    <t>Rusia</t>
  </si>
  <si>
    <t>russia</t>
  </si>
  <si>
    <t>러시아</t>
  </si>
  <si>
    <t>Русија</t>
  </si>
  <si>
    <t>Russja</t>
  </si>
  <si>
    <t>روسیه،</t>
  </si>
  <si>
    <t>Rosja</t>
  </si>
  <si>
    <t>rusko</t>
  </si>
  <si>
    <t>Ryssland</t>
  </si>
  <si>
    <t>ประเทศรัสเซีย</t>
  </si>
  <si>
    <t>Rusya</t>
  </si>
  <si>
    <t>Nga</t>
  </si>
  <si>
    <t>Росія</t>
  </si>
  <si>
    <t>روس</t>
  </si>
  <si>
    <t>1A</t>
  </si>
  <si>
    <t>A1</t>
  </si>
  <si>
    <r>
      <rPr>
        <sz val="10"/>
        <rFont val="Calibri"/>
        <family val="2"/>
        <charset val="204"/>
      </rPr>
      <t xml:space="preserve">A </t>
    </r>
    <r>
      <rPr>
        <sz val="10"/>
        <rFont val="Noto Sans CJK SC"/>
        <family val="2"/>
      </rPr>
      <t xml:space="preserve">그룹 </t>
    </r>
    <r>
      <rPr>
        <sz val="10"/>
        <rFont val="Calibri"/>
        <family val="2"/>
        <charset val="204"/>
      </rPr>
      <t>1</t>
    </r>
    <r>
      <rPr>
        <sz val="10"/>
        <rFont val="Noto Sans CJK SC"/>
        <family val="2"/>
      </rPr>
      <t>위</t>
    </r>
  </si>
  <si>
    <t>اول گروه A</t>
  </si>
  <si>
    <t>ที่ 1 สาย A</t>
  </si>
  <si>
    <t>۱الف</t>
  </si>
  <si>
    <t>2A</t>
  </si>
  <si>
    <t>A2</t>
  </si>
  <si>
    <r>
      <rPr>
        <sz val="10"/>
        <rFont val="Calibri"/>
        <family val="2"/>
        <charset val="204"/>
      </rPr>
      <t xml:space="preserve">A </t>
    </r>
    <r>
      <rPr>
        <sz val="10"/>
        <rFont val="Noto Sans CJK SC"/>
        <family val="2"/>
      </rPr>
      <t xml:space="preserve">그룹 </t>
    </r>
    <r>
      <rPr>
        <sz val="10"/>
        <rFont val="Calibri"/>
        <family val="2"/>
        <charset val="204"/>
      </rPr>
      <t>2</t>
    </r>
    <r>
      <rPr>
        <sz val="10"/>
        <rFont val="Noto Sans CJK SC"/>
        <family val="2"/>
      </rPr>
      <t>위</t>
    </r>
  </si>
  <si>
    <t>دوم گروه A</t>
  </si>
  <si>
    <t>ที่ 2 สาย A</t>
  </si>
  <si>
    <t>۲الف</t>
  </si>
  <si>
    <t>1B</t>
  </si>
  <si>
    <t>B1</t>
  </si>
  <si>
    <r>
      <rPr>
        <sz val="10"/>
        <rFont val="Calibri"/>
        <family val="2"/>
        <charset val="204"/>
      </rPr>
      <t xml:space="preserve">B </t>
    </r>
    <r>
      <rPr>
        <sz val="10"/>
        <rFont val="Noto Sans CJK SC"/>
        <family val="2"/>
      </rPr>
      <t xml:space="preserve">그룹 </t>
    </r>
    <r>
      <rPr>
        <sz val="10"/>
        <rFont val="Calibri"/>
        <family val="2"/>
        <charset val="204"/>
      </rPr>
      <t>1</t>
    </r>
    <r>
      <rPr>
        <sz val="10"/>
        <rFont val="Noto Sans CJK SC"/>
        <family val="2"/>
      </rPr>
      <t>위</t>
    </r>
  </si>
  <si>
    <t>اول گروه B</t>
  </si>
  <si>
    <t>ที่ 1 สาย B</t>
  </si>
  <si>
    <t>۱ب</t>
  </si>
  <si>
    <t>2B</t>
  </si>
  <si>
    <t>B2</t>
  </si>
  <si>
    <r>
      <rPr>
        <sz val="10"/>
        <rFont val="Calibri"/>
        <family val="2"/>
        <charset val="204"/>
      </rPr>
      <t xml:space="preserve">B </t>
    </r>
    <r>
      <rPr>
        <sz val="10"/>
        <rFont val="Noto Sans CJK SC"/>
        <family val="2"/>
      </rPr>
      <t xml:space="preserve">그룹 </t>
    </r>
    <r>
      <rPr>
        <sz val="10"/>
        <rFont val="Calibri"/>
        <family val="2"/>
        <charset val="204"/>
      </rPr>
      <t>2</t>
    </r>
    <r>
      <rPr>
        <sz val="10"/>
        <rFont val="Noto Sans CJK SC"/>
        <family val="2"/>
      </rPr>
      <t>위</t>
    </r>
  </si>
  <si>
    <t>دوم گروهB</t>
  </si>
  <si>
    <t>ที่ 2 สาย B</t>
  </si>
  <si>
    <t>۲ب</t>
  </si>
  <si>
    <t>1C</t>
  </si>
  <si>
    <t>C1</t>
  </si>
  <si>
    <t>1Γ</t>
  </si>
  <si>
    <r>
      <rPr>
        <sz val="10"/>
        <rFont val="Calibri"/>
        <family val="2"/>
        <charset val="204"/>
      </rPr>
      <t xml:space="preserve">C </t>
    </r>
    <r>
      <rPr>
        <sz val="10"/>
        <rFont val="Noto Sans CJK SC"/>
        <family val="2"/>
      </rPr>
      <t xml:space="preserve">그룹 </t>
    </r>
    <r>
      <rPr>
        <sz val="10"/>
        <rFont val="Calibri"/>
        <family val="2"/>
        <charset val="204"/>
      </rPr>
      <t>1</t>
    </r>
    <r>
      <rPr>
        <sz val="10"/>
        <rFont val="Noto Sans CJK SC"/>
        <family val="2"/>
      </rPr>
      <t>위</t>
    </r>
  </si>
  <si>
    <t>1Ċ</t>
  </si>
  <si>
    <t>اول گروه C</t>
  </si>
  <si>
    <t>ที่ 1 สาย C</t>
  </si>
  <si>
    <t>۱ج</t>
  </si>
  <si>
    <t>2C</t>
  </si>
  <si>
    <t>C2</t>
  </si>
  <si>
    <t>2Γ</t>
  </si>
  <si>
    <r>
      <rPr>
        <sz val="10"/>
        <rFont val="Calibri"/>
        <family val="2"/>
        <charset val="204"/>
      </rPr>
      <t xml:space="preserve">C </t>
    </r>
    <r>
      <rPr>
        <sz val="10"/>
        <rFont val="Noto Sans CJK SC"/>
        <family val="2"/>
      </rPr>
      <t xml:space="preserve">그룹 </t>
    </r>
    <r>
      <rPr>
        <sz val="10"/>
        <rFont val="Calibri"/>
        <family val="2"/>
        <charset val="204"/>
      </rPr>
      <t>2</t>
    </r>
    <r>
      <rPr>
        <sz val="10"/>
        <rFont val="Noto Sans CJK SC"/>
        <family val="2"/>
      </rPr>
      <t>위</t>
    </r>
  </si>
  <si>
    <t>2Ċ</t>
  </si>
  <si>
    <t>دوم گروه C</t>
  </si>
  <si>
    <t>ที่ 2 สาย C</t>
  </si>
  <si>
    <t>۲ج</t>
  </si>
  <si>
    <t>1D</t>
  </si>
  <si>
    <t>D1</t>
  </si>
  <si>
    <t>1Δ</t>
  </si>
  <si>
    <r>
      <rPr>
        <sz val="10"/>
        <rFont val="Calibri"/>
        <family val="2"/>
        <charset val="204"/>
      </rPr>
      <t xml:space="preserve">D </t>
    </r>
    <r>
      <rPr>
        <sz val="10"/>
        <rFont val="Noto Sans CJK SC"/>
        <family val="2"/>
      </rPr>
      <t xml:space="preserve">그룹 </t>
    </r>
    <r>
      <rPr>
        <sz val="10"/>
        <rFont val="Calibri"/>
        <family val="2"/>
        <charset val="204"/>
      </rPr>
      <t>1</t>
    </r>
    <r>
      <rPr>
        <sz val="10"/>
        <rFont val="Noto Sans CJK SC"/>
        <family val="2"/>
      </rPr>
      <t>위</t>
    </r>
  </si>
  <si>
    <t>اول گروه D</t>
  </si>
  <si>
    <t>ที่ 1 สาย D</t>
  </si>
  <si>
    <t>۱د</t>
  </si>
  <si>
    <t>2D</t>
  </si>
  <si>
    <t>D2</t>
  </si>
  <si>
    <t>2Δ</t>
  </si>
  <si>
    <r>
      <rPr>
        <sz val="10"/>
        <rFont val="Calibri"/>
        <family val="2"/>
        <charset val="204"/>
      </rPr>
      <t xml:space="preserve">D </t>
    </r>
    <r>
      <rPr>
        <sz val="10"/>
        <rFont val="Noto Sans CJK SC"/>
        <family val="2"/>
      </rPr>
      <t xml:space="preserve">그룹 </t>
    </r>
    <r>
      <rPr>
        <sz val="10"/>
        <rFont val="Calibri"/>
        <family val="2"/>
        <charset val="204"/>
      </rPr>
      <t>2</t>
    </r>
    <r>
      <rPr>
        <sz val="10"/>
        <rFont val="Noto Sans CJK SC"/>
        <family val="2"/>
      </rPr>
      <t>위</t>
    </r>
  </si>
  <si>
    <t>دوم گروه D</t>
  </si>
  <si>
    <t>ที่ 2 สาย D</t>
  </si>
  <si>
    <t>۲د</t>
  </si>
  <si>
    <t>1E</t>
  </si>
  <si>
    <t>E1</t>
  </si>
  <si>
    <t>1Ε</t>
  </si>
  <si>
    <r>
      <rPr>
        <sz val="10"/>
        <rFont val="Calibri"/>
        <family val="2"/>
        <charset val="204"/>
      </rPr>
      <t xml:space="preserve">E </t>
    </r>
    <r>
      <rPr>
        <sz val="10"/>
        <rFont val="Noto Sans CJK SC"/>
        <family val="2"/>
      </rPr>
      <t xml:space="preserve">그룹 </t>
    </r>
    <r>
      <rPr>
        <sz val="10"/>
        <rFont val="Calibri"/>
        <family val="2"/>
        <charset val="204"/>
      </rPr>
      <t>1</t>
    </r>
    <r>
      <rPr>
        <sz val="10"/>
        <rFont val="Noto Sans CJK SC"/>
        <family val="2"/>
      </rPr>
      <t>위</t>
    </r>
  </si>
  <si>
    <t>اول گروه E</t>
  </si>
  <si>
    <t>ที่ 1 สาย E</t>
  </si>
  <si>
    <t>۱ھ</t>
  </si>
  <si>
    <t>2E</t>
  </si>
  <si>
    <t>E2</t>
  </si>
  <si>
    <t>2Ε</t>
  </si>
  <si>
    <r>
      <rPr>
        <sz val="10"/>
        <rFont val="Calibri"/>
        <family val="2"/>
        <charset val="204"/>
      </rPr>
      <t xml:space="preserve">E </t>
    </r>
    <r>
      <rPr>
        <sz val="10"/>
        <rFont val="Noto Sans CJK SC"/>
        <family val="2"/>
      </rPr>
      <t xml:space="preserve">그룹 </t>
    </r>
    <r>
      <rPr>
        <sz val="10"/>
        <rFont val="Calibri"/>
        <family val="2"/>
        <charset val="204"/>
      </rPr>
      <t>2</t>
    </r>
    <r>
      <rPr>
        <sz val="10"/>
        <rFont val="Noto Sans CJK SC"/>
        <family val="2"/>
      </rPr>
      <t>위</t>
    </r>
  </si>
  <si>
    <t>دوم گروه E</t>
  </si>
  <si>
    <t>ที่ 2 สาย E</t>
  </si>
  <si>
    <t>۲ھ</t>
  </si>
  <si>
    <t>1F</t>
  </si>
  <si>
    <t>F1</t>
  </si>
  <si>
    <t>1ΣΤ</t>
  </si>
  <si>
    <r>
      <rPr>
        <sz val="10"/>
        <rFont val="Calibri"/>
        <family val="2"/>
        <charset val="204"/>
      </rPr>
      <t xml:space="preserve">F </t>
    </r>
    <r>
      <rPr>
        <sz val="10"/>
        <rFont val="Noto Sans CJK SC"/>
        <family val="2"/>
      </rPr>
      <t xml:space="preserve">그룹 </t>
    </r>
    <r>
      <rPr>
        <sz val="10"/>
        <rFont val="Calibri"/>
        <family val="2"/>
        <charset val="204"/>
      </rPr>
      <t>1</t>
    </r>
    <r>
      <rPr>
        <sz val="10"/>
        <rFont val="Noto Sans CJK SC"/>
        <family val="2"/>
      </rPr>
      <t>위</t>
    </r>
  </si>
  <si>
    <t>اول گروه F</t>
  </si>
  <si>
    <t>ที่ 1 สาย F</t>
  </si>
  <si>
    <t>۱و</t>
  </si>
  <si>
    <t>2F</t>
  </si>
  <si>
    <t>F2</t>
  </si>
  <si>
    <t>2ΣΤ</t>
  </si>
  <si>
    <r>
      <rPr>
        <sz val="10"/>
        <rFont val="Calibri"/>
        <family val="2"/>
        <charset val="204"/>
      </rPr>
      <t xml:space="preserve">F </t>
    </r>
    <r>
      <rPr>
        <sz val="10"/>
        <rFont val="Noto Sans CJK SC"/>
        <family val="2"/>
      </rPr>
      <t xml:space="preserve">그룹 </t>
    </r>
    <r>
      <rPr>
        <sz val="10"/>
        <rFont val="Calibri"/>
        <family val="2"/>
        <charset val="204"/>
      </rPr>
      <t>2</t>
    </r>
    <r>
      <rPr>
        <sz val="10"/>
        <rFont val="Noto Sans CJK SC"/>
        <family val="2"/>
      </rPr>
      <t>위</t>
    </r>
  </si>
  <si>
    <t>دوم گروه F</t>
  </si>
  <si>
    <t>ที่ 2 สาย F</t>
  </si>
  <si>
    <t>۲و</t>
  </si>
  <si>
    <t>1G</t>
  </si>
  <si>
    <t>G1</t>
  </si>
  <si>
    <t>1Ζ</t>
  </si>
  <si>
    <r>
      <rPr>
        <sz val="10"/>
        <rFont val="Calibri"/>
        <family val="2"/>
        <charset val="204"/>
      </rPr>
      <t xml:space="preserve">G </t>
    </r>
    <r>
      <rPr>
        <sz val="10"/>
        <rFont val="Noto Sans CJK SC"/>
        <family val="2"/>
      </rPr>
      <t xml:space="preserve">그룹 </t>
    </r>
    <r>
      <rPr>
        <sz val="10"/>
        <rFont val="Calibri"/>
        <family val="2"/>
        <charset val="204"/>
      </rPr>
      <t>1</t>
    </r>
    <r>
      <rPr>
        <sz val="10"/>
        <rFont val="Noto Sans CJK SC"/>
        <family val="2"/>
      </rPr>
      <t>위</t>
    </r>
  </si>
  <si>
    <t>1Ġ</t>
  </si>
  <si>
    <t>اول گروه G</t>
  </si>
  <si>
    <t>ที่ 1 สาย G</t>
  </si>
  <si>
    <t>۱ز</t>
  </si>
  <si>
    <t>2G</t>
  </si>
  <si>
    <t>G2</t>
  </si>
  <si>
    <t>2Ζ</t>
  </si>
  <si>
    <r>
      <rPr>
        <sz val="10"/>
        <rFont val="Calibri"/>
        <family val="2"/>
        <charset val="204"/>
      </rPr>
      <t xml:space="preserve">G </t>
    </r>
    <r>
      <rPr>
        <sz val="10"/>
        <rFont val="Noto Sans CJK SC"/>
        <family val="2"/>
      </rPr>
      <t xml:space="preserve">그룹 </t>
    </r>
    <r>
      <rPr>
        <sz val="10"/>
        <rFont val="Calibri"/>
        <family val="2"/>
        <charset val="204"/>
      </rPr>
      <t>2</t>
    </r>
    <r>
      <rPr>
        <sz val="10"/>
        <rFont val="Noto Sans CJK SC"/>
        <family val="2"/>
      </rPr>
      <t>위</t>
    </r>
  </si>
  <si>
    <t>2Ġ</t>
  </si>
  <si>
    <t>دوم گروه G</t>
  </si>
  <si>
    <t>ที่ 2 สาย G</t>
  </si>
  <si>
    <t>۲ز</t>
  </si>
  <si>
    <t>1H</t>
  </si>
  <si>
    <t>H1</t>
  </si>
  <si>
    <r>
      <rPr>
        <sz val="10"/>
        <rFont val="Calibri"/>
        <family val="2"/>
        <charset val="204"/>
      </rPr>
      <t xml:space="preserve">H </t>
    </r>
    <r>
      <rPr>
        <sz val="10"/>
        <rFont val="Noto Sans CJK SC"/>
        <family val="2"/>
      </rPr>
      <t xml:space="preserve">그룹 </t>
    </r>
    <r>
      <rPr>
        <sz val="10"/>
        <rFont val="Calibri"/>
        <family val="2"/>
        <charset val="204"/>
      </rPr>
      <t>1</t>
    </r>
    <r>
      <rPr>
        <sz val="10"/>
        <rFont val="Noto Sans CJK SC"/>
        <family val="2"/>
      </rPr>
      <t>위</t>
    </r>
  </si>
  <si>
    <t>1Ħ</t>
  </si>
  <si>
    <t>اول گروه H</t>
  </si>
  <si>
    <t>ที่ 1 สาย H</t>
  </si>
  <si>
    <t>۱ح</t>
  </si>
  <si>
    <t>2H</t>
  </si>
  <si>
    <t>H2</t>
  </si>
  <si>
    <r>
      <rPr>
        <sz val="10"/>
        <rFont val="Calibri"/>
        <family val="2"/>
        <charset val="204"/>
      </rPr>
      <t xml:space="preserve">H </t>
    </r>
    <r>
      <rPr>
        <sz val="10"/>
        <rFont val="Noto Sans CJK SC"/>
        <family val="2"/>
      </rPr>
      <t xml:space="preserve">그룹 </t>
    </r>
    <r>
      <rPr>
        <sz val="10"/>
        <rFont val="Calibri"/>
        <family val="2"/>
        <charset val="204"/>
      </rPr>
      <t>2</t>
    </r>
    <r>
      <rPr>
        <sz val="10"/>
        <rFont val="Noto Sans CJK SC"/>
        <family val="2"/>
      </rPr>
      <t>위</t>
    </r>
  </si>
  <si>
    <t>دوم گروه H</t>
  </si>
  <si>
    <t>ที่ 2 สาย H</t>
  </si>
  <si>
    <t>۲ح</t>
  </si>
  <si>
    <t>W37</t>
  </si>
  <si>
    <t>F37</t>
  </si>
  <si>
    <t>Q37</t>
  </si>
  <si>
    <t>G37</t>
  </si>
  <si>
    <r>
      <rPr>
        <sz val="10"/>
        <rFont val="Calibri"/>
        <family val="2"/>
        <charset val="204"/>
      </rPr>
      <t>37</t>
    </r>
    <r>
      <rPr>
        <sz val="10"/>
        <rFont val="Noto Sans CJK SC"/>
        <family val="2"/>
      </rPr>
      <t>胜者</t>
    </r>
  </si>
  <si>
    <t>V37</t>
  </si>
  <si>
    <t>მ37</t>
  </si>
  <si>
    <t>Ν37</t>
  </si>
  <si>
    <t>GY37</t>
  </si>
  <si>
    <r>
      <rPr>
        <sz val="10"/>
        <rFont val="Calibri"/>
        <family val="2"/>
        <charset val="204"/>
      </rPr>
      <t>16</t>
    </r>
    <r>
      <rPr>
        <sz val="10"/>
        <rFont val="Noto Sans CJK SC"/>
        <family val="2"/>
      </rPr>
      <t>강전 경기</t>
    </r>
    <r>
      <rPr>
        <sz val="10"/>
        <rFont val="Calibri"/>
        <family val="2"/>
        <charset val="204"/>
      </rPr>
      <t xml:space="preserve">1 </t>
    </r>
    <r>
      <rPr>
        <sz val="10"/>
        <rFont val="Noto Sans CJK SC"/>
        <family val="2"/>
      </rPr>
      <t>승자</t>
    </r>
  </si>
  <si>
    <t>L37</t>
  </si>
  <si>
    <t>П37</t>
  </si>
  <si>
    <t>R37</t>
  </si>
  <si>
    <t>برنده بازی 37</t>
  </si>
  <si>
    <t>C37</t>
  </si>
  <si>
    <t>P37</t>
  </si>
  <si>
    <t>ผู้ชนะนัดที่ 37</t>
  </si>
  <si>
    <t>T37</t>
  </si>
  <si>
    <t>Переможець 37</t>
  </si>
  <si>
    <t>۴۹ جیت</t>
  </si>
  <si>
    <t>W39</t>
  </si>
  <si>
    <t>F39</t>
  </si>
  <si>
    <t>Q39</t>
  </si>
  <si>
    <t>G39</t>
  </si>
  <si>
    <r>
      <rPr>
        <sz val="10"/>
        <rFont val="Calibri"/>
        <family val="2"/>
        <charset val="204"/>
      </rPr>
      <t>39</t>
    </r>
    <r>
      <rPr>
        <sz val="10"/>
        <rFont val="Noto Sans CJK SC"/>
        <family val="2"/>
      </rPr>
      <t>胜者</t>
    </r>
  </si>
  <si>
    <t>V39</t>
  </si>
  <si>
    <t>მ39</t>
  </si>
  <si>
    <t>Ν39</t>
  </si>
  <si>
    <t>GY39</t>
  </si>
  <si>
    <r>
      <rPr>
        <sz val="10"/>
        <rFont val="Calibri"/>
        <family val="2"/>
        <charset val="204"/>
      </rPr>
      <t>16</t>
    </r>
    <r>
      <rPr>
        <sz val="10"/>
        <rFont val="Noto Sans CJK SC"/>
        <family val="2"/>
      </rPr>
      <t>강전 경기</t>
    </r>
    <r>
      <rPr>
        <sz val="10"/>
        <rFont val="Calibri"/>
        <family val="2"/>
        <charset val="204"/>
      </rPr>
      <t xml:space="preserve">2 </t>
    </r>
    <r>
      <rPr>
        <sz val="10"/>
        <rFont val="Noto Sans CJK SC"/>
        <family val="2"/>
      </rPr>
      <t>승자</t>
    </r>
  </si>
  <si>
    <t>L39</t>
  </si>
  <si>
    <t>П39</t>
  </si>
  <si>
    <t>R39</t>
  </si>
  <si>
    <t>برنده بازی 39</t>
  </si>
  <si>
    <t>C39</t>
  </si>
  <si>
    <t>P39</t>
  </si>
  <si>
    <t>ผู้ชนะนัดที่ 39</t>
  </si>
  <si>
    <t>T39</t>
  </si>
  <si>
    <t>Переможець 39</t>
  </si>
  <si>
    <t>۵۰ جیت</t>
  </si>
  <si>
    <t>W41</t>
  </si>
  <si>
    <t>F41</t>
  </si>
  <si>
    <t>Q41</t>
  </si>
  <si>
    <t>G41</t>
  </si>
  <si>
    <r>
      <rPr>
        <sz val="10"/>
        <rFont val="Calibri"/>
        <family val="2"/>
        <charset val="204"/>
      </rPr>
      <t>41</t>
    </r>
    <r>
      <rPr>
        <sz val="10"/>
        <rFont val="Noto Sans CJK SC"/>
        <family val="2"/>
      </rPr>
      <t>胜者</t>
    </r>
  </si>
  <si>
    <t>V41</t>
  </si>
  <si>
    <t>მ41</t>
  </si>
  <si>
    <t>Ν41</t>
  </si>
  <si>
    <t>GY41</t>
  </si>
  <si>
    <r>
      <rPr>
        <sz val="10"/>
        <rFont val="Calibri"/>
        <family val="2"/>
        <charset val="204"/>
      </rPr>
      <t>16</t>
    </r>
    <r>
      <rPr>
        <sz val="10"/>
        <rFont val="Noto Sans CJK SC"/>
        <family val="2"/>
      </rPr>
      <t>강전 경기</t>
    </r>
    <r>
      <rPr>
        <sz val="10"/>
        <rFont val="Calibri"/>
        <family val="2"/>
        <charset val="204"/>
      </rPr>
      <t xml:space="preserve">3 </t>
    </r>
    <r>
      <rPr>
        <sz val="10"/>
        <rFont val="Noto Sans CJK SC"/>
        <family val="2"/>
      </rPr>
      <t>승자</t>
    </r>
  </si>
  <si>
    <t>L41</t>
  </si>
  <si>
    <t>П41</t>
  </si>
  <si>
    <t>R41</t>
  </si>
  <si>
    <t>برنده بازی 41</t>
  </si>
  <si>
    <t>C41</t>
  </si>
  <si>
    <t>P41</t>
  </si>
  <si>
    <t>ผู้ชนะนัดที่ 41</t>
  </si>
  <si>
    <t>T41</t>
  </si>
  <si>
    <t>Переможець 41</t>
  </si>
  <si>
    <t>۵۱ جیت</t>
  </si>
  <si>
    <t>W43</t>
  </si>
  <si>
    <t>F43</t>
  </si>
  <si>
    <t>Q43</t>
  </si>
  <si>
    <t>G43</t>
  </si>
  <si>
    <r>
      <rPr>
        <sz val="10"/>
        <rFont val="Calibri"/>
        <family val="2"/>
        <charset val="204"/>
      </rPr>
      <t>43</t>
    </r>
    <r>
      <rPr>
        <sz val="10"/>
        <rFont val="Noto Sans CJK SC"/>
        <family val="2"/>
      </rPr>
      <t>胜者</t>
    </r>
  </si>
  <si>
    <t>V43</t>
  </si>
  <si>
    <t>მ43</t>
  </si>
  <si>
    <t>Ν43</t>
  </si>
  <si>
    <t>GY43</t>
  </si>
  <si>
    <r>
      <rPr>
        <sz val="10"/>
        <rFont val="Calibri"/>
        <family val="2"/>
        <charset val="204"/>
      </rPr>
      <t>16</t>
    </r>
    <r>
      <rPr>
        <sz val="10"/>
        <rFont val="Noto Sans CJK SC"/>
        <family val="2"/>
      </rPr>
      <t>강전 경기</t>
    </r>
    <r>
      <rPr>
        <sz val="10"/>
        <rFont val="Calibri"/>
        <family val="2"/>
        <charset val="204"/>
      </rPr>
      <t xml:space="preserve">4 </t>
    </r>
    <r>
      <rPr>
        <sz val="10"/>
        <rFont val="Noto Sans CJK SC"/>
        <family val="2"/>
      </rPr>
      <t>승자</t>
    </r>
  </si>
  <si>
    <t>L43</t>
  </si>
  <si>
    <t>П43</t>
  </si>
  <si>
    <t>R43</t>
  </si>
  <si>
    <t>برنده بازی 43</t>
  </si>
  <si>
    <t>C43</t>
  </si>
  <si>
    <t>P43</t>
  </si>
  <si>
    <t>ผู้ชนะนัดที่ 43</t>
  </si>
  <si>
    <t>T43</t>
  </si>
  <si>
    <t>Переможець 43</t>
  </si>
  <si>
    <t>۵۲ جیت</t>
  </si>
  <si>
    <t>W38</t>
  </si>
  <si>
    <t>F38</t>
  </si>
  <si>
    <t>Q38</t>
  </si>
  <si>
    <t>G38</t>
  </si>
  <si>
    <r>
      <rPr>
        <sz val="10"/>
        <rFont val="Calibri"/>
        <family val="2"/>
        <charset val="204"/>
      </rPr>
      <t>38</t>
    </r>
    <r>
      <rPr>
        <sz val="10"/>
        <rFont val="Noto Sans CJK SC"/>
        <family val="2"/>
      </rPr>
      <t>胜者</t>
    </r>
  </si>
  <si>
    <t>V38</t>
  </si>
  <si>
    <t>მ38</t>
  </si>
  <si>
    <t>Ν38</t>
  </si>
  <si>
    <t>GY38</t>
  </si>
  <si>
    <r>
      <rPr>
        <sz val="10"/>
        <rFont val="Calibri"/>
        <family val="2"/>
        <charset val="204"/>
      </rPr>
      <t>16</t>
    </r>
    <r>
      <rPr>
        <sz val="10"/>
        <rFont val="Noto Sans CJK SC"/>
        <family val="2"/>
      </rPr>
      <t>강전 경기</t>
    </r>
    <r>
      <rPr>
        <sz val="10"/>
        <rFont val="Calibri"/>
        <family val="2"/>
        <charset val="204"/>
      </rPr>
      <t xml:space="preserve">5 </t>
    </r>
    <r>
      <rPr>
        <sz val="10"/>
        <rFont val="Noto Sans CJK SC"/>
        <family val="2"/>
      </rPr>
      <t>승자</t>
    </r>
  </si>
  <si>
    <t>L38</t>
  </si>
  <si>
    <t>П38</t>
  </si>
  <si>
    <t>R38</t>
  </si>
  <si>
    <t>برنده بازی 38</t>
  </si>
  <si>
    <t>C38</t>
  </si>
  <si>
    <t>P38</t>
  </si>
  <si>
    <t>ผู้ชนะนัดที่ 38</t>
  </si>
  <si>
    <t>T38</t>
  </si>
  <si>
    <t>Переможець 38</t>
  </si>
  <si>
    <t>۵۳ جیت</t>
  </si>
  <si>
    <t>W42</t>
  </si>
  <si>
    <t>F42</t>
  </si>
  <si>
    <t>Q42</t>
  </si>
  <si>
    <t>G42</t>
  </si>
  <si>
    <r>
      <rPr>
        <sz val="10"/>
        <rFont val="Calibri"/>
        <family val="2"/>
        <charset val="204"/>
      </rPr>
      <t>42</t>
    </r>
    <r>
      <rPr>
        <sz val="10"/>
        <rFont val="Noto Sans CJK SC"/>
        <family val="2"/>
      </rPr>
      <t>胜者</t>
    </r>
  </si>
  <si>
    <t>V42</t>
  </si>
  <si>
    <t>მ42</t>
  </si>
  <si>
    <t>Ν42</t>
  </si>
  <si>
    <t>GY42</t>
  </si>
  <si>
    <r>
      <rPr>
        <sz val="10"/>
        <rFont val="Calibri"/>
        <family val="2"/>
        <charset val="204"/>
      </rPr>
      <t>16</t>
    </r>
    <r>
      <rPr>
        <sz val="10"/>
        <rFont val="Noto Sans CJK SC"/>
        <family val="2"/>
      </rPr>
      <t>강전 경기</t>
    </r>
    <r>
      <rPr>
        <sz val="10"/>
        <rFont val="Calibri"/>
        <family val="2"/>
        <charset val="204"/>
      </rPr>
      <t xml:space="preserve">6 </t>
    </r>
    <r>
      <rPr>
        <sz val="10"/>
        <rFont val="Noto Sans CJK SC"/>
        <family val="2"/>
      </rPr>
      <t>승자</t>
    </r>
  </si>
  <si>
    <t>L42</t>
  </si>
  <si>
    <t>П42</t>
  </si>
  <si>
    <t>R42</t>
  </si>
  <si>
    <t>برنده بازی 42</t>
  </si>
  <si>
    <t>C42</t>
  </si>
  <si>
    <t>P42</t>
  </si>
  <si>
    <t>ผู้ชนะนัดที่ 42</t>
  </si>
  <si>
    <t>T42</t>
  </si>
  <si>
    <t>Переможець 42</t>
  </si>
  <si>
    <t>۵۴ جیت</t>
  </si>
  <si>
    <t>W40</t>
  </si>
  <si>
    <t>F40</t>
  </si>
  <si>
    <t>Q40</t>
  </si>
  <si>
    <t>G40</t>
  </si>
  <si>
    <r>
      <rPr>
        <sz val="10"/>
        <rFont val="Calibri"/>
        <family val="2"/>
        <charset val="204"/>
      </rPr>
      <t>40</t>
    </r>
    <r>
      <rPr>
        <sz val="10"/>
        <rFont val="Noto Sans CJK SC"/>
        <family val="2"/>
      </rPr>
      <t>胜者</t>
    </r>
  </si>
  <si>
    <t>V40</t>
  </si>
  <si>
    <t>მ40</t>
  </si>
  <si>
    <t>Ν40</t>
  </si>
  <si>
    <t>GY40</t>
  </si>
  <si>
    <r>
      <rPr>
        <sz val="10"/>
        <rFont val="Calibri"/>
        <family val="2"/>
        <charset val="204"/>
      </rPr>
      <t>16</t>
    </r>
    <r>
      <rPr>
        <sz val="10"/>
        <rFont val="Noto Sans CJK SC"/>
        <family val="2"/>
      </rPr>
      <t>강전 경기</t>
    </r>
    <r>
      <rPr>
        <sz val="10"/>
        <rFont val="Calibri"/>
        <family val="2"/>
        <charset val="204"/>
      </rPr>
      <t xml:space="preserve">7 </t>
    </r>
    <r>
      <rPr>
        <sz val="10"/>
        <rFont val="Noto Sans CJK SC"/>
        <family val="2"/>
      </rPr>
      <t>승자</t>
    </r>
  </si>
  <si>
    <t>L40</t>
  </si>
  <si>
    <t>П40</t>
  </si>
  <si>
    <t>R40</t>
  </si>
  <si>
    <t>برنده بازی 40</t>
  </si>
  <si>
    <t>C40</t>
  </si>
  <si>
    <t>P40</t>
  </si>
  <si>
    <t>ผู้ชนะนัดที่ 40</t>
  </si>
  <si>
    <t>T40</t>
  </si>
  <si>
    <t>Переможець 40</t>
  </si>
  <si>
    <t>۵۵ جیت</t>
  </si>
  <si>
    <t>W44</t>
  </si>
  <si>
    <t>F44</t>
  </si>
  <si>
    <t>Q44</t>
  </si>
  <si>
    <t>G44</t>
  </si>
  <si>
    <r>
      <rPr>
        <sz val="10"/>
        <rFont val="Calibri"/>
        <family val="2"/>
        <charset val="204"/>
      </rPr>
      <t>44</t>
    </r>
    <r>
      <rPr>
        <sz val="10"/>
        <rFont val="Noto Sans CJK SC"/>
        <family val="2"/>
      </rPr>
      <t>胜者</t>
    </r>
  </si>
  <si>
    <t>V44</t>
  </si>
  <si>
    <t>მ44</t>
  </si>
  <si>
    <t>Ν44</t>
  </si>
  <si>
    <t>GY44</t>
  </si>
  <si>
    <r>
      <rPr>
        <sz val="10"/>
        <rFont val="Calibri"/>
        <family val="2"/>
        <charset val="204"/>
      </rPr>
      <t>16</t>
    </r>
    <r>
      <rPr>
        <sz val="10"/>
        <rFont val="Noto Sans CJK SC"/>
        <family val="2"/>
      </rPr>
      <t>강전 경기</t>
    </r>
    <r>
      <rPr>
        <sz val="10"/>
        <rFont val="Calibri"/>
        <family val="2"/>
        <charset val="204"/>
      </rPr>
      <t xml:space="preserve">8 </t>
    </r>
    <r>
      <rPr>
        <sz val="10"/>
        <rFont val="Noto Sans CJK SC"/>
        <family val="2"/>
      </rPr>
      <t>승자</t>
    </r>
  </si>
  <si>
    <t>L44</t>
  </si>
  <si>
    <t>П44</t>
  </si>
  <si>
    <t>R44</t>
  </si>
  <si>
    <t>برنده بازی 44</t>
  </si>
  <si>
    <t>C44</t>
  </si>
  <si>
    <t>P44</t>
  </si>
  <si>
    <t>ผู้ชนะนัดที่ 44</t>
  </si>
  <si>
    <t>T44</t>
  </si>
  <si>
    <t>Переможець 44</t>
  </si>
  <si>
    <t>۵۶ جیت</t>
  </si>
  <si>
    <t>W45</t>
  </si>
  <si>
    <t>F45</t>
  </si>
  <si>
    <t>Q45</t>
  </si>
  <si>
    <t>G45</t>
  </si>
  <si>
    <r>
      <rPr>
        <sz val="10"/>
        <rFont val="Calibri"/>
        <family val="2"/>
        <charset val="204"/>
      </rPr>
      <t>45</t>
    </r>
    <r>
      <rPr>
        <sz val="10"/>
        <rFont val="Noto Sans CJK SC"/>
        <family val="2"/>
      </rPr>
      <t>胜者</t>
    </r>
  </si>
  <si>
    <t>V45</t>
  </si>
  <si>
    <t>მ45</t>
  </si>
  <si>
    <t>Ν45</t>
  </si>
  <si>
    <t>GY45</t>
  </si>
  <si>
    <r>
      <rPr>
        <sz val="10"/>
        <rFont val="Calibri"/>
        <family val="2"/>
        <charset val="204"/>
      </rPr>
      <t>8</t>
    </r>
    <r>
      <rPr>
        <sz val="10"/>
        <rFont val="Noto Sans CJK SC"/>
        <family val="2"/>
      </rPr>
      <t>강전 경기</t>
    </r>
    <r>
      <rPr>
        <sz val="10"/>
        <rFont val="Calibri"/>
        <family val="2"/>
        <charset val="204"/>
      </rPr>
      <t xml:space="preserve">1 </t>
    </r>
    <r>
      <rPr>
        <sz val="10"/>
        <rFont val="Noto Sans CJK SC"/>
        <family val="2"/>
      </rPr>
      <t>승자</t>
    </r>
  </si>
  <si>
    <t>L45</t>
  </si>
  <si>
    <t>П45</t>
  </si>
  <si>
    <t>R45</t>
  </si>
  <si>
    <t>برنده بازی 45</t>
  </si>
  <si>
    <t>C45</t>
  </si>
  <si>
    <t>P45</t>
  </si>
  <si>
    <t>ผู้ชนะนัดที่ 45</t>
  </si>
  <si>
    <t>T45</t>
  </si>
  <si>
    <t>Переможець 45</t>
  </si>
  <si>
    <t>۵۷ جیت</t>
  </si>
  <si>
    <t>W46</t>
  </si>
  <si>
    <t>F46</t>
  </si>
  <si>
    <t>Q46</t>
  </si>
  <si>
    <t>G46</t>
  </si>
  <si>
    <r>
      <rPr>
        <sz val="10"/>
        <rFont val="Calibri"/>
        <family val="2"/>
        <charset val="204"/>
      </rPr>
      <t>46</t>
    </r>
    <r>
      <rPr>
        <sz val="10"/>
        <rFont val="Noto Sans CJK SC"/>
        <family val="2"/>
      </rPr>
      <t>胜者</t>
    </r>
  </si>
  <si>
    <t>V46</t>
  </si>
  <si>
    <t>მ46</t>
  </si>
  <si>
    <t>Ν46</t>
  </si>
  <si>
    <t>GY46</t>
  </si>
  <si>
    <r>
      <rPr>
        <sz val="10"/>
        <rFont val="Calibri"/>
        <family val="2"/>
        <charset val="204"/>
      </rPr>
      <t>8</t>
    </r>
    <r>
      <rPr>
        <sz val="10"/>
        <rFont val="Noto Sans CJK SC"/>
        <family val="2"/>
      </rPr>
      <t>강전 경기</t>
    </r>
    <r>
      <rPr>
        <sz val="10"/>
        <rFont val="Calibri"/>
        <family val="2"/>
        <charset val="204"/>
      </rPr>
      <t xml:space="preserve">2 </t>
    </r>
    <r>
      <rPr>
        <sz val="10"/>
        <rFont val="Noto Sans CJK SC"/>
        <family val="2"/>
      </rPr>
      <t>승자</t>
    </r>
  </si>
  <si>
    <t>L46</t>
  </si>
  <si>
    <t>П46</t>
  </si>
  <si>
    <t>R46</t>
  </si>
  <si>
    <t>برنده بازی 46</t>
  </si>
  <si>
    <t>C46</t>
  </si>
  <si>
    <t>P46</t>
  </si>
  <si>
    <t>ผู้ชนะนัดที่ 46</t>
  </si>
  <si>
    <t>T46</t>
  </si>
  <si>
    <t>Переможець 46</t>
  </si>
  <si>
    <t>۵۸ جیت</t>
  </si>
  <si>
    <t>W47</t>
  </si>
  <si>
    <t>F47</t>
  </si>
  <si>
    <t>Q47</t>
  </si>
  <si>
    <t>G47</t>
  </si>
  <si>
    <r>
      <rPr>
        <sz val="10"/>
        <rFont val="Calibri"/>
        <family val="2"/>
        <charset val="204"/>
      </rPr>
      <t>47</t>
    </r>
    <r>
      <rPr>
        <sz val="10"/>
        <rFont val="Noto Sans CJK SC"/>
        <family val="2"/>
      </rPr>
      <t>胜者</t>
    </r>
  </si>
  <si>
    <t>V47</t>
  </si>
  <si>
    <t>მ47</t>
  </si>
  <si>
    <t>Ν47</t>
  </si>
  <si>
    <t>GY47</t>
  </si>
  <si>
    <r>
      <rPr>
        <sz val="10"/>
        <rFont val="Calibri"/>
        <family val="2"/>
        <charset val="204"/>
      </rPr>
      <t>8</t>
    </r>
    <r>
      <rPr>
        <sz val="10"/>
        <rFont val="Noto Sans CJK SC"/>
        <family val="2"/>
      </rPr>
      <t>강전 경기</t>
    </r>
    <r>
      <rPr>
        <sz val="10"/>
        <rFont val="Calibri"/>
        <family val="2"/>
        <charset val="204"/>
      </rPr>
      <t xml:space="preserve">3 </t>
    </r>
    <r>
      <rPr>
        <sz val="10"/>
        <rFont val="Noto Sans CJK SC"/>
        <family val="2"/>
      </rPr>
      <t>승자</t>
    </r>
  </si>
  <si>
    <t>L47</t>
  </si>
  <si>
    <t>П47</t>
  </si>
  <si>
    <t>R47</t>
  </si>
  <si>
    <t>برنده بازی 47</t>
  </si>
  <si>
    <t>C47</t>
  </si>
  <si>
    <t>P47</t>
  </si>
  <si>
    <t>ผู้ชนะนัดที่ 47</t>
  </si>
  <si>
    <t>T47</t>
  </si>
  <si>
    <t>Переможець 47</t>
  </si>
  <si>
    <t>۵۹ جیت</t>
  </si>
  <si>
    <t>W48</t>
  </si>
  <si>
    <t>F48</t>
  </si>
  <si>
    <t>Q48</t>
  </si>
  <si>
    <t>G48</t>
  </si>
  <si>
    <r>
      <rPr>
        <sz val="10"/>
        <rFont val="Calibri"/>
        <family val="2"/>
        <charset val="204"/>
      </rPr>
      <t>48</t>
    </r>
    <r>
      <rPr>
        <sz val="10"/>
        <rFont val="Noto Sans CJK SC"/>
        <family val="2"/>
      </rPr>
      <t>胜者</t>
    </r>
  </si>
  <si>
    <t>V48</t>
  </si>
  <si>
    <t>მ48</t>
  </si>
  <si>
    <t>Ν48</t>
  </si>
  <si>
    <t>GY48</t>
  </si>
  <si>
    <r>
      <rPr>
        <sz val="10"/>
        <rFont val="Calibri"/>
        <family val="2"/>
        <charset val="204"/>
      </rPr>
      <t>8</t>
    </r>
    <r>
      <rPr>
        <sz val="10"/>
        <rFont val="Noto Sans CJK SC"/>
        <family val="2"/>
      </rPr>
      <t>강전 경기</t>
    </r>
    <r>
      <rPr>
        <sz val="10"/>
        <rFont val="Calibri"/>
        <family val="2"/>
        <charset val="204"/>
      </rPr>
      <t xml:space="preserve">4 </t>
    </r>
    <r>
      <rPr>
        <sz val="10"/>
        <rFont val="Noto Sans CJK SC"/>
        <family val="2"/>
      </rPr>
      <t>승자</t>
    </r>
  </si>
  <si>
    <t>L48</t>
  </si>
  <si>
    <t>П48</t>
  </si>
  <si>
    <t>R48</t>
  </si>
  <si>
    <t>برنده بازی 48</t>
  </si>
  <si>
    <t>C48</t>
  </si>
  <si>
    <t>P48</t>
  </si>
  <si>
    <t>ผู้ชนะนัดที่ 48</t>
  </si>
  <si>
    <t>T48</t>
  </si>
  <si>
    <t>Переможець 48</t>
  </si>
  <si>
    <t>۶۰ جیت</t>
  </si>
  <si>
    <t>W49</t>
  </si>
  <si>
    <t>F49</t>
  </si>
  <si>
    <t>Q49</t>
  </si>
  <si>
    <t>G49</t>
  </si>
  <si>
    <r>
      <rPr>
        <sz val="10"/>
        <rFont val="Calibri"/>
        <family val="2"/>
        <charset val="204"/>
      </rPr>
      <t>49</t>
    </r>
    <r>
      <rPr>
        <sz val="10"/>
        <rFont val="Noto Sans CJK SC"/>
        <family val="2"/>
      </rPr>
      <t>胜者</t>
    </r>
  </si>
  <si>
    <t>V49</t>
  </si>
  <si>
    <t>მ49</t>
  </si>
  <si>
    <t>Ν49</t>
  </si>
  <si>
    <t>GY49</t>
  </si>
  <si>
    <r>
      <rPr>
        <sz val="10"/>
        <rFont val="Noto Sans CJK SC"/>
        <family val="2"/>
      </rPr>
      <t>준결승 경기</t>
    </r>
    <r>
      <rPr>
        <sz val="10"/>
        <rFont val="Calibri"/>
        <family val="2"/>
        <charset val="204"/>
      </rPr>
      <t xml:space="preserve">1 </t>
    </r>
    <r>
      <rPr>
        <sz val="10"/>
        <rFont val="Noto Sans CJK SC"/>
        <family val="2"/>
      </rPr>
      <t>승자</t>
    </r>
  </si>
  <si>
    <t>L49</t>
  </si>
  <si>
    <t>П49</t>
  </si>
  <si>
    <t>R49</t>
  </si>
  <si>
    <t>برنده بازی 49</t>
  </si>
  <si>
    <t>C49</t>
  </si>
  <si>
    <t>P49</t>
  </si>
  <si>
    <t>ผู้ชนะนัดที่ 49</t>
  </si>
  <si>
    <t>T49</t>
  </si>
  <si>
    <t>Переможець 49</t>
  </si>
  <si>
    <t>۶۱ جیت</t>
  </si>
  <si>
    <t>W50</t>
  </si>
  <si>
    <t>F50</t>
  </si>
  <si>
    <t>Q50</t>
  </si>
  <si>
    <t>G50</t>
  </si>
  <si>
    <r>
      <rPr>
        <sz val="10"/>
        <rFont val="Calibri"/>
        <family val="2"/>
        <charset val="204"/>
      </rPr>
      <t>50</t>
    </r>
    <r>
      <rPr>
        <sz val="10"/>
        <rFont val="Noto Sans CJK SC"/>
        <family val="2"/>
      </rPr>
      <t>胜者</t>
    </r>
  </si>
  <si>
    <t>V50</t>
  </si>
  <si>
    <t>მ50</t>
  </si>
  <si>
    <t>Ν50</t>
  </si>
  <si>
    <t>GY50</t>
  </si>
  <si>
    <r>
      <rPr>
        <sz val="10"/>
        <rFont val="Noto Sans CJK SC"/>
        <family val="2"/>
      </rPr>
      <t>준결승 경기</t>
    </r>
    <r>
      <rPr>
        <sz val="10"/>
        <rFont val="Calibri"/>
        <family val="2"/>
        <charset val="204"/>
      </rPr>
      <t xml:space="preserve">2 </t>
    </r>
    <r>
      <rPr>
        <sz val="10"/>
        <rFont val="Noto Sans CJK SC"/>
        <family val="2"/>
      </rPr>
      <t>승자</t>
    </r>
  </si>
  <si>
    <t>L50</t>
  </si>
  <si>
    <t>П50</t>
  </si>
  <si>
    <t>R50</t>
  </si>
  <si>
    <t>برنده بازی 50</t>
  </si>
  <si>
    <t>C50</t>
  </si>
  <si>
    <t>P50</t>
  </si>
  <si>
    <t>ผู้ชนะนัดที่ 50</t>
  </si>
  <si>
    <t>T50</t>
  </si>
  <si>
    <t>Переможець 50</t>
  </si>
  <si>
    <t>۶۲ جیت</t>
  </si>
  <si>
    <t>L61</t>
  </si>
  <si>
    <t>H61</t>
  </si>
  <si>
    <t>M61</t>
  </si>
  <si>
    <t>P61</t>
  </si>
  <si>
    <r>
      <rPr>
        <sz val="10"/>
        <rFont val="Calibri"/>
        <family val="2"/>
        <charset val="204"/>
      </rPr>
      <t>61</t>
    </r>
    <r>
      <rPr>
        <sz val="10"/>
        <rFont val="Noto Sans CJK SC"/>
        <family val="2"/>
      </rPr>
      <t>负者</t>
    </r>
  </si>
  <si>
    <t>T61</t>
  </si>
  <si>
    <t>V61</t>
  </si>
  <si>
    <t>წ61</t>
  </si>
  <si>
    <t>Η61</t>
  </si>
  <si>
    <r>
      <rPr>
        <sz val="10"/>
        <rFont val="Noto Sans CJK SC"/>
        <family val="2"/>
      </rPr>
      <t>준결승 경기</t>
    </r>
    <r>
      <rPr>
        <sz val="10"/>
        <rFont val="Calibri"/>
        <family val="2"/>
        <charset val="204"/>
      </rPr>
      <t xml:space="preserve">1 </t>
    </r>
    <r>
      <rPr>
        <sz val="10"/>
        <rFont val="Noto Sans CJK SC"/>
        <family val="2"/>
      </rPr>
      <t>패자</t>
    </r>
  </si>
  <si>
    <t>И61</t>
  </si>
  <si>
    <t>بازنده بازی 61</t>
  </si>
  <si>
    <t>I61</t>
  </si>
  <si>
    <t>ผู้แพ้นัดที่ 61</t>
  </si>
  <si>
    <t>B61</t>
  </si>
  <si>
    <t>Переможений 61</t>
  </si>
  <si>
    <t>۶۱ ہار</t>
  </si>
  <si>
    <t>L62</t>
  </si>
  <si>
    <t>H62</t>
  </si>
  <si>
    <t>M62</t>
  </si>
  <si>
    <t>P62</t>
  </si>
  <si>
    <r>
      <rPr>
        <sz val="10"/>
        <rFont val="Calibri"/>
        <family val="2"/>
        <charset val="204"/>
      </rPr>
      <t>62</t>
    </r>
    <r>
      <rPr>
        <sz val="10"/>
        <rFont val="Noto Sans CJK SC"/>
        <family val="2"/>
      </rPr>
      <t>负者</t>
    </r>
  </si>
  <si>
    <t>T62</t>
  </si>
  <si>
    <t>V62</t>
  </si>
  <si>
    <t>წ62</t>
  </si>
  <si>
    <t>Η62</t>
  </si>
  <si>
    <r>
      <rPr>
        <sz val="10"/>
        <rFont val="Noto Sans CJK SC"/>
        <family val="2"/>
      </rPr>
      <t>준결승 경기</t>
    </r>
    <r>
      <rPr>
        <sz val="10"/>
        <rFont val="Calibri"/>
        <family val="2"/>
        <charset val="204"/>
      </rPr>
      <t xml:space="preserve">2 </t>
    </r>
    <r>
      <rPr>
        <sz val="10"/>
        <rFont val="Noto Sans CJK SC"/>
        <family val="2"/>
      </rPr>
      <t>패자</t>
    </r>
  </si>
  <si>
    <t>И62</t>
  </si>
  <si>
    <t>بازنده بازی 62</t>
  </si>
  <si>
    <t>I62</t>
  </si>
  <si>
    <t>ผู้แพ้นัดที่ 62</t>
  </si>
  <si>
    <t>B62</t>
  </si>
  <si>
    <t>Переможений 62</t>
  </si>
  <si>
    <t>۶۲ ہار</t>
  </si>
  <si>
    <t>Munich</t>
  </si>
  <si>
    <t>Mynih</t>
  </si>
  <si>
    <t>ميونيخ</t>
  </si>
  <si>
    <t>Մյունխենի</t>
  </si>
  <si>
    <t>Мюнхен</t>
  </si>
  <si>
    <t>Munic</t>
  </si>
  <si>
    <t>慕尼黑</t>
  </si>
  <si>
    <t>Minhen</t>
  </si>
  <si>
    <t>Mnichov</t>
  </si>
  <si>
    <t>München</t>
  </si>
  <si>
    <t>მიუნხენი</t>
  </si>
  <si>
    <t>Μόναχο</t>
  </si>
  <si>
    <t>מינכן</t>
  </si>
  <si>
    <t>Monaco</t>
  </si>
  <si>
    <t>뮌헨</t>
  </si>
  <si>
    <t>Miunchenas</t>
  </si>
  <si>
    <t>Минхен</t>
  </si>
  <si>
    <t>مونیخ</t>
  </si>
  <si>
    <t>Monachium</t>
  </si>
  <si>
    <t>Munique</t>
  </si>
  <si>
    <t>Munchen</t>
  </si>
  <si>
    <t>Mníchov</t>
  </si>
  <si>
    <t>มิวนิค</t>
  </si>
  <si>
    <t>Münih</t>
  </si>
  <si>
    <t>میونخ</t>
  </si>
  <si>
    <t>en</t>
  </si>
  <si>
    <t>sq</t>
  </si>
  <si>
    <t>ar</t>
  </si>
  <si>
    <t>hy</t>
  </si>
  <si>
    <t>az</t>
  </si>
  <si>
    <t>bg</t>
  </si>
  <si>
    <t>ca</t>
  </si>
  <si>
    <t>zh-CN</t>
  </si>
  <si>
    <t>zh-TW</t>
  </si>
  <si>
    <t>hr</t>
  </si>
  <si>
    <t>cs</t>
  </si>
  <si>
    <t>da</t>
  </si>
  <si>
    <t>nl</t>
  </si>
  <si>
    <t>fr</t>
  </si>
  <si>
    <t>ka</t>
  </si>
  <si>
    <t>de</t>
  </si>
  <si>
    <t>el</t>
  </si>
  <si>
    <t>iw</t>
  </si>
  <si>
    <t>hu</t>
  </si>
  <si>
    <t>id</t>
  </si>
  <si>
    <t>is</t>
  </si>
  <si>
    <t>it</t>
  </si>
  <si>
    <t>ko</t>
  </si>
  <si>
    <t>lt</t>
  </si>
  <si>
    <t>mk</t>
  </si>
  <si>
    <t>mt</t>
  </si>
  <si>
    <t>no</t>
  </si>
  <si>
    <t>fa</t>
  </si>
  <si>
    <t>pl</t>
  </si>
  <si>
    <t>pt</t>
  </si>
  <si>
    <t>ro</t>
  </si>
  <si>
    <t>sr</t>
  </si>
  <si>
    <t>sk</t>
  </si>
  <si>
    <t>sl</t>
  </si>
  <si>
    <t>es</t>
  </si>
  <si>
    <t>sv</t>
  </si>
  <si>
    <t>th</t>
  </si>
  <si>
    <t>tr</t>
  </si>
  <si>
    <t>vi</t>
  </si>
  <si>
    <t>uk</t>
  </si>
  <si>
    <t>ur</t>
  </si>
  <si>
    <t>Settings</t>
  </si>
  <si>
    <t>Group Round Sorting</t>
  </si>
  <si>
    <t>Language</t>
  </si>
  <si>
    <t>Step #1</t>
  </si>
  <si>
    <t>Points</t>
  </si>
  <si>
    <t>Summer Time</t>
  </si>
  <si>
    <t>Yes</t>
  </si>
  <si>
    <t>Step #2</t>
  </si>
  <si>
    <t>Concerned teams (Pnt, GF-GA, GF)</t>
  </si>
  <si>
    <t>Step #3</t>
  </si>
  <si>
    <t>Goal Difference</t>
  </si>
  <si>
    <t>GTM-Time</t>
  </si>
  <si>
    <t>GMT + 1:00</t>
  </si>
  <si>
    <t>Step #4</t>
  </si>
  <si>
    <t>Goals Scored</t>
  </si>
  <si>
    <t>Step #5</t>
  </si>
  <si>
    <t>UEFA Rank</t>
  </si>
  <si>
    <t>Minutes</t>
  </si>
  <si>
    <t>+0 min</t>
  </si>
  <si>
    <t>Language ID</t>
  </si>
  <si>
    <t>GMT Delta</t>
  </si>
  <si>
    <t>GMT - 11:00</t>
  </si>
  <si>
    <t>GMT - 10:00</t>
  </si>
  <si>
    <t>GMT - 9:00</t>
  </si>
  <si>
    <t>GMT - 8:00</t>
  </si>
  <si>
    <t>GMT - 7:00</t>
  </si>
  <si>
    <t>GMT - 6:00</t>
  </si>
  <si>
    <t>GMT - 5:00</t>
  </si>
  <si>
    <t>GMT - 4:00</t>
  </si>
  <si>
    <t>GMT - 3:00</t>
  </si>
  <si>
    <t>GMT - 2:00</t>
  </si>
  <si>
    <t>GMT - 1:00</t>
  </si>
  <si>
    <t>GMT</t>
  </si>
  <si>
    <t>GMT + 2:00</t>
  </si>
  <si>
    <t>GMT + 3:00</t>
  </si>
  <si>
    <t>GMT + 4:00</t>
  </si>
  <si>
    <t>GMT + 5:00</t>
  </si>
  <si>
    <t>GMT + 6:00</t>
  </si>
  <si>
    <t>GMT + 7:00</t>
  </si>
  <si>
    <t>GMT + 8:00</t>
  </si>
  <si>
    <t>GMT + 9:00</t>
  </si>
  <si>
    <t>GMT + 10:00</t>
  </si>
  <si>
    <t>GMT + 11:00</t>
  </si>
  <si>
    <t>GMT + 12:00</t>
  </si>
  <si>
    <t>+15 min</t>
  </si>
  <si>
    <t>+30 min</t>
  </si>
  <si>
    <t>+45 min</t>
  </si>
  <si>
    <t>itype</t>
  </si>
  <si>
    <t>Group Round: 3rd Places Tiebreak</t>
  </si>
  <si>
    <t>Best 3rds:</t>
  </si>
  <si>
    <t>1B vs</t>
  </si>
  <si>
    <t>1C vs</t>
  </si>
  <si>
    <t>1E vs</t>
  </si>
  <si>
    <t>1F vs</t>
  </si>
  <si>
    <t>ABCD</t>
  </si>
  <si>
    <t>3A</t>
  </si>
  <si>
    <t>3D</t>
  </si>
  <si>
    <t>3B</t>
  </si>
  <si>
    <t>3C</t>
  </si>
  <si>
    <t>ABCE</t>
  </si>
  <si>
    <t>3E</t>
  </si>
  <si>
    <t>ABCF</t>
  </si>
  <si>
    <t>3F</t>
  </si>
  <si>
    <t>ABDE</t>
  </si>
  <si>
    <t>ABDF</t>
  </si>
  <si>
    <t>ABEF</t>
  </si>
  <si>
    <t>ACDE</t>
  </si>
  <si>
    <t>ACDF</t>
  </si>
  <si>
    <t>ACEF</t>
  </si>
  <si>
    <t>ADEF</t>
  </si>
  <si>
    <t>BCDE</t>
  </si>
  <si>
    <t>BCDF</t>
  </si>
  <si>
    <t>BCEF</t>
  </si>
  <si>
    <t>BDEF</t>
  </si>
  <si>
    <t>CDEF</t>
  </si>
  <si>
    <t>Date + Time + GMT</t>
  </si>
  <si>
    <t>GF</t>
  </si>
  <si>
    <t>GA</t>
  </si>
  <si>
    <t>Place</t>
  </si>
  <si>
    <t>Delta</t>
  </si>
  <si>
    <t>Pnt</t>
  </si>
  <si>
    <t>Rank</t>
  </si>
  <si>
    <t>F-A</t>
  </si>
  <si>
    <t>R0</t>
  </si>
  <si>
    <t>Cnt</t>
  </si>
  <si>
    <t>CntPnt</t>
  </si>
  <si>
    <t>A</t>
  </si>
  <si>
    <t>UEFA EURO 2024 Tournament Schedule</t>
  </si>
  <si>
    <t>UEFA Euro 2024 Tournament Schedule</t>
  </si>
  <si>
    <t>كأس الأمم الأوروبية 2024 جدول البطولة</t>
  </si>
  <si>
    <t>UEFA EURO 2024-մրցաշար ժամանակացույց</t>
  </si>
  <si>
    <t>UEFA EURO 2024 Tournament cədvəli</t>
  </si>
  <si>
    <t>Европейско първенство по футбол 2024 График на турнира</t>
  </si>
  <si>
    <t>UEFA EURO 2024 calendari de tornejos</t>
  </si>
  <si>
    <t>2024年欧洲足球锦标赛锦标赛时间表</t>
  </si>
  <si>
    <t>2024年歐洲足球錦標賽錦標賽時間表</t>
  </si>
  <si>
    <t>UEFA EURO 2024 Raspored turnira</t>
  </si>
  <si>
    <t>UEFA EURO 2024 Plán turnajů</t>
  </si>
  <si>
    <t>UEFA EURO 2024 Toernooi schema</t>
  </si>
  <si>
    <t>UEFA EURO 2024</t>
  </si>
  <si>
    <t>UEFA EURO 2024 ტურნირი განრიგი</t>
  </si>
  <si>
    <t>UEFA EURO 2024 Turnierplan</t>
  </si>
  <si>
    <t>UEFA EURO 2024 Πρόγραμμα Τουρνουά</t>
  </si>
  <si>
    <t>EURO אופ"א לו"ז טורניר 2024</t>
  </si>
  <si>
    <t>UEFA EURO 2024 versenyek időbeosztása</t>
  </si>
  <si>
    <t>UEFA EURO 2024 Jadwal Turnamen</t>
  </si>
  <si>
    <t>UEFA EURO 2024 Tournament Dagskrá</t>
  </si>
  <si>
    <t>UEFA 유로​​ 2024 토너먼트 일정</t>
  </si>
  <si>
    <t>EURO 2024 turnyro tvarkaraštis</t>
  </si>
  <si>
    <t>УЕФА Евро 2024 Распоред турнир</t>
  </si>
  <si>
    <t>UEFA EURO 2024 Tournament Iskeda</t>
  </si>
  <si>
    <t>UEFA EURO 2024 Turneringsskjema</t>
  </si>
  <si>
    <t>UEFA EURO 2024 برنامه مسابقات</t>
  </si>
  <si>
    <t>UEFA EURO 2024 Harmonogram turnieju</t>
  </si>
  <si>
    <t>UEFA EURO 2024 Calendário de Torneios</t>
  </si>
  <si>
    <t>UEFA EURO 2024 Programul turneelor</t>
  </si>
  <si>
    <t>ЕВРО 2024 Турнир Распоред</t>
  </si>
  <si>
    <t>UEFA EURO 2024 Plán turnajov</t>
  </si>
  <si>
    <t>UEFA EURO 2024 turnir Razpored</t>
  </si>
  <si>
    <t>UEFA EURO 2024 calendario de torneos</t>
  </si>
  <si>
    <t>UEFA EURO 2024 turneringsschemat</t>
  </si>
  <si>
    <t>ฟุตบอลชิงแชมป์แห่งชาติยุโรป 2024 ตารางการแข่งขัน</t>
  </si>
  <si>
    <t>2024 Avrupa Futbol Şampiyonası Turnuva Takvimi</t>
  </si>
  <si>
    <t>UEFA EURO 2024 Lịch trình giải đấu</t>
  </si>
  <si>
    <t>ЄВРО-2024 Розклад турнірів</t>
  </si>
  <si>
    <t>UEFA EURO 2024 ٹورنامنٹ کے شیڈول</t>
  </si>
  <si>
    <t>Champion 2024</t>
  </si>
  <si>
    <t>بطل 2024</t>
  </si>
  <si>
    <t>Champion 2024-</t>
  </si>
  <si>
    <t>Шампион 2024</t>
  </si>
  <si>
    <t>Campió 2024</t>
  </si>
  <si>
    <t>2024年冠军</t>
  </si>
  <si>
    <t>2024年冠軍</t>
  </si>
  <si>
    <t>Prvak 2024</t>
  </si>
  <si>
    <t>ჩემპიონი 2024</t>
  </si>
  <si>
    <t>Meister 2024</t>
  </si>
  <si>
    <t>Πρωταθλητής 2024</t>
  </si>
  <si>
    <t>אלוף 2024</t>
  </si>
  <si>
    <t>Juara 2024</t>
  </si>
  <si>
    <t>Meistari 2024</t>
  </si>
  <si>
    <t>Campione 2024</t>
  </si>
  <si>
    <t>챔피언 2024</t>
  </si>
  <si>
    <t>Čempionas 2024</t>
  </si>
  <si>
    <t>قهرمان 2024</t>
  </si>
  <si>
    <t>Campionul 2024</t>
  </si>
  <si>
    <t>Цхампион 2024</t>
  </si>
  <si>
    <t>Campeón 2024</t>
  </si>
  <si>
    <t>แชมป์ 2024</t>
  </si>
  <si>
    <t>Şampiyon 2024</t>
  </si>
  <si>
    <t>Чемпіон 2024</t>
  </si>
  <si>
    <t>چیمپیئن 2024</t>
  </si>
  <si>
    <t>Serbia</t>
  </si>
  <si>
    <t>Slovenia</t>
  </si>
  <si>
    <t>Georgia</t>
  </si>
  <si>
    <t>Sllovenia</t>
  </si>
  <si>
    <t>سلوفينيا</t>
  </si>
  <si>
    <t>Սլովենիա</t>
  </si>
  <si>
    <t>Sloveniya</t>
  </si>
  <si>
    <t>Словения</t>
  </si>
  <si>
    <t>Eslovènia</t>
  </si>
  <si>
    <t>斯洛文尼亚</t>
  </si>
  <si>
    <t>斯洛維尼亞</t>
  </si>
  <si>
    <t>Slovenija</t>
  </si>
  <si>
    <t>Slovinsko</t>
  </si>
  <si>
    <t>Slovenien</t>
  </si>
  <si>
    <t>Slovenië</t>
  </si>
  <si>
    <t>Slovénie</t>
  </si>
  <si>
    <t>სლოვენია</t>
  </si>
  <si>
    <t>Slowenien</t>
  </si>
  <si>
    <t>Σλοβενία</t>
  </si>
  <si>
    <t>סלובניה</t>
  </si>
  <si>
    <t>Szlovénia</t>
  </si>
  <si>
    <t>Slóvenía</t>
  </si>
  <si>
    <t>슬로베니아</t>
  </si>
  <si>
    <t>Slovėnija</t>
  </si>
  <si>
    <t>Словенија</t>
  </si>
  <si>
    <t>اسلوونی</t>
  </si>
  <si>
    <t>Słowenia</t>
  </si>
  <si>
    <t>Eslovênia</t>
  </si>
  <si>
    <t>Eslovenia</t>
  </si>
  <si>
    <t>สโลวีเนีย</t>
  </si>
  <si>
    <t>Slovenya</t>
  </si>
  <si>
    <t>Словенія</t>
  </si>
  <si>
    <t>سلووینیا</t>
  </si>
  <si>
    <t>Slovenja</t>
  </si>
  <si>
    <t>Serbisë</t>
  </si>
  <si>
    <t>صربيا</t>
  </si>
  <si>
    <t>Սերբիա</t>
  </si>
  <si>
    <t>Serbiya</t>
  </si>
  <si>
    <t>Сърбия</t>
  </si>
  <si>
    <t>Sèrbia</t>
  </si>
  <si>
    <t>塞尔维亚</t>
  </si>
  <si>
    <t>塞爾維亞</t>
  </si>
  <si>
    <t>Srbija</t>
  </si>
  <si>
    <t>Srbsko</t>
  </si>
  <si>
    <t>Serbien</t>
  </si>
  <si>
    <t>Servië</t>
  </si>
  <si>
    <t>Serbie</t>
  </si>
  <si>
    <t>სერბეთი</t>
  </si>
  <si>
    <t>Σερβία</t>
  </si>
  <si>
    <t>סרביה</t>
  </si>
  <si>
    <t>Szerbia</t>
  </si>
  <si>
    <t>Serbía</t>
  </si>
  <si>
    <t>세르비아</t>
  </si>
  <si>
    <t>Serbija</t>
  </si>
  <si>
    <t>Србија</t>
  </si>
  <si>
    <t>Serbja</t>
  </si>
  <si>
    <t>صربستان</t>
  </si>
  <si>
    <t>Sérvia</t>
  </si>
  <si>
    <t>เซอร์เบีย</t>
  </si>
  <si>
    <t>Sırbistan</t>
  </si>
  <si>
    <t>Сербія</t>
  </si>
  <si>
    <t>سربیا</t>
  </si>
  <si>
    <t>Gjeorgjia</t>
  </si>
  <si>
    <t>جورجيا</t>
  </si>
  <si>
    <t>Վրաստան</t>
  </si>
  <si>
    <t>Gürcüstan</t>
  </si>
  <si>
    <t>Грузия</t>
  </si>
  <si>
    <t>Geòrgia</t>
  </si>
  <si>
    <t>乔治亚州</t>
  </si>
  <si>
    <t>喬治亞州</t>
  </si>
  <si>
    <t>Gruzija</t>
  </si>
  <si>
    <t>Gruzie</t>
  </si>
  <si>
    <t>Georgien</t>
  </si>
  <si>
    <t>Georgië</t>
  </si>
  <si>
    <t>Géorgie</t>
  </si>
  <si>
    <t>საქართველოს</t>
  </si>
  <si>
    <t>Γεωργία</t>
  </si>
  <si>
    <t>גאורגיה</t>
  </si>
  <si>
    <t>Grúzia</t>
  </si>
  <si>
    <t>Georgíu</t>
  </si>
  <si>
    <t>그루지야</t>
  </si>
  <si>
    <t>Грузија</t>
  </si>
  <si>
    <t>Ġeorġja</t>
  </si>
  <si>
    <t>گرجستان</t>
  </si>
  <si>
    <t>Gruzja</t>
  </si>
  <si>
    <t>Geórgia</t>
  </si>
  <si>
    <t>Георгиа</t>
  </si>
  <si>
    <t>Gruzínsko</t>
  </si>
  <si>
    <t>จอร์เจีย</t>
  </si>
  <si>
    <t>Gürcistan</t>
  </si>
  <si>
    <t>Gruzia</t>
  </si>
  <si>
    <t>Грузія</t>
  </si>
  <si>
    <t>جارجیا</t>
  </si>
  <si>
    <t>Cologne</t>
  </si>
  <si>
    <t>Stuttgart</t>
  </si>
  <si>
    <t>Frankfurt</t>
  </si>
  <si>
    <t>Berlin</t>
  </si>
  <si>
    <t>Dortmund</t>
  </si>
  <si>
    <t>Hamburg</t>
  </si>
  <si>
    <t>Gelsenkirchen</t>
  </si>
  <si>
    <t>Düsseldorf</t>
  </si>
  <si>
    <t>Leipzig</t>
  </si>
  <si>
    <t>Këln</t>
  </si>
  <si>
    <t>كولونيا</t>
  </si>
  <si>
    <t>Քյոլն</t>
  </si>
  <si>
    <t>Köln</t>
  </si>
  <si>
    <t>Кьолн</t>
  </si>
  <si>
    <t>Colònia</t>
  </si>
  <si>
    <t>科隆</t>
  </si>
  <si>
    <t>Kolín nad Rýnem</t>
  </si>
  <si>
    <t>Keulen</t>
  </si>
  <si>
    <t>Eau de Cologne</t>
  </si>
  <si>
    <t>კიოლნი</t>
  </si>
  <si>
    <t>Κολόνια</t>
  </si>
  <si>
    <t>קלן</t>
  </si>
  <si>
    <t>kölni</t>
  </si>
  <si>
    <t>Colonia</t>
  </si>
  <si>
    <t>쾰른</t>
  </si>
  <si>
    <t>Kelnas</t>
  </si>
  <si>
    <t>Келн</t>
  </si>
  <si>
    <t>کلن</t>
  </si>
  <si>
    <t>Kolonia</t>
  </si>
  <si>
    <t>Colônia</t>
  </si>
  <si>
    <t>Kolín nad Rýnom</t>
  </si>
  <si>
    <t>โคโลญจน์</t>
  </si>
  <si>
    <t>Кельн</t>
  </si>
  <si>
    <t>کولون</t>
  </si>
  <si>
    <t>Shtutgart</t>
  </si>
  <si>
    <t>شتوتغارت</t>
  </si>
  <si>
    <t>Շտուտգարտ</t>
  </si>
  <si>
    <t>Ştutqart</t>
  </si>
  <si>
    <t>Щутгарт</t>
  </si>
  <si>
    <t>斯图加特</t>
  </si>
  <si>
    <t>斯圖加特</t>
  </si>
  <si>
    <t>შტუტგარტი</t>
  </si>
  <si>
    <t>Στουτγάρδη</t>
  </si>
  <si>
    <t>שטוטגרט</t>
  </si>
  <si>
    <t>Stoccarda</t>
  </si>
  <si>
    <t>슈투트가르트</t>
  </si>
  <si>
    <t>Štutgartas</t>
  </si>
  <si>
    <t>Штутгарт</t>
  </si>
  <si>
    <t>اشتوتگارت</t>
  </si>
  <si>
    <t>Estugarda</t>
  </si>
  <si>
    <t>Стуттгарт</t>
  </si>
  <si>
    <t>สตุ๊ตการ์ท</t>
  </si>
  <si>
    <t>سٹٹگارٹ</t>
  </si>
  <si>
    <t>فرانكفورت</t>
  </si>
  <si>
    <t>Ֆրանկֆուրտ</t>
  </si>
  <si>
    <t>Франкфурт</t>
  </si>
  <si>
    <t>法兰克福</t>
  </si>
  <si>
    <t>法蘭克福</t>
  </si>
  <si>
    <t>Francfort</t>
  </si>
  <si>
    <t>ფრანკფურტი</t>
  </si>
  <si>
    <t>Φρανκφούρτη</t>
  </si>
  <si>
    <t>פרנקפורט</t>
  </si>
  <si>
    <t>Francoforte</t>
  </si>
  <si>
    <t>프랑크푸르트</t>
  </si>
  <si>
    <t>Frankfurtas</t>
  </si>
  <si>
    <t>فرانکفورت</t>
  </si>
  <si>
    <t>แฟรงก์เฟิร์ต</t>
  </si>
  <si>
    <t>Frankfurt'ta</t>
  </si>
  <si>
    <t>فرینکفرٹ</t>
  </si>
  <si>
    <t>Berlini</t>
  </si>
  <si>
    <t>برلين</t>
  </si>
  <si>
    <t>Բեռլին</t>
  </si>
  <si>
    <t>Берлин</t>
  </si>
  <si>
    <t>Berlín</t>
  </si>
  <si>
    <t>柏林</t>
  </si>
  <si>
    <t>Berlijn</t>
  </si>
  <si>
    <t>ბერლინი</t>
  </si>
  <si>
    <t>Βερολίνο</t>
  </si>
  <si>
    <t>ברלין</t>
  </si>
  <si>
    <t>Berlino</t>
  </si>
  <si>
    <t>베를린</t>
  </si>
  <si>
    <t>Berlynas</t>
  </si>
  <si>
    <t>برلین</t>
  </si>
  <si>
    <t>Berlim</t>
  </si>
  <si>
    <t>Berlina</t>
  </si>
  <si>
    <t>เบอร์ลิน</t>
  </si>
  <si>
    <t>Béc-lin</t>
  </si>
  <si>
    <t>Берлін</t>
  </si>
  <si>
    <t>برلن</t>
  </si>
  <si>
    <t>Dortmundi</t>
  </si>
  <si>
    <t>دورتموند</t>
  </si>
  <si>
    <t>Դորտմունդ</t>
  </si>
  <si>
    <t>Дортмунд</t>
  </si>
  <si>
    <t>多特蒙德</t>
  </si>
  <si>
    <t>დორტმუნდი</t>
  </si>
  <si>
    <t>Ντόρτμουντ</t>
  </si>
  <si>
    <t>דורטמונד</t>
  </si>
  <si>
    <t>도르트문트</t>
  </si>
  <si>
    <t>Dortmundas</t>
  </si>
  <si>
    <t>Dortmundzie</t>
  </si>
  <si>
    <t>ดอร์ทมุนด์</t>
  </si>
  <si>
    <t>ڈارٹمنڈ</t>
  </si>
  <si>
    <t>Hamburgu</t>
  </si>
  <si>
    <t>هامبورغ</t>
  </si>
  <si>
    <t>Համբուրգ</t>
  </si>
  <si>
    <t>Hamburq</t>
  </si>
  <si>
    <t>Хамбург</t>
  </si>
  <si>
    <t>汉堡</t>
  </si>
  <si>
    <t>漢堡</t>
  </si>
  <si>
    <t>Hamborg</t>
  </si>
  <si>
    <t>Hambourg</t>
  </si>
  <si>
    <t>ჰამბურგი</t>
  </si>
  <si>
    <t>Αμβούργο</t>
  </si>
  <si>
    <t>המבורג</t>
  </si>
  <si>
    <t>Amburgo</t>
  </si>
  <si>
    <t>함부르크</t>
  </si>
  <si>
    <t>Hamburgas</t>
  </si>
  <si>
    <t>هامبورگ</t>
  </si>
  <si>
    <t>Hamburgo</t>
  </si>
  <si>
    <t>ฮัมบวร์ก</t>
  </si>
  <si>
    <t>Гамбург</t>
  </si>
  <si>
    <t>ہیمبرگ</t>
  </si>
  <si>
    <t>غيلسنكيرشن</t>
  </si>
  <si>
    <t>Գելզենկիրխեն</t>
  </si>
  <si>
    <t>Gelzenkirxen</t>
  </si>
  <si>
    <t>Гелзенкирхен</t>
  </si>
  <si>
    <t>盖尔森基兴</t>
  </si>
  <si>
    <t>蓋爾森基興</t>
  </si>
  <si>
    <t>გელზენკირხენი</t>
  </si>
  <si>
    <t>Γκελζενκίρχεν</t>
  </si>
  <si>
    <t>גלזנקירכן</t>
  </si>
  <si>
    <t>겔젠키르헨</t>
  </si>
  <si>
    <t>Gelzenkirchenas</t>
  </si>
  <si>
    <t>گلزنکرخن</t>
  </si>
  <si>
    <t>เกลเซนเคียร์เชน</t>
  </si>
  <si>
    <t>Гельзенкірхен</t>
  </si>
  <si>
    <t>Dyseldorfi</t>
  </si>
  <si>
    <t>دوسلدورف</t>
  </si>
  <si>
    <t>Դյուսելդորֆ</t>
  </si>
  <si>
    <t>Дюселдорф</t>
  </si>
  <si>
    <t>杜塞尔多夫</t>
  </si>
  <si>
    <t>杜塞爾多夫</t>
  </si>
  <si>
    <t>Dusseldorf</t>
  </si>
  <si>
    <t>დიუსელდორფი</t>
  </si>
  <si>
    <t>Ντίσελντορφ</t>
  </si>
  <si>
    <t>דיסלדורף</t>
  </si>
  <si>
    <t>뒤셀도르프</t>
  </si>
  <si>
    <t>Diuseldorfas</t>
  </si>
  <si>
    <t>Дизелдорф</t>
  </si>
  <si>
    <t>Дусселдорф</t>
  </si>
  <si>
    <t>Düsseldorfe</t>
  </si>
  <si>
    <t>ดุสเซลดอร์ฟ</t>
  </si>
  <si>
    <t>Дюссельдорф</t>
  </si>
  <si>
    <t>ڈسلڈورف</t>
  </si>
  <si>
    <t>لايبزيغ</t>
  </si>
  <si>
    <t>Լայպցիգ</t>
  </si>
  <si>
    <t>Leypsiq</t>
  </si>
  <si>
    <t>Лайпциг</t>
  </si>
  <si>
    <t>莱比锡</t>
  </si>
  <si>
    <t>萊比錫</t>
  </si>
  <si>
    <t>Lipsko</t>
  </si>
  <si>
    <t>ლაიფციგი</t>
  </si>
  <si>
    <t>Λειψία</t>
  </si>
  <si>
    <t>לייפציג</t>
  </si>
  <si>
    <t>Lipcse</t>
  </si>
  <si>
    <t>Lipsia</t>
  </si>
  <si>
    <t>라이프치히</t>
  </si>
  <si>
    <t>Leipcigas</t>
  </si>
  <si>
    <t>Лајпциг</t>
  </si>
  <si>
    <t>لایپزیگ</t>
  </si>
  <si>
    <t>Lipsk</t>
  </si>
  <si>
    <t>Lípsia</t>
  </si>
  <si>
    <t>Леипзиг</t>
  </si>
  <si>
    <t>ไลป์ซิก</t>
  </si>
  <si>
    <t>Лейпциг</t>
  </si>
  <si>
    <t>لیپزگ</t>
  </si>
  <si>
    <t>Kampioen 2024</t>
  </si>
  <si>
    <t>Turchia</t>
  </si>
  <si>
    <t>UEFA</t>
  </si>
  <si>
    <t>UEFA-adj</t>
  </si>
  <si>
    <t>LUCKY BONUS QUESTIONS</t>
  </si>
  <si>
    <t>No red cards will be given</t>
  </si>
  <si>
    <t>No player will score 3 in one game</t>
  </si>
  <si>
    <t>There will not be any own-goals</t>
  </si>
  <si>
    <t>1 - 12</t>
  </si>
  <si>
    <t>1.</t>
  </si>
  <si>
    <t>Which team will be the first to score 4 or more goals in one match?</t>
  </si>
  <si>
    <t>No</t>
  </si>
  <si>
    <t>13 - 24</t>
  </si>
  <si>
    <t>(use this list to copy/paste into T,U,V,W before sorting)</t>
  </si>
  <si>
    <t>25 - 36</t>
  </si>
  <si>
    <t>2.</t>
  </si>
  <si>
    <t>The first player to score 3 in one game will be from this team:</t>
  </si>
  <si>
    <t>37 - 48</t>
  </si>
  <si>
    <t>49 - 60</t>
  </si>
  <si>
    <t>3.</t>
  </si>
  <si>
    <t>Which team will be the first to be awarded a penalty shot?</t>
  </si>
  <si>
    <t>61 - 72</t>
  </si>
  <si>
    <t>73 - 84</t>
  </si>
  <si>
    <t>4.</t>
  </si>
  <si>
    <t>The first own-goal will be scored by a player from this team:</t>
  </si>
  <si>
    <t>85 - 96</t>
  </si>
  <si>
    <t>97 - 108</t>
  </si>
  <si>
    <t>5.</t>
  </si>
  <si>
    <t>How many goals will be scored via penalty shot? (not including shootouts)</t>
  </si>
  <si>
    <t>109 - 120</t>
  </si>
  <si>
    <t>6.</t>
  </si>
  <si>
    <t>The first "straight" red card of the tournament will be shown to this team:</t>
  </si>
  <si>
    <t>7.</t>
  </si>
  <si>
    <t>The first "two yellow" red card of the tournament will be shown to this team:</t>
  </si>
  <si>
    <t>8.</t>
  </si>
  <si>
    <t>Total number of red cards in the tournament:</t>
  </si>
  <si>
    <t>9.</t>
  </si>
  <si>
    <t>Total number of yellow cards in the tournament:</t>
  </si>
  <si>
    <t>The highest number of yellow cards shown in one game will be to this team:</t>
  </si>
  <si>
    <t>11.</t>
  </si>
  <si>
    <t>Total number of goals scored in the entire tournament (not incl. penalty shootout):</t>
  </si>
  <si>
    <t>12.</t>
  </si>
  <si>
    <t>Total number of games that will go to a penalty shootout:</t>
  </si>
  <si>
    <t>13.</t>
  </si>
  <si>
    <t>The first goal in the Finals match will be scored between these minutes:</t>
  </si>
  <si>
    <t>14.</t>
  </si>
  <si>
    <t>How many yellow cards will be shown in the Finals match?</t>
  </si>
  <si>
    <t>15.</t>
  </si>
  <si>
    <t>How many red cards will be shown in the Finals match?</t>
  </si>
  <si>
    <t>16.</t>
  </si>
  <si>
    <t>Will the Euro Final go to penalty shootout?</t>
  </si>
  <si>
    <t>17.</t>
  </si>
  <si>
    <t>Which team will have the fastest/earliest goal in any match?</t>
  </si>
  <si>
    <t>18.</t>
  </si>
  <si>
    <t>19.</t>
  </si>
  <si>
    <t>First Group Stage game to have 2 penalties awarded:</t>
  </si>
  <si>
    <t>20.</t>
  </si>
  <si>
    <t>First Group Stage game to have 0 cards shown:</t>
  </si>
  <si>
    <r>
      <t xml:space="preserve">Group Stage game with the highest total of combined goals? </t>
    </r>
    <r>
      <rPr>
        <sz val="9"/>
        <color rgb="FFC00000"/>
        <rFont val="Cambria"/>
        <family val="1"/>
      </rPr>
      <t>(highest or tied for highest)</t>
    </r>
  </si>
  <si>
    <t>No team will score 4 or more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</si>
</sst>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numFmt numFmtId="165" formatCode="h:mm;@"/>
    <numFmt numFmtId="166" formatCode="m/d/yy\ h:mm;@"/>
    <numFmt numFmtId="167" formatCode="0.000"/>
  </numFmts>
  <fonts count="36">
    <font>
      <sz val="10"/>
      <name val="Calibri"/>
      <charset val="204"/>
    </font>
    <font>
      <sz val="10"/>
      <name val="Calibri"/>
      <family val="2"/>
      <charset val="204"/>
    </font>
    <font>
      <sz val="10"/>
      <name val="Noto Sans CJK SC"/>
      <family val="2"/>
    </font>
    <font>
      <b/>
      <sz val="12"/>
      <name val="Calibri"/>
      <family val="2"/>
      <charset val="204"/>
    </font>
    <font>
      <sz val="8"/>
      <name val="Calibri"/>
      <family val="2"/>
      <charset val="204"/>
    </font>
    <font>
      <b/>
      <sz val="28"/>
      <name val="Calibri"/>
      <family val="2"/>
      <charset val="204"/>
    </font>
    <font>
      <sz val="10"/>
      <color rgb="FF0000FF"/>
      <name val="Calibri"/>
      <family val="2"/>
      <charset val="204"/>
    </font>
    <font>
      <sz val="36"/>
      <name val="Calibri"/>
      <family val="2"/>
      <charset val="204"/>
    </font>
    <font>
      <u/>
      <sz val="10"/>
      <color rgb="FF0000FF"/>
      <name val="Calibri"/>
      <family val="2"/>
      <charset val="204"/>
    </font>
    <font>
      <u/>
      <sz val="8"/>
      <color rgb="FF0000FF"/>
      <name val="Calibri"/>
      <family val="2"/>
      <charset val="204"/>
    </font>
    <font>
      <sz val="16"/>
      <name val="Calibri"/>
      <family val="2"/>
      <charset val="204"/>
    </font>
    <font>
      <b/>
      <sz val="10"/>
      <name val="Calibri"/>
      <family val="2"/>
      <charset val="204"/>
    </font>
    <font>
      <sz val="10"/>
      <color theme="0"/>
      <name val="Calibri"/>
      <family val="2"/>
      <charset val="204"/>
    </font>
    <font>
      <sz val="10"/>
      <color rgb="FFFF0000"/>
      <name val="Calibri"/>
      <family val="2"/>
      <charset val="204"/>
    </font>
    <font>
      <sz val="10"/>
      <name val="Arial"/>
      <family val="2"/>
    </font>
    <font>
      <sz val="10"/>
      <color theme="0"/>
      <name val="Arial"/>
      <family val="2"/>
    </font>
    <font>
      <sz val="10"/>
      <name val="Century Gothic"/>
      <family val="2"/>
    </font>
    <font>
      <sz val="10"/>
      <color theme="0"/>
      <name val="Century Gothic"/>
      <family val="2"/>
    </font>
    <font>
      <sz val="11"/>
      <color rgb="FF800000"/>
      <name val="Calibri Light"/>
      <family val="1"/>
      <scheme val="major"/>
    </font>
    <font>
      <sz val="11"/>
      <name val="Calibri Light"/>
      <family val="1"/>
      <scheme val="major"/>
    </font>
    <font>
      <sz val="10"/>
      <name val="Calibri Light"/>
      <family val="1"/>
      <scheme val="major"/>
    </font>
    <font>
      <b/>
      <sz val="12"/>
      <color indexed="12"/>
      <name val="Calibri Light"/>
      <family val="1"/>
      <scheme val="major"/>
    </font>
    <font>
      <sz val="7"/>
      <color indexed="55"/>
      <name val="Calibri Light"/>
      <family val="1"/>
      <scheme val="major"/>
    </font>
    <font>
      <sz val="11"/>
      <name val="Century Gothic"/>
      <family val="2"/>
    </font>
    <font>
      <sz val="7"/>
      <name val="Calibri Light"/>
      <family val="1"/>
      <scheme val="major"/>
    </font>
    <font>
      <b/>
      <sz val="10"/>
      <color indexed="8"/>
      <name val="Calibri Light"/>
      <family val="1"/>
      <scheme val="major"/>
    </font>
    <font>
      <sz val="11"/>
      <color indexed="8"/>
      <name val="Calibri Light"/>
      <family val="1"/>
      <scheme val="major"/>
    </font>
    <font>
      <sz val="11"/>
      <color theme="0"/>
      <name val="Lucida Console"/>
      <family val="3"/>
    </font>
    <font>
      <sz val="9"/>
      <name val="Calibri Light"/>
      <family val="1"/>
      <scheme val="major"/>
    </font>
    <font>
      <sz val="24"/>
      <color theme="0"/>
      <name val="Flubber"/>
    </font>
    <font>
      <b/>
      <sz val="12"/>
      <color rgb="FFC00000"/>
      <name val="Calibri Light"/>
      <family val="1"/>
      <scheme val="major"/>
    </font>
    <font>
      <sz val="11"/>
      <color rgb="FFC00000"/>
      <name val="Calibri Light"/>
      <family val="1"/>
      <scheme val="major"/>
    </font>
    <font>
      <sz val="9"/>
      <color rgb="FFC00000"/>
      <name val="Cambria"/>
      <family val="1"/>
    </font>
    <font>
      <sz val="11"/>
      <color rgb="FFC00000"/>
      <name val="Calibri Light"/>
      <family val="2"/>
      <scheme val="major"/>
    </font>
    <font>
      <sz val="10"/>
      <color rgb="FFC00000"/>
      <name val="Arial"/>
      <family val="2"/>
    </font>
    <font>
      <sz val="10"/>
      <color rgb="FFC00000"/>
      <name val="Century Gothic"/>
      <family val="2"/>
    </font>
  </fonts>
  <fills count="10">
    <fill>
      <patternFill patternType="none"/>
    </fill>
    <fill>
      <patternFill patternType="gray125"/>
    </fill>
    <fill>
      <patternFill patternType="solid">
        <fgColor rgb="FF99CCFF"/>
        <bgColor rgb="FFC6D9F1"/>
      </patternFill>
    </fill>
    <fill>
      <patternFill patternType="solid">
        <fgColor rgb="FFFFFF99"/>
        <bgColor rgb="FFFFFFCC"/>
      </patternFill>
    </fill>
    <fill>
      <patternFill patternType="solid">
        <fgColor rgb="FFCCFFFF"/>
        <bgColor rgb="FFCCFFFF"/>
      </patternFill>
    </fill>
    <fill>
      <patternFill patternType="solid">
        <fgColor rgb="FF92D050"/>
        <bgColor rgb="FF969696"/>
      </patternFill>
    </fill>
    <fill>
      <patternFill patternType="solid">
        <fgColor rgb="FFC6D9F1"/>
        <bgColor rgb="FFD9D9D9"/>
      </patternFill>
    </fill>
    <fill>
      <patternFill patternType="solid">
        <fgColor rgb="FFFFFFFF"/>
        <bgColor rgb="FFFFFFCC"/>
      </patternFill>
    </fill>
    <fill>
      <patternFill patternType="solid">
        <fgColor rgb="FFFFFFCC"/>
        <bgColor rgb="FFFFFFFF"/>
      </patternFill>
    </fill>
    <fill>
      <patternFill patternType="solid">
        <fgColor rgb="FF0070C0"/>
        <bgColor indexed="64"/>
      </patternFill>
    </fill>
  </fills>
  <borders count="66">
    <border>
      <left/>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558ED5"/>
      </left>
      <right style="thin">
        <color rgb="FF558ED5"/>
      </right>
      <top style="thin">
        <color rgb="FF558ED5"/>
      </top>
      <bottom style="thin">
        <color rgb="FF558ED5"/>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style="thin">
        <color rgb="FF0000FF"/>
      </left>
      <right style="hair">
        <color rgb="FF0000FF"/>
      </right>
      <top style="thin">
        <color rgb="FF0000FF"/>
      </top>
      <bottom style="hair">
        <color rgb="FF0000FF"/>
      </bottom>
      <diagonal/>
    </border>
    <border>
      <left style="hair">
        <color rgb="FF0000FF"/>
      </left>
      <right style="hair">
        <color rgb="FF0000FF"/>
      </right>
      <top style="thin">
        <color rgb="FF0000FF"/>
      </top>
      <bottom style="hair">
        <color rgb="FF0000FF"/>
      </bottom>
      <diagonal/>
    </border>
    <border>
      <left style="hair">
        <color rgb="FF0000FF"/>
      </left>
      <right style="thin">
        <color rgb="FF0000FF"/>
      </right>
      <top style="thin">
        <color rgb="FF0000FF"/>
      </top>
      <bottom style="hair">
        <color rgb="FF0000FF"/>
      </bottom>
      <diagonal/>
    </border>
    <border>
      <left style="thin">
        <color rgb="FF3366FF"/>
      </left>
      <right/>
      <top style="thin">
        <color rgb="FF558ED5"/>
      </top>
      <bottom style="hair">
        <color rgb="FF3366FF"/>
      </bottom>
      <diagonal/>
    </border>
    <border>
      <left/>
      <right/>
      <top style="thin">
        <color rgb="FF558ED5"/>
      </top>
      <bottom style="hair">
        <color rgb="FF3366FF"/>
      </bottom>
      <diagonal/>
    </border>
    <border>
      <left/>
      <right style="hair">
        <color rgb="FF3366FF"/>
      </right>
      <top style="thin">
        <color rgb="FF558ED5"/>
      </top>
      <bottom style="hair">
        <color rgb="FF3366FF"/>
      </bottom>
      <diagonal/>
    </border>
    <border>
      <left style="hair">
        <color rgb="FF3366FF"/>
      </left>
      <right style="thin">
        <color rgb="FF3366FF"/>
      </right>
      <top style="thin">
        <color rgb="FF558ED5"/>
      </top>
      <bottom style="hair">
        <color rgb="FF3366FF"/>
      </bottom>
      <diagonal/>
    </border>
    <border>
      <left style="thin">
        <color rgb="FF3366FF"/>
      </left>
      <right style="hair">
        <color rgb="FF3366FF"/>
      </right>
      <top style="hair">
        <color rgb="FF3366FF"/>
      </top>
      <bottom style="hair">
        <color rgb="FF3366FF"/>
      </bottom>
      <diagonal/>
    </border>
    <border>
      <left style="hair">
        <color rgb="FF3366FF"/>
      </left>
      <right style="thin">
        <color rgb="FF3366FF"/>
      </right>
      <top style="hair">
        <color rgb="FF3366FF"/>
      </top>
      <bottom style="hair">
        <color rgb="FF3366FF"/>
      </bottom>
      <diagonal/>
    </border>
    <border>
      <left/>
      <right style="hair">
        <color rgb="FF3366FF"/>
      </right>
      <top/>
      <bottom style="hair">
        <color rgb="FF3366FF"/>
      </bottom>
      <diagonal/>
    </border>
    <border>
      <left style="hair">
        <color rgb="FF3366FF"/>
      </left>
      <right style="thin">
        <color rgb="FF3366FF"/>
      </right>
      <top/>
      <bottom style="hair">
        <color rgb="FF3366FF"/>
      </bottom>
      <diagonal/>
    </border>
    <border>
      <left style="thin">
        <color rgb="FF0000FF"/>
      </left>
      <right style="hair">
        <color rgb="FF0000FF"/>
      </right>
      <top style="hair">
        <color rgb="FF0000FF"/>
      </top>
      <bottom style="hair">
        <color rgb="FF0000FF"/>
      </bottom>
      <diagonal/>
    </border>
    <border>
      <left style="hair">
        <color rgb="FF0000FF"/>
      </left>
      <right style="hair">
        <color rgb="FF0000FF"/>
      </right>
      <top style="hair">
        <color rgb="FF0000FF"/>
      </top>
      <bottom style="hair">
        <color rgb="FF0000FF"/>
      </bottom>
      <diagonal/>
    </border>
    <border>
      <left style="hair">
        <color rgb="FF0000FF"/>
      </left>
      <right style="thin">
        <color rgb="FF0000FF"/>
      </right>
      <top style="hair">
        <color rgb="FF0000FF"/>
      </top>
      <bottom style="hair">
        <color rgb="FF0000FF"/>
      </bottom>
      <diagonal/>
    </border>
    <border>
      <left style="thin">
        <color rgb="FF3366FF"/>
      </left>
      <right style="hair">
        <color rgb="FF3366FF"/>
      </right>
      <top style="thin">
        <color rgb="FF3366FF"/>
      </top>
      <bottom style="hair">
        <color rgb="FF3366FF"/>
      </bottom>
      <diagonal/>
    </border>
    <border>
      <left style="hair">
        <color rgb="FF3366FF"/>
      </left>
      <right style="thin">
        <color rgb="FF3366FF"/>
      </right>
      <top style="thin">
        <color rgb="FF3366FF"/>
      </top>
      <bottom style="hair">
        <color rgb="FF3366FF"/>
      </bottom>
      <diagonal/>
    </border>
    <border>
      <left style="thin">
        <color rgb="FF3366FF"/>
      </left>
      <right/>
      <top style="hair">
        <color rgb="FF3366FF"/>
      </top>
      <bottom style="hair">
        <color rgb="FF3366FF"/>
      </bottom>
      <diagonal/>
    </border>
    <border>
      <left/>
      <right/>
      <top style="hair">
        <color rgb="FF3366FF"/>
      </top>
      <bottom style="hair">
        <color rgb="FF3366FF"/>
      </bottom>
      <diagonal/>
    </border>
    <border>
      <left/>
      <right style="hair">
        <color rgb="FF3366FF"/>
      </right>
      <top style="hair">
        <color rgb="FF3366FF"/>
      </top>
      <bottom style="hair">
        <color rgb="FF3366FF"/>
      </bottom>
      <diagonal/>
    </border>
    <border>
      <left style="thin">
        <color rgb="FF3366FF"/>
      </left>
      <right/>
      <top style="hair">
        <color rgb="FF3366FF"/>
      </top>
      <bottom style="thin">
        <color rgb="FF3366FF"/>
      </bottom>
      <diagonal/>
    </border>
    <border>
      <left style="thin">
        <color rgb="FF3366FF"/>
      </left>
      <right style="hair">
        <color rgb="FF3366FF"/>
      </right>
      <top style="hair">
        <color rgb="FF3366FF"/>
      </top>
      <bottom style="thin">
        <color rgb="FF3366FF"/>
      </bottom>
      <diagonal/>
    </border>
    <border>
      <left/>
      <right/>
      <top style="hair">
        <color rgb="FF3366FF"/>
      </top>
      <bottom style="thin">
        <color rgb="FF3366FF"/>
      </bottom>
      <diagonal/>
    </border>
    <border>
      <left style="hair">
        <color rgb="FF3366FF"/>
      </left>
      <right style="thin">
        <color rgb="FF3366FF"/>
      </right>
      <top style="hair">
        <color rgb="FF3366FF"/>
      </top>
      <bottom style="thin">
        <color rgb="FF3366FF"/>
      </bottom>
      <diagonal/>
    </border>
    <border>
      <left style="thin">
        <color rgb="FF0000FF"/>
      </left>
      <right style="hair">
        <color rgb="FF0000FF"/>
      </right>
      <top style="hair">
        <color rgb="FF0000FF"/>
      </top>
      <bottom style="thin">
        <color rgb="FF0000FF"/>
      </bottom>
      <diagonal/>
    </border>
    <border>
      <left style="hair">
        <color rgb="FF0000FF"/>
      </left>
      <right style="hair">
        <color rgb="FF0000FF"/>
      </right>
      <top style="hair">
        <color rgb="FF0000FF"/>
      </top>
      <bottom style="thin">
        <color rgb="FF0000FF"/>
      </bottom>
      <diagonal/>
    </border>
    <border>
      <left style="hair">
        <color rgb="FF0000FF"/>
      </left>
      <right style="thin">
        <color rgb="FF0000FF"/>
      </right>
      <top style="hair">
        <color rgb="FF0000FF"/>
      </top>
      <bottom style="thin">
        <color rgb="FF0000FF"/>
      </bottom>
      <diagonal/>
    </border>
    <border>
      <left/>
      <right style="hair">
        <color rgb="FF3366FF"/>
      </right>
      <top style="hair">
        <color rgb="FF3366FF"/>
      </top>
      <bottom style="thin">
        <color rgb="FF3366F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8" fillId="0" borderId="0" applyBorder="0" applyProtection="0"/>
    <xf numFmtId="0" fontId="1" fillId="0" borderId="0"/>
    <xf numFmtId="0" fontId="14" fillId="0" borderId="0"/>
  </cellStyleXfs>
  <cellXfs count="193">
    <xf numFmtId="0" fontId="0" fillId="0" borderId="0" xfId="0"/>
    <xf numFmtId="0" fontId="1" fillId="0" borderId="0" xfId="0" applyFont="1"/>
    <xf numFmtId="0" fontId="2" fillId="0" borderId="0" xfId="0" applyFont="1"/>
    <xf numFmtId="0" fontId="0" fillId="0" borderId="0" xfId="0" applyAlignment="1">
      <alignment horizontal="center"/>
    </xf>
    <xf numFmtId="0" fontId="1" fillId="0" borderId="0" xfId="0" applyFont="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0" xfId="0" applyAlignment="1" applyProtection="1">
      <alignment horizontal="center" vertical="center"/>
      <protection hidden="1"/>
    </xf>
    <xf numFmtId="165" fontId="0" fillId="0" borderId="0" xfId="0" applyNumberFormat="1" applyAlignment="1" applyProtection="1">
      <alignment horizontal="center" vertical="center"/>
      <protection hidden="1"/>
    </xf>
    <xf numFmtId="0" fontId="0" fillId="0" borderId="0" xfId="0" applyAlignment="1" applyProtection="1">
      <alignment horizontal="right" vertical="center"/>
      <protection hidden="1"/>
    </xf>
    <xf numFmtId="0" fontId="6" fillId="0" borderId="0" xfId="0" applyFont="1" applyAlignment="1" applyProtection="1">
      <alignment horizontal="center" vertical="center"/>
      <protection hidden="1"/>
    </xf>
    <xf numFmtId="0" fontId="0" fillId="0" borderId="0" xfId="0" applyAlignment="1" applyProtection="1">
      <alignment horizontal="left" vertical="center"/>
      <protection hidden="1"/>
    </xf>
    <xf numFmtId="0" fontId="0" fillId="0" borderId="0" xfId="0" applyAlignment="1" applyProtection="1">
      <alignment vertical="center"/>
      <protection hidden="1"/>
    </xf>
    <xf numFmtId="0" fontId="0" fillId="0" borderId="0" xfId="0" applyAlignment="1" applyProtection="1">
      <alignment vertical="center" shrinkToFit="1"/>
      <protection hidden="1"/>
    </xf>
    <xf numFmtId="0" fontId="0" fillId="0" borderId="0" xfId="0" applyAlignment="1" applyProtection="1">
      <alignment horizontal="center" vertical="center" shrinkToFit="1"/>
      <protection hidden="1"/>
    </xf>
    <xf numFmtId="0" fontId="0" fillId="0" borderId="0" xfId="0" applyProtection="1">
      <protection hidden="1"/>
    </xf>
    <xf numFmtId="0" fontId="0" fillId="7" borderId="0" xfId="0" applyFill="1" applyAlignment="1" applyProtection="1">
      <alignment horizontal="right" vertical="center" shrinkToFit="1"/>
      <protection hidden="1"/>
    </xf>
    <xf numFmtId="0" fontId="11" fillId="6" borderId="34" xfId="0" applyFont="1" applyFill="1" applyBorder="1" applyAlignment="1" applyProtection="1">
      <alignment horizontal="center" vertical="center" shrinkToFit="1"/>
      <protection hidden="1"/>
    </xf>
    <xf numFmtId="0" fontId="11" fillId="6" borderId="35" xfId="0" applyFont="1" applyFill="1" applyBorder="1" applyAlignment="1" applyProtection="1">
      <alignment horizontal="center" vertical="center" shrinkToFit="1"/>
      <protection hidden="1"/>
    </xf>
    <xf numFmtId="0" fontId="0" fillId="0" borderId="36" xfId="0" applyBorder="1" applyAlignment="1" applyProtection="1">
      <alignment vertical="center" shrinkToFit="1"/>
      <protection hidden="1"/>
    </xf>
    <xf numFmtId="0" fontId="0" fillId="0" borderId="37" xfId="0" applyBorder="1" applyAlignment="1" applyProtection="1">
      <alignment horizontal="center" vertical="center" shrinkToFit="1"/>
      <protection hidden="1"/>
    </xf>
    <xf numFmtId="0" fontId="0" fillId="0" borderId="38" xfId="0" applyBorder="1" applyAlignment="1" applyProtection="1">
      <alignment horizontal="center" vertical="center" shrinkToFit="1"/>
      <protection hidden="1"/>
    </xf>
    <xf numFmtId="0" fontId="0" fillId="7" borderId="39" xfId="0" applyFill="1" applyBorder="1" applyAlignment="1" applyProtection="1">
      <alignment horizontal="center" vertical="center" shrinkToFit="1"/>
      <protection hidden="1"/>
    </xf>
    <xf numFmtId="0" fontId="1" fillId="7" borderId="40" xfId="0" applyFont="1" applyFill="1" applyBorder="1" applyAlignment="1" applyProtection="1">
      <alignment horizontal="center" vertical="center" shrinkToFit="1"/>
      <protection hidden="1"/>
    </xf>
    <xf numFmtId="0" fontId="0" fillId="7" borderId="40" xfId="0" applyFill="1" applyBorder="1" applyAlignment="1" applyProtection="1">
      <alignment horizontal="center" vertical="center" shrinkToFit="1"/>
      <protection hidden="1"/>
    </xf>
    <xf numFmtId="165" fontId="0" fillId="7" borderId="41" xfId="0" applyNumberFormat="1" applyFill="1" applyBorder="1" applyAlignment="1" applyProtection="1">
      <alignment horizontal="center" vertical="center" shrinkToFit="1"/>
      <protection hidden="1"/>
    </xf>
    <xf numFmtId="0" fontId="0" fillId="7" borderId="42" xfId="0" applyFill="1" applyBorder="1" applyAlignment="1" applyProtection="1">
      <alignment horizontal="right" vertical="center" indent="5" shrinkToFit="1"/>
      <protection hidden="1"/>
    </xf>
    <xf numFmtId="0" fontId="1" fillId="8" borderId="43" xfId="0" applyFont="1" applyFill="1" applyBorder="1" applyAlignment="1" applyProtection="1">
      <alignment horizontal="center" vertical="center"/>
      <protection locked="0"/>
    </xf>
    <xf numFmtId="0" fontId="1" fillId="8" borderId="44" xfId="0" applyFont="1" applyFill="1" applyBorder="1" applyAlignment="1" applyProtection="1">
      <alignment horizontal="center" vertical="center"/>
      <protection locked="0"/>
    </xf>
    <xf numFmtId="0" fontId="0" fillId="7" borderId="45" xfId="0" applyFill="1" applyBorder="1" applyAlignment="1" applyProtection="1">
      <alignment horizontal="left" vertical="center" indent="5" shrinkToFit="1"/>
      <protection hidden="1"/>
    </xf>
    <xf numFmtId="0" fontId="0" fillId="0" borderId="47" xfId="0" applyBorder="1" applyAlignment="1" applyProtection="1">
      <alignment vertical="center" shrinkToFit="1"/>
      <protection hidden="1"/>
    </xf>
    <xf numFmtId="0" fontId="0" fillId="0" borderId="48" xfId="0" applyBorder="1" applyAlignment="1" applyProtection="1">
      <alignment horizontal="center" vertical="center" shrinkToFit="1"/>
      <protection hidden="1"/>
    </xf>
    <xf numFmtId="0" fontId="0" fillId="0" borderId="49" xfId="0" applyBorder="1" applyAlignment="1" applyProtection="1">
      <alignment horizontal="center" vertical="center" shrinkToFit="1"/>
      <protection hidden="1"/>
    </xf>
    <xf numFmtId="0" fontId="0" fillId="7" borderId="52" xfId="0" applyFill="1" applyBorder="1" applyAlignment="1" applyProtection="1">
      <alignment horizontal="center" vertical="center" shrinkToFit="1"/>
      <protection hidden="1"/>
    </xf>
    <xf numFmtId="0" fontId="1" fillId="7" borderId="53" xfId="0" applyFont="1" applyFill="1" applyBorder="1" applyAlignment="1" applyProtection="1">
      <alignment horizontal="center" vertical="center" shrinkToFit="1"/>
      <protection hidden="1"/>
    </xf>
    <xf numFmtId="0" fontId="0" fillId="7" borderId="53" xfId="0" applyFill="1" applyBorder="1" applyAlignment="1" applyProtection="1">
      <alignment horizontal="center" vertical="center" shrinkToFit="1"/>
      <protection hidden="1"/>
    </xf>
    <xf numFmtId="165" fontId="0" fillId="7" borderId="54" xfId="0" applyNumberFormat="1" applyFill="1" applyBorder="1" applyAlignment="1" applyProtection="1">
      <alignment horizontal="center" vertical="center" shrinkToFit="1"/>
      <protection hidden="1"/>
    </xf>
    <xf numFmtId="0" fontId="0" fillId="7" borderId="44" xfId="0" applyFill="1" applyBorder="1" applyAlignment="1" applyProtection="1">
      <alignment horizontal="right" vertical="center" indent="5" shrinkToFit="1"/>
      <protection hidden="1"/>
    </xf>
    <xf numFmtId="0" fontId="0" fillId="7" borderId="54" xfId="0" applyFill="1" applyBorder="1" applyAlignment="1" applyProtection="1">
      <alignment horizontal="left" vertical="center" indent="5" shrinkToFit="1"/>
      <protection hidden="1"/>
    </xf>
    <xf numFmtId="0" fontId="1" fillId="8" borderId="56" xfId="0" applyFont="1" applyFill="1" applyBorder="1" applyAlignment="1" applyProtection="1">
      <alignment horizontal="center" vertical="center"/>
      <protection locked="0"/>
    </xf>
    <xf numFmtId="0" fontId="1" fillId="8" borderId="58" xfId="0" applyFont="1" applyFill="1" applyBorder="1" applyAlignment="1" applyProtection="1">
      <alignment horizontal="center" vertical="center"/>
      <protection locked="0"/>
    </xf>
    <xf numFmtId="0" fontId="0" fillId="0" borderId="59" xfId="0" applyBorder="1" applyAlignment="1" applyProtection="1">
      <alignment vertical="center" shrinkToFit="1"/>
      <protection hidden="1"/>
    </xf>
    <xf numFmtId="0" fontId="0" fillId="0" borderId="60" xfId="0" applyBorder="1" applyAlignment="1" applyProtection="1">
      <alignment horizontal="center" vertical="center" shrinkToFit="1"/>
      <protection hidden="1"/>
    </xf>
    <xf numFmtId="0" fontId="0" fillId="0" borderId="61" xfId="0" applyBorder="1" applyAlignment="1" applyProtection="1">
      <alignment horizontal="center" vertical="center" shrinkToFit="1"/>
      <protection hidden="1"/>
    </xf>
    <xf numFmtId="0" fontId="1" fillId="7" borderId="0" xfId="0" applyFont="1" applyFill="1" applyAlignment="1" applyProtection="1">
      <alignment horizontal="right" vertical="center" shrinkToFit="1"/>
      <protection hidden="1"/>
    </xf>
    <xf numFmtId="0" fontId="0" fillId="7" borderId="55" xfId="0" applyFill="1" applyBorder="1" applyAlignment="1" applyProtection="1">
      <alignment horizontal="center" vertical="center" shrinkToFit="1"/>
      <protection hidden="1"/>
    </xf>
    <xf numFmtId="0" fontId="1" fillId="7" borderId="57" xfId="0" applyFont="1" applyFill="1" applyBorder="1" applyAlignment="1" applyProtection="1">
      <alignment horizontal="center" vertical="center" shrinkToFit="1"/>
      <protection hidden="1"/>
    </xf>
    <xf numFmtId="0" fontId="0" fillId="7" borderId="57" xfId="0" applyFill="1" applyBorder="1" applyAlignment="1" applyProtection="1">
      <alignment horizontal="center" vertical="center" shrinkToFit="1"/>
      <protection hidden="1"/>
    </xf>
    <xf numFmtId="165" fontId="0" fillId="7" borderId="62" xfId="0" applyNumberFormat="1" applyFill="1" applyBorder="1" applyAlignment="1" applyProtection="1">
      <alignment horizontal="center" vertical="center" shrinkToFit="1"/>
      <protection hidden="1"/>
    </xf>
    <xf numFmtId="0" fontId="0" fillId="7" borderId="58" xfId="0" applyFill="1" applyBorder="1" applyAlignment="1" applyProtection="1">
      <alignment horizontal="right" vertical="center" indent="5" shrinkToFit="1"/>
      <protection hidden="1"/>
    </xf>
    <xf numFmtId="0" fontId="0" fillId="7" borderId="62" xfId="0" applyFill="1" applyBorder="1" applyAlignment="1" applyProtection="1">
      <alignment horizontal="left" vertical="center" indent="5" shrinkToFit="1"/>
      <protection hidden="1"/>
    </xf>
    <xf numFmtId="0" fontId="1" fillId="0" borderId="0" xfId="0" applyFont="1" applyAlignment="1" applyProtection="1">
      <alignment vertical="center"/>
      <protection hidden="1"/>
    </xf>
    <xf numFmtId="164" fontId="12" fillId="0" borderId="0" xfId="0" applyNumberFormat="1" applyFont="1" applyAlignment="1" applyProtection="1">
      <alignment horizontal="center" vertical="center"/>
      <protection hidden="1"/>
    </xf>
    <xf numFmtId="164" fontId="12" fillId="0" borderId="0" xfId="0" applyNumberFormat="1" applyFont="1" applyAlignment="1" applyProtection="1">
      <alignment vertical="center"/>
      <protection hidden="1"/>
    </xf>
    <xf numFmtId="164" fontId="12" fillId="0" borderId="0" xfId="0" applyNumberFormat="1" applyFont="1" applyAlignment="1" applyProtection="1">
      <alignment horizontal="left" vertical="center"/>
      <protection hidden="1"/>
    </xf>
    <xf numFmtId="164" fontId="12" fillId="0" borderId="0" xfId="0" applyNumberFormat="1" applyFont="1" applyAlignment="1" applyProtection="1">
      <alignment horizontal="center" vertical="center" textRotation="90"/>
      <protection hidden="1"/>
    </xf>
    <xf numFmtId="164" fontId="12" fillId="0" borderId="0" xfId="0" applyNumberFormat="1" applyFont="1" applyProtection="1">
      <protection hidden="1"/>
    </xf>
    <xf numFmtId="0" fontId="0" fillId="0" borderId="0" xfId="0" applyAlignment="1"/>
    <xf numFmtId="0" fontId="1" fillId="8" borderId="50" xfId="0" applyFont="1" applyFill="1" applyBorder="1" applyAlignment="1" applyProtection="1">
      <alignment horizontal="center" vertical="center"/>
    </xf>
    <xf numFmtId="0" fontId="1" fillId="8" borderId="51" xfId="0" applyFont="1" applyFill="1" applyBorder="1" applyAlignment="1" applyProtection="1">
      <alignment horizontal="center" vertical="center"/>
    </xf>
    <xf numFmtId="0" fontId="1" fillId="8" borderId="43" xfId="0" applyFont="1" applyFill="1" applyBorder="1" applyAlignment="1" applyProtection="1">
      <alignment horizontal="center" vertical="center"/>
    </xf>
    <xf numFmtId="0" fontId="1" fillId="8" borderId="44" xfId="0" applyFont="1" applyFill="1" applyBorder="1" applyAlignment="1" applyProtection="1">
      <alignment horizontal="center" vertical="center"/>
    </xf>
    <xf numFmtId="0" fontId="1" fillId="8" borderId="56" xfId="0" applyFont="1" applyFill="1" applyBorder="1" applyAlignment="1" applyProtection="1">
      <alignment horizontal="center" vertical="center"/>
    </xf>
    <xf numFmtId="0" fontId="1" fillId="8" borderId="58" xfId="0" applyFont="1" applyFill="1" applyBorder="1" applyAlignment="1" applyProtection="1">
      <alignment horizontal="center" vertical="center"/>
    </xf>
    <xf numFmtId="0" fontId="1" fillId="0" borderId="0" xfId="0" applyFont="1" applyProtection="1"/>
    <xf numFmtId="0" fontId="3" fillId="2" borderId="1" xfId="0" applyFont="1" applyFill="1" applyBorder="1" applyAlignment="1" applyProtection="1">
      <alignment horizontal="left" indent="2"/>
    </xf>
    <xf numFmtId="0" fontId="1" fillId="2" borderId="2" xfId="0" applyFont="1" applyFill="1" applyBorder="1" applyAlignment="1" applyProtection="1">
      <alignment horizontal="left"/>
    </xf>
    <xf numFmtId="0" fontId="1" fillId="2" borderId="3" xfId="0" applyFont="1" applyFill="1" applyBorder="1" applyProtection="1"/>
    <xf numFmtId="0" fontId="0" fillId="0" borderId="0" xfId="0" applyProtection="1"/>
    <xf numFmtId="0" fontId="1" fillId="2" borderId="4" xfId="0" applyFont="1" applyFill="1" applyBorder="1" applyProtection="1"/>
    <xf numFmtId="0" fontId="1" fillId="2" borderId="0" xfId="0" applyFont="1" applyFill="1" applyAlignment="1" applyProtection="1">
      <alignment horizontal="left"/>
    </xf>
    <xf numFmtId="0" fontId="1" fillId="2" borderId="5" xfId="0" applyFont="1" applyFill="1" applyBorder="1" applyProtection="1"/>
    <xf numFmtId="0" fontId="1" fillId="2" borderId="4" xfId="0" applyFont="1" applyFill="1" applyBorder="1" applyAlignment="1" applyProtection="1">
      <alignment horizontal="right" vertical="center"/>
    </xf>
    <xf numFmtId="0" fontId="1" fillId="3" borderId="6" xfId="0" applyFont="1" applyFill="1" applyBorder="1" applyAlignment="1" applyProtection="1">
      <alignment horizontal="left" indent="2"/>
    </xf>
    <xf numFmtId="0" fontId="1" fillId="2" borderId="0" xfId="0" applyFont="1" applyFill="1" applyProtection="1"/>
    <xf numFmtId="0" fontId="1" fillId="2" borderId="4" xfId="0" applyFont="1" applyFill="1" applyBorder="1" applyAlignment="1" applyProtection="1">
      <alignment horizontal="right"/>
    </xf>
    <xf numFmtId="0" fontId="1" fillId="4" borderId="7" xfId="0" applyFont="1" applyFill="1" applyBorder="1" applyProtection="1"/>
    <xf numFmtId="0" fontId="1" fillId="4" borderId="8" xfId="0" applyFont="1" applyFill="1" applyBorder="1" applyProtection="1"/>
    <xf numFmtId="0" fontId="1" fillId="3" borderId="6" xfId="0" applyFont="1" applyFill="1" applyBorder="1" applyAlignment="1" applyProtection="1">
      <alignment horizontal="left" vertical="center" indent="2"/>
    </xf>
    <xf numFmtId="0" fontId="1" fillId="4" borderId="9" xfId="0" applyFont="1" applyFill="1" applyBorder="1" applyProtection="1"/>
    <xf numFmtId="0" fontId="1" fillId="2" borderId="10" xfId="0" applyFont="1" applyFill="1" applyBorder="1" applyProtection="1"/>
    <xf numFmtId="0" fontId="1" fillId="2" borderId="11" xfId="0" applyFont="1" applyFill="1" applyBorder="1" applyProtection="1"/>
    <xf numFmtId="0" fontId="1" fillId="2" borderId="12" xfId="0" applyFont="1" applyFill="1" applyBorder="1" applyAlignment="1" applyProtection="1">
      <alignment horizontal="left"/>
    </xf>
    <xf numFmtId="0" fontId="1" fillId="2" borderId="13" xfId="0" applyFont="1" applyFill="1" applyBorder="1" applyProtection="1"/>
    <xf numFmtId="0" fontId="4" fillId="0" borderId="0" xfId="0" applyFont="1" applyAlignment="1" applyProtection="1">
      <alignment horizontal="left" vertical="center"/>
    </xf>
    <xf numFmtId="0" fontId="4" fillId="2" borderId="14" xfId="0" applyFont="1" applyFill="1" applyBorder="1" applyAlignment="1" applyProtection="1">
      <alignment horizontal="left" vertical="center"/>
    </xf>
    <xf numFmtId="0" fontId="4" fillId="2" borderId="10" xfId="0" applyFont="1" applyFill="1" applyBorder="1" applyAlignment="1" applyProtection="1">
      <alignment horizontal="left" vertical="center"/>
    </xf>
    <xf numFmtId="0" fontId="1" fillId="2" borderId="15" xfId="0" applyFont="1" applyFill="1" applyBorder="1" applyProtection="1"/>
    <xf numFmtId="164" fontId="4" fillId="0" borderId="0" xfId="0" applyNumberFormat="1" applyFont="1" applyAlignment="1" applyProtection="1">
      <alignment horizontal="left" vertical="center"/>
    </xf>
    <xf numFmtId="164" fontId="1" fillId="0" borderId="0" xfId="0" applyNumberFormat="1" applyFont="1" applyProtection="1"/>
    <xf numFmtId="0" fontId="3" fillId="2" borderId="16" xfId="0" applyFont="1" applyFill="1" applyBorder="1" applyAlignment="1" applyProtection="1">
      <alignment horizontal="center"/>
    </xf>
    <xf numFmtId="164" fontId="1" fillId="0" borderId="0" xfId="0" applyNumberFormat="1" applyFont="1" applyAlignment="1" applyProtection="1">
      <alignment horizontal="left"/>
    </xf>
    <xf numFmtId="0" fontId="1" fillId="2" borderId="4" xfId="0" applyFont="1" applyFill="1" applyBorder="1" applyAlignment="1" applyProtection="1">
      <alignment horizontal="left" indent="2"/>
    </xf>
    <xf numFmtId="167" fontId="1" fillId="4" borderId="17" xfId="0" applyNumberFormat="1" applyFont="1" applyFill="1" applyBorder="1" applyAlignment="1" applyProtection="1">
      <alignment horizontal="center"/>
    </xf>
    <xf numFmtId="167" fontId="1" fillId="4" borderId="8" xfId="0" applyNumberFormat="1" applyFont="1" applyFill="1" applyBorder="1" applyAlignment="1" applyProtection="1">
      <alignment horizontal="center"/>
    </xf>
    <xf numFmtId="167" fontId="1" fillId="4" borderId="9" xfId="0" applyNumberFormat="1" applyFont="1" applyFill="1" applyBorder="1" applyAlignment="1" applyProtection="1">
      <alignment horizontal="center"/>
    </xf>
    <xf numFmtId="0" fontId="1" fillId="4" borderId="8" xfId="0" applyFont="1" applyFill="1" applyBorder="1" applyAlignment="1" applyProtection="1">
      <alignment horizontal="center"/>
    </xf>
    <xf numFmtId="0" fontId="1" fillId="4" borderId="9" xfId="0" applyFont="1" applyFill="1" applyBorder="1" applyAlignment="1" applyProtection="1">
      <alignment horizontal="center"/>
    </xf>
    <xf numFmtId="0" fontId="1" fillId="0" borderId="0" xfId="0" applyFont="1" applyAlignment="1" applyProtection="1">
      <alignment horizontal="left"/>
    </xf>
    <xf numFmtId="0" fontId="15" fillId="0" borderId="0" xfId="3" applyFont="1" applyAlignment="1" applyProtection="1">
      <protection hidden="1"/>
    </xf>
    <xf numFmtId="0" fontId="15" fillId="0" borderId="0" xfId="3" applyNumberFormat="1" applyFont="1" applyFill="1" applyAlignment="1" applyProtection="1">
      <alignment horizontal="center"/>
      <protection hidden="1"/>
    </xf>
    <xf numFmtId="0" fontId="15" fillId="0" borderId="0" xfId="3" applyNumberFormat="1" applyFont="1" applyFill="1" applyProtection="1">
      <protection hidden="1"/>
    </xf>
    <xf numFmtId="0" fontId="15" fillId="0" borderId="0" xfId="3" applyNumberFormat="1" applyFont="1" applyProtection="1">
      <protection hidden="1"/>
    </xf>
    <xf numFmtId="49" fontId="15" fillId="0" borderId="0" xfId="3" applyNumberFormat="1" applyFont="1" applyProtection="1">
      <protection hidden="1"/>
    </xf>
    <xf numFmtId="0" fontId="14" fillId="0" borderId="0" xfId="3" applyNumberFormat="1" applyProtection="1">
      <protection hidden="1"/>
    </xf>
    <xf numFmtId="0" fontId="14" fillId="0" borderId="0" xfId="3" applyProtection="1">
      <protection hidden="1"/>
    </xf>
    <xf numFmtId="164" fontId="16" fillId="0" borderId="0" xfId="3" applyNumberFormat="1" applyFont="1" applyAlignment="1" applyProtection="1">
      <protection hidden="1"/>
    </xf>
    <xf numFmtId="0" fontId="16" fillId="0" borderId="0" xfId="3" applyFont="1" applyAlignment="1" applyProtection="1">
      <protection hidden="1"/>
    </xf>
    <xf numFmtId="0" fontId="16" fillId="0" borderId="0" xfId="3" applyFont="1" applyProtection="1">
      <protection hidden="1"/>
    </xf>
    <xf numFmtId="0" fontId="17" fillId="0" borderId="0" xfId="3" applyFont="1" applyProtection="1">
      <protection hidden="1"/>
    </xf>
    <xf numFmtId="0" fontId="17" fillId="0" borderId="0" xfId="3" applyNumberFormat="1" applyFont="1" applyProtection="1">
      <protection hidden="1"/>
    </xf>
    <xf numFmtId="49" fontId="17" fillId="0" borderId="0" xfId="3" applyNumberFormat="1" applyFont="1" applyProtection="1">
      <protection hidden="1"/>
    </xf>
    <xf numFmtId="0" fontId="16" fillId="0" borderId="0" xfId="3" applyNumberFormat="1" applyFont="1" applyProtection="1">
      <protection hidden="1"/>
    </xf>
    <xf numFmtId="49" fontId="17" fillId="0" borderId="0" xfId="3" applyNumberFormat="1" applyFont="1" applyAlignment="1" applyProtection="1">
      <alignment horizontal="center" vertical="center"/>
      <protection hidden="1"/>
    </xf>
    <xf numFmtId="0" fontId="19" fillId="0" borderId="0" xfId="3" applyFont="1" applyAlignment="1" applyProtection="1">
      <alignment horizontal="right"/>
      <protection hidden="1"/>
    </xf>
    <xf numFmtId="0" fontId="18" fillId="0" borderId="0" xfId="3" applyFont="1" applyProtection="1">
      <protection hidden="1"/>
    </xf>
    <xf numFmtId="0" fontId="20" fillId="0" borderId="0" xfId="3" applyFont="1" applyBorder="1" applyAlignment="1" applyProtection="1">
      <protection hidden="1"/>
    </xf>
    <xf numFmtId="49" fontId="21" fillId="0" borderId="0" xfId="3" applyNumberFormat="1" applyFont="1" applyAlignment="1" applyProtection="1">
      <alignment horizontal="center"/>
      <protection hidden="1"/>
    </xf>
    <xf numFmtId="0" fontId="18" fillId="0" borderId="0" xfId="3" applyFont="1" applyBorder="1" applyAlignment="1" applyProtection="1">
      <protection hidden="1"/>
    </xf>
    <xf numFmtId="0" fontId="18" fillId="0" borderId="0" xfId="3" applyFont="1" applyAlignment="1" applyProtection="1">
      <protection hidden="1"/>
    </xf>
    <xf numFmtId="0" fontId="20" fillId="0" borderId="0" xfId="3" applyFont="1" applyProtection="1">
      <protection hidden="1"/>
    </xf>
    <xf numFmtId="0" fontId="19" fillId="0" borderId="0" xfId="3" applyFont="1" applyProtection="1">
      <protection hidden="1"/>
    </xf>
    <xf numFmtId="0" fontId="18" fillId="0" borderId="0" xfId="3" applyFont="1" applyBorder="1" applyAlignment="1" applyProtection="1">
      <alignment horizontal="right"/>
      <protection hidden="1"/>
    </xf>
    <xf numFmtId="0" fontId="18" fillId="0" borderId="0" xfId="3" applyFont="1" applyBorder="1" applyProtection="1">
      <protection hidden="1"/>
    </xf>
    <xf numFmtId="0" fontId="19" fillId="0" borderId="0" xfId="3" applyFont="1" applyBorder="1" applyAlignment="1" applyProtection="1">
      <protection hidden="1"/>
    </xf>
    <xf numFmtId="0" fontId="20" fillId="0" borderId="0" xfId="3" applyFont="1" applyBorder="1" applyProtection="1">
      <protection hidden="1"/>
    </xf>
    <xf numFmtId="0" fontId="22" fillId="0" borderId="0" xfId="3" applyFont="1" applyAlignment="1" applyProtection="1">
      <alignment horizontal="right"/>
      <protection hidden="1"/>
    </xf>
    <xf numFmtId="0" fontId="23" fillId="0" borderId="6" xfId="3" applyFont="1" applyBorder="1" applyAlignment="1" applyProtection="1">
      <alignment horizontal="center" vertical="center"/>
      <protection locked="0" hidden="1"/>
    </xf>
    <xf numFmtId="0" fontId="23" fillId="0" borderId="0" xfId="3" applyFont="1" applyProtection="1">
      <protection hidden="1"/>
    </xf>
    <xf numFmtId="0" fontId="24" fillId="0" borderId="0" xfId="3" applyFont="1" applyAlignment="1" applyProtection="1">
      <protection hidden="1"/>
    </xf>
    <xf numFmtId="0" fontId="19" fillId="0" borderId="0" xfId="3" applyFont="1" applyBorder="1" applyProtection="1">
      <protection hidden="1"/>
    </xf>
    <xf numFmtId="0" fontId="20" fillId="0" borderId="0" xfId="3" applyFont="1" applyBorder="1" applyAlignment="1" applyProtection="1">
      <alignment horizontal="left"/>
      <protection hidden="1"/>
    </xf>
    <xf numFmtId="0" fontId="19" fillId="0" borderId="0" xfId="3" applyFont="1" applyBorder="1" applyAlignment="1" applyProtection="1">
      <alignment vertical="center"/>
      <protection hidden="1"/>
    </xf>
    <xf numFmtId="0" fontId="24" fillId="0" borderId="0" xfId="3" applyFont="1" applyBorder="1" applyAlignment="1" applyProtection="1">
      <alignment horizontal="right"/>
      <protection hidden="1"/>
    </xf>
    <xf numFmtId="49" fontId="25" fillId="0" borderId="0" xfId="3" applyNumberFormat="1" applyFont="1" applyAlignment="1" applyProtection="1">
      <alignment horizontal="center"/>
      <protection hidden="1"/>
    </xf>
    <xf numFmtId="0" fontId="18" fillId="0" borderId="0" xfId="3" applyFont="1" applyBorder="1" applyAlignment="1" applyProtection="1">
      <alignment vertical="center"/>
      <protection hidden="1"/>
    </xf>
    <xf numFmtId="0" fontId="26" fillId="0" borderId="0" xfId="3" applyFont="1" applyBorder="1" applyAlignment="1" applyProtection="1">
      <alignment vertical="center"/>
      <protection hidden="1"/>
    </xf>
    <xf numFmtId="0" fontId="27" fillId="0" borderId="0" xfId="3" applyFont="1" applyBorder="1" applyAlignment="1" applyProtection="1">
      <alignment vertical="center"/>
      <protection hidden="1"/>
    </xf>
    <xf numFmtId="49" fontId="26" fillId="0" borderId="0" xfId="3" applyNumberFormat="1" applyFont="1" applyBorder="1" applyAlignment="1" applyProtection="1">
      <alignment vertical="center"/>
      <protection hidden="1"/>
    </xf>
    <xf numFmtId="49" fontId="20" fillId="0" borderId="0" xfId="3" applyNumberFormat="1" applyFont="1" applyProtection="1">
      <protection hidden="1"/>
    </xf>
    <xf numFmtId="1" fontId="19" fillId="0" borderId="6" xfId="3" applyNumberFormat="1" applyFont="1" applyBorder="1" applyAlignment="1" applyProtection="1">
      <alignment horizontal="center" vertical="center"/>
      <protection locked="0" hidden="1"/>
    </xf>
    <xf numFmtId="0" fontId="28" fillId="0" borderId="0" xfId="3" applyFont="1" applyProtection="1">
      <protection hidden="1"/>
    </xf>
    <xf numFmtId="0" fontId="15" fillId="0" borderId="0" xfId="3" applyFont="1" applyProtection="1">
      <protection hidden="1"/>
    </xf>
    <xf numFmtId="0" fontId="23" fillId="0" borderId="6" xfId="3" applyFont="1" applyBorder="1" applyAlignment="1" applyProtection="1">
      <alignment horizontal="center" vertical="center" shrinkToFit="1"/>
      <protection locked="0" hidden="1"/>
    </xf>
    <xf numFmtId="0" fontId="19" fillId="0" borderId="6" xfId="3" applyFont="1" applyBorder="1" applyAlignment="1" applyProtection="1">
      <alignment horizontal="center" vertical="center"/>
      <protection locked="0" hidden="1"/>
    </xf>
    <xf numFmtId="0" fontId="19" fillId="0" borderId="0" xfId="3" applyFont="1" applyAlignment="1" applyProtection="1">
      <protection hidden="1"/>
    </xf>
    <xf numFmtId="0" fontId="14" fillId="0" borderId="0" xfId="3" applyNumberFormat="1" applyFont="1" applyProtection="1">
      <protection hidden="1"/>
    </xf>
    <xf numFmtId="49" fontId="30" fillId="0" borderId="0" xfId="3" applyNumberFormat="1" applyFont="1" applyFill="1" applyAlignment="1" applyProtection="1">
      <alignment horizontal="center"/>
      <protection hidden="1"/>
    </xf>
    <xf numFmtId="0" fontId="34" fillId="0" borderId="0" xfId="3" applyNumberFormat="1" applyFont="1" applyProtection="1">
      <protection hidden="1"/>
    </xf>
    <xf numFmtId="0" fontId="35" fillId="0" borderId="0" xfId="3" applyNumberFormat="1" applyFont="1" applyProtection="1">
      <protection hidden="1"/>
    </xf>
    <xf numFmtId="0" fontId="34" fillId="0" borderId="0" xfId="3" applyFont="1" applyProtection="1">
      <protection hidden="1"/>
    </xf>
    <xf numFmtId="0" fontId="1" fillId="0" borderId="0" xfId="0" applyFont="1" applyFill="1" applyBorder="1" applyAlignment="1" applyProtection="1">
      <alignment vertical="center"/>
      <protection hidden="1"/>
    </xf>
    <xf numFmtId="0" fontId="13" fillId="0" borderId="0" xfId="0" applyFont="1" applyFill="1" applyBorder="1" applyAlignment="1" applyProtection="1">
      <alignment vertical="center"/>
      <protection hidden="1"/>
    </xf>
    <xf numFmtId="0" fontId="11" fillId="0" borderId="0" xfId="0" applyFont="1" applyFill="1" applyBorder="1" applyAlignment="1" applyProtection="1">
      <alignment horizontal="center" vertical="center" shrinkToFit="1"/>
      <protection hidden="1"/>
    </xf>
    <xf numFmtId="166" fontId="0" fillId="0" borderId="0" xfId="0" applyNumberFormat="1" applyFill="1" applyBorder="1" applyAlignment="1" applyProtection="1">
      <alignment vertical="center" shrinkToFit="1"/>
      <protection hidden="1"/>
    </xf>
    <xf numFmtId="0" fontId="0" fillId="0" borderId="0" xfId="0" applyFill="1" applyBorder="1" applyAlignment="1" applyProtection="1">
      <alignment horizontal="center" vertical="center" shrinkToFit="1"/>
      <protection hidden="1"/>
    </xf>
    <xf numFmtId="0" fontId="0" fillId="0" borderId="0" xfId="0" applyFill="1" applyBorder="1" applyAlignment="1" applyProtection="1">
      <alignment vertical="center" shrinkToFit="1"/>
      <protection hidden="1"/>
    </xf>
    <xf numFmtId="0" fontId="5" fillId="0" borderId="0" xfId="0" applyFont="1" applyAlignment="1">
      <alignment horizontal="left" vertical="center"/>
    </xf>
    <xf numFmtId="0" fontId="0" fillId="5" borderId="0" xfId="0" applyFill="1" applyAlignment="1">
      <alignment horizontal="center"/>
    </xf>
    <xf numFmtId="0" fontId="1" fillId="7" borderId="44" xfId="0" applyFont="1" applyFill="1" applyBorder="1" applyAlignment="1" applyProtection="1">
      <alignment horizontal="right" vertical="center" shrinkToFit="1"/>
      <protection hidden="1"/>
    </xf>
    <xf numFmtId="0" fontId="1" fillId="7" borderId="58" xfId="0" applyFont="1" applyFill="1" applyBorder="1" applyAlignment="1" applyProtection="1">
      <alignment horizontal="right" vertical="center" shrinkToFit="1"/>
      <protection hidden="1"/>
    </xf>
    <xf numFmtId="0" fontId="0" fillId="0" borderId="0" xfId="0"/>
    <xf numFmtId="0" fontId="1" fillId="0" borderId="0" xfId="0"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 fillId="7" borderId="46" xfId="0" applyFont="1" applyFill="1" applyBorder="1" applyAlignment="1" applyProtection="1">
      <alignment horizontal="right" vertical="center" shrinkToFit="1"/>
      <protection hidden="1"/>
    </xf>
    <xf numFmtId="0" fontId="7" fillId="0" borderId="0" xfId="0" applyFont="1" applyAlignment="1" applyProtection="1">
      <alignment horizontal="center" vertical="center" shrinkToFit="1"/>
      <protection hidden="1"/>
    </xf>
    <xf numFmtId="0" fontId="9" fillId="0" borderId="0" xfId="1" applyFont="1" applyBorder="1" applyAlignment="1" applyProtection="1">
      <alignment horizontal="right"/>
      <protection hidden="1"/>
    </xf>
    <xf numFmtId="0" fontId="10" fillId="0" borderId="0" xfId="0" applyFont="1" applyFill="1" applyBorder="1" applyAlignment="1" applyProtection="1">
      <alignment horizontal="center" vertical="center"/>
      <protection hidden="1"/>
    </xf>
    <xf numFmtId="0" fontId="31" fillId="0" borderId="0" xfId="3" applyFont="1" applyBorder="1" applyAlignment="1" applyProtection="1">
      <alignment horizontal="left"/>
      <protection hidden="1"/>
    </xf>
    <xf numFmtId="0" fontId="20" fillId="0" borderId="63" xfId="3" applyFont="1" applyBorder="1" applyAlignment="1" applyProtection="1">
      <alignment horizontal="left"/>
      <protection locked="0" hidden="1"/>
    </xf>
    <xf numFmtId="0" fontId="20" fillId="0" borderId="64" xfId="3" applyFont="1" applyBorder="1" applyAlignment="1" applyProtection="1">
      <alignment horizontal="left"/>
      <protection locked="0" hidden="1"/>
    </xf>
    <xf numFmtId="0" fontId="20" fillId="0" borderId="65" xfId="3" applyFont="1" applyBorder="1" applyAlignment="1" applyProtection="1">
      <alignment horizontal="left"/>
      <protection locked="0" hidden="1"/>
    </xf>
    <xf numFmtId="0" fontId="31" fillId="0" borderId="0" xfId="3" applyFont="1" applyAlignment="1" applyProtection="1">
      <alignment horizontal="left"/>
      <protection hidden="1"/>
    </xf>
    <xf numFmtId="0" fontId="19" fillId="0" borderId="63" xfId="3" applyFont="1" applyBorder="1" applyAlignment="1" applyProtection="1">
      <alignment horizontal="center" vertical="center"/>
      <protection locked="0" hidden="1"/>
    </xf>
    <xf numFmtId="0" fontId="19" fillId="0" borderId="65" xfId="3" applyFont="1" applyBorder="1" applyAlignment="1" applyProtection="1">
      <alignment horizontal="center" vertical="center"/>
      <protection locked="0" hidden="1"/>
    </xf>
    <xf numFmtId="0" fontId="33" fillId="0" borderId="0" xfId="3" applyFont="1" applyBorder="1" applyAlignment="1" applyProtection="1">
      <alignment horizontal="left"/>
      <protection hidden="1"/>
    </xf>
    <xf numFmtId="0" fontId="19" fillId="0" borderId="64" xfId="3" applyFont="1" applyBorder="1" applyAlignment="1" applyProtection="1">
      <alignment horizontal="center" vertical="center"/>
      <protection locked="0" hidden="1"/>
    </xf>
    <xf numFmtId="0" fontId="31" fillId="0" borderId="5" xfId="3" applyFont="1" applyBorder="1" applyAlignment="1" applyProtection="1">
      <alignment horizontal="left"/>
      <protection hidden="1"/>
    </xf>
    <xf numFmtId="0" fontId="29" fillId="9" borderId="0" xfId="3" applyFont="1" applyFill="1" applyBorder="1" applyAlignment="1" applyProtection="1">
      <alignment horizontal="center" vertical="center"/>
      <protection hidden="1"/>
    </xf>
    <xf numFmtId="0" fontId="15" fillId="9" borderId="0" xfId="3" applyFont="1" applyFill="1" applyAlignment="1" applyProtection="1">
      <protection hidden="1"/>
    </xf>
  </cellXfs>
  <cellStyles count="4">
    <cellStyle name="Hyperlink" xfId="1" builtinId="8"/>
    <cellStyle name="Normal" xfId="0" builtinId="0"/>
    <cellStyle name="Normal 2" xfId="2"/>
    <cellStyle name="Normal 3" xfId="3"/>
  </cellStyles>
  <dxfs count="10">
    <dxf>
      <fill>
        <patternFill>
          <bgColor rgb="FFD9D9D9"/>
        </patternFill>
      </fill>
    </dxf>
    <dxf>
      <font>
        <b val="0"/>
        <i/>
        <color rgb="FF008080"/>
      </font>
    </dxf>
    <dxf>
      <font>
        <color rgb="FFFF0000"/>
      </font>
    </dxf>
    <dxf>
      <font>
        <b/>
        <i val="0"/>
        <color rgb="FF0000FF"/>
      </font>
    </dxf>
    <dxf>
      <font>
        <b/>
        <i val="0"/>
      </font>
    </dxf>
    <dxf>
      <font>
        <b/>
        <i val="0"/>
      </font>
    </dxf>
    <dxf>
      <font>
        <b val="0"/>
        <i/>
        <color rgb="FF008080"/>
      </font>
    </dxf>
    <dxf>
      <font>
        <color rgb="FFFF0000"/>
      </font>
    </dxf>
    <dxf>
      <font>
        <b/>
        <i val="0"/>
        <color rgb="FF0000FF"/>
      </font>
    </dxf>
    <dxf>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558ED5"/>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7</xdr:col>
      <xdr:colOff>27841</xdr:colOff>
      <xdr:row>17</xdr:row>
      <xdr:rowOff>156611</xdr:rowOff>
    </xdr:from>
    <xdr:to>
      <xdr:col>7</xdr:col>
      <xdr:colOff>217921</xdr:colOff>
      <xdr:row>19</xdr:row>
      <xdr:rowOff>14410</xdr:rowOff>
    </xdr:to>
    <xdr:pic>
      <xdr:nvPicPr>
        <xdr:cNvPr id="2" name="Picture 2">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4075966" y="2914531"/>
          <a:ext cx="190080" cy="178186"/>
        </a:xfrm>
        <a:prstGeom prst="rect">
          <a:avLst/>
        </a:prstGeom>
        <a:ln>
          <a:noFill/>
        </a:ln>
      </xdr:spPr>
    </xdr:pic>
    <xdr:clientData/>
  </xdr:twoCellAnchor>
  <xdr:twoCellAnchor editAs="oneCell">
    <xdr:from>
      <xdr:col>4</xdr:col>
      <xdr:colOff>1278219</xdr:colOff>
      <xdr:row>37</xdr:row>
      <xdr:rowOff>154080</xdr:rowOff>
    </xdr:from>
    <xdr:to>
      <xdr:col>4</xdr:col>
      <xdr:colOff>1468299</xdr:colOff>
      <xdr:row>39</xdr:row>
      <xdr:rowOff>11521</xdr:rowOff>
    </xdr:to>
    <xdr:pic>
      <xdr:nvPicPr>
        <xdr:cNvPr id="3" name="Picture 5">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3248162" y="6115864"/>
          <a:ext cx="190080" cy="177827"/>
        </a:xfrm>
        <a:prstGeom prst="rect">
          <a:avLst/>
        </a:prstGeom>
        <a:ln>
          <a:noFill/>
        </a:ln>
      </xdr:spPr>
    </xdr:pic>
    <xdr:clientData/>
  </xdr:twoCellAnchor>
  <xdr:twoCellAnchor editAs="oneCell">
    <xdr:from>
      <xdr:col>7</xdr:col>
      <xdr:colOff>31320</xdr:colOff>
      <xdr:row>28</xdr:row>
      <xdr:rowOff>145062</xdr:rowOff>
    </xdr:from>
    <xdr:to>
      <xdr:col>7</xdr:col>
      <xdr:colOff>221400</xdr:colOff>
      <xdr:row>30</xdr:row>
      <xdr:rowOff>11501</xdr:rowOff>
    </xdr:to>
    <xdr:pic>
      <xdr:nvPicPr>
        <xdr:cNvPr id="4" name="Picture 6">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4079445" y="4665107"/>
          <a:ext cx="190080" cy="186826"/>
        </a:xfrm>
        <a:prstGeom prst="rect">
          <a:avLst/>
        </a:prstGeom>
        <a:ln>
          <a:noFill/>
        </a:ln>
      </xdr:spPr>
    </xdr:pic>
    <xdr:clientData/>
  </xdr:twoCellAnchor>
  <xdr:twoCellAnchor editAs="oneCell">
    <xdr:from>
      <xdr:col>7</xdr:col>
      <xdr:colOff>36340</xdr:colOff>
      <xdr:row>9</xdr:row>
      <xdr:rowOff>154080</xdr:rowOff>
    </xdr:from>
    <xdr:to>
      <xdr:col>7</xdr:col>
      <xdr:colOff>227860</xdr:colOff>
      <xdr:row>11</xdr:row>
      <xdr:rowOff>14760</xdr:rowOff>
    </xdr:to>
    <xdr:pic>
      <xdr:nvPicPr>
        <xdr:cNvPr id="5" name="Picture 10">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2"/>
        <a:stretch/>
      </xdr:blipFill>
      <xdr:spPr>
        <a:xfrm>
          <a:off x="4084465" y="1630455"/>
          <a:ext cx="191520" cy="181066"/>
        </a:xfrm>
        <a:prstGeom prst="rect">
          <a:avLst/>
        </a:prstGeom>
        <a:ln>
          <a:noFill/>
        </a:ln>
      </xdr:spPr>
    </xdr:pic>
    <xdr:clientData/>
  </xdr:twoCellAnchor>
  <xdr:twoCellAnchor editAs="oneCell">
    <xdr:from>
      <xdr:col>7</xdr:col>
      <xdr:colOff>24840</xdr:colOff>
      <xdr:row>22</xdr:row>
      <xdr:rowOff>155870</xdr:rowOff>
    </xdr:from>
    <xdr:to>
      <xdr:col>7</xdr:col>
      <xdr:colOff>216360</xdr:colOff>
      <xdr:row>24</xdr:row>
      <xdr:rowOff>16550</xdr:rowOff>
    </xdr:to>
    <xdr:pic>
      <xdr:nvPicPr>
        <xdr:cNvPr id="6" name="Picture 1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2"/>
        <a:stretch/>
      </xdr:blipFill>
      <xdr:spPr>
        <a:xfrm>
          <a:off x="4072965" y="3714756"/>
          <a:ext cx="191520" cy="181067"/>
        </a:xfrm>
        <a:prstGeom prst="rect">
          <a:avLst/>
        </a:prstGeom>
        <a:ln>
          <a:noFill/>
        </a:ln>
      </xdr:spPr>
    </xdr:pic>
    <xdr:clientData/>
  </xdr:twoCellAnchor>
  <xdr:twoCellAnchor editAs="oneCell">
    <xdr:from>
      <xdr:col>4</xdr:col>
      <xdr:colOff>1276578</xdr:colOff>
      <xdr:row>32</xdr:row>
      <xdr:rowOff>151209</xdr:rowOff>
    </xdr:from>
    <xdr:to>
      <xdr:col>4</xdr:col>
      <xdr:colOff>1468098</xdr:colOff>
      <xdr:row>34</xdr:row>
      <xdr:rowOff>11889</xdr:rowOff>
    </xdr:to>
    <xdr:pic>
      <xdr:nvPicPr>
        <xdr:cNvPr id="7" name="Picture 16">
          <a:extLst>
            <a:ext uri="{FF2B5EF4-FFF2-40B4-BE49-F238E27FC236}">
              <a16:creationId xmlns:a16="http://schemas.microsoft.com/office/drawing/2014/main" id="{00000000-0008-0000-0300-000007000000}"/>
            </a:ext>
          </a:extLst>
        </xdr:cNvPr>
        <xdr:cNvPicPr/>
      </xdr:nvPicPr>
      <xdr:blipFill>
        <a:blip xmlns:r="http://schemas.openxmlformats.org/officeDocument/2006/relationships" r:embed="rId2"/>
        <a:stretch/>
      </xdr:blipFill>
      <xdr:spPr>
        <a:xfrm>
          <a:off x="3246521" y="5312027"/>
          <a:ext cx="191520" cy="181067"/>
        </a:xfrm>
        <a:prstGeom prst="rect">
          <a:avLst/>
        </a:prstGeom>
        <a:ln>
          <a:noFill/>
        </a:ln>
      </xdr:spPr>
    </xdr:pic>
    <xdr:clientData/>
  </xdr:twoCellAnchor>
  <xdr:twoCellAnchor editAs="oneCell">
    <xdr:from>
      <xdr:col>7</xdr:col>
      <xdr:colOff>29116</xdr:colOff>
      <xdr:row>16</xdr:row>
      <xdr:rowOff>147960</xdr:rowOff>
    </xdr:from>
    <xdr:to>
      <xdr:col>7</xdr:col>
      <xdr:colOff>220636</xdr:colOff>
      <xdr:row>18</xdr:row>
      <xdr:rowOff>8280</xdr:rowOff>
    </xdr:to>
    <xdr:pic>
      <xdr:nvPicPr>
        <xdr:cNvPr id="11" name="Picture 17">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3"/>
        <a:stretch/>
      </xdr:blipFill>
      <xdr:spPr>
        <a:xfrm>
          <a:off x="4078883" y="2755839"/>
          <a:ext cx="191520" cy="182200"/>
        </a:xfrm>
        <a:prstGeom prst="rect">
          <a:avLst/>
        </a:prstGeom>
        <a:ln>
          <a:noFill/>
        </a:ln>
      </xdr:spPr>
    </xdr:pic>
    <xdr:clientData/>
  </xdr:twoCellAnchor>
  <xdr:twoCellAnchor editAs="oneCell">
    <xdr:from>
      <xdr:col>4</xdr:col>
      <xdr:colOff>1270800</xdr:colOff>
      <xdr:row>40</xdr:row>
      <xdr:rowOff>157689</xdr:rowOff>
    </xdr:from>
    <xdr:to>
      <xdr:col>4</xdr:col>
      <xdr:colOff>1462320</xdr:colOff>
      <xdr:row>42</xdr:row>
      <xdr:rowOff>18009</xdr:rowOff>
    </xdr:to>
    <xdr:pic>
      <xdr:nvPicPr>
        <xdr:cNvPr id="12" name="Picture 2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3"/>
        <a:stretch/>
      </xdr:blipFill>
      <xdr:spPr>
        <a:xfrm>
          <a:off x="3240743" y="6600053"/>
          <a:ext cx="191520" cy="180706"/>
        </a:xfrm>
        <a:prstGeom prst="rect">
          <a:avLst/>
        </a:prstGeom>
        <a:ln>
          <a:noFill/>
        </a:ln>
      </xdr:spPr>
    </xdr:pic>
    <xdr:clientData/>
  </xdr:twoCellAnchor>
  <xdr:twoCellAnchor editAs="oneCell">
    <xdr:from>
      <xdr:col>4</xdr:col>
      <xdr:colOff>1277139</xdr:colOff>
      <xdr:row>26</xdr:row>
      <xdr:rowOff>156618</xdr:rowOff>
    </xdr:from>
    <xdr:to>
      <xdr:col>4</xdr:col>
      <xdr:colOff>1468659</xdr:colOff>
      <xdr:row>28</xdr:row>
      <xdr:rowOff>16938</xdr:rowOff>
    </xdr:to>
    <xdr:pic>
      <xdr:nvPicPr>
        <xdr:cNvPr id="13" name="Picture 22">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3"/>
        <a:stretch/>
      </xdr:blipFill>
      <xdr:spPr>
        <a:xfrm>
          <a:off x="3247082" y="4356277"/>
          <a:ext cx="191520" cy="180706"/>
        </a:xfrm>
        <a:prstGeom prst="rect">
          <a:avLst/>
        </a:prstGeom>
        <a:ln>
          <a:noFill/>
        </a:ln>
      </xdr:spPr>
    </xdr:pic>
    <xdr:clientData/>
  </xdr:twoCellAnchor>
  <xdr:twoCellAnchor editAs="oneCell">
    <xdr:from>
      <xdr:col>7</xdr:col>
      <xdr:colOff>25821</xdr:colOff>
      <xdr:row>14</xdr:row>
      <xdr:rowOff>154816</xdr:rowOff>
    </xdr:from>
    <xdr:to>
      <xdr:col>7</xdr:col>
      <xdr:colOff>217341</xdr:colOff>
      <xdr:row>16</xdr:row>
      <xdr:rowOff>15496</xdr:rowOff>
    </xdr:to>
    <xdr:pic>
      <xdr:nvPicPr>
        <xdr:cNvPr id="14" name="Picture 20">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4"/>
        <a:stretch/>
      </xdr:blipFill>
      <xdr:spPr>
        <a:xfrm>
          <a:off x="4073946" y="2432157"/>
          <a:ext cx="191520" cy="181066"/>
        </a:xfrm>
        <a:prstGeom prst="rect">
          <a:avLst/>
        </a:prstGeom>
        <a:ln>
          <a:noFill/>
        </a:ln>
      </xdr:spPr>
    </xdr:pic>
    <xdr:clientData/>
  </xdr:twoCellAnchor>
  <xdr:twoCellAnchor editAs="oneCell">
    <xdr:from>
      <xdr:col>7</xdr:col>
      <xdr:colOff>31850</xdr:colOff>
      <xdr:row>24</xdr:row>
      <xdr:rowOff>151928</xdr:rowOff>
    </xdr:from>
    <xdr:to>
      <xdr:col>7</xdr:col>
      <xdr:colOff>223370</xdr:colOff>
      <xdr:row>26</xdr:row>
      <xdr:rowOff>21609</xdr:rowOff>
    </xdr:to>
    <xdr:pic>
      <xdr:nvPicPr>
        <xdr:cNvPr id="15" name="Picture 24">
          <a:extLst>
            <a:ext uri="{FF2B5EF4-FFF2-40B4-BE49-F238E27FC236}">
              <a16:creationId xmlns:a16="http://schemas.microsoft.com/office/drawing/2014/main" id="{00000000-0008-0000-0300-00000F000000}"/>
            </a:ext>
          </a:extLst>
        </xdr:cNvPr>
        <xdr:cNvPicPr/>
      </xdr:nvPicPr>
      <xdr:blipFill>
        <a:blip xmlns:r="http://schemas.openxmlformats.org/officeDocument/2006/relationships" r:embed="rId4"/>
        <a:stretch/>
      </xdr:blipFill>
      <xdr:spPr>
        <a:xfrm>
          <a:off x="4079975" y="4031201"/>
          <a:ext cx="191520" cy="190067"/>
        </a:xfrm>
        <a:prstGeom prst="rect">
          <a:avLst/>
        </a:prstGeom>
        <a:ln>
          <a:noFill/>
        </a:ln>
      </xdr:spPr>
    </xdr:pic>
    <xdr:clientData/>
  </xdr:twoCellAnchor>
  <xdr:twoCellAnchor editAs="oneCell">
    <xdr:from>
      <xdr:col>4</xdr:col>
      <xdr:colOff>1274980</xdr:colOff>
      <xdr:row>38</xdr:row>
      <xdr:rowOff>145061</xdr:rowOff>
    </xdr:from>
    <xdr:to>
      <xdr:col>4</xdr:col>
      <xdr:colOff>1466500</xdr:colOff>
      <xdr:row>40</xdr:row>
      <xdr:rowOff>8621</xdr:rowOff>
    </xdr:to>
    <xdr:pic>
      <xdr:nvPicPr>
        <xdr:cNvPr id="16" name="Picture 25">
          <a:extLst>
            <a:ext uri="{FF2B5EF4-FFF2-40B4-BE49-F238E27FC236}">
              <a16:creationId xmlns:a16="http://schemas.microsoft.com/office/drawing/2014/main" id="{00000000-0008-0000-0300-000010000000}"/>
            </a:ext>
          </a:extLst>
        </xdr:cNvPr>
        <xdr:cNvPicPr/>
      </xdr:nvPicPr>
      <xdr:blipFill>
        <a:blip xmlns:r="http://schemas.openxmlformats.org/officeDocument/2006/relationships" r:embed="rId4"/>
        <a:stretch/>
      </xdr:blipFill>
      <xdr:spPr>
        <a:xfrm>
          <a:off x="3244923" y="6267038"/>
          <a:ext cx="191520" cy="183947"/>
        </a:xfrm>
        <a:prstGeom prst="rect">
          <a:avLst/>
        </a:prstGeom>
        <a:ln>
          <a:noFill/>
        </a:ln>
      </xdr:spPr>
    </xdr:pic>
    <xdr:clientData/>
  </xdr:twoCellAnchor>
  <xdr:twoCellAnchor editAs="oneCell">
    <xdr:from>
      <xdr:col>4</xdr:col>
      <xdr:colOff>1289314</xdr:colOff>
      <xdr:row>18</xdr:row>
      <xdr:rowOff>154081</xdr:rowOff>
    </xdr:from>
    <xdr:to>
      <xdr:col>4</xdr:col>
      <xdr:colOff>1480834</xdr:colOff>
      <xdr:row>20</xdr:row>
      <xdr:rowOff>19081</xdr:rowOff>
    </xdr:to>
    <xdr:pic>
      <xdr:nvPicPr>
        <xdr:cNvPr id="20" name="Picture 26">
          <a:extLst>
            <a:ext uri="{FF2B5EF4-FFF2-40B4-BE49-F238E27FC236}">
              <a16:creationId xmlns:a16="http://schemas.microsoft.com/office/drawing/2014/main" id="{00000000-0008-0000-0300-000014000000}"/>
            </a:ext>
          </a:extLst>
        </xdr:cNvPr>
        <xdr:cNvPicPr/>
      </xdr:nvPicPr>
      <xdr:blipFill>
        <a:blip xmlns:r="http://schemas.openxmlformats.org/officeDocument/2006/relationships" r:embed="rId5"/>
        <a:stretch/>
      </xdr:blipFill>
      <xdr:spPr>
        <a:xfrm>
          <a:off x="3259257" y="3072195"/>
          <a:ext cx="191520" cy="185386"/>
        </a:xfrm>
        <a:prstGeom prst="rect">
          <a:avLst/>
        </a:prstGeom>
        <a:ln>
          <a:noFill/>
        </a:ln>
      </xdr:spPr>
    </xdr:pic>
    <xdr:clientData/>
  </xdr:twoCellAnchor>
  <xdr:twoCellAnchor editAs="oneCell">
    <xdr:from>
      <xdr:col>7</xdr:col>
      <xdr:colOff>24840</xdr:colOff>
      <xdr:row>43</xdr:row>
      <xdr:rowOff>149750</xdr:rowOff>
    </xdr:from>
    <xdr:to>
      <xdr:col>7</xdr:col>
      <xdr:colOff>216360</xdr:colOff>
      <xdr:row>45</xdr:row>
      <xdr:rowOff>9350</xdr:rowOff>
    </xdr:to>
    <xdr:pic>
      <xdr:nvPicPr>
        <xdr:cNvPr id="21" name="Picture 31">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5"/>
        <a:stretch/>
      </xdr:blipFill>
      <xdr:spPr>
        <a:xfrm>
          <a:off x="4072965" y="7072693"/>
          <a:ext cx="191520" cy="179987"/>
        </a:xfrm>
        <a:prstGeom prst="rect">
          <a:avLst/>
        </a:prstGeom>
        <a:ln>
          <a:noFill/>
        </a:ln>
      </xdr:spPr>
    </xdr:pic>
    <xdr:clientData/>
  </xdr:twoCellAnchor>
  <xdr:twoCellAnchor editAs="oneCell">
    <xdr:from>
      <xdr:col>7</xdr:col>
      <xdr:colOff>35260</xdr:colOff>
      <xdr:row>10</xdr:row>
      <xdr:rowOff>149392</xdr:rowOff>
    </xdr:from>
    <xdr:to>
      <xdr:col>7</xdr:col>
      <xdr:colOff>226780</xdr:colOff>
      <xdr:row>12</xdr:row>
      <xdr:rowOff>10071</xdr:rowOff>
    </xdr:to>
    <xdr:pic>
      <xdr:nvPicPr>
        <xdr:cNvPr id="22" name="Picture 29">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6"/>
        <a:stretch/>
      </xdr:blipFill>
      <xdr:spPr>
        <a:xfrm>
          <a:off x="4083385" y="1785960"/>
          <a:ext cx="191520" cy="181066"/>
        </a:xfrm>
        <a:prstGeom prst="rect">
          <a:avLst/>
        </a:prstGeom>
        <a:ln>
          <a:noFill/>
        </a:ln>
      </xdr:spPr>
    </xdr:pic>
    <xdr:clientData/>
  </xdr:twoCellAnchor>
  <xdr:twoCellAnchor editAs="oneCell">
    <xdr:from>
      <xdr:col>4</xdr:col>
      <xdr:colOff>1285248</xdr:colOff>
      <xdr:row>20</xdr:row>
      <xdr:rowOff>149390</xdr:rowOff>
    </xdr:from>
    <xdr:to>
      <xdr:col>4</xdr:col>
      <xdr:colOff>1476768</xdr:colOff>
      <xdr:row>22</xdr:row>
      <xdr:rowOff>14391</xdr:rowOff>
    </xdr:to>
    <xdr:pic>
      <xdr:nvPicPr>
        <xdr:cNvPr id="23" name="Picture 33">
          <a:extLst>
            <a:ext uri="{FF2B5EF4-FFF2-40B4-BE49-F238E27FC236}">
              <a16:creationId xmlns:a16="http://schemas.microsoft.com/office/drawing/2014/main" id="{00000000-0008-0000-0300-000017000000}"/>
            </a:ext>
          </a:extLst>
        </xdr:cNvPr>
        <xdr:cNvPicPr/>
      </xdr:nvPicPr>
      <xdr:blipFill>
        <a:blip xmlns:r="http://schemas.openxmlformats.org/officeDocument/2006/relationships" r:embed="rId6"/>
        <a:stretch/>
      </xdr:blipFill>
      <xdr:spPr>
        <a:xfrm>
          <a:off x="3255191" y="3387890"/>
          <a:ext cx="191520" cy="185387"/>
        </a:xfrm>
        <a:prstGeom prst="rect">
          <a:avLst/>
        </a:prstGeom>
        <a:ln>
          <a:noFill/>
        </a:ln>
      </xdr:spPr>
    </xdr:pic>
    <xdr:clientData/>
  </xdr:twoCellAnchor>
  <xdr:twoCellAnchor editAs="oneCell">
    <xdr:from>
      <xdr:col>4</xdr:col>
      <xdr:colOff>1280908</xdr:colOff>
      <xdr:row>35</xdr:row>
      <xdr:rowOff>149390</xdr:rowOff>
    </xdr:from>
    <xdr:to>
      <xdr:col>4</xdr:col>
      <xdr:colOff>1472428</xdr:colOff>
      <xdr:row>37</xdr:row>
      <xdr:rowOff>12231</xdr:rowOff>
    </xdr:to>
    <xdr:pic>
      <xdr:nvPicPr>
        <xdr:cNvPr id="24" name="Picture 34">
          <a:extLst>
            <a:ext uri="{FF2B5EF4-FFF2-40B4-BE49-F238E27FC236}">
              <a16:creationId xmlns:a16="http://schemas.microsoft.com/office/drawing/2014/main" id="{00000000-0008-0000-0300-000018000000}"/>
            </a:ext>
          </a:extLst>
        </xdr:cNvPr>
        <xdr:cNvPicPr/>
      </xdr:nvPicPr>
      <xdr:blipFill>
        <a:blip xmlns:r="http://schemas.openxmlformats.org/officeDocument/2006/relationships" r:embed="rId6"/>
        <a:stretch/>
      </xdr:blipFill>
      <xdr:spPr>
        <a:xfrm>
          <a:off x="3250851" y="5790788"/>
          <a:ext cx="191520" cy="183227"/>
        </a:xfrm>
        <a:prstGeom prst="rect">
          <a:avLst/>
        </a:prstGeom>
        <a:ln>
          <a:noFill/>
        </a:ln>
      </xdr:spPr>
    </xdr:pic>
    <xdr:clientData/>
  </xdr:twoCellAnchor>
  <xdr:twoCellAnchor editAs="oneCell">
    <xdr:from>
      <xdr:col>4</xdr:col>
      <xdr:colOff>1278608</xdr:colOff>
      <xdr:row>27</xdr:row>
      <xdr:rowOff>145421</xdr:rowOff>
    </xdr:from>
    <xdr:to>
      <xdr:col>4</xdr:col>
      <xdr:colOff>1470128</xdr:colOff>
      <xdr:row>29</xdr:row>
      <xdr:rowOff>10420</xdr:rowOff>
    </xdr:to>
    <xdr:pic>
      <xdr:nvPicPr>
        <xdr:cNvPr id="25" name="Picture 32">
          <a:extLst>
            <a:ext uri="{FF2B5EF4-FFF2-40B4-BE49-F238E27FC236}">
              <a16:creationId xmlns:a16="http://schemas.microsoft.com/office/drawing/2014/main" id="{00000000-0008-0000-0300-000019000000}"/>
            </a:ext>
          </a:extLst>
        </xdr:cNvPr>
        <xdr:cNvPicPr/>
      </xdr:nvPicPr>
      <xdr:blipFill>
        <a:blip xmlns:r="http://schemas.openxmlformats.org/officeDocument/2006/relationships" r:embed="rId7"/>
        <a:stretch/>
      </xdr:blipFill>
      <xdr:spPr>
        <a:xfrm>
          <a:off x="3248551" y="4505273"/>
          <a:ext cx="191520" cy="185386"/>
        </a:xfrm>
        <a:prstGeom prst="rect">
          <a:avLst/>
        </a:prstGeom>
        <a:ln>
          <a:noFill/>
        </a:ln>
      </xdr:spPr>
    </xdr:pic>
    <xdr:clientData/>
  </xdr:twoCellAnchor>
  <xdr:twoCellAnchor editAs="oneCell">
    <xdr:from>
      <xdr:col>4</xdr:col>
      <xdr:colOff>1283780</xdr:colOff>
      <xdr:row>12</xdr:row>
      <xdr:rowOff>154468</xdr:rowOff>
    </xdr:from>
    <xdr:to>
      <xdr:col>4</xdr:col>
      <xdr:colOff>1475300</xdr:colOff>
      <xdr:row>14</xdr:row>
      <xdr:rowOff>14789</xdr:rowOff>
    </xdr:to>
    <xdr:pic>
      <xdr:nvPicPr>
        <xdr:cNvPr id="26" name="Picture 36">
          <a:extLst>
            <a:ext uri="{FF2B5EF4-FFF2-40B4-BE49-F238E27FC236}">
              <a16:creationId xmlns:a16="http://schemas.microsoft.com/office/drawing/2014/main" id="{00000000-0008-0000-0300-00001A000000}"/>
            </a:ext>
          </a:extLst>
        </xdr:cNvPr>
        <xdr:cNvPicPr/>
      </xdr:nvPicPr>
      <xdr:blipFill>
        <a:blip xmlns:r="http://schemas.openxmlformats.org/officeDocument/2006/relationships" r:embed="rId7"/>
        <a:stretch/>
      </xdr:blipFill>
      <xdr:spPr>
        <a:xfrm>
          <a:off x="3253723" y="2111423"/>
          <a:ext cx="191520" cy="180707"/>
        </a:xfrm>
        <a:prstGeom prst="rect">
          <a:avLst/>
        </a:prstGeom>
        <a:ln>
          <a:noFill/>
        </a:ln>
      </xdr:spPr>
    </xdr:pic>
    <xdr:clientData/>
  </xdr:twoCellAnchor>
  <xdr:twoCellAnchor editAs="oneCell">
    <xdr:from>
      <xdr:col>7</xdr:col>
      <xdr:colOff>21590</xdr:colOff>
      <xdr:row>37</xdr:row>
      <xdr:rowOff>154080</xdr:rowOff>
    </xdr:from>
    <xdr:to>
      <xdr:col>7</xdr:col>
      <xdr:colOff>213110</xdr:colOff>
      <xdr:row>39</xdr:row>
      <xdr:rowOff>14760</xdr:rowOff>
    </xdr:to>
    <xdr:pic>
      <xdr:nvPicPr>
        <xdr:cNvPr id="27" name="Picture 37">
          <a:extLst>
            <a:ext uri="{FF2B5EF4-FFF2-40B4-BE49-F238E27FC236}">
              <a16:creationId xmlns:a16="http://schemas.microsoft.com/office/drawing/2014/main" id="{00000000-0008-0000-0300-00001B000000}"/>
            </a:ext>
          </a:extLst>
        </xdr:cNvPr>
        <xdr:cNvPicPr/>
      </xdr:nvPicPr>
      <xdr:blipFill>
        <a:blip xmlns:r="http://schemas.openxmlformats.org/officeDocument/2006/relationships" r:embed="rId7"/>
        <a:stretch/>
      </xdr:blipFill>
      <xdr:spPr>
        <a:xfrm>
          <a:off x="4069715" y="6115864"/>
          <a:ext cx="191520" cy="181066"/>
        </a:xfrm>
        <a:prstGeom prst="rect">
          <a:avLst/>
        </a:prstGeom>
        <a:ln>
          <a:noFill/>
        </a:ln>
      </xdr:spPr>
    </xdr:pic>
    <xdr:clientData/>
  </xdr:twoCellAnchor>
  <xdr:twoCellAnchor editAs="oneCell">
    <xdr:from>
      <xdr:col>4</xdr:col>
      <xdr:colOff>1284728</xdr:colOff>
      <xdr:row>8</xdr:row>
      <xdr:rowOff>151931</xdr:rowOff>
    </xdr:from>
    <xdr:to>
      <xdr:col>4</xdr:col>
      <xdr:colOff>1476248</xdr:colOff>
      <xdr:row>10</xdr:row>
      <xdr:rowOff>12611</xdr:rowOff>
    </xdr:to>
    <xdr:pic>
      <xdr:nvPicPr>
        <xdr:cNvPr id="28" name="Picture 38">
          <a:extLst>
            <a:ext uri="{FF2B5EF4-FFF2-40B4-BE49-F238E27FC236}">
              <a16:creationId xmlns:a16="http://schemas.microsoft.com/office/drawing/2014/main" id="{00000000-0008-0000-0300-00001C000000}"/>
            </a:ext>
          </a:extLst>
        </xdr:cNvPr>
        <xdr:cNvPicPr/>
      </xdr:nvPicPr>
      <xdr:blipFill>
        <a:blip xmlns:r="http://schemas.openxmlformats.org/officeDocument/2006/relationships" r:embed="rId8"/>
        <a:stretch/>
      </xdr:blipFill>
      <xdr:spPr>
        <a:xfrm>
          <a:off x="3254671" y="1468113"/>
          <a:ext cx="191520" cy="181066"/>
        </a:xfrm>
        <a:prstGeom prst="rect">
          <a:avLst/>
        </a:prstGeom>
        <a:ln>
          <a:noFill/>
        </a:ln>
      </xdr:spPr>
    </xdr:pic>
    <xdr:clientData/>
  </xdr:twoCellAnchor>
  <xdr:twoCellAnchor editAs="oneCell">
    <xdr:from>
      <xdr:col>7</xdr:col>
      <xdr:colOff>19902</xdr:colOff>
      <xdr:row>32</xdr:row>
      <xdr:rowOff>149031</xdr:rowOff>
    </xdr:from>
    <xdr:to>
      <xdr:col>7</xdr:col>
      <xdr:colOff>211422</xdr:colOff>
      <xdr:row>34</xdr:row>
      <xdr:rowOff>8990</xdr:rowOff>
    </xdr:to>
    <xdr:pic>
      <xdr:nvPicPr>
        <xdr:cNvPr id="29" name="Picture 42">
          <a:extLst>
            <a:ext uri="{FF2B5EF4-FFF2-40B4-BE49-F238E27FC236}">
              <a16:creationId xmlns:a16="http://schemas.microsoft.com/office/drawing/2014/main" id="{00000000-0008-0000-0300-00001D000000}"/>
            </a:ext>
          </a:extLst>
        </xdr:cNvPr>
        <xdr:cNvPicPr/>
      </xdr:nvPicPr>
      <xdr:blipFill>
        <a:blip xmlns:r="http://schemas.openxmlformats.org/officeDocument/2006/relationships" r:embed="rId8"/>
        <a:stretch/>
      </xdr:blipFill>
      <xdr:spPr>
        <a:xfrm>
          <a:off x="4068027" y="5309849"/>
          <a:ext cx="191520" cy="180346"/>
        </a:xfrm>
        <a:prstGeom prst="rect">
          <a:avLst/>
        </a:prstGeom>
        <a:ln>
          <a:noFill/>
        </a:ln>
      </xdr:spPr>
    </xdr:pic>
    <xdr:clientData/>
  </xdr:twoCellAnchor>
  <xdr:twoCellAnchor editAs="oneCell">
    <xdr:from>
      <xdr:col>4</xdr:col>
      <xdr:colOff>1285817</xdr:colOff>
      <xdr:row>21</xdr:row>
      <xdr:rowOff>149030</xdr:rowOff>
    </xdr:from>
    <xdr:to>
      <xdr:col>4</xdr:col>
      <xdr:colOff>1477337</xdr:colOff>
      <xdr:row>23</xdr:row>
      <xdr:rowOff>17989</xdr:rowOff>
    </xdr:to>
    <xdr:pic>
      <xdr:nvPicPr>
        <xdr:cNvPr id="30" name="Picture 43">
          <a:extLst>
            <a:ext uri="{FF2B5EF4-FFF2-40B4-BE49-F238E27FC236}">
              <a16:creationId xmlns:a16="http://schemas.microsoft.com/office/drawing/2014/main" id="{00000000-0008-0000-0300-00001E000000}"/>
            </a:ext>
          </a:extLst>
        </xdr:cNvPr>
        <xdr:cNvPicPr/>
      </xdr:nvPicPr>
      <xdr:blipFill>
        <a:blip xmlns:r="http://schemas.openxmlformats.org/officeDocument/2006/relationships" r:embed="rId8"/>
        <a:stretch/>
      </xdr:blipFill>
      <xdr:spPr>
        <a:xfrm>
          <a:off x="3255760" y="3547723"/>
          <a:ext cx="191520" cy="189346"/>
        </a:xfrm>
        <a:prstGeom prst="rect">
          <a:avLst/>
        </a:prstGeom>
        <a:ln>
          <a:noFill/>
        </a:ln>
      </xdr:spPr>
    </xdr:pic>
    <xdr:clientData/>
  </xdr:twoCellAnchor>
  <xdr:twoCellAnchor editAs="oneCell">
    <xdr:from>
      <xdr:col>7</xdr:col>
      <xdr:colOff>22273</xdr:colOff>
      <xdr:row>15</xdr:row>
      <xdr:rowOff>159509</xdr:rowOff>
    </xdr:from>
    <xdr:to>
      <xdr:col>7</xdr:col>
      <xdr:colOff>213793</xdr:colOff>
      <xdr:row>17</xdr:row>
      <xdr:rowOff>20189</xdr:rowOff>
    </xdr:to>
    <xdr:pic>
      <xdr:nvPicPr>
        <xdr:cNvPr id="31" name="Picture 41">
          <a:extLst>
            <a:ext uri="{FF2B5EF4-FFF2-40B4-BE49-F238E27FC236}">
              <a16:creationId xmlns:a16="http://schemas.microsoft.com/office/drawing/2014/main" id="{00000000-0008-0000-0300-00001F000000}"/>
            </a:ext>
          </a:extLst>
        </xdr:cNvPr>
        <xdr:cNvPicPr/>
      </xdr:nvPicPr>
      <xdr:blipFill>
        <a:blip xmlns:r="http://schemas.openxmlformats.org/officeDocument/2006/relationships" r:embed="rId9"/>
        <a:stretch/>
      </xdr:blipFill>
      <xdr:spPr>
        <a:xfrm>
          <a:off x="4070398" y="2597043"/>
          <a:ext cx="191520" cy="181066"/>
        </a:xfrm>
        <a:prstGeom prst="rect">
          <a:avLst/>
        </a:prstGeom>
        <a:ln>
          <a:noFill/>
        </a:ln>
      </xdr:spPr>
    </xdr:pic>
    <xdr:clientData/>
  </xdr:twoCellAnchor>
  <xdr:twoCellAnchor editAs="oneCell">
    <xdr:from>
      <xdr:col>7</xdr:col>
      <xdr:colOff>29670</xdr:colOff>
      <xdr:row>26</xdr:row>
      <xdr:rowOff>157690</xdr:rowOff>
    </xdr:from>
    <xdr:to>
      <xdr:col>7</xdr:col>
      <xdr:colOff>221190</xdr:colOff>
      <xdr:row>28</xdr:row>
      <xdr:rowOff>18370</xdr:rowOff>
    </xdr:to>
    <xdr:pic>
      <xdr:nvPicPr>
        <xdr:cNvPr id="32" name="Picture 45">
          <a:extLst>
            <a:ext uri="{FF2B5EF4-FFF2-40B4-BE49-F238E27FC236}">
              <a16:creationId xmlns:a16="http://schemas.microsoft.com/office/drawing/2014/main" id="{00000000-0008-0000-0300-000020000000}"/>
            </a:ext>
          </a:extLst>
        </xdr:cNvPr>
        <xdr:cNvPicPr/>
      </xdr:nvPicPr>
      <xdr:blipFill>
        <a:blip xmlns:r="http://schemas.openxmlformats.org/officeDocument/2006/relationships" r:embed="rId9"/>
        <a:stretch/>
      </xdr:blipFill>
      <xdr:spPr>
        <a:xfrm>
          <a:off x="4077795" y="4357349"/>
          <a:ext cx="191520" cy="181066"/>
        </a:xfrm>
        <a:prstGeom prst="rect">
          <a:avLst/>
        </a:prstGeom>
        <a:ln>
          <a:noFill/>
        </a:ln>
      </xdr:spPr>
    </xdr:pic>
    <xdr:clientData/>
  </xdr:twoCellAnchor>
  <xdr:twoCellAnchor editAs="oneCell">
    <xdr:from>
      <xdr:col>4</xdr:col>
      <xdr:colOff>1273321</xdr:colOff>
      <xdr:row>42</xdr:row>
      <xdr:rowOff>1827</xdr:rowOff>
    </xdr:from>
    <xdr:to>
      <xdr:col>4</xdr:col>
      <xdr:colOff>1464841</xdr:colOff>
      <xdr:row>43</xdr:row>
      <xdr:rowOff>22340</xdr:rowOff>
    </xdr:to>
    <xdr:pic>
      <xdr:nvPicPr>
        <xdr:cNvPr id="33" name="Picture 46">
          <a:extLst>
            <a:ext uri="{FF2B5EF4-FFF2-40B4-BE49-F238E27FC236}">
              <a16:creationId xmlns:a16="http://schemas.microsoft.com/office/drawing/2014/main" id="{00000000-0008-0000-0300-000021000000}"/>
            </a:ext>
          </a:extLst>
        </xdr:cNvPr>
        <xdr:cNvPicPr/>
      </xdr:nvPicPr>
      <xdr:blipFill>
        <a:blip xmlns:r="http://schemas.openxmlformats.org/officeDocument/2006/relationships" r:embed="rId9"/>
        <a:stretch/>
      </xdr:blipFill>
      <xdr:spPr>
        <a:xfrm>
          <a:off x="3243264" y="6764577"/>
          <a:ext cx="191520" cy="180706"/>
        </a:xfrm>
        <a:prstGeom prst="rect">
          <a:avLst/>
        </a:prstGeom>
        <a:ln>
          <a:noFill/>
        </a:ln>
      </xdr:spPr>
    </xdr:pic>
    <xdr:clientData/>
  </xdr:twoCellAnchor>
  <xdr:twoCellAnchor editAs="oneCell">
    <xdr:from>
      <xdr:col>7</xdr:col>
      <xdr:colOff>20501</xdr:colOff>
      <xdr:row>34</xdr:row>
      <xdr:rowOff>156618</xdr:rowOff>
    </xdr:from>
    <xdr:to>
      <xdr:col>7</xdr:col>
      <xdr:colOff>212021</xdr:colOff>
      <xdr:row>36</xdr:row>
      <xdr:rowOff>16938</xdr:rowOff>
    </xdr:to>
    <xdr:pic>
      <xdr:nvPicPr>
        <xdr:cNvPr id="34" name="Picture 44">
          <a:extLst>
            <a:ext uri="{FF2B5EF4-FFF2-40B4-BE49-F238E27FC236}">
              <a16:creationId xmlns:a16="http://schemas.microsoft.com/office/drawing/2014/main" id="{00000000-0008-0000-0300-000022000000}"/>
            </a:ext>
          </a:extLst>
        </xdr:cNvPr>
        <xdr:cNvPicPr/>
      </xdr:nvPicPr>
      <xdr:blipFill>
        <a:blip xmlns:r="http://schemas.openxmlformats.org/officeDocument/2006/relationships" r:embed="rId10"/>
        <a:stretch/>
      </xdr:blipFill>
      <xdr:spPr>
        <a:xfrm>
          <a:off x="4068626" y="5637823"/>
          <a:ext cx="191520" cy="180706"/>
        </a:xfrm>
        <a:prstGeom prst="rect">
          <a:avLst/>
        </a:prstGeom>
        <a:ln>
          <a:noFill/>
        </a:ln>
      </xdr:spPr>
    </xdr:pic>
    <xdr:clientData/>
  </xdr:twoCellAnchor>
  <xdr:twoCellAnchor editAs="oneCell">
    <xdr:from>
      <xdr:col>4</xdr:col>
      <xdr:colOff>1283059</xdr:colOff>
      <xdr:row>10</xdr:row>
      <xdr:rowOff>149751</xdr:rowOff>
    </xdr:from>
    <xdr:to>
      <xdr:col>4</xdr:col>
      <xdr:colOff>1474579</xdr:colOff>
      <xdr:row>12</xdr:row>
      <xdr:rowOff>10071</xdr:rowOff>
    </xdr:to>
    <xdr:pic>
      <xdr:nvPicPr>
        <xdr:cNvPr id="35" name="Picture 48">
          <a:extLst>
            <a:ext uri="{FF2B5EF4-FFF2-40B4-BE49-F238E27FC236}">
              <a16:creationId xmlns:a16="http://schemas.microsoft.com/office/drawing/2014/main" id="{00000000-0008-0000-0300-000023000000}"/>
            </a:ext>
          </a:extLst>
        </xdr:cNvPr>
        <xdr:cNvPicPr/>
      </xdr:nvPicPr>
      <xdr:blipFill>
        <a:blip xmlns:r="http://schemas.openxmlformats.org/officeDocument/2006/relationships" r:embed="rId10"/>
        <a:stretch/>
      </xdr:blipFill>
      <xdr:spPr>
        <a:xfrm>
          <a:off x="3253002" y="1786319"/>
          <a:ext cx="191520" cy="180707"/>
        </a:xfrm>
        <a:prstGeom prst="rect">
          <a:avLst/>
        </a:prstGeom>
        <a:ln>
          <a:noFill/>
        </a:ln>
      </xdr:spPr>
    </xdr:pic>
    <xdr:clientData/>
  </xdr:twoCellAnchor>
  <xdr:twoCellAnchor editAs="oneCell">
    <xdr:from>
      <xdr:col>4</xdr:col>
      <xdr:colOff>1278380</xdr:colOff>
      <xdr:row>25</xdr:row>
      <xdr:rowOff>159488</xdr:rowOff>
    </xdr:from>
    <xdr:to>
      <xdr:col>4</xdr:col>
      <xdr:colOff>1469900</xdr:colOff>
      <xdr:row>27</xdr:row>
      <xdr:rowOff>23408</xdr:rowOff>
    </xdr:to>
    <xdr:pic>
      <xdr:nvPicPr>
        <xdr:cNvPr id="36" name="Picture 49">
          <a:extLst>
            <a:ext uri="{FF2B5EF4-FFF2-40B4-BE49-F238E27FC236}">
              <a16:creationId xmlns:a16="http://schemas.microsoft.com/office/drawing/2014/main" id="{00000000-0008-0000-0300-000024000000}"/>
            </a:ext>
          </a:extLst>
        </xdr:cNvPr>
        <xdr:cNvPicPr/>
      </xdr:nvPicPr>
      <xdr:blipFill>
        <a:blip xmlns:r="http://schemas.openxmlformats.org/officeDocument/2006/relationships" r:embed="rId10"/>
        <a:stretch/>
      </xdr:blipFill>
      <xdr:spPr>
        <a:xfrm>
          <a:off x="3248323" y="4198954"/>
          <a:ext cx="191520" cy="184306"/>
        </a:xfrm>
        <a:prstGeom prst="rect">
          <a:avLst/>
        </a:prstGeom>
        <a:ln>
          <a:noFill/>
        </a:ln>
      </xdr:spPr>
    </xdr:pic>
    <xdr:clientData/>
  </xdr:twoCellAnchor>
  <xdr:twoCellAnchor editAs="oneCell">
    <xdr:from>
      <xdr:col>7</xdr:col>
      <xdr:colOff>28061</xdr:colOff>
      <xdr:row>19</xdr:row>
      <xdr:rowOff>149391</xdr:rowOff>
    </xdr:from>
    <xdr:to>
      <xdr:col>7</xdr:col>
      <xdr:colOff>219581</xdr:colOff>
      <xdr:row>21</xdr:row>
      <xdr:rowOff>9711</xdr:rowOff>
    </xdr:to>
    <xdr:pic>
      <xdr:nvPicPr>
        <xdr:cNvPr id="37" name="Picture 47">
          <a:extLst>
            <a:ext uri="{FF2B5EF4-FFF2-40B4-BE49-F238E27FC236}">
              <a16:creationId xmlns:a16="http://schemas.microsoft.com/office/drawing/2014/main" id="{00000000-0008-0000-0300-000025000000}"/>
            </a:ext>
          </a:extLst>
        </xdr:cNvPr>
        <xdr:cNvPicPr/>
      </xdr:nvPicPr>
      <xdr:blipFill>
        <a:blip xmlns:r="http://schemas.openxmlformats.org/officeDocument/2006/relationships" r:embed="rId11"/>
        <a:stretch/>
      </xdr:blipFill>
      <xdr:spPr>
        <a:xfrm>
          <a:off x="4076186" y="3227698"/>
          <a:ext cx="191520" cy="180706"/>
        </a:xfrm>
        <a:prstGeom prst="rect">
          <a:avLst/>
        </a:prstGeom>
        <a:ln>
          <a:noFill/>
        </a:ln>
      </xdr:spPr>
    </xdr:pic>
    <xdr:clientData/>
  </xdr:twoCellAnchor>
  <xdr:twoCellAnchor editAs="oneCell">
    <xdr:from>
      <xdr:col>7</xdr:col>
      <xdr:colOff>26982</xdr:colOff>
      <xdr:row>29</xdr:row>
      <xdr:rowOff>150850</xdr:rowOff>
    </xdr:from>
    <xdr:to>
      <xdr:col>7</xdr:col>
      <xdr:colOff>218502</xdr:colOff>
      <xdr:row>31</xdr:row>
      <xdr:rowOff>15851</xdr:rowOff>
    </xdr:to>
    <xdr:pic>
      <xdr:nvPicPr>
        <xdr:cNvPr id="38" name="Picture 51">
          <a:extLst>
            <a:ext uri="{FF2B5EF4-FFF2-40B4-BE49-F238E27FC236}">
              <a16:creationId xmlns:a16="http://schemas.microsoft.com/office/drawing/2014/main" id="{00000000-0008-0000-0300-000026000000}"/>
            </a:ext>
          </a:extLst>
        </xdr:cNvPr>
        <xdr:cNvPicPr/>
      </xdr:nvPicPr>
      <xdr:blipFill>
        <a:blip xmlns:r="http://schemas.openxmlformats.org/officeDocument/2006/relationships" r:embed="rId11"/>
        <a:stretch/>
      </xdr:blipFill>
      <xdr:spPr>
        <a:xfrm>
          <a:off x="4075107" y="4831089"/>
          <a:ext cx="191520" cy="185387"/>
        </a:xfrm>
        <a:prstGeom prst="rect">
          <a:avLst/>
        </a:prstGeom>
        <a:ln>
          <a:noFill/>
        </a:ln>
      </xdr:spPr>
    </xdr:pic>
    <xdr:clientData/>
  </xdr:twoCellAnchor>
  <xdr:twoCellAnchor editAs="oneCell">
    <xdr:from>
      <xdr:col>4</xdr:col>
      <xdr:colOff>1280909</xdr:colOff>
      <xdr:row>43</xdr:row>
      <xdr:rowOff>151535</xdr:rowOff>
    </xdr:from>
    <xdr:to>
      <xdr:col>4</xdr:col>
      <xdr:colOff>1472429</xdr:colOff>
      <xdr:row>45</xdr:row>
      <xdr:rowOff>19422</xdr:rowOff>
    </xdr:to>
    <xdr:pic>
      <xdr:nvPicPr>
        <xdr:cNvPr id="39" name="Picture 52">
          <a:extLst>
            <a:ext uri="{FF2B5EF4-FFF2-40B4-BE49-F238E27FC236}">
              <a16:creationId xmlns:a16="http://schemas.microsoft.com/office/drawing/2014/main" id="{00000000-0008-0000-0300-000027000000}"/>
            </a:ext>
          </a:extLst>
        </xdr:cNvPr>
        <xdr:cNvPicPr/>
      </xdr:nvPicPr>
      <xdr:blipFill>
        <a:blip xmlns:r="http://schemas.openxmlformats.org/officeDocument/2006/relationships" r:embed="rId11"/>
        <a:stretch/>
      </xdr:blipFill>
      <xdr:spPr>
        <a:xfrm>
          <a:off x="3250852" y="7074478"/>
          <a:ext cx="191520" cy="188274"/>
        </a:xfrm>
        <a:prstGeom prst="rect">
          <a:avLst/>
        </a:prstGeom>
        <a:ln>
          <a:noFill/>
        </a:ln>
      </xdr:spPr>
    </xdr:pic>
    <xdr:clientData/>
  </xdr:twoCellAnchor>
  <xdr:twoCellAnchor editAs="oneCell">
    <xdr:from>
      <xdr:col>4</xdr:col>
      <xdr:colOff>1282834</xdr:colOff>
      <xdr:row>16</xdr:row>
      <xdr:rowOff>153118</xdr:rowOff>
    </xdr:from>
    <xdr:to>
      <xdr:col>4</xdr:col>
      <xdr:colOff>1474354</xdr:colOff>
      <xdr:row>18</xdr:row>
      <xdr:rowOff>16926</xdr:rowOff>
    </xdr:to>
    <xdr:pic>
      <xdr:nvPicPr>
        <xdr:cNvPr id="43" name="Picture 56">
          <a:extLst>
            <a:ext uri="{FF2B5EF4-FFF2-40B4-BE49-F238E27FC236}">
              <a16:creationId xmlns:a16="http://schemas.microsoft.com/office/drawing/2014/main" id="{00000000-0008-0000-0300-00002B000000}"/>
            </a:ext>
          </a:extLst>
        </xdr:cNvPr>
        <xdr:cNvPicPr/>
      </xdr:nvPicPr>
      <xdr:blipFill>
        <a:blip xmlns:r="http://schemas.openxmlformats.org/officeDocument/2006/relationships" r:embed="rId12"/>
        <a:stretch/>
      </xdr:blipFill>
      <xdr:spPr>
        <a:xfrm>
          <a:off x="3252777" y="2750845"/>
          <a:ext cx="191520" cy="184195"/>
        </a:xfrm>
        <a:prstGeom prst="rect">
          <a:avLst/>
        </a:prstGeom>
        <a:ln>
          <a:noFill/>
        </a:ln>
      </xdr:spPr>
    </xdr:pic>
    <xdr:clientData/>
  </xdr:twoCellAnchor>
  <xdr:twoCellAnchor editAs="oneCell">
    <xdr:from>
      <xdr:col>4</xdr:col>
      <xdr:colOff>1278220</xdr:colOff>
      <xdr:row>31</xdr:row>
      <xdr:rowOff>152290</xdr:rowOff>
    </xdr:from>
    <xdr:to>
      <xdr:col>4</xdr:col>
      <xdr:colOff>1469740</xdr:colOff>
      <xdr:row>33</xdr:row>
      <xdr:rowOff>12610</xdr:rowOff>
    </xdr:to>
    <xdr:pic>
      <xdr:nvPicPr>
        <xdr:cNvPr id="44" name="Picture 60">
          <a:extLst>
            <a:ext uri="{FF2B5EF4-FFF2-40B4-BE49-F238E27FC236}">
              <a16:creationId xmlns:a16="http://schemas.microsoft.com/office/drawing/2014/main" id="{00000000-0008-0000-0300-00002C000000}"/>
            </a:ext>
          </a:extLst>
        </xdr:cNvPr>
        <xdr:cNvPicPr/>
      </xdr:nvPicPr>
      <xdr:blipFill>
        <a:blip xmlns:r="http://schemas.openxmlformats.org/officeDocument/2006/relationships" r:embed="rId12"/>
        <a:stretch/>
      </xdr:blipFill>
      <xdr:spPr>
        <a:xfrm>
          <a:off x="3248163" y="5152915"/>
          <a:ext cx="191520" cy="180706"/>
        </a:xfrm>
        <a:prstGeom prst="rect">
          <a:avLst/>
        </a:prstGeom>
        <a:ln>
          <a:noFill/>
        </a:ln>
      </xdr:spPr>
    </xdr:pic>
    <xdr:clientData/>
  </xdr:twoCellAnchor>
  <xdr:twoCellAnchor editAs="oneCell">
    <xdr:from>
      <xdr:col>7</xdr:col>
      <xdr:colOff>23760</xdr:colOff>
      <xdr:row>41</xdr:row>
      <xdr:rowOff>152290</xdr:rowOff>
    </xdr:from>
    <xdr:to>
      <xdr:col>7</xdr:col>
      <xdr:colOff>215280</xdr:colOff>
      <xdr:row>43</xdr:row>
      <xdr:rowOff>12610</xdr:rowOff>
    </xdr:to>
    <xdr:pic>
      <xdr:nvPicPr>
        <xdr:cNvPr id="45" name="Picture 61">
          <a:extLst>
            <a:ext uri="{FF2B5EF4-FFF2-40B4-BE49-F238E27FC236}">
              <a16:creationId xmlns:a16="http://schemas.microsoft.com/office/drawing/2014/main" id="{00000000-0008-0000-0300-00002D000000}"/>
            </a:ext>
          </a:extLst>
        </xdr:cNvPr>
        <xdr:cNvPicPr/>
      </xdr:nvPicPr>
      <xdr:blipFill>
        <a:blip xmlns:r="http://schemas.openxmlformats.org/officeDocument/2006/relationships" r:embed="rId12"/>
        <a:stretch/>
      </xdr:blipFill>
      <xdr:spPr>
        <a:xfrm>
          <a:off x="4071885" y="6754847"/>
          <a:ext cx="191520" cy="180706"/>
        </a:xfrm>
        <a:prstGeom prst="rect">
          <a:avLst/>
        </a:prstGeom>
        <a:ln>
          <a:noFill/>
        </a:ln>
      </xdr:spPr>
    </xdr:pic>
    <xdr:clientData/>
  </xdr:twoCellAnchor>
  <xdr:twoCellAnchor editAs="oneCell">
    <xdr:from>
      <xdr:col>4</xdr:col>
      <xdr:colOff>1285073</xdr:colOff>
      <xdr:row>11</xdr:row>
      <xdr:rowOff>150714</xdr:rowOff>
    </xdr:from>
    <xdr:to>
      <xdr:col>4</xdr:col>
      <xdr:colOff>1476593</xdr:colOff>
      <xdr:row>13</xdr:row>
      <xdr:rowOff>15713</xdr:rowOff>
    </xdr:to>
    <xdr:pic>
      <xdr:nvPicPr>
        <xdr:cNvPr id="46" name="Picture 59">
          <a:extLst>
            <a:ext uri="{FF2B5EF4-FFF2-40B4-BE49-F238E27FC236}">
              <a16:creationId xmlns:a16="http://schemas.microsoft.com/office/drawing/2014/main" id="{00000000-0008-0000-0300-00002E000000}"/>
            </a:ext>
          </a:extLst>
        </xdr:cNvPr>
        <xdr:cNvPicPr/>
      </xdr:nvPicPr>
      <xdr:blipFill>
        <a:blip xmlns:r="http://schemas.openxmlformats.org/officeDocument/2006/relationships" r:embed="rId13"/>
        <a:stretch/>
      </xdr:blipFill>
      <xdr:spPr>
        <a:xfrm>
          <a:off x="3255016" y="1947475"/>
          <a:ext cx="191520" cy="185386"/>
        </a:xfrm>
        <a:prstGeom prst="rect">
          <a:avLst/>
        </a:prstGeom>
        <a:ln>
          <a:noFill/>
        </a:ln>
      </xdr:spPr>
    </xdr:pic>
    <xdr:clientData/>
  </xdr:twoCellAnchor>
  <xdr:twoCellAnchor editAs="oneCell">
    <xdr:from>
      <xdr:col>7</xdr:col>
      <xdr:colOff>31820</xdr:colOff>
      <xdr:row>25</xdr:row>
      <xdr:rowOff>157329</xdr:rowOff>
    </xdr:from>
    <xdr:to>
      <xdr:col>7</xdr:col>
      <xdr:colOff>223340</xdr:colOff>
      <xdr:row>27</xdr:row>
      <xdr:rowOff>18010</xdr:rowOff>
    </xdr:to>
    <xdr:pic>
      <xdr:nvPicPr>
        <xdr:cNvPr id="47" name="Picture 63">
          <a:extLst>
            <a:ext uri="{FF2B5EF4-FFF2-40B4-BE49-F238E27FC236}">
              <a16:creationId xmlns:a16="http://schemas.microsoft.com/office/drawing/2014/main" id="{00000000-0008-0000-0300-00002F000000}"/>
            </a:ext>
          </a:extLst>
        </xdr:cNvPr>
        <xdr:cNvPicPr/>
      </xdr:nvPicPr>
      <xdr:blipFill>
        <a:blip xmlns:r="http://schemas.openxmlformats.org/officeDocument/2006/relationships" r:embed="rId13"/>
        <a:stretch/>
      </xdr:blipFill>
      <xdr:spPr>
        <a:xfrm>
          <a:off x="4079945" y="4196795"/>
          <a:ext cx="191520" cy="181067"/>
        </a:xfrm>
        <a:prstGeom prst="rect">
          <a:avLst/>
        </a:prstGeom>
        <a:ln>
          <a:noFill/>
        </a:ln>
      </xdr:spPr>
    </xdr:pic>
    <xdr:clientData/>
  </xdr:twoCellAnchor>
  <xdr:twoCellAnchor editAs="oneCell">
    <xdr:from>
      <xdr:col>7</xdr:col>
      <xdr:colOff>26420</xdr:colOff>
      <xdr:row>35</xdr:row>
      <xdr:rowOff>157329</xdr:rowOff>
    </xdr:from>
    <xdr:to>
      <xdr:col>7</xdr:col>
      <xdr:colOff>217940</xdr:colOff>
      <xdr:row>37</xdr:row>
      <xdr:rowOff>18010</xdr:rowOff>
    </xdr:to>
    <xdr:pic>
      <xdr:nvPicPr>
        <xdr:cNvPr id="48" name="Picture 64">
          <a:extLst>
            <a:ext uri="{FF2B5EF4-FFF2-40B4-BE49-F238E27FC236}">
              <a16:creationId xmlns:a16="http://schemas.microsoft.com/office/drawing/2014/main" id="{00000000-0008-0000-0300-000030000000}"/>
            </a:ext>
          </a:extLst>
        </xdr:cNvPr>
        <xdr:cNvPicPr/>
      </xdr:nvPicPr>
      <xdr:blipFill>
        <a:blip xmlns:r="http://schemas.openxmlformats.org/officeDocument/2006/relationships" r:embed="rId13"/>
        <a:stretch/>
      </xdr:blipFill>
      <xdr:spPr>
        <a:xfrm>
          <a:off x="4074545" y="5798727"/>
          <a:ext cx="191520" cy="181067"/>
        </a:xfrm>
        <a:prstGeom prst="rect">
          <a:avLst/>
        </a:prstGeom>
        <a:ln>
          <a:noFill/>
        </a:ln>
      </xdr:spPr>
    </xdr:pic>
    <xdr:clientData/>
  </xdr:twoCellAnchor>
  <xdr:twoCellAnchor editAs="oneCell">
    <xdr:from>
      <xdr:col>4</xdr:col>
      <xdr:colOff>1280909</xdr:colOff>
      <xdr:row>17</xdr:row>
      <xdr:rowOff>150487</xdr:rowOff>
    </xdr:from>
    <xdr:to>
      <xdr:col>4</xdr:col>
      <xdr:colOff>1472429</xdr:colOff>
      <xdr:row>19</xdr:row>
      <xdr:rowOff>11166</xdr:rowOff>
    </xdr:to>
    <xdr:pic>
      <xdr:nvPicPr>
        <xdr:cNvPr id="49" name="Picture 62">
          <a:extLst>
            <a:ext uri="{FF2B5EF4-FFF2-40B4-BE49-F238E27FC236}">
              <a16:creationId xmlns:a16="http://schemas.microsoft.com/office/drawing/2014/main" id="{00000000-0008-0000-0300-000031000000}"/>
            </a:ext>
          </a:extLst>
        </xdr:cNvPr>
        <xdr:cNvPicPr/>
      </xdr:nvPicPr>
      <xdr:blipFill>
        <a:blip xmlns:r="http://schemas.openxmlformats.org/officeDocument/2006/relationships" r:embed="rId14"/>
        <a:stretch/>
      </xdr:blipFill>
      <xdr:spPr>
        <a:xfrm>
          <a:off x="3250852" y="2908407"/>
          <a:ext cx="191520" cy="181066"/>
        </a:xfrm>
        <a:prstGeom prst="rect">
          <a:avLst/>
        </a:prstGeom>
        <a:ln>
          <a:noFill/>
        </a:ln>
      </xdr:spPr>
    </xdr:pic>
    <xdr:clientData/>
  </xdr:twoCellAnchor>
  <xdr:twoCellAnchor editAs="oneCell">
    <xdr:from>
      <xdr:col>7</xdr:col>
      <xdr:colOff>28781</xdr:colOff>
      <xdr:row>27</xdr:row>
      <xdr:rowOff>152290</xdr:rowOff>
    </xdr:from>
    <xdr:to>
      <xdr:col>7</xdr:col>
      <xdr:colOff>220301</xdr:colOff>
      <xdr:row>29</xdr:row>
      <xdr:rowOff>12249</xdr:rowOff>
    </xdr:to>
    <xdr:pic>
      <xdr:nvPicPr>
        <xdr:cNvPr id="50" name="Picture 66">
          <a:extLst>
            <a:ext uri="{FF2B5EF4-FFF2-40B4-BE49-F238E27FC236}">
              <a16:creationId xmlns:a16="http://schemas.microsoft.com/office/drawing/2014/main" id="{00000000-0008-0000-0300-000032000000}"/>
            </a:ext>
          </a:extLst>
        </xdr:cNvPr>
        <xdr:cNvPicPr/>
      </xdr:nvPicPr>
      <xdr:blipFill>
        <a:blip xmlns:r="http://schemas.openxmlformats.org/officeDocument/2006/relationships" r:embed="rId14"/>
        <a:stretch/>
      </xdr:blipFill>
      <xdr:spPr>
        <a:xfrm>
          <a:off x="4076906" y="4512142"/>
          <a:ext cx="191520" cy="180346"/>
        </a:xfrm>
        <a:prstGeom prst="rect">
          <a:avLst/>
        </a:prstGeom>
        <a:ln>
          <a:noFill/>
        </a:ln>
      </xdr:spPr>
    </xdr:pic>
    <xdr:clientData/>
  </xdr:twoCellAnchor>
  <xdr:twoCellAnchor editAs="oneCell">
    <xdr:from>
      <xdr:col>7</xdr:col>
      <xdr:colOff>21581</xdr:colOff>
      <xdr:row>36</xdr:row>
      <xdr:rowOff>154080</xdr:rowOff>
    </xdr:from>
    <xdr:to>
      <xdr:col>7</xdr:col>
      <xdr:colOff>213101</xdr:colOff>
      <xdr:row>38</xdr:row>
      <xdr:rowOff>14400</xdr:rowOff>
    </xdr:to>
    <xdr:pic>
      <xdr:nvPicPr>
        <xdr:cNvPr id="51" name="Picture 67">
          <a:extLst>
            <a:ext uri="{FF2B5EF4-FFF2-40B4-BE49-F238E27FC236}">
              <a16:creationId xmlns:a16="http://schemas.microsoft.com/office/drawing/2014/main" id="{00000000-0008-0000-0300-000033000000}"/>
            </a:ext>
          </a:extLst>
        </xdr:cNvPr>
        <xdr:cNvPicPr/>
      </xdr:nvPicPr>
      <xdr:blipFill>
        <a:blip xmlns:r="http://schemas.openxmlformats.org/officeDocument/2006/relationships" r:embed="rId14"/>
        <a:stretch/>
      </xdr:blipFill>
      <xdr:spPr>
        <a:xfrm>
          <a:off x="4069706" y="5955671"/>
          <a:ext cx="191520" cy="180706"/>
        </a:xfrm>
        <a:prstGeom prst="rect">
          <a:avLst/>
        </a:prstGeom>
        <a:ln>
          <a:noFill/>
        </a:ln>
      </xdr:spPr>
    </xdr:pic>
    <xdr:clientData/>
  </xdr:twoCellAnchor>
  <xdr:twoCellAnchor editAs="oneCell">
    <xdr:from>
      <xdr:col>4</xdr:col>
      <xdr:colOff>1283059</xdr:colOff>
      <xdr:row>9</xdr:row>
      <xdr:rowOff>153361</xdr:rowOff>
    </xdr:from>
    <xdr:to>
      <xdr:col>4</xdr:col>
      <xdr:colOff>1474579</xdr:colOff>
      <xdr:row>11</xdr:row>
      <xdr:rowOff>13681</xdr:rowOff>
    </xdr:to>
    <xdr:pic>
      <xdr:nvPicPr>
        <xdr:cNvPr id="52" name="Picture 23807">
          <a:extLst>
            <a:ext uri="{FF2B5EF4-FFF2-40B4-BE49-F238E27FC236}">
              <a16:creationId xmlns:a16="http://schemas.microsoft.com/office/drawing/2014/main" id="{00000000-0008-0000-0300-000034000000}"/>
            </a:ext>
          </a:extLst>
        </xdr:cNvPr>
        <xdr:cNvPicPr/>
      </xdr:nvPicPr>
      <xdr:blipFill>
        <a:blip xmlns:r="http://schemas.openxmlformats.org/officeDocument/2006/relationships" r:embed="rId15"/>
        <a:stretch/>
      </xdr:blipFill>
      <xdr:spPr>
        <a:xfrm>
          <a:off x="3253002" y="1629736"/>
          <a:ext cx="191520" cy="180706"/>
        </a:xfrm>
        <a:prstGeom prst="rect">
          <a:avLst/>
        </a:prstGeom>
        <a:ln>
          <a:noFill/>
        </a:ln>
      </xdr:spPr>
    </xdr:pic>
    <xdr:clientData/>
  </xdr:twoCellAnchor>
  <xdr:twoCellAnchor editAs="oneCell">
    <xdr:from>
      <xdr:col>7</xdr:col>
      <xdr:colOff>30750</xdr:colOff>
      <xdr:row>21</xdr:row>
      <xdr:rowOff>149391</xdr:rowOff>
    </xdr:from>
    <xdr:to>
      <xdr:col>7</xdr:col>
      <xdr:colOff>222270</xdr:colOff>
      <xdr:row>23</xdr:row>
      <xdr:rowOff>18710</xdr:rowOff>
    </xdr:to>
    <xdr:pic>
      <xdr:nvPicPr>
        <xdr:cNvPr id="53" name="Picture 69">
          <a:extLst>
            <a:ext uri="{FF2B5EF4-FFF2-40B4-BE49-F238E27FC236}">
              <a16:creationId xmlns:a16="http://schemas.microsoft.com/office/drawing/2014/main" id="{00000000-0008-0000-0300-000035000000}"/>
            </a:ext>
          </a:extLst>
        </xdr:cNvPr>
        <xdr:cNvPicPr/>
      </xdr:nvPicPr>
      <xdr:blipFill>
        <a:blip xmlns:r="http://schemas.openxmlformats.org/officeDocument/2006/relationships" r:embed="rId15"/>
        <a:stretch/>
      </xdr:blipFill>
      <xdr:spPr>
        <a:xfrm>
          <a:off x="4078875" y="3548084"/>
          <a:ext cx="191520" cy="189706"/>
        </a:xfrm>
        <a:prstGeom prst="rect">
          <a:avLst/>
        </a:prstGeom>
        <a:ln>
          <a:noFill/>
        </a:ln>
      </xdr:spPr>
    </xdr:pic>
    <xdr:clientData/>
  </xdr:twoCellAnchor>
  <xdr:twoCellAnchor editAs="oneCell">
    <xdr:from>
      <xdr:col>7</xdr:col>
      <xdr:colOff>28061</xdr:colOff>
      <xdr:row>34</xdr:row>
      <xdr:rowOff>1825</xdr:rowOff>
    </xdr:from>
    <xdr:to>
      <xdr:col>7</xdr:col>
      <xdr:colOff>219581</xdr:colOff>
      <xdr:row>35</xdr:row>
      <xdr:rowOff>21978</xdr:rowOff>
    </xdr:to>
    <xdr:pic>
      <xdr:nvPicPr>
        <xdr:cNvPr id="54" name="Picture 70">
          <a:extLst>
            <a:ext uri="{FF2B5EF4-FFF2-40B4-BE49-F238E27FC236}">
              <a16:creationId xmlns:a16="http://schemas.microsoft.com/office/drawing/2014/main" id="{00000000-0008-0000-0300-000036000000}"/>
            </a:ext>
          </a:extLst>
        </xdr:cNvPr>
        <xdr:cNvPicPr/>
      </xdr:nvPicPr>
      <xdr:blipFill>
        <a:blip xmlns:r="http://schemas.openxmlformats.org/officeDocument/2006/relationships" r:embed="rId15"/>
        <a:stretch/>
      </xdr:blipFill>
      <xdr:spPr>
        <a:xfrm>
          <a:off x="4076186" y="5483030"/>
          <a:ext cx="191520" cy="180346"/>
        </a:xfrm>
        <a:prstGeom prst="rect">
          <a:avLst/>
        </a:prstGeom>
        <a:ln>
          <a:noFill/>
        </a:ln>
      </xdr:spPr>
    </xdr:pic>
    <xdr:clientData/>
  </xdr:twoCellAnchor>
  <xdr:twoCellAnchor editAs="oneCell">
    <xdr:from>
      <xdr:col>4</xdr:col>
      <xdr:colOff>1289058</xdr:colOff>
      <xdr:row>19</xdr:row>
      <xdr:rowOff>154081</xdr:rowOff>
    </xdr:from>
    <xdr:to>
      <xdr:col>4</xdr:col>
      <xdr:colOff>1480578</xdr:colOff>
      <xdr:row>21</xdr:row>
      <xdr:rowOff>14401</xdr:rowOff>
    </xdr:to>
    <xdr:pic>
      <xdr:nvPicPr>
        <xdr:cNvPr id="55" name="Picture 23808">
          <a:extLst>
            <a:ext uri="{FF2B5EF4-FFF2-40B4-BE49-F238E27FC236}">
              <a16:creationId xmlns:a16="http://schemas.microsoft.com/office/drawing/2014/main" id="{00000000-0008-0000-0300-000037000000}"/>
            </a:ext>
          </a:extLst>
        </xdr:cNvPr>
        <xdr:cNvPicPr/>
      </xdr:nvPicPr>
      <xdr:blipFill>
        <a:blip xmlns:r="http://schemas.openxmlformats.org/officeDocument/2006/relationships" r:embed="rId16"/>
        <a:stretch/>
      </xdr:blipFill>
      <xdr:spPr>
        <a:xfrm>
          <a:off x="3259001" y="3232388"/>
          <a:ext cx="191520" cy="180706"/>
        </a:xfrm>
        <a:prstGeom prst="rect">
          <a:avLst/>
        </a:prstGeom>
        <a:ln>
          <a:noFill/>
        </a:ln>
      </xdr:spPr>
    </xdr:pic>
    <xdr:clientData/>
  </xdr:twoCellAnchor>
  <xdr:twoCellAnchor editAs="oneCell">
    <xdr:from>
      <xdr:col>7</xdr:col>
      <xdr:colOff>27490</xdr:colOff>
      <xdr:row>30</xdr:row>
      <xdr:rowOff>149030</xdr:rowOff>
    </xdr:from>
    <xdr:to>
      <xdr:col>7</xdr:col>
      <xdr:colOff>219010</xdr:colOff>
      <xdr:row>32</xdr:row>
      <xdr:rowOff>17990</xdr:rowOff>
    </xdr:to>
    <xdr:pic>
      <xdr:nvPicPr>
        <xdr:cNvPr id="56" name="Picture 7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6"/>
        <a:stretch/>
      </xdr:blipFill>
      <xdr:spPr>
        <a:xfrm>
          <a:off x="4075615" y="4989462"/>
          <a:ext cx="191520" cy="189346"/>
        </a:xfrm>
        <a:prstGeom prst="rect">
          <a:avLst/>
        </a:prstGeom>
        <a:ln>
          <a:noFill/>
        </a:ln>
      </xdr:spPr>
    </xdr:pic>
    <xdr:clientData/>
  </xdr:twoCellAnchor>
  <xdr:twoCellAnchor editAs="oneCell">
    <xdr:from>
      <xdr:col>7</xdr:col>
      <xdr:colOff>22835</xdr:colOff>
      <xdr:row>42</xdr:row>
      <xdr:rowOff>149751</xdr:rowOff>
    </xdr:from>
    <xdr:to>
      <xdr:col>7</xdr:col>
      <xdr:colOff>214355</xdr:colOff>
      <xdr:row>44</xdr:row>
      <xdr:rowOff>10072</xdr:rowOff>
    </xdr:to>
    <xdr:pic>
      <xdr:nvPicPr>
        <xdr:cNvPr id="57" name="Picture 7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16"/>
        <a:stretch/>
      </xdr:blipFill>
      <xdr:spPr>
        <a:xfrm>
          <a:off x="4072602" y="6942061"/>
          <a:ext cx="191520" cy="182201"/>
        </a:xfrm>
        <a:prstGeom prst="rect">
          <a:avLst/>
        </a:prstGeom>
        <a:ln>
          <a:noFill/>
        </a:ln>
      </xdr:spPr>
    </xdr:pic>
    <xdr:clientData/>
  </xdr:twoCellAnchor>
  <xdr:twoCellAnchor editAs="oneCell">
    <xdr:from>
      <xdr:col>4</xdr:col>
      <xdr:colOff>1280909</xdr:colOff>
      <xdr:row>30</xdr:row>
      <xdr:rowOff>149390</xdr:rowOff>
    </xdr:from>
    <xdr:to>
      <xdr:col>4</xdr:col>
      <xdr:colOff>1472429</xdr:colOff>
      <xdr:row>32</xdr:row>
      <xdr:rowOff>9711</xdr:rowOff>
    </xdr:to>
    <xdr:pic>
      <xdr:nvPicPr>
        <xdr:cNvPr id="58" name="Picture 74">
          <a:extLst>
            <a:ext uri="{FF2B5EF4-FFF2-40B4-BE49-F238E27FC236}">
              <a16:creationId xmlns:a16="http://schemas.microsoft.com/office/drawing/2014/main" id="{00000000-0008-0000-0300-00003A000000}"/>
            </a:ext>
          </a:extLst>
        </xdr:cNvPr>
        <xdr:cNvPicPr/>
      </xdr:nvPicPr>
      <xdr:blipFill>
        <a:blip xmlns:r="http://schemas.openxmlformats.org/officeDocument/2006/relationships" r:embed="rId5"/>
        <a:stretch/>
      </xdr:blipFill>
      <xdr:spPr>
        <a:xfrm>
          <a:off x="3250852" y="4989822"/>
          <a:ext cx="191520" cy="180707"/>
        </a:xfrm>
        <a:prstGeom prst="rect">
          <a:avLst/>
        </a:prstGeom>
        <a:ln>
          <a:noFill/>
        </a:ln>
      </xdr:spPr>
    </xdr:pic>
    <xdr:clientData/>
  </xdr:twoCellAnchor>
  <xdr:twoCellAnchor editAs="oneCell">
    <xdr:from>
      <xdr:col>7</xdr:col>
      <xdr:colOff>32537</xdr:colOff>
      <xdr:row>14</xdr:row>
      <xdr:rowOff>16073</xdr:rowOff>
    </xdr:from>
    <xdr:to>
      <xdr:col>7</xdr:col>
      <xdr:colOff>215057</xdr:colOff>
      <xdr:row>14</xdr:row>
      <xdr:rowOff>152873</xdr:rowOff>
    </xdr:to>
    <xdr:pic>
      <xdr:nvPicPr>
        <xdr:cNvPr id="59" name="Picture 77">
          <a:extLst>
            <a:ext uri="{FF2B5EF4-FFF2-40B4-BE49-F238E27FC236}">
              <a16:creationId xmlns:a16="http://schemas.microsoft.com/office/drawing/2014/main" id="{00000000-0008-0000-0300-00003B000000}"/>
            </a:ext>
          </a:extLst>
        </xdr:cNvPr>
        <xdr:cNvPicPr/>
      </xdr:nvPicPr>
      <xdr:blipFill>
        <a:blip xmlns:r="http://schemas.openxmlformats.org/officeDocument/2006/relationships" r:embed="rId17"/>
        <a:stretch/>
      </xdr:blipFill>
      <xdr:spPr>
        <a:xfrm>
          <a:off x="4080662" y="2293414"/>
          <a:ext cx="182520" cy="136800"/>
        </a:xfrm>
        <a:prstGeom prst="rect">
          <a:avLst/>
        </a:prstGeom>
        <a:ln>
          <a:noFill/>
        </a:ln>
      </xdr:spPr>
    </xdr:pic>
    <xdr:clientData/>
  </xdr:twoCellAnchor>
  <xdr:twoCellAnchor editAs="oneCell">
    <xdr:from>
      <xdr:col>4</xdr:col>
      <xdr:colOff>1280890</xdr:colOff>
      <xdr:row>25</xdr:row>
      <xdr:rowOff>19440</xdr:rowOff>
    </xdr:from>
    <xdr:to>
      <xdr:col>4</xdr:col>
      <xdr:colOff>1463410</xdr:colOff>
      <xdr:row>25</xdr:row>
      <xdr:rowOff>156240</xdr:rowOff>
    </xdr:to>
    <xdr:pic>
      <xdr:nvPicPr>
        <xdr:cNvPr id="60" name="Picture 78">
          <a:extLst>
            <a:ext uri="{FF2B5EF4-FFF2-40B4-BE49-F238E27FC236}">
              <a16:creationId xmlns:a16="http://schemas.microsoft.com/office/drawing/2014/main" id="{00000000-0008-0000-0300-00003C000000}"/>
            </a:ext>
          </a:extLst>
        </xdr:cNvPr>
        <xdr:cNvPicPr/>
      </xdr:nvPicPr>
      <xdr:blipFill>
        <a:blip xmlns:r="http://schemas.openxmlformats.org/officeDocument/2006/relationships" r:embed="rId17"/>
        <a:stretch/>
      </xdr:blipFill>
      <xdr:spPr>
        <a:xfrm>
          <a:off x="3250833" y="4058906"/>
          <a:ext cx="182520" cy="136800"/>
        </a:xfrm>
        <a:prstGeom prst="rect">
          <a:avLst/>
        </a:prstGeom>
        <a:ln>
          <a:noFill/>
        </a:ln>
      </xdr:spPr>
    </xdr:pic>
    <xdr:clientData/>
  </xdr:twoCellAnchor>
  <xdr:twoCellAnchor editAs="oneCell">
    <xdr:from>
      <xdr:col>4</xdr:col>
      <xdr:colOff>1269930</xdr:colOff>
      <xdr:row>40</xdr:row>
      <xdr:rowOff>16929</xdr:rowOff>
    </xdr:from>
    <xdr:to>
      <xdr:col>4</xdr:col>
      <xdr:colOff>1452450</xdr:colOff>
      <xdr:row>40</xdr:row>
      <xdr:rowOff>153729</xdr:rowOff>
    </xdr:to>
    <xdr:pic>
      <xdr:nvPicPr>
        <xdr:cNvPr id="61" name="Picture 79">
          <a:extLst>
            <a:ext uri="{FF2B5EF4-FFF2-40B4-BE49-F238E27FC236}">
              <a16:creationId xmlns:a16="http://schemas.microsoft.com/office/drawing/2014/main" id="{00000000-0008-0000-0300-00003D000000}"/>
            </a:ext>
          </a:extLst>
        </xdr:cNvPr>
        <xdr:cNvPicPr/>
      </xdr:nvPicPr>
      <xdr:blipFill>
        <a:blip xmlns:r="http://schemas.openxmlformats.org/officeDocument/2006/relationships" r:embed="rId17"/>
        <a:stretch/>
      </xdr:blipFill>
      <xdr:spPr>
        <a:xfrm>
          <a:off x="3239873" y="6459293"/>
          <a:ext cx="182520" cy="136800"/>
        </a:xfrm>
        <a:prstGeom prst="rect">
          <a:avLst/>
        </a:prstGeom>
        <a:ln>
          <a:noFill/>
        </a:ln>
      </xdr:spPr>
    </xdr:pic>
    <xdr:clientData/>
  </xdr:twoCellAnchor>
  <xdr:twoCellAnchor editAs="oneCell">
    <xdr:from>
      <xdr:col>7</xdr:col>
      <xdr:colOff>33017</xdr:colOff>
      <xdr:row>13</xdr:row>
      <xdr:rowOff>21712</xdr:rowOff>
    </xdr:from>
    <xdr:to>
      <xdr:col>7</xdr:col>
      <xdr:colOff>215537</xdr:colOff>
      <xdr:row>13</xdr:row>
      <xdr:rowOff>140984</xdr:rowOff>
    </xdr:to>
    <xdr:pic>
      <xdr:nvPicPr>
        <xdr:cNvPr id="68" name="Picture 86">
          <a:extLst>
            <a:ext uri="{FF2B5EF4-FFF2-40B4-BE49-F238E27FC236}">
              <a16:creationId xmlns:a16="http://schemas.microsoft.com/office/drawing/2014/main" id="{00000000-0008-0000-0300-000044000000}"/>
            </a:ext>
          </a:extLst>
        </xdr:cNvPr>
        <xdr:cNvPicPr/>
      </xdr:nvPicPr>
      <xdr:blipFill>
        <a:blip xmlns:r="http://schemas.openxmlformats.org/officeDocument/2006/relationships" r:embed="rId18"/>
        <a:stretch/>
      </xdr:blipFill>
      <xdr:spPr>
        <a:xfrm>
          <a:off x="4081142" y="2138860"/>
          <a:ext cx="182520" cy="119272"/>
        </a:xfrm>
        <a:prstGeom prst="rect">
          <a:avLst/>
        </a:prstGeom>
        <a:ln>
          <a:noFill/>
        </a:ln>
      </xdr:spPr>
    </xdr:pic>
    <xdr:clientData/>
  </xdr:twoCellAnchor>
  <xdr:twoCellAnchor editAs="oneCell">
    <xdr:from>
      <xdr:col>4</xdr:col>
      <xdr:colOff>1280889</xdr:colOff>
      <xdr:row>37</xdr:row>
      <xdr:rowOff>17261</xdr:rowOff>
    </xdr:from>
    <xdr:to>
      <xdr:col>4</xdr:col>
      <xdr:colOff>1463409</xdr:colOff>
      <xdr:row>37</xdr:row>
      <xdr:rowOff>140381</xdr:rowOff>
    </xdr:to>
    <xdr:pic>
      <xdr:nvPicPr>
        <xdr:cNvPr id="69" name="Picture 87">
          <a:extLst>
            <a:ext uri="{FF2B5EF4-FFF2-40B4-BE49-F238E27FC236}">
              <a16:creationId xmlns:a16="http://schemas.microsoft.com/office/drawing/2014/main" id="{00000000-0008-0000-0300-000045000000}"/>
            </a:ext>
          </a:extLst>
        </xdr:cNvPr>
        <xdr:cNvPicPr/>
      </xdr:nvPicPr>
      <xdr:blipFill>
        <a:blip xmlns:r="http://schemas.openxmlformats.org/officeDocument/2006/relationships" r:embed="rId18"/>
        <a:stretch/>
      </xdr:blipFill>
      <xdr:spPr>
        <a:xfrm>
          <a:off x="3250832" y="5979045"/>
          <a:ext cx="182520" cy="123120"/>
        </a:xfrm>
        <a:prstGeom prst="rect">
          <a:avLst/>
        </a:prstGeom>
        <a:ln>
          <a:noFill/>
        </a:ln>
      </xdr:spPr>
    </xdr:pic>
    <xdr:clientData/>
  </xdr:twoCellAnchor>
  <xdr:twoCellAnchor editAs="oneCell">
    <xdr:from>
      <xdr:col>4</xdr:col>
      <xdr:colOff>1290138</xdr:colOff>
      <xdr:row>29</xdr:row>
      <xdr:rowOff>23030</xdr:rowOff>
    </xdr:from>
    <xdr:to>
      <xdr:col>4</xdr:col>
      <xdr:colOff>1472658</xdr:colOff>
      <xdr:row>29</xdr:row>
      <xdr:rowOff>146150</xdr:rowOff>
    </xdr:to>
    <xdr:pic>
      <xdr:nvPicPr>
        <xdr:cNvPr id="70" name="Picture 88">
          <a:extLst>
            <a:ext uri="{FF2B5EF4-FFF2-40B4-BE49-F238E27FC236}">
              <a16:creationId xmlns:a16="http://schemas.microsoft.com/office/drawing/2014/main" id="{00000000-0008-0000-0300-000046000000}"/>
            </a:ext>
          </a:extLst>
        </xdr:cNvPr>
        <xdr:cNvPicPr/>
      </xdr:nvPicPr>
      <xdr:blipFill>
        <a:blip xmlns:r="http://schemas.openxmlformats.org/officeDocument/2006/relationships" r:embed="rId18"/>
        <a:stretch/>
      </xdr:blipFill>
      <xdr:spPr>
        <a:xfrm>
          <a:off x="3260081" y="4703269"/>
          <a:ext cx="182520" cy="123120"/>
        </a:xfrm>
        <a:prstGeom prst="rect">
          <a:avLst/>
        </a:prstGeom>
        <a:ln>
          <a:noFill/>
        </a:ln>
      </xdr:spPr>
    </xdr:pic>
    <xdr:clientData/>
  </xdr:twoCellAnchor>
  <xdr:twoCellAnchor editAs="oneCell">
    <xdr:from>
      <xdr:col>7</xdr:col>
      <xdr:colOff>42611</xdr:colOff>
      <xdr:row>9</xdr:row>
      <xdr:rowOff>27710</xdr:rowOff>
    </xdr:from>
    <xdr:to>
      <xdr:col>7</xdr:col>
      <xdr:colOff>225131</xdr:colOff>
      <xdr:row>9</xdr:row>
      <xdr:rowOff>137150</xdr:rowOff>
    </xdr:to>
    <xdr:pic>
      <xdr:nvPicPr>
        <xdr:cNvPr id="71" name="Picture 89">
          <a:extLst>
            <a:ext uri="{FF2B5EF4-FFF2-40B4-BE49-F238E27FC236}">
              <a16:creationId xmlns:a16="http://schemas.microsoft.com/office/drawing/2014/main" id="{00000000-0008-0000-0300-000047000000}"/>
            </a:ext>
          </a:extLst>
        </xdr:cNvPr>
        <xdr:cNvPicPr/>
      </xdr:nvPicPr>
      <xdr:blipFill>
        <a:blip xmlns:r="http://schemas.openxmlformats.org/officeDocument/2006/relationships" r:embed="rId19"/>
        <a:stretch/>
      </xdr:blipFill>
      <xdr:spPr>
        <a:xfrm>
          <a:off x="4090736" y="1504085"/>
          <a:ext cx="182520" cy="109440"/>
        </a:xfrm>
        <a:prstGeom prst="rect">
          <a:avLst/>
        </a:prstGeom>
        <a:ln>
          <a:noFill/>
        </a:ln>
      </xdr:spPr>
    </xdr:pic>
    <xdr:clientData/>
  </xdr:twoCellAnchor>
  <xdr:twoCellAnchor editAs="oneCell">
    <xdr:from>
      <xdr:col>4</xdr:col>
      <xdr:colOff>1287248</xdr:colOff>
      <xdr:row>23</xdr:row>
      <xdr:rowOff>31680</xdr:rowOff>
    </xdr:from>
    <xdr:to>
      <xdr:col>4</xdr:col>
      <xdr:colOff>1469768</xdr:colOff>
      <xdr:row>23</xdr:row>
      <xdr:rowOff>141120</xdr:rowOff>
    </xdr:to>
    <xdr:pic>
      <xdr:nvPicPr>
        <xdr:cNvPr id="72" name="Picture 90">
          <a:extLst>
            <a:ext uri="{FF2B5EF4-FFF2-40B4-BE49-F238E27FC236}">
              <a16:creationId xmlns:a16="http://schemas.microsoft.com/office/drawing/2014/main" id="{00000000-0008-0000-0300-000048000000}"/>
            </a:ext>
          </a:extLst>
        </xdr:cNvPr>
        <xdr:cNvPicPr/>
      </xdr:nvPicPr>
      <xdr:blipFill>
        <a:blip xmlns:r="http://schemas.openxmlformats.org/officeDocument/2006/relationships" r:embed="rId19"/>
        <a:stretch/>
      </xdr:blipFill>
      <xdr:spPr>
        <a:xfrm>
          <a:off x="3257191" y="3750760"/>
          <a:ext cx="182520" cy="109440"/>
        </a:xfrm>
        <a:prstGeom prst="rect">
          <a:avLst/>
        </a:prstGeom>
        <a:ln>
          <a:noFill/>
        </a:ln>
      </xdr:spPr>
    </xdr:pic>
    <xdr:clientData/>
  </xdr:twoCellAnchor>
  <xdr:twoCellAnchor editAs="oneCell">
    <xdr:from>
      <xdr:col>4</xdr:col>
      <xdr:colOff>1287249</xdr:colOff>
      <xdr:row>34</xdr:row>
      <xdr:rowOff>27711</xdr:rowOff>
    </xdr:from>
    <xdr:to>
      <xdr:col>4</xdr:col>
      <xdr:colOff>1469769</xdr:colOff>
      <xdr:row>34</xdr:row>
      <xdr:rowOff>137151</xdr:rowOff>
    </xdr:to>
    <xdr:pic>
      <xdr:nvPicPr>
        <xdr:cNvPr id="73" name="Picture 91">
          <a:extLst>
            <a:ext uri="{FF2B5EF4-FFF2-40B4-BE49-F238E27FC236}">
              <a16:creationId xmlns:a16="http://schemas.microsoft.com/office/drawing/2014/main" id="{00000000-0008-0000-0300-000049000000}"/>
            </a:ext>
          </a:extLst>
        </xdr:cNvPr>
        <xdr:cNvPicPr/>
      </xdr:nvPicPr>
      <xdr:blipFill>
        <a:blip xmlns:r="http://schemas.openxmlformats.org/officeDocument/2006/relationships" r:embed="rId19"/>
        <a:stretch/>
      </xdr:blipFill>
      <xdr:spPr>
        <a:xfrm>
          <a:off x="3257192" y="5508916"/>
          <a:ext cx="182520" cy="109440"/>
        </a:xfrm>
        <a:prstGeom prst="rect">
          <a:avLst/>
        </a:prstGeom>
        <a:ln>
          <a:noFill/>
        </a:ln>
      </xdr:spPr>
    </xdr:pic>
    <xdr:clientData/>
  </xdr:twoCellAnchor>
  <xdr:twoCellAnchor editAs="oneCell">
    <xdr:from>
      <xdr:col>7</xdr:col>
      <xdr:colOff>38966</xdr:colOff>
      <xdr:row>12</xdr:row>
      <xdr:rowOff>12989</xdr:rowOff>
    </xdr:from>
    <xdr:to>
      <xdr:col>7</xdr:col>
      <xdr:colOff>220807</xdr:colOff>
      <xdr:row>12</xdr:row>
      <xdr:rowOff>142551</xdr:rowOff>
    </xdr:to>
    <xdr:pic>
      <xdr:nvPicPr>
        <xdr:cNvPr id="74" name="Picture 73">
          <a:extLst>
            <a:ext uri="{FF2B5EF4-FFF2-40B4-BE49-F238E27FC236}">
              <a16:creationId xmlns:a16="http://schemas.microsoft.com/office/drawing/2014/main" id="{5D2A7437-2A38-866B-8835-A9E4B90EEAC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087091" y="1969944"/>
          <a:ext cx="181841" cy="129562"/>
        </a:xfrm>
        <a:prstGeom prst="rect">
          <a:avLst/>
        </a:prstGeom>
      </xdr:spPr>
    </xdr:pic>
    <xdr:clientData/>
  </xdr:twoCellAnchor>
  <xdr:twoCellAnchor editAs="oneCell">
    <xdr:from>
      <xdr:col>7</xdr:col>
      <xdr:colOff>34640</xdr:colOff>
      <xdr:row>21</xdr:row>
      <xdr:rowOff>17320</xdr:rowOff>
    </xdr:from>
    <xdr:to>
      <xdr:col>7</xdr:col>
      <xdr:colOff>216481</xdr:colOff>
      <xdr:row>21</xdr:row>
      <xdr:rowOff>146882</xdr:rowOff>
    </xdr:to>
    <xdr:pic>
      <xdr:nvPicPr>
        <xdr:cNvPr id="75" name="Picture 74">
          <a:extLst>
            <a:ext uri="{FF2B5EF4-FFF2-40B4-BE49-F238E27FC236}">
              <a16:creationId xmlns:a16="http://schemas.microsoft.com/office/drawing/2014/main" id="{FE8EC670-172E-45E2-95F0-1DE9EAB3808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082765" y="3416013"/>
          <a:ext cx="181841" cy="129562"/>
        </a:xfrm>
        <a:prstGeom prst="rect">
          <a:avLst/>
        </a:prstGeom>
      </xdr:spPr>
    </xdr:pic>
    <xdr:clientData/>
  </xdr:twoCellAnchor>
  <xdr:twoCellAnchor editAs="oneCell">
    <xdr:from>
      <xdr:col>4</xdr:col>
      <xdr:colOff>1285875</xdr:colOff>
      <xdr:row>35</xdr:row>
      <xdr:rowOff>21648</xdr:rowOff>
    </xdr:from>
    <xdr:to>
      <xdr:col>4</xdr:col>
      <xdr:colOff>1467716</xdr:colOff>
      <xdr:row>35</xdr:row>
      <xdr:rowOff>151210</xdr:rowOff>
    </xdr:to>
    <xdr:pic>
      <xdr:nvPicPr>
        <xdr:cNvPr id="76" name="Picture 75">
          <a:extLst>
            <a:ext uri="{FF2B5EF4-FFF2-40B4-BE49-F238E27FC236}">
              <a16:creationId xmlns:a16="http://schemas.microsoft.com/office/drawing/2014/main" id="{DD5BCD46-2E55-4EB2-ADE4-D301CFDA32A6}"/>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255818" y="5663046"/>
          <a:ext cx="181841" cy="129562"/>
        </a:xfrm>
        <a:prstGeom prst="rect">
          <a:avLst/>
        </a:prstGeom>
      </xdr:spPr>
    </xdr:pic>
    <xdr:clientData/>
  </xdr:twoCellAnchor>
  <xdr:twoCellAnchor editAs="oneCell">
    <xdr:from>
      <xdr:col>4</xdr:col>
      <xdr:colOff>1298863</xdr:colOff>
      <xdr:row>14</xdr:row>
      <xdr:rowOff>21648</xdr:rowOff>
    </xdr:from>
    <xdr:to>
      <xdr:col>4</xdr:col>
      <xdr:colOff>1467715</xdr:colOff>
      <xdr:row>14</xdr:row>
      <xdr:rowOff>145040</xdr:rowOff>
    </xdr:to>
    <xdr:pic>
      <xdr:nvPicPr>
        <xdr:cNvPr id="78" name="Picture 77">
          <a:extLst>
            <a:ext uri="{FF2B5EF4-FFF2-40B4-BE49-F238E27FC236}">
              <a16:creationId xmlns:a16="http://schemas.microsoft.com/office/drawing/2014/main" id="{95B1FDD5-2490-9F97-189F-F9E02C1E4E4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268806" y="2298989"/>
          <a:ext cx="168852" cy="123392"/>
        </a:xfrm>
        <a:prstGeom prst="rect">
          <a:avLst/>
        </a:prstGeom>
      </xdr:spPr>
    </xdr:pic>
    <xdr:clientData/>
  </xdr:twoCellAnchor>
  <xdr:twoCellAnchor editAs="oneCell">
    <xdr:from>
      <xdr:col>7</xdr:col>
      <xdr:colOff>30310</xdr:colOff>
      <xdr:row>39</xdr:row>
      <xdr:rowOff>21650</xdr:rowOff>
    </xdr:from>
    <xdr:to>
      <xdr:col>7</xdr:col>
      <xdr:colOff>199162</xdr:colOff>
      <xdr:row>39</xdr:row>
      <xdr:rowOff>145042</xdr:rowOff>
    </xdr:to>
    <xdr:pic>
      <xdr:nvPicPr>
        <xdr:cNvPr id="79" name="Picture 78">
          <a:extLst>
            <a:ext uri="{FF2B5EF4-FFF2-40B4-BE49-F238E27FC236}">
              <a16:creationId xmlns:a16="http://schemas.microsoft.com/office/drawing/2014/main" id="{A9086C05-BF40-4F03-B379-AD4D6F5D2AA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078435" y="6303820"/>
          <a:ext cx="168852" cy="123392"/>
        </a:xfrm>
        <a:prstGeom prst="rect">
          <a:avLst/>
        </a:prstGeom>
      </xdr:spPr>
    </xdr:pic>
    <xdr:clientData/>
  </xdr:twoCellAnchor>
  <xdr:twoCellAnchor editAs="oneCell">
    <xdr:from>
      <xdr:col>4</xdr:col>
      <xdr:colOff>1290205</xdr:colOff>
      <xdr:row>24</xdr:row>
      <xdr:rowOff>21648</xdr:rowOff>
    </xdr:from>
    <xdr:to>
      <xdr:col>4</xdr:col>
      <xdr:colOff>1459057</xdr:colOff>
      <xdr:row>24</xdr:row>
      <xdr:rowOff>145040</xdr:rowOff>
    </xdr:to>
    <xdr:pic>
      <xdr:nvPicPr>
        <xdr:cNvPr id="80" name="Picture 79">
          <a:extLst>
            <a:ext uri="{FF2B5EF4-FFF2-40B4-BE49-F238E27FC236}">
              <a16:creationId xmlns:a16="http://schemas.microsoft.com/office/drawing/2014/main" id="{874CE55D-FEB9-4F42-A674-4894B5E5A9E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260148" y="3900921"/>
          <a:ext cx="168852" cy="123392"/>
        </a:xfrm>
        <a:prstGeom prst="rect">
          <a:avLst/>
        </a:prstGeom>
      </xdr:spPr>
    </xdr:pic>
    <xdr:clientData/>
  </xdr:twoCellAnchor>
  <xdr:twoCellAnchor editAs="oneCell">
    <xdr:from>
      <xdr:col>4</xdr:col>
      <xdr:colOff>1294534</xdr:colOff>
      <xdr:row>15</xdr:row>
      <xdr:rowOff>25980</xdr:rowOff>
    </xdr:from>
    <xdr:to>
      <xdr:col>4</xdr:col>
      <xdr:colOff>1464445</xdr:colOff>
      <xdr:row>15</xdr:row>
      <xdr:rowOff>138546</xdr:rowOff>
    </xdr:to>
    <xdr:pic>
      <xdr:nvPicPr>
        <xdr:cNvPr id="82" name="Picture 81">
          <a:extLst>
            <a:ext uri="{FF2B5EF4-FFF2-40B4-BE49-F238E27FC236}">
              <a16:creationId xmlns:a16="http://schemas.microsoft.com/office/drawing/2014/main" id="{83CFEC48-A653-1CF8-E6CD-F4743125C76D}"/>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3264477" y="2463514"/>
          <a:ext cx="169911" cy="112566"/>
        </a:xfrm>
        <a:prstGeom prst="rect">
          <a:avLst/>
        </a:prstGeom>
      </xdr:spPr>
    </xdr:pic>
    <xdr:clientData/>
  </xdr:twoCellAnchor>
  <xdr:twoCellAnchor editAs="oneCell">
    <xdr:from>
      <xdr:col>7</xdr:col>
      <xdr:colOff>34640</xdr:colOff>
      <xdr:row>24</xdr:row>
      <xdr:rowOff>21650</xdr:rowOff>
    </xdr:from>
    <xdr:to>
      <xdr:col>7</xdr:col>
      <xdr:colOff>204551</xdr:colOff>
      <xdr:row>24</xdr:row>
      <xdr:rowOff>134216</xdr:rowOff>
    </xdr:to>
    <xdr:pic>
      <xdr:nvPicPr>
        <xdr:cNvPr id="83" name="Picture 82">
          <a:extLst>
            <a:ext uri="{FF2B5EF4-FFF2-40B4-BE49-F238E27FC236}">
              <a16:creationId xmlns:a16="http://schemas.microsoft.com/office/drawing/2014/main" id="{A1F29BBC-B3D7-4AD5-A73E-D035C22505D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082765" y="3900923"/>
          <a:ext cx="169911" cy="112566"/>
        </a:xfrm>
        <a:prstGeom prst="rect">
          <a:avLst/>
        </a:prstGeom>
      </xdr:spPr>
    </xdr:pic>
    <xdr:clientData/>
  </xdr:twoCellAnchor>
  <xdr:twoCellAnchor editAs="oneCell">
    <xdr:from>
      <xdr:col>7</xdr:col>
      <xdr:colOff>25980</xdr:colOff>
      <xdr:row>40</xdr:row>
      <xdr:rowOff>25980</xdr:rowOff>
    </xdr:from>
    <xdr:to>
      <xdr:col>7</xdr:col>
      <xdr:colOff>195891</xdr:colOff>
      <xdr:row>40</xdr:row>
      <xdr:rowOff>138546</xdr:rowOff>
    </xdr:to>
    <xdr:pic>
      <xdr:nvPicPr>
        <xdr:cNvPr id="84" name="Picture 83">
          <a:extLst>
            <a:ext uri="{FF2B5EF4-FFF2-40B4-BE49-F238E27FC236}">
              <a16:creationId xmlns:a16="http://schemas.microsoft.com/office/drawing/2014/main" id="{7DA35291-B2D3-432D-B463-B5E3CC4E169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074105" y="6468344"/>
          <a:ext cx="169911" cy="112566"/>
        </a:xfrm>
        <a:prstGeom prst="rect">
          <a:avLst/>
        </a:prstGeom>
      </xdr:spPr>
    </xdr:pic>
    <xdr:clientData/>
  </xdr:twoCellAnchor>
  <xdr:twoCellAnchor editAs="oneCell">
    <xdr:from>
      <xdr:col>4</xdr:col>
      <xdr:colOff>1285876</xdr:colOff>
      <xdr:row>16</xdr:row>
      <xdr:rowOff>21649</xdr:rowOff>
    </xdr:from>
    <xdr:to>
      <xdr:col>4</xdr:col>
      <xdr:colOff>1467717</xdr:colOff>
      <xdr:row>16</xdr:row>
      <xdr:rowOff>142119</xdr:rowOff>
    </xdr:to>
    <xdr:pic>
      <xdr:nvPicPr>
        <xdr:cNvPr id="86" name="Picture 85">
          <a:extLst>
            <a:ext uri="{FF2B5EF4-FFF2-40B4-BE49-F238E27FC236}">
              <a16:creationId xmlns:a16="http://schemas.microsoft.com/office/drawing/2014/main" id="{4CB85781-DDCB-5C4C-03DB-C8519A8B534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3255819" y="2619376"/>
          <a:ext cx="181841" cy="120470"/>
        </a:xfrm>
        <a:prstGeom prst="rect">
          <a:avLst/>
        </a:prstGeom>
      </xdr:spPr>
    </xdr:pic>
    <xdr:clientData/>
  </xdr:twoCellAnchor>
  <xdr:twoCellAnchor editAs="oneCell">
    <xdr:from>
      <xdr:col>7</xdr:col>
      <xdr:colOff>25980</xdr:colOff>
      <xdr:row>32</xdr:row>
      <xdr:rowOff>17320</xdr:rowOff>
    </xdr:from>
    <xdr:to>
      <xdr:col>7</xdr:col>
      <xdr:colOff>207821</xdr:colOff>
      <xdr:row>32</xdr:row>
      <xdr:rowOff>137790</xdr:rowOff>
    </xdr:to>
    <xdr:pic>
      <xdr:nvPicPr>
        <xdr:cNvPr id="87" name="Picture 86">
          <a:extLst>
            <a:ext uri="{FF2B5EF4-FFF2-40B4-BE49-F238E27FC236}">
              <a16:creationId xmlns:a16="http://schemas.microsoft.com/office/drawing/2014/main" id="{8D07F90E-AA02-481A-ADF4-75FC63D7C92F}"/>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074105" y="5178138"/>
          <a:ext cx="181841" cy="120470"/>
        </a:xfrm>
        <a:prstGeom prst="rect">
          <a:avLst/>
        </a:prstGeom>
      </xdr:spPr>
    </xdr:pic>
    <xdr:clientData/>
  </xdr:twoCellAnchor>
  <xdr:twoCellAnchor editAs="oneCell">
    <xdr:from>
      <xdr:col>7</xdr:col>
      <xdr:colOff>30307</xdr:colOff>
      <xdr:row>41</xdr:row>
      <xdr:rowOff>21648</xdr:rowOff>
    </xdr:from>
    <xdr:to>
      <xdr:col>7</xdr:col>
      <xdr:colOff>212148</xdr:colOff>
      <xdr:row>41</xdr:row>
      <xdr:rowOff>142118</xdr:rowOff>
    </xdr:to>
    <xdr:pic>
      <xdr:nvPicPr>
        <xdr:cNvPr id="88" name="Picture 87">
          <a:extLst>
            <a:ext uri="{FF2B5EF4-FFF2-40B4-BE49-F238E27FC236}">
              <a16:creationId xmlns:a16="http://schemas.microsoft.com/office/drawing/2014/main" id="{24F2606E-F59E-4893-9B0D-E41D0476186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078432" y="6624205"/>
          <a:ext cx="181841" cy="120470"/>
        </a:xfrm>
        <a:prstGeom prst="rect">
          <a:avLst/>
        </a:prstGeom>
      </xdr:spPr>
    </xdr:pic>
    <xdr:clientData/>
  </xdr:twoCellAnchor>
  <xdr:twoCellAnchor editAs="oneCell">
    <xdr:from>
      <xdr:col>7</xdr:col>
      <xdr:colOff>34638</xdr:colOff>
      <xdr:row>19</xdr:row>
      <xdr:rowOff>25978</xdr:rowOff>
    </xdr:from>
    <xdr:to>
      <xdr:col>7</xdr:col>
      <xdr:colOff>207820</xdr:colOff>
      <xdr:row>19</xdr:row>
      <xdr:rowOff>140711</xdr:rowOff>
    </xdr:to>
    <xdr:pic>
      <xdr:nvPicPr>
        <xdr:cNvPr id="90" name="Picture 89">
          <a:extLst>
            <a:ext uri="{FF2B5EF4-FFF2-40B4-BE49-F238E27FC236}">
              <a16:creationId xmlns:a16="http://schemas.microsoft.com/office/drawing/2014/main" id="{161FB1B1-125A-393C-3837-0855E9481BD5}"/>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4082763" y="3104285"/>
          <a:ext cx="173182" cy="114733"/>
        </a:xfrm>
        <a:prstGeom prst="rect">
          <a:avLst/>
        </a:prstGeom>
      </xdr:spPr>
    </xdr:pic>
    <xdr:clientData/>
  </xdr:twoCellAnchor>
  <xdr:twoCellAnchor editAs="oneCell">
    <xdr:from>
      <xdr:col>4</xdr:col>
      <xdr:colOff>1294535</xdr:colOff>
      <xdr:row>30</xdr:row>
      <xdr:rowOff>21648</xdr:rowOff>
    </xdr:from>
    <xdr:to>
      <xdr:col>4</xdr:col>
      <xdr:colOff>1467717</xdr:colOff>
      <xdr:row>30</xdr:row>
      <xdr:rowOff>136381</xdr:rowOff>
    </xdr:to>
    <xdr:pic>
      <xdr:nvPicPr>
        <xdr:cNvPr id="91" name="Picture 90">
          <a:extLst>
            <a:ext uri="{FF2B5EF4-FFF2-40B4-BE49-F238E27FC236}">
              <a16:creationId xmlns:a16="http://schemas.microsoft.com/office/drawing/2014/main" id="{8E1BDADA-CA22-4B45-9B0C-736DAB24BD6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264478" y="4862080"/>
          <a:ext cx="173182" cy="114733"/>
        </a:xfrm>
        <a:prstGeom prst="rect">
          <a:avLst/>
        </a:prstGeom>
      </xdr:spPr>
    </xdr:pic>
    <xdr:clientData/>
  </xdr:twoCellAnchor>
  <xdr:twoCellAnchor editAs="oneCell">
    <xdr:from>
      <xdr:col>4</xdr:col>
      <xdr:colOff>1285875</xdr:colOff>
      <xdr:row>43</xdr:row>
      <xdr:rowOff>25977</xdr:rowOff>
    </xdr:from>
    <xdr:to>
      <xdr:col>4</xdr:col>
      <xdr:colOff>1459057</xdr:colOff>
      <xdr:row>43</xdr:row>
      <xdr:rowOff>140710</xdr:rowOff>
    </xdr:to>
    <xdr:pic>
      <xdr:nvPicPr>
        <xdr:cNvPr id="92" name="Picture 91">
          <a:extLst>
            <a:ext uri="{FF2B5EF4-FFF2-40B4-BE49-F238E27FC236}">
              <a16:creationId xmlns:a16="http://schemas.microsoft.com/office/drawing/2014/main" id="{5609D93F-6D85-44DB-B105-CF21B531C90C}"/>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3255818" y="6948920"/>
          <a:ext cx="173182" cy="1147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b/Desktop/euro2024/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Participants"/>
      <sheetName val="Matches"/>
      <sheetName val="Bracket"/>
      <sheetName val="Upcoming"/>
      <sheetName val="Upcoming (2)"/>
      <sheetName val="POINTSYSTEM"/>
      <sheetName val="STATS"/>
      <sheetName val="Nuno"/>
      <sheetName val="Aaron"/>
      <sheetName val="Adam"/>
      <sheetName val="Alexei"/>
      <sheetName val="Alice"/>
      <sheetName val="Angel"/>
      <sheetName val="AnthonyD"/>
      <sheetName val="AnthonyV"/>
      <sheetName val="Ash"/>
      <sheetName val="Atish"/>
      <sheetName val="Augie"/>
      <sheetName val="Bert"/>
      <sheetName val="Brendan"/>
      <sheetName val="BrianB"/>
      <sheetName val="Carlos"/>
      <sheetName val="Carmen"/>
      <sheetName val="Caroline"/>
      <sheetName val="ChrisK"/>
      <sheetName val="ChrisP"/>
      <sheetName val="Chrissy"/>
      <sheetName val="CMD88"/>
      <sheetName val="Corey"/>
      <sheetName val="Cristian"/>
      <sheetName val="Cristina"/>
      <sheetName val="Daisy"/>
      <sheetName val="DanielR"/>
      <sheetName val="DannyL"/>
      <sheetName val="DannyRa"/>
      <sheetName val="Darryll"/>
      <sheetName val="Daryl"/>
      <sheetName val="Dashiel"/>
      <sheetName val="DavidD"/>
      <sheetName val="Derek"/>
      <sheetName val="Deylin"/>
      <sheetName val="DinoD"/>
      <sheetName val="Dragon"/>
      <sheetName val="Duarte"/>
      <sheetName val="Edsel"/>
      <sheetName val="Eduardo"/>
      <sheetName val="EdwardL"/>
      <sheetName val="EdwardT"/>
      <sheetName val="Elizabeth"/>
      <sheetName val="Fawzi"/>
      <sheetName val="Fernando"/>
      <sheetName val="Forbes"/>
      <sheetName val="Franco"/>
      <sheetName val="FrankC"/>
      <sheetName val="FrankD"/>
      <sheetName val="Gabriela"/>
      <sheetName val="Gary"/>
      <sheetName val="GavinH"/>
      <sheetName val="GavinW"/>
      <sheetName val="Greg"/>
      <sheetName val="Grosso"/>
      <sheetName val="Gus"/>
      <sheetName val="Gustavo"/>
      <sheetName val="Heather"/>
      <sheetName val="Helder"/>
      <sheetName val="Hernani"/>
      <sheetName val="Hugo"/>
      <sheetName val="Ian"/>
      <sheetName val="Igor"/>
      <sheetName val="Ishaque"/>
      <sheetName val="James"/>
      <sheetName val="Janelle"/>
      <sheetName val="JeanMichel"/>
      <sheetName val="Jeannette"/>
      <sheetName val="JeffBe"/>
      <sheetName val="JeffBo"/>
      <sheetName val="JeffS"/>
      <sheetName val="Jenn"/>
      <sheetName val="Joanna"/>
      <sheetName val="Joao"/>
      <sheetName val="JoeA"/>
      <sheetName val="JohnC"/>
      <sheetName val="JohnR"/>
      <sheetName val="Jonathan"/>
      <sheetName val="JorgeC"/>
      <sheetName val="JorgeT"/>
      <sheetName val="JoseP"/>
      <sheetName val="Julian"/>
      <sheetName val="JustinL"/>
      <sheetName val="Kasra"/>
      <sheetName val="KevinJ"/>
      <sheetName val="Kristian"/>
      <sheetName val="Luigi"/>
      <sheetName val="Magno"/>
      <sheetName val="Major"/>
      <sheetName val="MannyA"/>
      <sheetName val="MannyT"/>
      <sheetName val="Marcio"/>
      <sheetName val="Marco"/>
      <sheetName val="Maria"/>
      <sheetName val="Marta"/>
      <sheetName val="MatthewG"/>
      <sheetName val="MatthewS"/>
      <sheetName val="Mauricio"/>
      <sheetName val="MichaelP"/>
      <sheetName val="Michiel"/>
      <sheetName val="MikeD"/>
      <sheetName val="Mitchell"/>
      <sheetName val="Mugwe"/>
      <sheetName val="NicholasN"/>
      <sheetName val="NickM"/>
      <sheetName val="Nicole"/>
      <sheetName val="Paola"/>
      <sheetName val="Paolo"/>
      <sheetName val="Pardeep"/>
      <sheetName val="Pascal"/>
      <sheetName val="Paul"/>
      <sheetName val="Pedro"/>
      <sheetName val="PeterM"/>
      <sheetName val="PeterS"/>
      <sheetName val="RD2024"/>
      <sheetName val="Ricardo"/>
      <sheetName val="RichardMa"/>
      <sheetName val="RichardMo"/>
      <sheetName val="Rick"/>
      <sheetName val="Riyad"/>
      <sheetName val="RobertP"/>
      <sheetName val="RobertS"/>
      <sheetName val="RobSi"/>
      <sheetName val="RobTa"/>
      <sheetName val="RobTu"/>
      <sheetName val="RobV"/>
      <sheetName val="RobW"/>
      <sheetName val="Rodrigo"/>
      <sheetName val="Sam"/>
      <sheetName val="Santiago"/>
      <sheetName val="Scotty"/>
      <sheetName val="Sean"/>
      <sheetName val="Shawn"/>
      <sheetName val="SimonC"/>
      <sheetName val="Simone"/>
      <sheetName val="SimonS"/>
      <sheetName val="Stallone"/>
      <sheetName val="Stanley"/>
      <sheetName val="SteveB"/>
      <sheetName val="StevenD"/>
      <sheetName val="TomI"/>
      <sheetName val="TonyH"/>
      <sheetName val="TonyS"/>
      <sheetName val="Trevor"/>
      <sheetName val="Tristan"/>
      <sheetName val="Tyrone"/>
      <sheetName val="Vicki"/>
      <sheetName val="Victor"/>
      <sheetName val="VinayS"/>
      <sheetName val="VinayV"/>
      <sheetName val="Vince"/>
      <sheetName val="Vishal"/>
      <sheetName val="Vito"/>
      <sheetName val="Wilson"/>
      <sheetName val="Yogi"/>
      <sheetName val="Zachary"/>
      <sheetName val="LiamM"/>
      <sheetName val="Luka"/>
      <sheetName val="Teresa"/>
      <sheetName val="TomP"/>
      <sheetName val="DanielA"/>
      <sheetName val="Rocco"/>
      <sheetName val="ChrisN"/>
      <sheetName val="EricK"/>
      <sheetName val="Timo"/>
      <sheetName val="JoeD"/>
      <sheetName val="EddyM"/>
      <sheetName val="Kumar"/>
      <sheetName val="KevinS"/>
      <sheetName val="SteveR"/>
      <sheetName val="Jerry"/>
      <sheetName val="Neha"/>
      <sheetName val="JohnO"/>
      <sheetName val="Jay"/>
      <sheetName val="Smiffy"/>
      <sheetName val="Jubin"/>
      <sheetName val="Monticcilo"/>
      <sheetName val="Jenny"/>
      <sheetName val="Kayden"/>
      <sheetName val="Nuno (174)"/>
      <sheetName val="Nuno (6)"/>
    </sheetNames>
    <sheetDataSet>
      <sheetData sheetId="0"/>
      <sheetData sheetId="1"/>
      <sheetData sheetId="2"/>
      <sheetData sheetId="3"/>
      <sheetData sheetId="4"/>
      <sheetData sheetId="5"/>
      <sheetData sheetId="6">
        <row r="22">
          <cell r="B22">
            <v>3</v>
          </cell>
        </row>
        <row r="23">
          <cell r="B23">
            <v>4</v>
          </cell>
        </row>
        <row r="24">
          <cell r="B24">
            <v>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115"/>
  <sheetViews>
    <sheetView zoomScaleNormal="100" workbookViewId="0">
      <pane xSplit="1" ySplit="1" topLeftCell="B2" activePane="bottomRight" state="frozen"/>
      <selection pane="topRight" activeCell="F1" sqref="F1"/>
      <selection pane="bottomLeft" activeCell="A89" sqref="A89"/>
      <selection pane="bottomRight"/>
    </sheetView>
  </sheetViews>
  <sheetFormatPr defaultColWidth="8.42578125" defaultRowHeight="12.75"/>
  <sheetData>
    <row r="1" spans="1:41">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c r="A2" s="1" t="s">
        <v>2552</v>
      </c>
      <c r="B2" t="s">
        <v>2553</v>
      </c>
      <c r="C2" t="s">
        <v>2554</v>
      </c>
      <c r="D2" t="s">
        <v>2555</v>
      </c>
      <c r="E2" t="s">
        <v>2556</v>
      </c>
      <c r="F2" t="s">
        <v>2557</v>
      </c>
      <c r="G2" t="s">
        <v>2558</v>
      </c>
      <c r="H2" t="s">
        <v>2559</v>
      </c>
      <c r="I2" t="s">
        <v>2560</v>
      </c>
      <c r="J2" t="s">
        <v>2561</v>
      </c>
      <c r="K2" t="s">
        <v>2562</v>
      </c>
      <c r="L2" t="s">
        <v>2552</v>
      </c>
      <c r="M2" t="s">
        <v>2563</v>
      </c>
      <c r="N2" t="s">
        <v>2564</v>
      </c>
      <c r="O2" t="s">
        <v>2565</v>
      </c>
      <c r="P2" t="s">
        <v>2566</v>
      </c>
      <c r="Q2" t="s">
        <v>2567</v>
      </c>
      <c r="R2" t="s">
        <v>2568</v>
      </c>
      <c r="S2" t="s">
        <v>2569</v>
      </c>
      <c r="T2" t="s">
        <v>2570</v>
      </c>
      <c r="U2" t="s">
        <v>2571</v>
      </c>
      <c r="V2" t="s">
        <v>2552</v>
      </c>
      <c r="W2" t="s">
        <v>2572</v>
      </c>
      <c r="X2" t="s">
        <v>2573</v>
      </c>
      <c r="Y2" t="s">
        <v>2574</v>
      </c>
      <c r="Z2" t="s">
        <v>2575</v>
      </c>
      <c r="AA2" t="s">
        <v>2576</v>
      </c>
      <c r="AB2" t="s">
        <v>2577</v>
      </c>
      <c r="AC2" t="s">
        <v>2578</v>
      </c>
      <c r="AD2" t="s">
        <v>2579</v>
      </c>
      <c r="AE2" t="s">
        <v>2580</v>
      </c>
      <c r="AF2" t="s">
        <v>2581</v>
      </c>
      <c r="AG2" t="s">
        <v>2582</v>
      </c>
      <c r="AH2" t="s">
        <v>2583</v>
      </c>
      <c r="AI2" t="s">
        <v>2584</v>
      </c>
      <c r="AJ2" t="s">
        <v>2585</v>
      </c>
      <c r="AK2" t="s">
        <v>2586</v>
      </c>
      <c r="AL2" t="s">
        <v>2587</v>
      </c>
      <c r="AM2" t="s">
        <v>2588</v>
      </c>
      <c r="AN2" s="1" t="s">
        <v>2589</v>
      </c>
      <c r="AO2" t="s">
        <v>2590</v>
      </c>
    </row>
    <row r="3" spans="1:41">
      <c r="A3" t="s">
        <v>41</v>
      </c>
      <c r="B3" t="s">
        <v>42</v>
      </c>
      <c r="C3" t="s">
        <v>43</v>
      </c>
      <c r="D3" t="s">
        <v>44</v>
      </c>
      <c r="E3" t="s">
        <v>45</v>
      </c>
      <c r="F3" t="s">
        <v>46</v>
      </c>
      <c r="G3" t="s">
        <v>47</v>
      </c>
      <c r="H3" s="2" t="s">
        <v>48</v>
      </c>
      <c r="I3" s="2" t="s">
        <v>49</v>
      </c>
      <c r="J3" t="s">
        <v>50</v>
      </c>
      <c r="K3" t="s">
        <v>51</v>
      </c>
      <c r="L3" t="s">
        <v>52</v>
      </c>
      <c r="M3" t="s">
        <v>53</v>
      </c>
      <c r="N3" t="s">
        <v>54</v>
      </c>
      <c r="O3" t="s">
        <v>55</v>
      </c>
      <c r="P3" t="s">
        <v>56</v>
      </c>
      <c r="Q3" t="s">
        <v>57</v>
      </c>
      <c r="R3" t="s">
        <v>58</v>
      </c>
      <c r="S3" t="s">
        <v>59</v>
      </c>
      <c r="T3" t="s">
        <v>60</v>
      </c>
      <c r="U3" t="s">
        <v>61</v>
      </c>
      <c r="V3" t="s">
        <v>62</v>
      </c>
      <c r="W3" s="2" t="s">
        <v>63</v>
      </c>
      <c r="X3" t="s">
        <v>64</v>
      </c>
      <c r="Y3" t="s">
        <v>65</v>
      </c>
      <c r="Z3" t="s">
        <v>66</v>
      </c>
      <c r="AA3" t="s">
        <v>67</v>
      </c>
      <c r="AB3" t="s">
        <v>68</v>
      </c>
      <c r="AC3" t="s">
        <v>69</v>
      </c>
      <c r="AD3" t="s">
        <v>70</v>
      </c>
      <c r="AE3" t="s">
        <v>71</v>
      </c>
      <c r="AF3" t="s">
        <v>72</v>
      </c>
      <c r="AG3" t="s">
        <v>73</v>
      </c>
      <c r="AH3" t="s">
        <v>74</v>
      </c>
      <c r="AI3" t="s">
        <v>70</v>
      </c>
      <c r="AJ3" t="s">
        <v>75</v>
      </c>
      <c r="AK3" t="s">
        <v>76</v>
      </c>
      <c r="AL3" t="s">
        <v>77</v>
      </c>
      <c r="AM3" t="s">
        <v>78</v>
      </c>
      <c r="AN3" t="s">
        <v>79</v>
      </c>
      <c r="AO3" t="s">
        <v>80</v>
      </c>
    </row>
    <row r="4" spans="1:41">
      <c r="A4" t="s">
        <v>81</v>
      </c>
      <c r="B4" t="s">
        <v>82</v>
      </c>
      <c r="C4" t="s">
        <v>83</v>
      </c>
      <c r="D4" t="s">
        <v>84</v>
      </c>
      <c r="E4" t="s">
        <v>85</v>
      </c>
      <c r="F4" t="s">
        <v>86</v>
      </c>
      <c r="G4" t="s">
        <v>87</v>
      </c>
      <c r="H4" t="s">
        <v>88</v>
      </c>
      <c r="I4" s="2" t="s">
        <v>89</v>
      </c>
      <c r="J4" t="s">
        <v>90</v>
      </c>
      <c r="K4" t="s">
        <v>91</v>
      </c>
      <c r="L4" t="s">
        <v>92</v>
      </c>
      <c r="M4" t="s">
        <v>93</v>
      </c>
      <c r="N4" t="s">
        <v>94</v>
      </c>
      <c r="O4" t="s">
        <v>95</v>
      </c>
      <c r="P4" t="s">
        <v>96</v>
      </c>
      <c r="Q4" t="s">
        <v>97</v>
      </c>
      <c r="R4" t="s">
        <v>98</v>
      </c>
      <c r="S4" t="s">
        <v>99</v>
      </c>
      <c r="T4" t="s">
        <v>100</v>
      </c>
      <c r="U4" t="s">
        <v>101</v>
      </c>
      <c r="V4" t="s">
        <v>102</v>
      </c>
      <c r="W4" t="s">
        <v>103</v>
      </c>
      <c r="X4" t="s">
        <v>104</v>
      </c>
      <c r="Y4" t="s">
        <v>105</v>
      </c>
      <c r="Z4" t="s">
        <v>106</v>
      </c>
      <c r="AA4" t="s">
        <v>107</v>
      </c>
      <c r="AB4" t="s">
        <v>108</v>
      </c>
      <c r="AC4" t="s">
        <v>109</v>
      </c>
      <c r="AD4" t="s">
        <v>110</v>
      </c>
      <c r="AE4" t="s">
        <v>111</v>
      </c>
      <c r="AF4" t="s">
        <v>112</v>
      </c>
      <c r="AG4" t="s">
        <v>113</v>
      </c>
      <c r="AH4" t="s">
        <v>114</v>
      </c>
      <c r="AI4" t="s">
        <v>115</v>
      </c>
      <c r="AJ4" t="s">
        <v>116</v>
      </c>
      <c r="AK4" t="s">
        <v>117</v>
      </c>
      <c r="AL4" t="s">
        <v>118</v>
      </c>
      <c r="AM4" t="s">
        <v>119</v>
      </c>
      <c r="AN4" t="s">
        <v>120</v>
      </c>
      <c r="AO4" t="s">
        <v>121</v>
      </c>
    </row>
    <row r="5" spans="1:41">
      <c r="A5" t="s">
        <v>122</v>
      </c>
      <c r="B5" t="s">
        <v>123</v>
      </c>
      <c r="C5" t="s">
        <v>124</v>
      </c>
      <c r="D5" t="s">
        <v>125</v>
      </c>
      <c r="E5" t="s">
        <v>126</v>
      </c>
      <c r="F5" t="s">
        <v>127</v>
      </c>
      <c r="G5" t="s">
        <v>128</v>
      </c>
      <c r="H5" t="s">
        <v>129</v>
      </c>
      <c r="I5" s="2" t="s">
        <v>130</v>
      </c>
      <c r="J5" t="s">
        <v>131</v>
      </c>
      <c r="K5" t="s">
        <v>132</v>
      </c>
      <c r="L5" t="s">
        <v>133</v>
      </c>
      <c r="M5" t="s">
        <v>134</v>
      </c>
      <c r="N5" t="s">
        <v>135</v>
      </c>
      <c r="O5" t="s">
        <v>136</v>
      </c>
      <c r="P5" t="s">
        <v>137</v>
      </c>
      <c r="Q5" t="s">
        <v>138</v>
      </c>
      <c r="R5" t="s">
        <v>139</v>
      </c>
      <c r="S5" t="s">
        <v>140</v>
      </c>
      <c r="T5" t="s">
        <v>141</v>
      </c>
      <c r="U5" t="s">
        <v>142</v>
      </c>
      <c r="V5" t="s">
        <v>143</v>
      </c>
      <c r="W5" t="s">
        <v>144</v>
      </c>
      <c r="X5" t="s">
        <v>145</v>
      </c>
      <c r="Y5" t="s">
        <v>146</v>
      </c>
      <c r="Z5" t="s">
        <v>147</v>
      </c>
      <c r="AA5" t="s">
        <v>133</v>
      </c>
      <c r="AB5" t="s">
        <v>148</v>
      </c>
      <c r="AC5" t="s">
        <v>149</v>
      </c>
      <c r="AD5" t="s">
        <v>150</v>
      </c>
      <c r="AE5" t="s">
        <v>151</v>
      </c>
      <c r="AF5" t="s">
        <v>131</v>
      </c>
      <c r="AG5" t="s">
        <v>152</v>
      </c>
      <c r="AH5" t="s">
        <v>153</v>
      </c>
      <c r="AI5" t="s">
        <v>154</v>
      </c>
      <c r="AJ5" t="s">
        <v>155</v>
      </c>
      <c r="AK5" t="s">
        <v>156</v>
      </c>
      <c r="AL5" t="s">
        <v>157</v>
      </c>
      <c r="AM5" t="s">
        <v>158</v>
      </c>
      <c r="AN5" t="s">
        <v>159</v>
      </c>
      <c r="AO5" t="s">
        <v>160</v>
      </c>
    </row>
    <row r="6" spans="1:41">
      <c r="A6" t="s">
        <v>161</v>
      </c>
      <c r="B6" t="s">
        <v>162</v>
      </c>
      <c r="C6" t="s">
        <v>163</v>
      </c>
      <c r="D6" t="s">
        <v>164</v>
      </c>
      <c r="E6" t="s">
        <v>165</v>
      </c>
      <c r="F6" t="s">
        <v>166</v>
      </c>
      <c r="G6" t="s">
        <v>167</v>
      </c>
      <c r="H6" s="2" t="s">
        <v>168</v>
      </c>
      <c r="I6" s="2" t="s">
        <v>169</v>
      </c>
      <c r="J6" t="s">
        <v>170</v>
      </c>
      <c r="K6" t="s">
        <v>171</v>
      </c>
      <c r="L6" t="s">
        <v>172</v>
      </c>
      <c r="M6" t="s">
        <v>173</v>
      </c>
      <c r="N6" t="s">
        <v>174</v>
      </c>
      <c r="O6" t="s">
        <v>175</v>
      </c>
      <c r="P6" t="s">
        <v>176</v>
      </c>
      <c r="Q6" t="s">
        <v>177</v>
      </c>
      <c r="R6" t="s">
        <v>178</v>
      </c>
      <c r="S6" t="s">
        <v>179</v>
      </c>
      <c r="T6" t="s">
        <v>180</v>
      </c>
      <c r="U6" t="s">
        <v>181</v>
      </c>
      <c r="V6" t="s">
        <v>182</v>
      </c>
      <c r="W6" s="2" t="s">
        <v>183</v>
      </c>
      <c r="X6" t="s">
        <v>184</v>
      </c>
      <c r="Y6" t="s">
        <v>185</v>
      </c>
      <c r="Z6" t="s">
        <v>186</v>
      </c>
      <c r="AA6" t="s">
        <v>172</v>
      </c>
      <c r="AB6" t="s">
        <v>187</v>
      </c>
      <c r="AC6" t="s">
        <v>188</v>
      </c>
      <c r="AD6" t="s">
        <v>189</v>
      </c>
      <c r="AE6" t="s">
        <v>172</v>
      </c>
      <c r="AF6" t="s">
        <v>170</v>
      </c>
      <c r="AG6" t="s">
        <v>171</v>
      </c>
      <c r="AH6" t="s">
        <v>190</v>
      </c>
      <c r="AI6" t="s">
        <v>191</v>
      </c>
      <c r="AJ6" t="s">
        <v>192</v>
      </c>
      <c r="AK6" t="s">
        <v>193</v>
      </c>
      <c r="AL6" t="s">
        <v>194</v>
      </c>
      <c r="AM6" t="s">
        <v>195</v>
      </c>
      <c r="AN6" t="s">
        <v>196</v>
      </c>
      <c r="AO6" t="s">
        <v>197</v>
      </c>
    </row>
    <row r="7" spans="1:41">
      <c r="A7" t="s">
        <v>198</v>
      </c>
      <c r="B7" t="s">
        <v>199</v>
      </c>
      <c r="C7" t="s">
        <v>200</v>
      </c>
      <c r="D7" t="s">
        <v>201</v>
      </c>
      <c r="E7" t="s">
        <v>202</v>
      </c>
      <c r="F7" t="s">
        <v>203</v>
      </c>
      <c r="G7" t="s">
        <v>204</v>
      </c>
      <c r="H7" s="2" t="s">
        <v>205</v>
      </c>
      <c r="I7" s="2" t="s">
        <v>206</v>
      </c>
      <c r="J7" t="s">
        <v>207</v>
      </c>
      <c r="K7" t="s">
        <v>208</v>
      </c>
      <c r="L7" t="s">
        <v>209</v>
      </c>
      <c r="M7" t="s">
        <v>210</v>
      </c>
      <c r="N7" t="s">
        <v>211</v>
      </c>
      <c r="O7" t="s">
        <v>212</v>
      </c>
      <c r="P7" t="s">
        <v>213</v>
      </c>
      <c r="Q7" t="s">
        <v>214</v>
      </c>
      <c r="R7" t="s">
        <v>215</v>
      </c>
      <c r="S7" t="s">
        <v>216</v>
      </c>
      <c r="T7" t="s">
        <v>217</v>
      </c>
      <c r="U7" t="s">
        <v>218</v>
      </c>
      <c r="V7" t="s">
        <v>219</v>
      </c>
      <c r="W7" t="s">
        <v>220</v>
      </c>
      <c r="X7" t="s">
        <v>221</v>
      </c>
      <c r="Y7" t="s">
        <v>222</v>
      </c>
      <c r="Z7" t="s">
        <v>223</v>
      </c>
      <c r="AA7" t="s">
        <v>224</v>
      </c>
      <c r="AB7" t="s">
        <v>225</v>
      </c>
      <c r="AC7" t="s">
        <v>226</v>
      </c>
      <c r="AD7" t="s">
        <v>227</v>
      </c>
      <c r="AE7" t="s">
        <v>228</v>
      </c>
      <c r="AF7" t="s">
        <v>207</v>
      </c>
      <c r="AG7" t="s">
        <v>229</v>
      </c>
      <c r="AH7" t="s">
        <v>230</v>
      </c>
      <c r="AI7" t="s">
        <v>231</v>
      </c>
      <c r="AJ7" t="s">
        <v>232</v>
      </c>
      <c r="AK7" t="s">
        <v>233</v>
      </c>
      <c r="AL7" t="s">
        <v>234</v>
      </c>
      <c r="AM7" t="s">
        <v>235</v>
      </c>
      <c r="AN7" t="s">
        <v>236</v>
      </c>
      <c r="AO7" t="s">
        <v>237</v>
      </c>
    </row>
    <row r="8" spans="1:41">
      <c r="A8" t="s">
        <v>238</v>
      </c>
      <c r="B8" t="s">
        <v>239</v>
      </c>
      <c r="C8" t="s">
        <v>240</v>
      </c>
      <c r="D8" t="s">
        <v>241</v>
      </c>
      <c r="E8" t="s">
        <v>238</v>
      </c>
      <c r="F8" t="s">
        <v>242</v>
      </c>
      <c r="G8" t="s">
        <v>238</v>
      </c>
      <c r="H8" s="2" t="s">
        <v>243</v>
      </c>
      <c r="I8" s="2" t="s">
        <v>244</v>
      </c>
      <c r="J8" t="s">
        <v>245</v>
      </c>
      <c r="K8" t="s">
        <v>246</v>
      </c>
      <c r="L8" t="s">
        <v>245</v>
      </c>
      <c r="M8" t="s">
        <v>245</v>
      </c>
      <c r="N8" t="s">
        <v>245</v>
      </c>
      <c r="O8" t="s">
        <v>247</v>
      </c>
      <c r="P8" t="s">
        <v>245</v>
      </c>
      <c r="Q8" t="s">
        <v>248</v>
      </c>
      <c r="R8" t="s">
        <v>249</v>
      </c>
      <c r="S8" t="s">
        <v>250</v>
      </c>
      <c r="T8" t="s">
        <v>238</v>
      </c>
      <c r="U8" t="s">
        <v>251</v>
      </c>
      <c r="V8" t="s">
        <v>245</v>
      </c>
      <c r="W8" s="2" t="s">
        <v>252</v>
      </c>
      <c r="X8" t="s">
        <v>253</v>
      </c>
      <c r="Y8" t="s">
        <v>254</v>
      </c>
      <c r="Z8" t="s">
        <v>255</v>
      </c>
      <c r="AA8" t="s">
        <v>245</v>
      </c>
      <c r="AB8" t="s">
        <v>256</v>
      </c>
      <c r="AC8" t="s">
        <v>257</v>
      </c>
      <c r="AD8" t="s">
        <v>238</v>
      </c>
      <c r="AE8" t="s">
        <v>258</v>
      </c>
      <c r="AF8" t="s">
        <v>245</v>
      </c>
      <c r="AG8" t="s">
        <v>246</v>
      </c>
      <c r="AH8" t="s">
        <v>245</v>
      </c>
      <c r="AI8" t="s">
        <v>238</v>
      </c>
      <c r="AJ8" t="s">
        <v>238</v>
      </c>
      <c r="AK8" t="s">
        <v>259</v>
      </c>
      <c r="AL8" t="s">
        <v>238</v>
      </c>
      <c r="AM8" t="s">
        <v>260</v>
      </c>
      <c r="AN8" t="s">
        <v>261</v>
      </c>
      <c r="AO8" t="s">
        <v>262</v>
      </c>
    </row>
    <row r="9" spans="1:41">
      <c r="A9" t="s">
        <v>263</v>
      </c>
      <c r="B9" t="s">
        <v>264</v>
      </c>
      <c r="C9" t="s">
        <v>265</v>
      </c>
      <c r="D9" t="s">
        <v>266</v>
      </c>
      <c r="E9" t="s">
        <v>267</v>
      </c>
      <c r="F9" t="s">
        <v>268</v>
      </c>
      <c r="G9" t="s">
        <v>269</v>
      </c>
      <c r="H9" s="2" t="s">
        <v>270</v>
      </c>
      <c r="I9" s="2" t="s">
        <v>271</v>
      </c>
      <c r="J9" t="s">
        <v>272</v>
      </c>
      <c r="K9" t="s">
        <v>273</v>
      </c>
      <c r="L9" t="s">
        <v>274</v>
      </c>
      <c r="M9" t="s">
        <v>275</v>
      </c>
      <c r="N9" t="s">
        <v>276</v>
      </c>
      <c r="O9" t="s">
        <v>277</v>
      </c>
      <c r="P9" t="s">
        <v>274</v>
      </c>
      <c r="Q9" t="s">
        <v>278</v>
      </c>
      <c r="R9" t="s">
        <v>279</v>
      </c>
      <c r="S9" t="s">
        <v>280</v>
      </c>
      <c r="T9" t="s">
        <v>281</v>
      </c>
      <c r="U9" t="s">
        <v>282</v>
      </c>
      <c r="V9" t="s">
        <v>283</v>
      </c>
      <c r="W9" s="2" t="s">
        <v>284</v>
      </c>
      <c r="X9" t="s">
        <v>285</v>
      </c>
      <c r="Y9" t="s">
        <v>268</v>
      </c>
      <c r="Z9" t="s">
        <v>286</v>
      </c>
      <c r="AA9" t="s">
        <v>274</v>
      </c>
      <c r="AB9" t="s">
        <v>287</v>
      </c>
      <c r="AC9" t="s">
        <v>272</v>
      </c>
      <c r="AD9" t="s">
        <v>288</v>
      </c>
      <c r="AE9" t="s">
        <v>272</v>
      </c>
      <c r="AF9" t="s">
        <v>272</v>
      </c>
      <c r="AG9" t="s">
        <v>273</v>
      </c>
      <c r="AH9" t="s">
        <v>273</v>
      </c>
      <c r="AI9" t="s">
        <v>288</v>
      </c>
      <c r="AJ9" t="s">
        <v>286</v>
      </c>
      <c r="AK9" t="s">
        <v>289</v>
      </c>
      <c r="AL9" t="s">
        <v>269</v>
      </c>
      <c r="AM9" t="s">
        <v>290</v>
      </c>
      <c r="AN9" t="s">
        <v>268</v>
      </c>
      <c r="AO9" t="s">
        <v>80</v>
      </c>
    </row>
    <row r="10" spans="1:41">
      <c r="A10" t="s">
        <v>291</v>
      </c>
      <c r="B10" t="s">
        <v>292</v>
      </c>
      <c r="C10" t="s">
        <v>293</v>
      </c>
      <c r="D10" t="s">
        <v>294</v>
      </c>
      <c r="E10" t="s">
        <v>295</v>
      </c>
      <c r="F10" t="s">
        <v>296</v>
      </c>
      <c r="G10" t="s">
        <v>297</v>
      </c>
      <c r="H10" s="2" t="s">
        <v>298</v>
      </c>
      <c r="I10" s="2" t="s">
        <v>299</v>
      </c>
      <c r="J10" t="s">
        <v>291</v>
      </c>
      <c r="K10" t="s">
        <v>300</v>
      </c>
      <c r="L10" t="s">
        <v>301</v>
      </c>
      <c r="M10" t="s">
        <v>302</v>
      </c>
      <c r="N10" t="s">
        <v>297</v>
      </c>
      <c r="O10" t="s">
        <v>303</v>
      </c>
      <c r="P10" t="s">
        <v>301</v>
      </c>
      <c r="Q10" t="s">
        <v>304</v>
      </c>
      <c r="R10" t="s">
        <v>305</v>
      </c>
      <c r="S10" t="s">
        <v>306</v>
      </c>
      <c r="T10" t="s">
        <v>307</v>
      </c>
      <c r="U10" t="s">
        <v>292</v>
      </c>
      <c r="V10" t="s">
        <v>308</v>
      </c>
      <c r="W10" s="2" t="s">
        <v>309</v>
      </c>
      <c r="X10" t="s">
        <v>310</v>
      </c>
      <c r="Y10" t="s">
        <v>311</v>
      </c>
      <c r="Z10" t="s">
        <v>292</v>
      </c>
      <c r="AA10" t="s">
        <v>312</v>
      </c>
      <c r="AB10" t="s">
        <v>313</v>
      </c>
      <c r="AC10" t="s">
        <v>306</v>
      </c>
      <c r="AD10" t="s">
        <v>297</v>
      </c>
      <c r="AE10" t="s">
        <v>297</v>
      </c>
      <c r="AF10" t="s">
        <v>314</v>
      </c>
      <c r="AG10" t="s">
        <v>300</v>
      </c>
      <c r="AH10" t="s">
        <v>291</v>
      </c>
      <c r="AI10" t="s">
        <v>297</v>
      </c>
      <c r="AJ10" t="s">
        <v>315</v>
      </c>
      <c r="AK10" t="s">
        <v>316</v>
      </c>
      <c r="AL10" t="s">
        <v>295</v>
      </c>
      <c r="AM10" t="s">
        <v>317</v>
      </c>
      <c r="AN10" t="s">
        <v>318</v>
      </c>
      <c r="AO10" t="s">
        <v>319</v>
      </c>
    </row>
    <row r="11" spans="1:41">
      <c r="A11" t="s">
        <v>320</v>
      </c>
      <c r="B11" t="s">
        <v>321</v>
      </c>
      <c r="C11" t="s">
        <v>322</v>
      </c>
      <c r="D11" t="s">
        <v>323</v>
      </c>
      <c r="E11" t="s">
        <v>324</v>
      </c>
      <c r="F11" t="s">
        <v>325</v>
      </c>
      <c r="G11" t="s">
        <v>308</v>
      </c>
      <c r="H11" s="2" t="s">
        <v>326</v>
      </c>
      <c r="I11" s="2" t="s">
        <v>327</v>
      </c>
      <c r="J11" t="s">
        <v>320</v>
      </c>
      <c r="K11" t="s">
        <v>328</v>
      </c>
      <c r="L11" t="s">
        <v>328</v>
      </c>
      <c r="M11" t="s">
        <v>320</v>
      </c>
      <c r="N11" t="s">
        <v>328</v>
      </c>
      <c r="O11" t="s">
        <v>329</v>
      </c>
      <c r="P11" t="s">
        <v>312</v>
      </c>
      <c r="Q11" t="s">
        <v>330</v>
      </c>
      <c r="R11" t="s">
        <v>331</v>
      </c>
      <c r="S11" t="s">
        <v>332</v>
      </c>
      <c r="T11" t="s">
        <v>333</v>
      </c>
      <c r="U11" t="s">
        <v>334</v>
      </c>
      <c r="V11" t="s">
        <v>328</v>
      </c>
      <c r="W11" s="2" t="s">
        <v>335</v>
      </c>
      <c r="X11" t="s">
        <v>292</v>
      </c>
      <c r="Y11" t="s">
        <v>325</v>
      </c>
      <c r="Z11" t="s">
        <v>336</v>
      </c>
      <c r="AA11" t="s">
        <v>328</v>
      </c>
      <c r="AB11" t="s">
        <v>337</v>
      </c>
      <c r="AC11" t="s">
        <v>300</v>
      </c>
      <c r="AD11" t="s">
        <v>328</v>
      </c>
      <c r="AE11" t="s">
        <v>328</v>
      </c>
      <c r="AF11" t="s">
        <v>338</v>
      </c>
      <c r="AG11" t="s">
        <v>328</v>
      </c>
      <c r="AH11" t="s">
        <v>320</v>
      </c>
      <c r="AI11" t="s">
        <v>308</v>
      </c>
      <c r="AJ11" t="s">
        <v>328</v>
      </c>
      <c r="AK11" t="s">
        <v>339</v>
      </c>
      <c r="AL11" t="s">
        <v>308</v>
      </c>
      <c r="AM11" t="s">
        <v>340</v>
      </c>
      <c r="AN11" t="s">
        <v>341</v>
      </c>
      <c r="AO11" t="s">
        <v>342</v>
      </c>
    </row>
    <row r="12" spans="1:41">
      <c r="A12" t="s">
        <v>343</v>
      </c>
      <c r="B12" t="s">
        <v>344</v>
      </c>
      <c r="C12" t="s">
        <v>345</v>
      </c>
      <c r="D12" t="s">
        <v>346</v>
      </c>
      <c r="E12" t="s">
        <v>347</v>
      </c>
      <c r="F12" t="s">
        <v>348</v>
      </c>
      <c r="G12" t="s">
        <v>349</v>
      </c>
      <c r="H12" s="2" t="s">
        <v>350</v>
      </c>
      <c r="I12" s="2" t="s">
        <v>351</v>
      </c>
      <c r="J12" t="s">
        <v>343</v>
      </c>
      <c r="K12" t="s">
        <v>336</v>
      </c>
      <c r="L12" t="s">
        <v>352</v>
      </c>
      <c r="M12" t="s">
        <v>308</v>
      </c>
      <c r="N12" t="s">
        <v>353</v>
      </c>
      <c r="O12" t="s">
        <v>354</v>
      </c>
      <c r="P12" t="s">
        <v>343</v>
      </c>
      <c r="Q12" t="s">
        <v>355</v>
      </c>
      <c r="R12" t="s">
        <v>356</v>
      </c>
      <c r="S12" t="s">
        <v>357</v>
      </c>
      <c r="T12" t="s">
        <v>358</v>
      </c>
      <c r="U12" t="s">
        <v>359</v>
      </c>
      <c r="V12" t="s">
        <v>338</v>
      </c>
      <c r="W12" s="2" t="s">
        <v>360</v>
      </c>
      <c r="X12" t="s">
        <v>361</v>
      </c>
      <c r="Y12" t="s">
        <v>362</v>
      </c>
      <c r="Z12" t="s">
        <v>363</v>
      </c>
      <c r="AA12" t="s">
        <v>340</v>
      </c>
      <c r="AB12" t="s">
        <v>364</v>
      </c>
      <c r="AC12" t="s">
        <v>336</v>
      </c>
      <c r="AD12" t="s">
        <v>349</v>
      </c>
      <c r="AE12" t="s">
        <v>349</v>
      </c>
      <c r="AF12" t="s">
        <v>365</v>
      </c>
      <c r="AG12" t="s">
        <v>336</v>
      </c>
      <c r="AH12" t="s">
        <v>343</v>
      </c>
      <c r="AI12" t="s">
        <v>343</v>
      </c>
      <c r="AJ12" t="s">
        <v>295</v>
      </c>
      <c r="AK12" t="s">
        <v>366</v>
      </c>
      <c r="AL12" t="s">
        <v>367</v>
      </c>
      <c r="AM12" t="s">
        <v>347</v>
      </c>
      <c r="AN12" t="s">
        <v>362</v>
      </c>
      <c r="AO12" t="s">
        <v>368</v>
      </c>
    </row>
    <row r="13" spans="1:41">
      <c r="A13" t="s">
        <v>292</v>
      </c>
      <c r="B13" t="s">
        <v>347</v>
      </c>
      <c r="C13" t="s">
        <v>369</v>
      </c>
      <c r="D13" t="s">
        <v>370</v>
      </c>
      <c r="E13" t="s">
        <v>306</v>
      </c>
      <c r="F13" t="s">
        <v>371</v>
      </c>
      <c r="G13" t="s">
        <v>338</v>
      </c>
      <c r="H13" s="2" t="s">
        <v>372</v>
      </c>
      <c r="I13" s="2" t="s">
        <v>373</v>
      </c>
      <c r="J13" t="s">
        <v>292</v>
      </c>
      <c r="K13" t="s">
        <v>338</v>
      </c>
      <c r="L13" t="s">
        <v>340</v>
      </c>
      <c r="M13" t="s">
        <v>328</v>
      </c>
      <c r="N13" t="s">
        <v>357</v>
      </c>
      <c r="O13" t="s">
        <v>374</v>
      </c>
      <c r="P13" t="s">
        <v>353</v>
      </c>
      <c r="Q13" t="s">
        <v>375</v>
      </c>
      <c r="R13" t="s">
        <v>376</v>
      </c>
      <c r="S13" t="s">
        <v>328</v>
      </c>
      <c r="T13" t="s">
        <v>377</v>
      </c>
      <c r="U13" t="s">
        <v>340</v>
      </c>
      <c r="V13" t="s">
        <v>312</v>
      </c>
      <c r="W13" s="2" t="s">
        <v>378</v>
      </c>
      <c r="X13" t="s">
        <v>338</v>
      </c>
      <c r="Y13" t="s">
        <v>379</v>
      </c>
      <c r="Z13" t="s">
        <v>340</v>
      </c>
      <c r="AA13" t="s">
        <v>334</v>
      </c>
      <c r="AB13" t="s">
        <v>380</v>
      </c>
      <c r="AC13" t="s">
        <v>338</v>
      </c>
      <c r="AD13" t="s">
        <v>357</v>
      </c>
      <c r="AE13" t="s">
        <v>363</v>
      </c>
      <c r="AF13" t="s">
        <v>363</v>
      </c>
      <c r="AG13" t="s">
        <v>338</v>
      </c>
      <c r="AH13" t="s">
        <v>292</v>
      </c>
      <c r="AI13" t="s">
        <v>338</v>
      </c>
      <c r="AJ13" t="s">
        <v>321</v>
      </c>
      <c r="AK13" t="s">
        <v>381</v>
      </c>
      <c r="AL13" t="s">
        <v>306</v>
      </c>
      <c r="AM13" t="s">
        <v>367</v>
      </c>
      <c r="AN13" t="s">
        <v>325</v>
      </c>
      <c r="AO13" t="s">
        <v>382</v>
      </c>
    </row>
    <row r="14" spans="1:41">
      <c r="A14" t="s">
        <v>383</v>
      </c>
      <c r="B14" t="s">
        <v>384</v>
      </c>
      <c r="C14" t="s">
        <v>385</v>
      </c>
      <c r="D14" t="s">
        <v>386</v>
      </c>
      <c r="E14" t="s">
        <v>387</v>
      </c>
      <c r="F14" t="s">
        <v>388</v>
      </c>
      <c r="G14" t="s">
        <v>389</v>
      </c>
      <c r="H14" s="2" t="s">
        <v>390</v>
      </c>
      <c r="I14" s="2" t="s">
        <v>391</v>
      </c>
      <c r="J14" t="s">
        <v>383</v>
      </c>
      <c r="K14" t="s">
        <v>392</v>
      </c>
      <c r="L14" t="s">
        <v>393</v>
      </c>
      <c r="M14" t="s">
        <v>394</v>
      </c>
      <c r="N14" t="s">
        <v>395</v>
      </c>
      <c r="O14" t="s">
        <v>396</v>
      </c>
      <c r="P14" t="s">
        <v>397</v>
      </c>
      <c r="Q14" t="s">
        <v>398</v>
      </c>
      <c r="R14" t="s">
        <v>399</v>
      </c>
      <c r="S14" t="s">
        <v>400</v>
      </c>
      <c r="T14" t="s">
        <v>401</v>
      </c>
      <c r="U14" t="s">
        <v>402</v>
      </c>
      <c r="V14" t="s">
        <v>403</v>
      </c>
      <c r="W14" s="2" t="s">
        <v>404</v>
      </c>
      <c r="X14" t="s">
        <v>405</v>
      </c>
      <c r="Y14" t="s">
        <v>406</v>
      </c>
      <c r="Z14" t="s">
        <v>407</v>
      </c>
      <c r="AA14" t="s">
        <v>408</v>
      </c>
      <c r="AB14" t="s">
        <v>409</v>
      </c>
      <c r="AC14" t="s">
        <v>410</v>
      </c>
      <c r="AD14" t="s">
        <v>411</v>
      </c>
      <c r="AE14" t="s">
        <v>412</v>
      </c>
      <c r="AF14" t="s">
        <v>413</v>
      </c>
      <c r="AG14" t="s">
        <v>414</v>
      </c>
      <c r="AH14" t="s">
        <v>383</v>
      </c>
      <c r="AI14" t="s">
        <v>389</v>
      </c>
      <c r="AJ14" t="s">
        <v>415</v>
      </c>
      <c r="AK14" t="s">
        <v>416</v>
      </c>
      <c r="AL14" t="s">
        <v>417</v>
      </c>
      <c r="AM14" t="s">
        <v>418</v>
      </c>
      <c r="AN14" t="s">
        <v>419</v>
      </c>
      <c r="AO14" t="s">
        <v>420</v>
      </c>
    </row>
    <row r="15" spans="1:41">
      <c r="A15" t="s">
        <v>421</v>
      </c>
      <c r="B15" t="s">
        <v>422</v>
      </c>
      <c r="C15" t="s">
        <v>423</v>
      </c>
      <c r="D15" t="s">
        <v>424</v>
      </c>
      <c r="E15" t="s">
        <v>425</v>
      </c>
      <c r="F15" t="s">
        <v>426</v>
      </c>
      <c r="G15" t="s">
        <v>427</v>
      </c>
      <c r="H15" s="2" t="s">
        <v>428</v>
      </c>
      <c r="I15" s="2" t="s">
        <v>429</v>
      </c>
      <c r="J15" t="s">
        <v>421</v>
      </c>
      <c r="K15" t="s">
        <v>430</v>
      </c>
      <c r="L15" t="s">
        <v>421</v>
      </c>
      <c r="M15" t="s">
        <v>421</v>
      </c>
      <c r="N15" t="s">
        <v>431</v>
      </c>
      <c r="O15" t="s">
        <v>432</v>
      </c>
      <c r="P15" t="s">
        <v>433</v>
      </c>
      <c r="Q15" t="s">
        <v>434</v>
      </c>
      <c r="R15" t="s">
        <v>435</v>
      </c>
      <c r="S15" t="s">
        <v>421</v>
      </c>
      <c r="T15" t="s">
        <v>436</v>
      </c>
      <c r="U15" t="s">
        <v>437</v>
      </c>
      <c r="V15" t="s">
        <v>438</v>
      </c>
      <c r="W15" s="2" t="s">
        <v>439</v>
      </c>
      <c r="X15" t="s">
        <v>440</v>
      </c>
      <c r="Y15" t="s">
        <v>441</v>
      </c>
      <c r="Z15" t="s">
        <v>338</v>
      </c>
      <c r="AA15" t="s">
        <v>338</v>
      </c>
      <c r="AB15" t="s">
        <v>442</v>
      </c>
      <c r="AC15" t="s">
        <v>443</v>
      </c>
      <c r="AD15" t="s">
        <v>338</v>
      </c>
      <c r="AE15" t="s">
        <v>338</v>
      </c>
      <c r="AF15" t="s">
        <v>444</v>
      </c>
      <c r="AG15" t="s">
        <v>430</v>
      </c>
      <c r="AH15" t="s">
        <v>421</v>
      </c>
      <c r="AI15" t="s">
        <v>431</v>
      </c>
      <c r="AJ15" t="s">
        <v>338</v>
      </c>
      <c r="AK15" t="s">
        <v>445</v>
      </c>
      <c r="AL15" t="s">
        <v>338</v>
      </c>
      <c r="AM15" t="s">
        <v>446</v>
      </c>
      <c r="AN15" t="s">
        <v>311</v>
      </c>
      <c r="AO15" t="s">
        <v>447</v>
      </c>
    </row>
    <row r="18" spans="1:41">
      <c r="A18" t="s">
        <v>448</v>
      </c>
      <c r="B18" t="s">
        <v>449</v>
      </c>
      <c r="C18" t="s">
        <v>450</v>
      </c>
      <c r="D18" t="s">
        <v>451</v>
      </c>
      <c r="E18" t="s">
        <v>367</v>
      </c>
      <c r="F18" t="s">
        <v>452</v>
      </c>
      <c r="G18" t="s">
        <v>453</v>
      </c>
      <c r="H18" s="2" t="s">
        <v>454</v>
      </c>
      <c r="I18" t="s">
        <v>448</v>
      </c>
      <c r="J18" t="s">
        <v>455</v>
      </c>
      <c r="K18" t="s">
        <v>456</v>
      </c>
      <c r="L18" t="s">
        <v>457</v>
      </c>
      <c r="M18" t="s">
        <v>458</v>
      </c>
      <c r="N18" t="s">
        <v>459</v>
      </c>
      <c r="O18" t="s">
        <v>460</v>
      </c>
      <c r="P18" t="s">
        <v>448</v>
      </c>
      <c r="Q18" t="s">
        <v>461</v>
      </c>
      <c r="R18" t="s">
        <v>462</v>
      </c>
      <c r="S18" t="s">
        <v>463</v>
      </c>
      <c r="T18" t="s">
        <v>464</v>
      </c>
      <c r="U18" t="s">
        <v>448</v>
      </c>
      <c r="V18" t="s">
        <v>465</v>
      </c>
      <c r="W18" s="2" t="s">
        <v>466</v>
      </c>
      <c r="X18" t="s">
        <v>467</v>
      </c>
      <c r="Y18" t="s">
        <v>452</v>
      </c>
      <c r="Z18" t="s">
        <v>468</v>
      </c>
      <c r="AA18" t="s">
        <v>457</v>
      </c>
      <c r="AB18" t="s">
        <v>469</v>
      </c>
      <c r="AC18" t="s">
        <v>470</v>
      </c>
      <c r="AD18" t="s">
        <v>465</v>
      </c>
      <c r="AE18" t="s">
        <v>471</v>
      </c>
      <c r="AF18" t="s">
        <v>455</v>
      </c>
      <c r="AG18" t="s">
        <v>456</v>
      </c>
      <c r="AH18" t="s">
        <v>455</v>
      </c>
      <c r="AI18" t="s">
        <v>448</v>
      </c>
      <c r="AJ18" t="s">
        <v>472</v>
      </c>
      <c r="AK18" t="s">
        <v>473</v>
      </c>
      <c r="AL18" t="s">
        <v>474</v>
      </c>
      <c r="AM18" t="s">
        <v>475</v>
      </c>
      <c r="AN18" t="s">
        <v>476</v>
      </c>
      <c r="AO18" t="s">
        <v>477</v>
      </c>
    </row>
    <row r="19" spans="1:41">
      <c r="A19" t="s">
        <v>478</v>
      </c>
      <c r="B19" t="s">
        <v>479</v>
      </c>
      <c r="C19" t="s">
        <v>480</v>
      </c>
      <c r="D19" t="s">
        <v>481</v>
      </c>
      <c r="E19" t="s">
        <v>482</v>
      </c>
      <c r="F19" t="s">
        <v>483</v>
      </c>
      <c r="G19" t="s">
        <v>484</v>
      </c>
      <c r="H19" s="2" t="s">
        <v>485</v>
      </c>
      <c r="I19" t="s">
        <v>478</v>
      </c>
      <c r="J19" t="s">
        <v>486</v>
      </c>
      <c r="K19" t="s">
        <v>487</v>
      </c>
      <c r="L19" t="s">
        <v>488</v>
      </c>
      <c r="M19" t="s">
        <v>489</v>
      </c>
      <c r="N19" t="s">
        <v>490</v>
      </c>
      <c r="O19" t="s">
        <v>491</v>
      </c>
      <c r="P19" t="s">
        <v>478</v>
      </c>
      <c r="Q19" t="s">
        <v>492</v>
      </c>
      <c r="R19" t="s">
        <v>493</v>
      </c>
      <c r="S19" t="s">
        <v>494</v>
      </c>
      <c r="T19" t="s">
        <v>495</v>
      </c>
      <c r="U19" t="s">
        <v>496</v>
      </c>
      <c r="V19" t="s">
        <v>490</v>
      </c>
      <c r="W19" s="2" t="s">
        <v>497</v>
      </c>
      <c r="X19" t="s">
        <v>498</v>
      </c>
      <c r="Y19" t="s">
        <v>483</v>
      </c>
      <c r="Z19" t="s">
        <v>499</v>
      </c>
      <c r="AA19" t="s">
        <v>488</v>
      </c>
      <c r="AB19" t="s">
        <v>500</v>
      </c>
      <c r="AC19" t="s">
        <v>501</v>
      </c>
      <c r="AD19" t="s">
        <v>502</v>
      </c>
      <c r="AE19" t="s">
        <v>490</v>
      </c>
      <c r="AF19" t="s">
        <v>486</v>
      </c>
      <c r="AG19" t="s">
        <v>487</v>
      </c>
      <c r="AH19" t="s">
        <v>486</v>
      </c>
      <c r="AI19" t="s">
        <v>478</v>
      </c>
      <c r="AJ19" t="s">
        <v>503</v>
      </c>
      <c r="AK19" t="s">
        <v>504</v>
      </c>
      <c r="AL19" t="s">
        <v>505</v>
      </c>
      <c r="AM19" t="s">
        <v>506</v>
      </c>
      <c r="AN19" t="s">
        <v>507</v>
      </c>
      <c r="AO19" t="s">
        <v>508</v>
      </c>
    </row>
    <row r="20" spans="1:41">
      <c r="A20" t="s">
        <v>509</v>
      </c>
      <c r="B20" t="s">
        <v>510</v>
      </c>
      <c r="C20" t="s">
        <v>511</v>
      </c>
      <c r="D20" t="s">
        <v>512</v>
      </c>
      <c r="E20" t="s">
        <v>513</v>
      </c>
      <c r="F20" t="s">
        <v>514</v>
      </c>
      <c r="G20" t="s">
        <v>459</v>
      </c>
      <c r="H20" s="2" t="s">
        <v>515</v>
      </c>
      <c r="I20" t="s">
        <v>509</v>
      </c>
      <c r="J20" t="s">
        <v>516</v>
      </c>
      <c r="K20" t="s">
        <v>517</v>
      </c>
      <c r="L20" t="s">
        <v>518</v>
      </c>
      <c r="M20" t="s">
        <v>519</v>
      </c>
      <c r="N20" t="s">
        <v>510</v>
      </c>
      <c r="O20" t="s">
        <v>520</v>
      </c>
      <c r="P20" t="s">
        <v>509</v>
      </c>
      <c r="Q20" t="s">
        <v>521</v>
      </c>
      <c r="R20" t="s">
        <v>522</v>
      </c>
      <c r="S20" t="s">
        <v>523</v>
      </c>
      <c r="T20" t="s">
        <v>524</v>
      </c>
      <c r="U20" t="s">
        <v>525</v>
      </c>
      <c r="V20" t="s">
        <v>510</v>
      </c>
      <c r="W20" s="2" t="s">
        <v>526</v>
      </c>
      <c r="X20" t="s">
        <v>527</v>
      </c>
      <c r="Y20" t="s">
        <v>528</v>
      </c>
      <c r="Z20" t="s">
        <v>529</v>
      </c>
      <c r="AA20" t="s">
        <v>530</v>
      </c>
      <c r="AB20" t="s">
        <v>531</v>
      </c>
      <c r="AC20" t="s">
        <v>532</v>
      </c>
      <c r="AD20" t="s">
        <v>533</v>
      </c>
      <c r="AE20" t="s">
        <v>510</v>
      </c>
      <c r="AF20" t="s">
        <v>516</v>
      </c>
      <c r="AG20" t="s">
        <v>534</v>
      </c>
      <c r="AH20" t="s">
        <v>535</v>
      </c>
      <c r="AI20" t="s">
        <v>509</v>
      </c>
      <c r="AJ20" t="s">
        <v>536</v>
      </c>
      <c r="AK20" t="s">
        <v>537</v>
      </c>
      <c r="AL20" t="s">
        <v>538</v>
      </c>
      <c r="AM20" t="s">
        <v>539</v>
      </c>
      <c r="AN20" t="s">
        <v>514</v>
      </c>
      <c r="AO20" t="s">
        <v>540</v>
      </c>
    </row>
    <row r="21" spans="1:41">
      <c r="A21" t="s">
        <v>541</v>
      </c>
      <c r="B21" t="s">
        <v>542</v>
      </c>
      <c r="C21" t="s">
        <v>543</v>
      </c>
      <c r="D21" t="s">
        <v>544</v>
      </c>
      <c r="E21" t="s">
        <v>545</v>
      </c>
      <c r="F21" t="s">
        <v>546</v>
      </c>
      <c r="G21" t="s">
        <v>547</v>
      </c>
      <c r="H21" s="2" t="s">
        <v>548</v>
      </c>
      <c r="I21" t="s">
        <v>541</v>
      </c>
      <c r="J21" t="s">
        <v>549</v>
      </c>
      <c r="K21" t="s">
        <v>550</v>
      </c>
      <c r="L21" t="s">
        <v>551</v>
      </c>
      <c r="M21" t="s">
        <v>552</v>
      </c>
      <c r="N21" t="s">
        <v>553</v>
      </c>
      <c r="O21" t="s">
        <v>554</v>
      </c>
      <c r="P21" t="s">
        <v>541</v>
      </c>
      <c r="Q21" t="s">
        <v>555</v>
      </c>
      <c r="R21" t="s">
        <v>556</v>
      </c>
      <c r="S21" t="s">
        <v>557</v>
      </c>
      <c r="T21" t="s">
        <v>558</v>
      </c>
      <c r="U21" t="s">
        <v>559</v>
      </c>
      <c r="V21" t="s">
        <v>553</v>
      </c>
      <c r="W21" s="2" t="s">
        <v>560</v>
      </c>
      <c r="X21" t="s">
        <v>561</v>
      </c>
      <c r="Y21" t="s">
        <v>562</v>
      </c>
      <c r="Z21" t="s">
        <v>563</v>
      </c>
      <c r="AA21" t="s">
        <v>551</v>
      </c>
      <c r="AB21" t="s">
        <v>564</v>
      </c>
      <c r="AC21" t="s">
        <v>565</v>
      </c>
      <c r="AD21" t="s">
        <v>566</v>
      </c>
      <c r="AE21" t="s">
        <v>567</v>
      </c>
      <c r="AF21" t="s">
        <v>568</v>
      </c>
      <c r="AG21" t="s">
        <v>550</v>
      </c>
      <c r="AH21" t="s">
        <v>568</v>
      </c>
      <c r="AI21" t="s">
        <v>541</v>
      </c>
      <c r="AJ21" t="s">
        <v>551</v>
      </c>
      <c r="AK21" t="s">
        <v>569</v>
      </c>
      <c r="AL21" t="s">
        <v>570</v>
      </c>
      <c r="AM21" t="s">
        <v>571</v>
      </c>
      <c r="AN21" t="s">
        <v>572</v>
      </c>
      <c r="AO21" t="s">
        <v>573</v>
      </c>
    </row>
    <row r="22" spans="1:41">
      <c r="A22" t="s">
        <v>574</v>
      </c>
      <c r="B22" t="s">
        <v>575</v>
      </c>
      <c r="C22" t="s">
        <v>576</v>
      </c>
      <c r="D22" t="s">
        <v>577</v>
      </c>
      <c r="E22" t="s">
        <v>578</v>
      </c>
      <c r="F22" t="s">
        <v>579</v>
      </c>
      <c r="G22" t="s">
        <v>580</v>
      </c>
      <c r="H22" s="2" t="s">
        <v>581</v>
      </c>
      <c r="I22" t="s">
        <v>574</v>
      </c>
      <c r="J22" t="s">
        <v>582</v>
      </c>
      <c r="K22" t="s">
        <v>583</v>
      </c>
      <c r="L22" t="s">
        <v>535</v>
      </c>
      <c r="M22" t="s">
        <v>584</v>
      </c>
      <c r="N22" t="s">
        <v>585</v>
      </c>
      <c r="O22" t="s">
        <v>586</v>
      </c>
      <c r="P22" t="s">
        <v>574</v>
      </c>
      <c r="Q22" t="s">
        <v>587</v>
      </c>
      <c r="R22" t="s">
        <v>588</v>
      </c>
      <c r="S22" t="s">
        <v>589</v>
      </c>
      <c r="T22" t="s">
        <v>590</v>
      </c>
      <c r="U22" t="s">
        <v>591</v>
      </c>
      <c r="V22" t="s">
        <v>592</v>
      </c>
      <c r="W22" s="2" t="s">
        <v>593</v>
      </c>
      <c r="X22" t="s">
        <v>594</v>
      </c>
      <c r="Y22" t="s">
        <v>595</v>
      </c>
      <c r="Z22" t="s">
        <v>596</v>
      </c>
      <c r="AA22" t="s">
        <v>597</v>
      </c>
      <c r="AB22" t="s">
        <v>598</v>
      </c>
      <c r="AC22" t="s">
        <v>599</v>
      </c>
      <c r="AD22" t="s">
        <v>600</v>
      </c>
      <c r="AE22" t="s">
        <v>601</v>
      </c>
      <c r="AF22" t="s">
        <v>582</v>
      </c>
      <c r="AG22" t="s">
        <v>602</v>
      </c>
      <c r="AH22" t="s">
        <v>582</v>
      </c>
      <c r="AI22" t="s">
        <v>574</v>
      </c>
      <c r="AJ22" t="s">
        <v>535</v>
      </c>
      <c r="AK22" t="s">
        <v>603</v>
      </c>
      <c r="AL22" t="s">
        <v>604</v>
      </c>
      <c r="AM22" t="s">
        <v>605</v>
      </c>
      <c r="AN22" t="s">
        <v>606</v>
      </c>
      <c r="AO22" t="s">
        <v>607</v>
      </c>
    </row>
    <row r="23" spans="1:41">
      <c r="A23" t="s">
        <v>608</v>
      </c>
      <c r="B23" t="s">
        <v>609</v>
      </c>
      <c r="C23" t="s">
        <v>610</v>
      </c>
      <c r="D23" t="s">
        <v>611</v>
      </c>
      <c r="E23" t="s">
        <v>612</v>
      </c>
      <c r="F23" t="s">
        <v>613</v>
      </c>
      <c r="G23" t="s">
        <v>614</v>
      </c>
      <c r="H23" s="2" t="s">
        <v>615</v>
      </c>
      <c r="I23" t="s">
        <v>608</v>
      </c>
      <c r="J23" t="s">
        <v>616</v>
      </c>
      <c r="K23" t="s">
        <v>617</v>
      </c>
      <c r="L23" t="s">
        <v>618</v>
      </c>
      <c r="M23" t="s">
        <v>619</v>
      </c>
      <c r="N23" t="s">
        <v>620</v>
      </c>
      <c r="O23" t="s">
        <v>621</v>
      </c>
      <c r="P23" t="s">
        <v>608</v>
      </c>
      <c r="Q23" t="s">
        <v>622</v>
      </c>
      <c r="R23" t="s">
        <v>623</v>
      </c>
      <c r="S23" t="s">
        <v>624</v>
      </c>
      <c r="T23" t="s">
        <v>625</v>
      </c>
      <c r="U23" t="s">
        <v>626</v>
      </c>
      <c r="V23" t="s">
        <v>620</v>
      </c>
      <c r="W23" s="2" t="s">
        <v>627</v>
      </c>
      <c r="X23" t="s">
        <v>628</v>
      </c>
      <c r="Y23" t="s">
        <v>613</v>
      </c>
      <c r="Z23" t="s">
        <v>629</v>
      </c>
      <c r="AA23" t="s">
        <v>618</v>
      </c>
      <c r="AB23" t="s">
        <v>630</v>
      </c>
      <c r="AC23" t="s">
        <v>631</v>
      </c>
      <c r="AD23" t="s">
        <v>632</v>
      </c>
      <c r="AE23" t="s">
        <v>633</v>
      </c>
      <c r="AF23" t="s">
        <v>616</v>
      </c>
      <c r="AG23" t="s">
        <v>634</v>
      </c>
      <c r="AH23" t="s">
        <v>616</v>
      </c>
      <c r="AI23" t="s">
        <v>608</v>
      </c>
      <c r="AJ23" t="s">
        <v>618</v>
      </c>
      <c r="AK23" t="s">
        <v>635</v>
      </c>
      <c r="AL23" t="s">
        <v>636</v>
      </c>
      <c r="AM23" t="s">
        <v>637</v>
      </c>
      <c r="AN23" t="s">
        <v>638</v>
      </c>
      <c r="AO23" t="s">
        <v>639</v>
      </c>
    </row>
    <row r="24" spans="1:41">
      <c r="A24" t="s">
        <v>640</v>
      </c>
      <c r="B24" t="s">
        <v>641</v>
      </c>
      <c r="C24" t="s">
        <v>642</v>
      </c>
      <c r="D24" t="s">
        <v>643</v>
      </c>
      <c r="E24" t="s">
        <v>644</v>
      </c>
      <c r="F24" t="s">
        <v>645</v>
      </c>
      <c r="G24" t="s">
        <v>646</v>
      </c>
      <c r="H24" s="2" t="s">
        <v>647</v>
      </c>
      <c r="I24" t="s">
        <v>640</v>
      </c>
      <c r="J24" t="s">
        <v>648</v>
      </c>
      <c r="K24" t="s">
        <v>649</v>
      </c>
      <c r="L24" t="s">
        <v>650</v>
      </c>
      <c r="M24" t="s">
        <v>651</v>
      </c>
      <c r="N24" t="s">
        <v>652</v>
      </c>
      <c r="O24" t="s">
        <v>653</v>
      </c>
      <c r="P24" t="s">
        <v>640</v>
      </c>
      <c r="Q24" t="s">
        <v>654</v>
      </c>
      <c r="R24" t="s">
        <v>655</v>
      </c>
      <c r="S24" t="s">
        <v>656</v>
      </c>
      <c r="T24" t="s">
        <v>657</v>
      </c>
      <c r="U24" t="s">
        <v>658</v>
      </c>
      <c r="V24" t="s">
        <v>657</v>
      </c>
      <c r="W24" s="2" t="s">
        <v>659</v>
      </c>
      <c r="X24" t="s">
        <v>660</v>
      </c>
      <c r="Y24" t="s">
        <v>661</v>
      </c>
      <c r="Z24" t="s">
        <v>662</v>
      </c>
      <c r="AA24" t="s">
        <v>650</v>
      </c>
      <c r="AB24" t="s">
        <v>663</v>
      </c>
      <c r="AC24" t="s">
        <v>649</v>
      </c>
      <c r="AD24" t="s">
        <v>657</v>
      </c>
      <c r="AE24" t="s">
        <v>652</v>
      </c>
      <c r="AF24" t="s">
        <v>648</v>
      </c>
      <c r="AG24" t="s">
        <v>649</v>
      </c>
      <c r="AH24" t="s">
        <v>664</v>
      </c>
      <c r="AI24" t="s">
        <v>640</v>
      </c>
      <c r="AJ24" t="s">
        <v>665</v>
      </c>
      <c r="AK24" t="s">
        <v>666</v>
      </c>
      <c r="AL24" t="s">
        <v>667</v>
      </c>
      <c r="AM24" t="s">
        <v>668</v>
      </c>
      <c r="AN24" t="s">
        <v>669</v>
      </c>
      <c r="AO24" t="s">
        <v>670</v>
      </c>
    </row>
    <row r="25" spans="1:41">
      <c r="A25" t="s">
        <v>671</v>
      </c>
      <c r="B25" t="s">
        <v>671</v>
      </c>
      <c r="C25" t="s">
        <v>672</v>
      </c>
      <c r="D25" t="s">
        <v>673</v>
      </c>
      <c r="E25" t="s">
        <v>674</v>
      </c>
      <c r="F25" t="s">
        <v>675</v>
      </c>
      <c r="G25" t="s">
        <v>676</v>
      </c>
      <c r="H25" s="2" t="s">
        <v>677</v>
      </c>
      <c r="I25" t="s">
        <v>671</v>
      </c>
      <c r="J25" t="s">
        <v>678</v>
      </c>
      <c r="K25" t="s">
        <v>671</v>
      </c>
      <c r="L25" t="s">
        <v>671</v>
      </c>
      <c r="M25" t="s">
        <v>671</v>
      </c>
      <c r="N25" t="s">
        <v>679</v>
      </c>
      <c r="O25" t="s">
        <v>680</v>
      </c>
      <c r="P25" t="s">
        <v>671</v>
      </c>
      <c r="Q25" t="s">
        <v>681</v>
      </c>
      <c r="R25" t="s">
        <v>682</v>
      </c>
      <c r="S25" t="s">
        <v>671</v>
      </c>
      <c r="T25" t="s">
        <v>671</v>
      </c>
      <c r="U25" t="s">
        <v>671</v>
      </c>
      <c r="V25" t="s">
        <v>676</v>
      </c>
      <c r="W25" t="s">
        <v>683</v>
      </c>
      <c r="X25" t="s">
        <v>684</v>
      </c>
      <c r="Y25" t="s">
        <v>685</v>
      </c>
      <c r="Z25" t="s">
        <v>671</v>
      </c>
      <c r="AA25" t="s">
        <v>671</v>
      </c>
      <c r="AB25" t="s">
        <v>686</v>
      </c>
      <c r="AC25" t="s">
        <v>687</v>
      </c>
      <c r="AD25" t="s">
        <v>671</v>
      </c>
      <c r="AE25" t="s">
        <v>688</v>
      </c>
      <c r="AF25" t="s">
        <v>671</v>
      </c>
      <c r="AG25" t="s">
        <v>671</v>
      </c>
      <c r="AH25" t="s">
        <v>671</v>
      </c>
      <c r="AI25" t="s">
        <v>689</v>
      </c>
      <c r="AJ25" t="s">
        <v>690</v>
      </c>
      <c r="AK25" t="s">
        <v>691</v>
      </c>
      <c r="AL25" t="s">
        <v>692</v>
      </c>
      <c r="AM25" t="s">
        <v>693</v>
      </c>
      <c r="AN25" t="s">
        <v>694</v>
      </c>
      <c r="AO25" t="s">
        <v>695</v>
      </c>
    </row>
    <row r="26" spans="1:41">
      <c r="A26" t="s">
        <v>696</v>
      </c>
      <c r="B26" t="s">
        <v>697</v>
      </c>
      <c r="C26" t="s">
        <v>698</v>
      </c>
      <c r="D26" t="s">
        <v>699</v>
      </c>
      <c r="E26" t="s">
        <v>700</v>
      </c>
      <c r="F26" t="s">
        <v>701</v>
      </c>
      <c r="G26" t="s">
        <v>696</v>
      </c>
      <c r="H26" s="2" t="s">
        <v>702</v>
      </c>
      <c r="I26" t="s">
        <v>696</v>
      </c>
      <c r="J26" t="s">
        <v>703</v>
      </c>
      <c r="K26" t="s">
        <v>696</v>
      </c>
      <c r="L26" t="s">
        <v>696</v>
      </c>
      <c r="M26" t="s">
        <v>696</v>
      </c>
      <c r="N26" t="s">
        <v>704</v>
      </c>
      <c r="O26" t="s">
        <v>705</v>
      </c>
      <c r="P26" t="s">
        <v>696</v>
      </c>
      <c r="Q26" t="s">
        <v>706</v>
      </c>
      <c r="R26" t="s">
        <v>707</v>
      </c>
      <c r="S26" t="s">
        <v>696</v>
      </c>
      <c r="T26" t="s">
        <v>708</v>
      </c>
      <c r="U26" t="s">
        <v>696</v>
      </c>
      <c r="V26" t="s">
        <v>696</v>
      </c>
      <c r="W26" t="s">
        <v>709</v>
      </c>
      <c r="X26" t="s">
        <v>463</v>
      </c>
      <c r="Y26" t="s">
        <v>710</v>
      </c>
      <c r="Z26" t="s">
        <v>711</v>
      </c>
      <c r="AA26" t="s">
        <v>696</v>
      </c>
      <c r="AB26" t="s">
        <v>712</v>
      </c>
      <c r="AC26" t="s">
        <v>713</v>
      </c>
      <c r="AD26" t="s">
        <v>700</v>
      </c>
      <c r="AE26" t="s">
        <v>696</v>
      </c>
      <c r="AF26" t="s">
        <v>696</v>
      </c>
      <c r="AG26" t="s">
        <v>696</v>
      </c>
      <c r="AH26" t="s">
        <v>696</v>
      </c>
      <c r="AI26" t="s">
        <v>696</v>
      </c>
      <c r="AJ26" t="s">
        <v>696</v>
      </c>
      <c r="AK26" t="s">
        <v>714</v>
      </c>
      <c r="AL26" t="s">
        <v>715</v>
      </c>
      <c r="AM26" t="s">
        <v>716</v>
      </c>
      <c r="AN26" t="s">
        <v>717</v>
      </c>
      <c r="AO26" t="s">
        <v>718</v>
      </c>
    </row>
    <row r="27" spans="1:41">
      <c r="A27" t="s">
        <v>510</v>
      </c>
      <c r="B27" t="s">
        <v>510</v>
      </c>
      <c r="C27" t="s">
        <v>719</v>
      </c>
      <c r="D27" t="s">
        <v>720</v>
      </c>
      <c r="E27" t="s">
        <v>510</v>
      </c>
      <c r="F27" t="s">
        <v>721</v>
      </c>
      <c r="G27" t="s">
        <v>510</v>
      </c>
      <c r="H27" s="2" t="s">
        <v>722</v>
      </c>
      <c r="I27" t="s">
        <v>510</v>
      </c>
      <c r="J27" t="s">
        <v>723</v>
      </c>
      <c r="K27" t="s">
        <v>510</v>
      </c>
      <c r="L27" t="s">
        <v>510</v>
      </c>
      <c r="M27" t="s">
        <v>724</v>
      </c>
      <c r="N27" t="s">
        <v>725</v>
      </c>
      <c r="O27" t="s">
        <v>726</v>
      </c>
      <c r="P27" t="s">
        <v>727</v>
      </c>
      <c r="Q27" t="s">
        <v>728</v>
      </c>
      <c r="R27" t="s">
        <v>729</v>
      </c>
      <c r="S27" t="s">
        <v>730</v>
      </c>
      <c r="T27" t="s">
        <v>510</v>
      </c>
      <c r="U27" t="s">
        <v>510</v>
      </c>
      <c r="V27" t="s">
        <v>510</v>
      </c>
      <c r="W27" t="s">
        <v>731</v>
      </c>
      <c r="X27" t="s">
        <v>732</v>
      </c>
      <c r="Y27" t="s">
        <v>733</v>
      </c>
      <c r="Z27" t="s">
        <v>510</v>
      </c>
      <c r="AA27" t="s">
        <v>510</v>
      </c>
      <c r="AB27" t="s">
        <v>734</v>
      </c>
      <c r="AC27" t="s">
        <v>510</v>
      </c>
      <c r="AD27" t="s">
        <v>510</v>
      </c>
      <c r="AE27" t="s">
        <v>510</v>
      </c>
      <c r="AF27" t="s">
        <v>510</v>
      </c>
      <c r="AG27" t="s">
        <v>510</v>
      </c>
      <c r="AH27" t="s">
        <v>510</v>
      </c>
      <c r="AI27" t="s">
        <v>510</v>
      </c>
      <c r="AJ27" t="s">
        <v>735</v>
      </c>
      <c r="AK27" t="s">
        <v>736</v>
      </c>
      <c r="AL27" t="s">
        <v>510</v>
      </c>
      <c r="AM27" t="s">
        <v>737</v>
      </c>
      <c r="AN27" t="s">
        <v>738</v>
      </c>
      <c r="AO27" t="s">
        <v>739</v>
      </c>
    </row>
    <row r="28" spans="1:41">
      <c r="A28" t="s">
        <v>740</v>
      </c>
      <c r="B28" t="s">
        <v>741</v>
      </c>
      <c r="C28" t="s">
        <v>742</v>
      </c>
      <c r="D28" t="s">
        <v>743</v>
      </c>
      <c r="E28" t="s">
        <v>740</v>
      </c>
      <c r="F28" t="s">
        <v>744</v>
      </c>
      <c r="G28" t="s">
        <v>745</v>
      </c>
      <c r="H28" s="2" t="s">
        <v>746</v>
      </c>
      <c r="I28" t="s">
        <v>740</v>
      </c>
      <c r="J28" t="s">
        <v>747</v>
      </c>
      <c r="K28" t="s">
        <v>740</v>
      </c>
      <c r="L28" t="s">
        <v>740</v>
      </c>
      <c r="M28" t="s">
        <v>740</v>
      </c>
      <c r="N28" t="s">
        <v>748</v>
      </c>
      <c r="O28" t="s">
        <v>749</v>
      </c>
      <c r="P28" t="s">
        <v>740</v>
      </c>
      <c r="Q28" t="s">
        <v>750</v>
      </c>
      <c r="R28" t="s">
        <v>751</v>
      </c>
      <c r="S28" t="s">
        <v>752</v>
      </c>
      <c r="T28" t="s">
        <v>740</v>
      </c>
      <c r="U28" t="s">
        <v>740</v>
      </c>
      <c r="V28" t="s">
        <v>740</v>
      </c>
      <c r="W28" t="s">
        <v>753</v>
      </c>
      <c r="X28" t="s">
        <v>754</v>
      </c>
      <c r="Y28" t="s">
        <v>755</v>
      </c>
      <c r="Z28" t="s">
        <v>740</v>
      </c>
      <c r="AA28" t="s">
        <v>740</v>
      </c>
      <c r="AB28" t="s">
        <v>756</v>
      </c>
      <c r="AC28" t="s">
        <v>757</v>
      </c>
      <c r="AD28" t="s">
        <v>745</v>
      </c>
      <c r="AE28" t="s">
        <v>740</v>
      </c>
      <c r="AF28" t="s">
        <v>740</v>
      </c>
      <c r="AG28" t="s">
        <v>740</v>
      </c>
      <c r="AH28" t="s">
        <v>740</v>
      </c>
      <c r="AI28" t="s">
        <v>745</v>
      </c>
      <c r="AJ28" t="s">
        <v>758</v>
      </c>
      <c r="AK28" t="s">
        <v>759</v>
      </c>
      <c r="AL28" t="s">
        <v>760</v>
      </c>
      <c r="AM28" t="s">
        <v>761</v>
      </c>
      <c r="AN28" t="s">
        <v>762</v>
      </c>
      <c r="AO28" t="s">
        <v>763</v>
      </c>
    </row>
    <row r="29" spans="1:41">
      <c r="A29" t="s">
        <v>764</v>
      </c>
      <c r="B29" t="s">
        <v>765</v>
      </c>
      <c r="C29" t="s">
        <v>766</v>
      </c>
      <c r="D29" t="s">
        <v>767</v>
      </c>
      <c r="E29" t="s">
        <v>764</v>
      </c>
      <c r="F29" t="s">
        <v>768</v>
      </c>
      <c r="G29" t="s">
        <v>769</v>
      </c>
      <c r="H29" s="2" t="s">
        <v>770</v>
      </c>
      <c r="I29" t="s">
        <v>764</v>
      </c>
      <c r="J29" t="s">
        <v>771</v>
      </c>
      <c r="K29" t="s">
        <v>764</v>
      </c>
      <c r="L29" t="s">
        <v>765</v>
      </c>
      <c r="M29" t="s">
        <v>772</v>
      </c>
      <c r="N29" t="s">
        <v>769</v>
      </c>
      <c r="O29" t="s">
        <v>773</v>
      </c>
      <c r="P29" t="s">
        <v>769</v>
      </c>
      <c r="Q29" t="s">
        <v>774</v>
      </c>
      <c r="R29" t="s">
        <v>775</v>
      </c>
      <c r="S29" t="s">
        <v>776</v>
      </c>
      <c r="T29" t="s">
        <v>772</v>
      </c>
      <c r="U29" t="s">
        <v>777</v>
      </c>
      <c r="V29" t="s">
        <v>778</v>
      </c>
      <c r="W29" t="s">
        <v>779</v>
      </c>
      <c r="X29" t="s">
        <v>780</v>
      </c>
      <c r="Y29" t="s">
        <v>781</v>
      </c>
      <c r="Z29" t="s">
        <v>782</v>
      </c>
      <c r="AA29" t="s">
        <v>769</v>
      </c>
      <c r="AB29" t="s">
        <v>783</v>
      </c>
      <c r="AC29" t="s">
        <v>765</v>
      </c>
      <c r="AD29" t="s">
        <v>769</v>
      </c>
      <c r="AE29" t="s">
        <v>769</v>
      </c>
      <c r="AF29" t="s">
        <v>765</v>
      </c>
      <c r="AG29" t="s">
        <v>776</v>
      </c>
      <c r="AH29" t="s">
        <v>765</v>
      </c>
      <c r="AI29" t="s">
        <v>764</v>
      </c>
      <c r="AJ29" t="s">
        <v>784</v>
      </c>
      <c r="AK29" t="s">
        <v>785</v>
      </c>
      <c r="AL29" t="s">
        <v>764</v>
      </c>
      <c r="AM29" t="s">
        <v>786</v>
      </c>
      <c r="AN29" t="s">
        <v>787</v>
      </c>
      <c r="AO29" t="s">
        <v>788</v>
      </c>
    </row>
    <row r="30" spans="1:41">
      <c r="A30" t="s">
        <v>789</v>
      </c>
      <c r="B30" t="s">
        <v>790</v>
      </c>
      <c r="C30" t="s">
        <v>791</v>
      </c>
      <c r="D30" t="s">
        <v>792</v>
      </c>
      <c r="E30" t="s">
        <v>793</v>
      </c>
      <c r="F30" t="s">
        <v>794</v>
      </c>
      <c r="G30" t="s">
        <v>789</v>
      </c>
      <c r="H30" s="2" t="s">
        <v>795</v>
      </c>
      <c r="I30" t="s">
        <v>789</v>
      </c>
      <c r="J30" t="s">
        <v>796</v>
      </c>
      <c r="K30" t="s">
        <v>797</v>
      </c>
      <c r="L30" t="s">
        <v>789</v>
      </c>
      <c r="M30" t="s">
        <v>789</v>
      </c>
      <c r="N30" t="s">
        <v>798</v>
      </c>
      <c r="O30" t="s">
        <v>799</v>
      </c>
      <c r="P30" t="s">
        <v>789</v>
      </c>
      <c r="Q30" t="s">
        <v>800</v>
      </c>
      <c r="R30" t="s">
        <v>801</v>
      </c>
      <c r="S30" t="s">
        <v>802</v>
      </c>
      <c r="T30" t="s">
        <v>789</v>
      </c>
      <c r="U30" t="s">
        <v>802</v>
      </c>
      <c r="V30" t="s">
        <v>803</v>
      </c>
      <c r="W30" t="s">
        <v>804</v>
      </c>
      <c r="X30" t="s">
        <v>805</v>
      </c>
      <c r="Y30" t="s">
        <v>806</v>
      </c>
      <c r="Z30" t="s">
        <v>807</v>
      </c>
      <c r="AA30" t="s">
        <v>789</v>
      </c>
      <c r="AB30" t="s">
        <v>808</v>
      </c>
      <c r="AC30" t="s">
        <v>809</v>
      </c>
      <c r="AD30" t="s">
        <v>789</v>
      </c>
      <c r="AE30" t="s">
        <v>810</v>
      </c>
      <c r="AF30" t="s">
        <v>789</v>
      </c>
      <c r="AG30" t="s">
        <v>802</v>
      </c>
      <c r="AH30" t="s">
        <v>789</v>
      </c>
      <c r="AI30" t="s">
        <v>789</v>
      </c>
      <c r="AJ30" t="s">
        <v>811</v>
      </c>
      <c r="AK30" t="s">
        <v>812</v>
      </c>
      <c r="AL30" t="s">
        <v>813</v>
      </c>
      <c r="AM30" t="s">
        <v>814</v>
      </c>
      <c r="AN30" t="s">
        <v>815</v>
      </c>
      <c r="AO30" t="s">
        <v>816</v>
      </c>
    </row>
    <row r="31" spans="1:41">
      <c r="A31" t="s">
        <v>817</v>
      </c>
      <c r="B31" t="s">
        <v>818</v>
      </c>
      <c r="C31" t="s">
        <v>819</v>
      </c>
      <c r="D31" t="s">
        <v>820</v>
      </c>
      <c r="E31" t="s">
        <v>821</v>
      </c>
      <c r="F31" t="s">
        <v>822</v>
      </c>
      <c r="G31" t="s">
        <v>817</v>
      </c>
      <c r="H31" s="2" t="s">
        <v>823</v>
      </c>
      <c r="I31" t="s">
        <v>817</v>
      </c>
      <c r="J31" t="s">
        <v>824</v>
      </c>
      <c r="K31" t="s">
        <v>825</v>
      </c>
      <c r="L31" t="s">
        <v>817</v>
      </c>
      <c r="M31" t="s">
        <v>817</v>
      </c>
      <c r="N31" t="s">
        <v>826</v>
      </c>
      <c r="O31" t="s">
        <v>827</v>
      </c>
      <c r="P31" t="s">
        <v>817</v>
      </c>
      <c r="Q31" t="s">
        <v>828</v>
      </c>
      <c r="R31" t="s">
        <v>829</v>
      </c>
      <c r="S31" t="s">
        <v>830</v>
      </c>
      <c r="T31" t="s">
        <v>817</v>
      </c>
      <c r="U31" t="s">
        <v>830</v>
      </c>
      <c r="V31" t="s">
        <v>831</v>
      </c>
      <c r="W31" t="s">
        <v>832</v>
      </c>
      <c r="X31" t="s">
        <v>833</v>
      </c>
      <c r="Y31" t="s">
        <v>834</v>
      </c>
      <c r="Z31" t="s">
        <v>835</v>
      </c>
      <c r="AA31" t="s">
        <v>817</v>
      </c>
      <c r="AB31" t="s">
        <v>836</v>
      </c>
      <c r="AC31" t="s">
        <v>796</v>
      </c>
      <c r="AD31" t="s">
        <v>817</v>
      </c>
      <c r="AE31" t="s">
        <v>837</v>
      </c>
      <c r="AF31" t="s">
        <v>817</v>
      </c>
      <c r="AG31" t="s">
        <v>830</v>
      </c>
      <c r="AH31" t="s">
        <v>817</v>
      </c>
      <c r="AI31" t="s">
        <v>817</v>
      </c>
      <c r="AJ31" t="s">
        <v>838</v>
      </c>
      <c r="AK31" t="s">
        <v>839</v>
      </c>
      <c r="AL31" t="s">
        <v>840</v>
      </c>
      <c r="AM31" t="s">
        <v>841</v>
      </c>
      <c r="AN31" t="s">
        <v>842</v>
      </c>
      <c r="AO31" t="s">
        <v>843</v>
      </c>
    </row>
    <row r="32" spans="1:41">
      <c r="A32" t="s">
        <v>844</v>
      </c>
      <c r="B32" t="s">
        <v>845</v>
      </c>
      <c r="C32" t="s">
        <v>846</v>
      </c>
      <c r="D32" t="s">
        <v>847</v>
      </c>
      <c r="E32" t="s">
        <v>848</v>
      </c>
      <c r="F32" t="s">
        <v>849</v>
      </c>
      <c r="G32" t="s">
        <v>850</v>
      </c>
      <c r="H32" s="2" t="s">
        <v>851</v>
      </c>
      <c r="I32" t="s">
        <v>844</v>
      </c>
      <c r="J32" t="s">
        <v>852</v>
      </c>
      <c r="K32" t="s">
        <v>844</v>
      </c>
      <c r="L32" t="s">
        <v>844</v>
      </c>
      <c r="M32" t="s">
        <v>844</v>
      </c>
      <c r="N32" t="s">
        <v>853</v>
      </c>
      <c r="O32" t="s">
        <v>854</v>
      </c>
      <c r="P32" t="s">
        <v>844</v>
      </c>
      <c r="Q32" t="s">
        <v>855</v>
      </c>
      <c r="R32" t="s">
        <v>856</v>
      </c>
      <c r="S32" t="s">
        <v>844</v>
      </c>
      <c r="T32" t="s">
        <v>857</v>
      </c>
      <c r="U32" t="s">
        <v>858</v>
      </c>
      <c r="V32" t="s">
        <v>850</v>
      </c>
      <c r="W32" t="s">
        <v>859</v>
      </c>
      <c r="X32" t="s">
        <v>860</v>
      </c>
      <c r="Y32" t="s">
        <v>861</v>
      </c>
      <c r="Z32" t="s">
        <v>862</v>
      </c>
      <c r="AA32" t="s">
        <v>844</v>
      </c>
      <c r="AB32" t="s">
        <v>863</v>
      </c>
      <c r="AC32" t="s">
        <v>864</v>
      </c>
      <c r="AD32" t="s">
        <v>850</v>
      </c>
      <c r="AE32" t="s">
        <v>844</v>
      </c>
      <c r="AF32" t="s">
        <v>865</v>
      </c>
      <c r="AG32" t="s">
        <v>844</v>
      </c>
      <c r="AH32" t="s">
        <v>865</v>
      </c>
      <c r="AI32" t="s">
        <v>850</v>
      </c>
      <c r="AJ32" t="s">
        <v>844</v>
      </c>
      <c r="AK32" t="s">
        <v>866</v>
      </c>
      <c r="AL32" t="s">
        <v>867</v>
      </c>
      <c r="AM32" t="s">
        <v>868</v>
      </c>
      <c r="AN32" t="s">
        <v>869</v>
      </c>
      <c r="AO32" t="s">
        <v>870</v>
      </c>
    </row>
    <row r="33" spans="1:41">
      <c r="A33" t="s">
        <v>871</v>
      </c>
      <c r="B33" t="s">
        <v>872</v>
      </c>
      <c r="C33" t="s">
        <v>873</v>
      </c>
      <c r="D33" t="s">
        <v>874</v>
      </c>
      <c r="E33" t="s">
        <v>495</v>
      </c>
      <c r="F33" t="s">
        <v>875</v>
      </c>
      <c r="G33" t="s">
        <v>876</v>
      </c>
      <c r="H33" s="2" t="s">
        <v>877</v>
      </c>
      <c r="I33" t="s">
        <v>871</v>
      </c>
      <c r="J33" t="s">
        <v>878</v>
      </c>
      <c r="K33" t="s">
        <v>871</v>
      </c>
      <c r="L33" t="s">
        <v>871</v>
      </c>
      <c r="M33" t="s">
        <v>871</v>
      </c>
      <c r="N33" t="s">
        <v>879</v>
      </c>
      <c r="O33" t="s">
        <v>880</v>
      </c>
      <c r="P33" t="s">
        <v>871</v>
      </c>
      <c r="Q33" t="s">
        <v>881</v>
      </c>
      <c r="R33" t="s">
        <v>882</v>
      </c>
      <c r="S33" t="s">
        <v>883</v>
      </c>
      <c r="T33" t="s">
        <v>871</v>
      </c>
      <c r="U33" t="s">
        <v>871</v>
      </c>
      <c r="V33" t="s">
        <v>876</v>
      </c>
      <c r="W33" t="s">
        <v>884</v>
      </c>
      <c r="X33" t="s">
        <v>885</v>
      </c>
      <c r="Y33" t="s">
        <v>886</v>
      </c>
      <c r="Z33" t="s">
        <v>876</v>
      </c>
      <c r="AA33" t="s">
        <v>871</v>
      </c>
      <c r="AB33" t="s">
        <v>887</v>
      </c>
      <c r="AC33" t="s">
        <v>888</v>
      </c>
      <c r="AD33" t="s">
        <v>876</v>
      </c>
      <c r="AE33" t="s">
        <v>871</v>
      </c>
      <c r="AF33" t="s">
        <v>871</v>
      </c>
      <c r="AG33" t="s">
        <v>871</v>
      </c>
      <c r="AH33" t="s">
        <v>871</v>
      </c>
      <c r="AI33" t="s">
        <v>871</v>
      </c>
      <c r="AJ33" t="s">
        <v>889</v>
      </c>
      <c r="AK33" t="s">
        <v>890</v>
      </c>
      <c r="AL33" t="s">
        <v>891</v>
      </c>
      <c r="AM33" t="s">
        <v>892</v>
      </c>
      <c r="AN33" t="s">
        <v>893</v>
      </c>
      <c r="AO33" t="s">
        <v>894</v>
      </c>
    </row>
    <row r="34" spans="1:41">
      <c r="A34" t="s">
        <v>895</v>
      </c>
      <c r="B34" t="s">
        <v>896</v>
      </c>
      <c r="C34" t="s">
        <v>897</v>
      </c>
      <c r="D34" t="s">
        <v>898</v>
      </c>
      <c r="E34" t="s">
        <v>899</v>
      </c>
      <c r="F34" t="s">
        <v>900</v>
      </c>
      <c r="G34" t="s">
        <v>895</v>
      </c>
      <c r="H34" s="2" t="s">
        <v>901</v>
      </c>
      <c r="I34" t="s">
        <v>895</v>
      </c>
      <c r="J34" t="s">
        <v>902</v>
      </c>
      <c r="K34" t="s">
        <v>895</v>
      </c>
      <c r="L34" t="s">
        <v>899</v>
      </c>
      <c r="M34" t="s">
        <v>899</v>
      </c>
      <c r="N34" t="s">
        <v>895</v>
      </c>
      <c r="O34" t="s">
        <v>903</v>
      </c>
      <c r="P34" t="s">
        <v>899</v>
      </c>
      <c r="Q34" t="s">
        <v>904</v>
      </c>
      <c r="R34" t="s">
        <v>905</v>
      </c>
      <c r="S34" t="s">
        <v>899</v>
      </c>
      <c r="T34" t="s">
        <v>899</v>
      </c>
      <c r="U34" t="s">
        <v>899</v>
      </c>
      <c r="V34" t="s">
        <v>906</v>
      </c>
      <c r="W34" t="s">
        <v>907</v>
      </c>
      <c r="X34" t="s">
        <v>908</v>
      </c>
      <c r="Y34" t="s">
        <v>909</v>
      </c>
      <c r="Z34" t="s">
        <v>906</v>
      </c>
      <c r="AA34" t="s">
        <v>899</v>
      </c>
      <c r="AB34" t="s">
        <v>910</v>
      </c>
      <c r="AC34" t="s">
        <v>911</v>
      </c>
      <c r="AD34" t="s">
        <v>912</v>
      </c>
      <c r="AE34" t="s">
        <v>895</v>
      </c>
      <c r="AF34" t="s">
        <v>899</v>
      </c>
      <c r="AG34" t="s">
        <v>899</v>
      </c>
      <c r="AH34" t="s">
        <v>895</v>
      </c>
      <c r="AI34" t="s">
        <v>895</v>
      </c>
      <c r="AJ34" t="s">
        <v>913</v>
      </c>
      <c r="AK34" t="s">
        <v>914</v>
      </c>
      <c r="AL34" t="s">
        <v>915</v>
      </c>
      <c r="AM34" t="s">
        <v>916</v>
      </c>
      <c r="AN34" t="s">
        <v>917</v>
      </c>
      <c r="AO34" t="s">
        <v>918</v>
      </c>
    </row>
    <row r="35" spans="1:41">
      <c r="A35" t="s">
        <v>919</v>
      </c>
      <c r="B35" t="s">
        <v>920</v>
      </c>
      <c r="C35" t="s">
        <v>921</v>
      </c>
      <c r="D35" t="s">
        <v>922</v>
      </c>
      <c r="E35" t="s">
        <v>923</v>
      </c>
      <c r="F35" t="s">
        <v>924</v>
      </c>
      <c r="G35" t="s">
        <v>919</v>
      </c>
      <c r="H35" s="2" t="s">
        <v>925</v>
      </c>
      <c r="I35" t="s">
        <v>919</v>
      </c>
      <c r="J35" t="s">
        <v>926</v>
      </c>
      <c r="K35" t="s">
        <v>919</v>
      </c>
      <c r="L35" t="s">
        <v>919</v>
      </c>
      <c r="M35" t="s">
        <v>919</v>
      </c>
      <c r="N35" t="s">
        <v>919</v>
      </c>
      <c r="O35" t="s">
        <v>927</v>
      </c>
      <c r="P35" t="s">
        <v>919</v>
      </c>
      <c r="Q35" t="s">
        <v>928</v>
      </c>
      <c r="R35" t="s">
        <v>929</v>
      </c>
      <c r="S35" t="s">
        <v>919</v>
      </c>
      <c r="T35" t="s">
        <v>930</v>
      </c>
      <c r="U35" t="s">
        <v>931</v>
      </c>
      <c r="V35" t="s">
        <v>919</v>
      </c>
      <c r="W35" t="s">
        <v>932</v>
      </c>
      <c r="X35" t="s">
        <v>933</v>
      </c>
      <c r="Y35" t="s">
        <v>934</v>
      </c>
      <c r="Z35" t="s">
        <v>919</v>
      </c>
      <c r="AA35" t="s">
        <v>919</v>
      </c>
      <c r="AB35" t="s">
        <v>935</v>
      </c>
      <c r="AC35" t="s">
        <v>902</v>
      </c>
      <c r="AD35" t="s">
        <v>919</v>
      </c>
      <c r="AE35" t="s">
        <v>936</v>
      </c>
      <c r="AF35" t="s">
        <v>919</v>
      </c>
      <c r="AG35" t="s">
        <v>919</v>
      </c>
      <c r="AH35" t="s">
        <v>919</v>
      </c>
      <c r="AI35" t="s">
        <v>919</v>
      </c>
      <c r="AJ35" t="s">
        <v>937</v>
      </c>
      <c r="AK35" t="s">
        <v>938</v>
      </c>
      <c r="AL35" t="s">
        <v>939</v>
      </c>
      <c r="AM35" t="s">
        <v>940</v>
      </c>
      <c r="AN35" t="s">
        <v>941</v>
      </c>
      <c r="AO35" t="s">
        <v>942</v>
      </c>
    </row>
    <row r="36" spans="1:41">
      <c r="A36" t="s">
        <v>943</v>
      </c>
      <c r="B36" t="s">
        <v>944</v>
      </c>
      <c r="C36" t="s">
        <v>945</v>
      </c>
      <c r="D36" t="s">
        <v>946</v>
      </c>
      <c r="E36" t="s">
        <v>947</v>
      </c>
      <c r="F36" t="s">
        <v>948</v>
      </c>
      <c r="G36" t="s">
        <v>949</v>
      </c>
      <c r="H36" s="2" t="s">
        <v>950</v>
      </c>
      <c r="I36" t="s">
        <v>943</v>
      </c>
      <c r="J36" t="s">
        <v>951</v>
      </c>
      <c r="K36" t="s">
        <v>943</v>
      </c>
      <c r="L36" t="s">
        <v>943</v>
      </c>
      <c r="M36" t="s">
        <v>943</v>
      </c>
      <c r="N36" t="s">
        <v>952</v>
      </c>
      <c r="O36" t="s">
        <v>953</v>
      </c>
      <c r="P36" t="s">
        <v>954</v>
      </c>
      <c r="Q36" t="s">
        <v>955</v>
      </c>
      <c r="R36" t="s">
        <v>956</v>
      </c>
      <c r="S36" t="s">
        <v>943</v>
      </c>
      <c r="T36" t="s">
        <v>949</v>
      </c>
      <c r="U36" t="s">
        <v>949</v>
      </c>
      <c r="V36" t="s">
        <v>957</v>
      </c>
      <c r="W36" t="s">
        <v>958</v>
      </c>
      <c r="X36" t="s">
        <v>959</v>
      </c>
      <c r="Y36" t="s">
        <v>960</v>
      </c>
      <c r="Z36" t="s">
        <v>961</v>
      </c>
      <c r="AA36" t="s">
        <v>949</v>
      </c>
      <c r="AB36" t="s">
        <v>962</v>
      </c>
      <c r="AC36" t="s">
        <v>963</v>
      </c>
      <c r="AD36" t="s">
        <v>954</v>
      </c>
      <c r="AE36" t="s">
        <v>943</v>
      </c>
      <c r="AF36" t="s">
        <v>943</v>
      </c>
      <c r="AG36" t="s">
        <v>943</v>
      </c>
      <c r="AH36" t="s">
        <v>943</v>
      </c>
      <c r="AI36" t="s">
        <v>957</v>
      </c>
      <c r="AJ36" t="s">
        <v>964</v>
      </c>
      <c r="AK36" t="s">
        <v>965</v>
      </c>
      <c r="AL36" t="s">
        <v>966</v>
      </c>
      <c r="AM36" t="s">
        <v>967</v>
      </c>
      <c r="AN36" t="s">
        <v>968</v>
      </c>
      <c r="AO36" t="s">
        <v>969</v>
      </c>
    </row>
    <row r="37" spans="1:41">
      <c r="A37" t="s">
        <v>970</v>
      </c>
      <c r="B37" t="s">
        <v>971</v>
      </c>
      <c r="C37" t="s">
        <v>972</v>
      </c>
      <c r="D37" t="s">
        <v>973</v>
      </c>
      <c r="E37" t="s">
        <v>974</v>
      </c>
      <c r="F37" t="s">
        <v>975</v>
      </c>
      <c r="G37" t="s">
        <v>976</v>
      </c>
      <c r="H37" s="2" t="s">
        <v>977</v>
      </c>
      <c r="I37" s="2" t="s">
        <v>978</v>
      </c>
      <c r="J37" t="s">
        <v>970</v>
      </c>
      <c r="K37" t="s">
        <v>970</v>
      </c>
      <c r="L37" t="s">
        <v>979</v>
      </c>
      <c r="M37" t="s">
        <v>970</v>
      </c>
      <c r="N37" t="s">
        <v>980</v>
      </c>
      <c r="O37" t="s">
        <v>981</v>
      </c>
      <c r="P37" t="s">
        <v>970</v>
      </c>
      <c r="Q37" t="s">
        <v>982</v>
      </c>
      <c r="R37" t="s">
        <v>983</v>
      </c>
      <c r="S37" t="s">
        <v>984</v>
      </c>
      <c r="T37" t="s">
        <v>985</v>
      </c>
      <c r="U37" t="s">
        <v>986</v>
      </c>
      <c r="V37" t="s">
        <v>987</v>
      </c>
      <c r="W37" s="2" t="s">
        <v>988</v>
      </c>
      <c r="X37" t="s">
        <v>974</v>
      </c>
      <c r="Y37" t="s">
        <v>989</v>
      </c>
      <c r="Z37" t="s">
        <v>985</v>
      </c>
      <c r="AA37" t="s">
        <v>990</v>
      </c>
      <c r="AB37" t="s">
        <v>991</v>
      </c>
      <c r="AC37" t="s">
        <v>992</v>
      </c>
      <c r="AD37" t="s">
        <v>993</v>
      </c>
      <c r="AE37" t="s">
        <v>994</v>
      </c>
      <c r="AF37" t="s">
        <v>995</v>
      </c>
      <c r="AG37" t="s">
        <v>996</v>
      </c>
      <c r="AH37" t="s">
        <v>997</v>
      </c>
      <c r="AI37" t="s">
        <v>998</v>
      </c>
      <c r="AJ37" t="s">
        <v>990</v>
      </c>
      <c r="AK37" t="s">
        <v>999</v>
      </c>
      <c r="AL37" t="s">
        <v>1000</v>
      </c>
      <c r="AM37" t="s">
        <v>1001</v>
      </c>
      <c r="AN37" t="s">
        <v>1002</v>
      </c>
      <c r="AO37" t="s">
        <v>1003</v>
      </c>
    </row>
    <row r="38" spans="1:41">
      <c r="A38" s="1" t="s">
        <v>1004</v>
      </c>
      <c r="B38" t="s">
        <v>1005</v>
      </c>
      <c r="C38" t="s">
        <v>1006</v>
      </c>
      <c r="D38" t="s">
        <v>1007</v>
      </c>
      <c r="E38" t="s">
        <v>1008</v>
      </c>
      <c r="F38" t="s">
        <v>1009</v>
      </c>
      <c r="G38" t="s">
        <v>1010</v>
      </c>
      <c r="H38" s="2" t="s">
        <v>1011</v>
      </c>
      <c r="I38" s="2" t="s">
        <v>1012</v>
      </c>
      <c r="J38" t="s">
        <v>1013</v>
      </c>
      <c r="K38" t="s">
        <v>1014</v>
      </c>
      <c r="L38" t="s">
        <v>1015</v>
      </c>
      <c r="M38" t="s">
        <v>1016</v>
      </c>
      <c r="N38" t="s">
        <v>1017</v>
      </c>
      <c r="O38" t="s">
        <v>1004</v>
      </c>
      <c r="P38" t="s">
        <v>1015</v>
      </c>
      <c r="Q38" t="s">
        <v>1018</v>
      </c>
      <c r="R38" t="s">
        <v>1019</v>
      </c>
      <c r="S38" t="s">
        <v>1020</v>
      </c>
      <c r="T38" t="s">
        <v>1004</v>
      </c>
      <c r="U38" t="s">
        <v>1021</v>
      </c>
      <c r="V38" t="s">
        <v>1004</v>
      </c>
      <c r="W38" s="2" t="s">
        <v>1022</v>
      </c>
      <c r="X38" t="s">
        <v>1013</v>
      </c>
      <c r="Y38" t="s">
        <v>1023</v>
      </c>
      <c r="Z38" t="s">
        <v>1013</v>
      </c>
      <c r="AA38" t="s">
        <v>1004</v>
      </c>
      <c r="AB38" t="s">
        <v>1024</v>
      </c>
      <c r="AC38" t="s">
        <v>1004</v>
      </c>
      <c r="AD38" t="s">
        <v>1025</v>
      </c>
      <c r="AE38" t="s">
        <v>1004</v>
      </c>
      <c r="AF38" t="s">
        <v>1023</v>
      </c>
      <c r="AG38" t="s">
        <v>1026</v>
      </c>
      <c r="AH38" t="s">
        <v>1013</v>
      </c>
      <c r="AI38" t="s">
        <v>1004</v>
      </c>
      <c r="AJ38" t="s">
        <v>1027</v>
      </c>
      <c r="AK38" t="s">
        <v>1028</v>
      </c>
      <c r="AL38" t="s">
        <v>1029</v>
      </c>
      <c r="AM38" t="s">
        <v>1004</v>
      </c>
      <c r="AN38" t="s">
        <v>1030</v>
      </c>
      <c r="AO38" t="s">
        <v>1031</v>
      </c>
    </row>
    <row r="39" spans="1:41">
      <c r="A39" s="1" t="s">
        <v>1032</v>
      </c>
      <c r="B39" t="s">
        <v>1033</v>
      </c>
      <c r="C39" t="s">
        <v>1034</v>
      </c>
      <c r="D39" t="s">
        <v>1035</v>
      </c>
      <c r="E39" t="s">
        <v>1036</v>
      </c>
      <c r="F39" t="s">
        <v>1037</v>
      </c>
      <c r="G39" t="s">
        <v>1032</v>
      </c>
      <c r="H39" s="2" t="s">
        <v>1038</v>
      </c>
      <c r="I39" s="2" t="s">
        <v>1039</v>
      </c>
      <c r="J39" t="s">
        <v>1040</v>
      </c>
      <c r="K39" t="s">
        <v>1041</v>
      </c>
      <c r="L39" t="s">
        <v>1042</v>
      </c>
      <c r="M39" t="s">
        <v>1043</v>
      </c>
      <c r="N39" t="s">
        <v>1044</v>
      </c>
      <c r="O39" t="s">
        <v>1045</v>
      </c>
      <c r="P39" t="s">
        <v>1046</v>
      </c>
      <c r="Q39" t="s">
        <v>1047</v>
      </c>
      <c r="R39" t="s">
        <v>1048</v>
      </c>
      <c r="S39" t="s">
        <v>1049</v>
      </c>
      <c r="T39" t="s">
        <v>1050</v>
      </c>
      <c r="U39" t="s">
        <v>1051</v>
      </c>
      <c r="V39" t="s">
        <v>1032</v>
      </c>
      <c r="W39" s="2" t="s">
        <v>1052</v>
      </c>
      <c r="X39" t="s">
        <v>1040</v>
      </c>
      <c r="Y39" t="s">
        <v>1053</v>
      </c>
      <c r="Z39" t="s">
        <v>1054</v>
      </c>
      <c r="AA39" t="s">
        <v>1032</v>
      </c>
      <c r="AB39" t="s">
        <v>1055</v>
      </c>
      <c r="AC39" t="s">
        <v>1056</v>
      </c>
      <c r="AD39" t="s">
        <v>1057</v>
      </c>
      <c r="AE39" t="s">
        <v>1058</v>
      </c>
      <c r="AF39" t="s">
        <v>1059</v>
      </c>
      <c r="AG39" t="s">
        <v>1041</v>
      </c>
      <c r="AH39" t="s">
        <v>1060</v>
      </c>
      <c r="AI39" t="s">
        <v>1050</v>
      </c>
      <c r="AJ39" t="s">
        <v>1061</v>
      </c>
      <c r="AK39" t="s">
        <v>1062</v>
      </c>
      <c r="AL39" t="s">
        <v>1063</v>
      </c>
      <c r="AM39" t="s">
        <v>1032</v>
      </c>
      <c r="AN39" t="s">
        <v>1064</v>
      </c>
      <c r="AO39" t="s">
        <v>1065</v>
      </c>
    </row>
    <row r="40" spans="1:41">
      <c r="A40" t="s">
        <v>1066</v>
      </c>
      <c r="B40" t="s">
        <v>1067</v>
      </c>
      <c r="C40" t="s">
        <v>1068</v>
      </c>
      <c r="D40" t="s">
        <v>1069</v>
      </c>
      <c r="E40" t="s">
        <v>1070</v>
      </c>
      <c r="F40" t="s">
        <v>1071</v>
      </c>
      <c r="G40" t="s">
        <v>1072</v>
      </c>
      <c r="H40" s="2" t="s">
        <v>1073</v>
      </c>
      <c r="I40" s="2" t="s">
        <v>1073</v>
      </c>
      <c r="J40" t="s">
        <v>1074</v>
      </c>
      <c r="K40" t="s">
        <v>1075</v>
      </c>
      <c r="L40" t="s">
        <v>1076</v>
      </c>
      <c r="M40" t="s">
        <v>1077</v>
      </c>
      <c r="N40" t="s">
        <v>1078</v>
      </c>
      <c r="O40" t="s">
        <v>1079</v>
      </c>
      <c r="P40" t="s">
        <v>1076</v>
      </c>
      <c r="Q40" t="s">
        <v>1080</v>
      </c>
      <c r="R40" t="s">
        <v>1081</v>
      </c>
      <c r="S40" t="s">
        <v>1082</v>
      </c>
      <c r="T40" t="s">
        <v>1083</v>
      </c>
      <c r="U40" t="s">
        <v>1084</v>
      </c>
      <c r="V40" t="s">
        <v>1085</v>
      </c>
      <c r="W40" s="2" t="s">
        <v>1086</v>
      </c>
      <c r="X40" t="s">
        <v>1087</v>
      </c>
      <c r="Y40" t="s">
        <v>1088</v>
      </c>
      <c r="Z40" t="s">
        <v>1089</v>
      </c>
      <c r="AA40" t="s">
        <v>1090</v>
      </c>
      <c r="AB40" t="s">
        <v>1091</v>
      </c>
      <c r="AC40" t="s">
        <v>1092</v>
      </c>
      <c r="AD40" t="s">
        <v>1093</v>
      </c>
      <c r="AE40" t="s">
        <v>1090</v>
      </c>
      <c r="AF40" t="s">
        <v>1088</v>
      </c>
      <c r="AG40" t="s">
        <v>1094</v>
      </c>
      <c r="AH40" t="s">
        <v>1095</v>
      </c>
      <c r="AI40" t="s">
        <v>1096</v>
      </c>
      <c r="AJ40" t="s">
        <v>1076</v>
      </c>
      <c r="AK40" t="s">
        <v>1097</v>
      </c>
      <c r="AL40" t="s">
        <v>1098</v>
      </c>
      <c r="AM40" t="s">
        <v>1099</v>
      </c>
      <c r="AN40" t="s">
        <v>1100</v>
      </c>
      <c r="AO40" t="s">
        <v>1101</v>
      </c>
    </row>
    <row r="41" spans="1:41">
      <c r="A41" t="s">
        <v>1102</v>
      </c>
      <c r="B41" t="s">
        <v>1103</v>
      </c>
      <c r="C41" t="s">
        <v>1104</v>
      </c>
      <c r="D41" t="s">
        <v>1105</v>
      </c>
      <c r="E41" t="s">
        <v>1106</v>
      </c>
      <c r="F41" t="s">
        <v>1107</v>
      </c>
      <c r="G41" t="s">
        <v>1108</v>
      </c>
      <c r="H41" s="2" t="s">
        <v>1109</v>
      </c>
      <c r="I41" s="2" t="s">
        <v>1109</v>
      </c>
      <c r="J41" t="s">
        <v>1110</v>
      </c>
      <c r="K41" t="s">
        <v>1111</v>
      </c>
      <c r="L41" t="s">
        <v>1112</v>
      </c>
      <c r="M41" t="s">
        <v>1113</v>
      </c>
      <c r="N41" t="s">
        <v>1114</v>
      </c>
      <c r="O41" t="s">
        <v>1115</v>
      </c>
      <c r="P41" t="s">
        <v>1112</v>
      </c>
      <c r="Q41" t="s">
        <v>1116</v>
      </c>
      <c r="R41" t="s">
        <v>1117</v>
      </c>
      <c r="S41" t="s">
        <v>1118</v>
      </c>
      <c r="T41" t="s">
        <v>1119</v>
      </c>
      <c r="U41" t="s">
        <v>1102</v>
      </c>
      <c r="V41" t="s">
        <v>1119</v>
      </c>
      <c r="W41" s="2" t="s">
        <v>1120</v>
      </c>
      <c r="X41" t="s">
        <v>1110</v>
      </c>
      <c r="Y41" t="s">
        <v>1121</v>
      </c>
      <c r="Z41" t="s">
        <v>1122</v>
      </c>
      <c r="AA41" t="s">
        <v>1119</v>
      </c>
      <c r="AB41" t="s">
        <v>1123</v>
      </c>
      <c r="AC41" t="s">
        <v>1124</v>
      </c>
      <c r="AD41" t="s">
        <v>1125</v>
      </c>
      <c r="AE41" t="s">
        <v>1119</v>
      </c>
      <c r="AF41" t="s">
        <v>1121</v>
      </c>
      <c r="AG41" t="s">
        <v>1126</v>
      </c>
      <c r="AH41" t="s">
        <v>1110</v>
      </c>
      <c r="AI41" t="s">
        <v>1119</v>
      </c>
      <c r="AJ41" t="s">
        <v>1112</v>
      </c>
      <c r="AK41" t="s">
        <v>1127</v>
      </c>
      <c r="AL41" t="s">
        <v>1128</v>
      </c>
      <c r="AM41" t="s">
        <v>1129</v>
      </c>
      <c r="AN41" t="s">
        <v>1130</v>
      </c>
      <c r="AO41" t="s">
        <v>1131</v>
      </c>
    </row>
    <row r="42" spans="1:41">
      <c r="A42" t="s">
        <v>1132</v>
      </c>
      <c r="B42" t="s">
        <v>1133</v>
      </c>
      <c r="C42" t="s">
        <v>1134</v>
      </c>
      <c r="D42" t="s">
        <v>1135</v>
      </c>
      <c r="E42" t="s">
        <v>1136</v>
      </c>
      <c r="F42" t="s">
        <v>1137</v>
      </c>
      <c r="G42" t="s">
        <v>1132</v>
      </c>
      <c r="H42" s="2" t="s">
        <v>1138</v>
      </c>
      <c r="I42" s="2" t="s">
        <v>1138</v>
      </c>
      <c r="J42" t="s">
        <v>1139</v>
      </c>
      <c r="K42" t="s">
        <v>1140</v>
      </c>
      <c r="L42" t="s">
        <v>1132</v>
      </c>
      <c r="M42" t="s">
        <v>1132</v>
      </c>
      <c r="N42" t="s">
        <v>1132</v>
      </c>
      <c r="O42" t="s">
        <v>1141</v>
      </c>
      <c r="P42" t="s">
        <v>1132</v>
      </c>
      <c r="Q42" t="s">
        <v>1142</v>
      </c>
      <c r="R42" t="s">
        <v>1143</v>
      </c>
      <c r="S42" t="s">
        <v>1144</v>
      </c>
      <c r="T42" t="s">
        <v>1132</v>
      </c>
      <c r="U42" t="s">
        <v>1132</v>
      </c>
      <c r="V42" t="s">
        <v>1145</v>
      </c>
      <c r="W42" s="2" t="s">
        <v>1146</v>
      </c>
      <c r="X42" t="s">
        <v>1139</v>
      </c>
      <c r="Y42" t="s">
        <v>1147</v>
      </c>
      <c r="Z42" t="s">
        <v>1148</v>
      </c>
      <c r="AA42" t="s">
        <v>1132</v>
      </c>
      <c r="AB42" t="s">
        <v>1149</v>
      </c>
      <c r="AC42" t="s">
        <v>1150</v>
      </c>
      <c r="AD42" t="s">
        <v>1132</v>
      </c>
      <c r="AE42" t="s">
        <v>1150</v>
      </c>
      <c r="AF42" t="s">
        <v>1147</v>
      </c>
      <c r="AG42" t="s">
        <v>1140</v>
      </c>
      <c r="AH42" t="s">
        <v>1151</v>
      </c>
      <c r="AI42" t="s">
        <v>1132</v>
      </c>
      <c r="AJ42" t="s">
        <v>1132</v>
      </c>
      <c r="AK42" t="s">
        <v>1152</v>
      </c>
      <c r="AL42" t="s">
        <v>1153</v>
      </c>
      <c r="AM42" t="s">
        <v>1154</v>
      </c>
      <c r="AN42" t="s">
        <v>1155</v>
      </c>
      <c r="AO42" t="s">
        <v>1156</v>
      </c>
    </row>
    <row r="43" spans="1:41">
      <c r="A43" s="1" t="s">
        <v>1157</v>
      </c>
      <c r="B43" t="s">
        <v>1158</v>
      </c>
      <c r="C43" t="s">
        <v>1159</v>
      </c>
      <c r="D43" t="s">
        <v>1160</v>
      </c>
      <c r="E43" t="s">
        <v>1161</v>
      </c>
      <c r="F43" t="s">
        <v>1162</v>
      </c>
      <c r="G43" t="s">
        <v>1163</v>
      </c>
      <c r="H43" s="2" t="s">
        <v>1164</v>
      </c>
      <c r="I43" s="2" t="s">
        <v>1164</v>
      </c>
      <c r="J43" t="s">
        <v>1165</v>
      </c>
      <c r="K43" t="s">
        <v>1166</v>
      </c>
      <c r="L43" t="s">
        <v>1167</v>
      </c>
      <c r="M43" t="s">
        <v>1168</v>
      </c>
      <c r="N43" t="s">
        <v>1169</v>
      </c>
      <c r="O43" t="s">
        <v>1170</v>
      </c>
      <c r="P43" t="s">
        <v>1167</v>
      </c>
      <c r="Q43" t="s">
        <v>1171</v>
      </c>
      <c r="R43" t="s">
        <v>1172</v>
      </c>
      <c r="S43" t="s">
        <v>1173</v>
      </c>
      <c r="T43" t="s">
        <v>1174</v>
      </c>
      <c r="U43" t="s">
        <v>1175</v>
      </c>
      <c r="V43" t="s">
        <v>1176</v>
      </c>
      <c r="W43" s="2" t="s">
        <v>1177</v>
      </c>
      <c r="X43" t="s">
        <v>1178</v>
      </c>
      <c r="Y43" t="s">
        <v>1179</v>
      </c>
      <c r="Z43" t="s">
        <v>1180</v>
      </c>
      <c r="AA43" t="s">
        <v>1167</v>
      </c>
      <c r="AB43" t="s">
        <v>1181</v>
      </c>
      <c r="AC43" t="s">
        <v>1182</v>
      </c>
      <c r="AD43" t="s">
        <v>1183</v>
      </c>
      <c r="AE43" t="s">
        <v>1184</v>
      </c>
      <c r="AF43" t="s">
        <v>1185</v>
      </c>
      <c r="AG43" t="s">
        <v>1186</v>
      </c>
      <c r="AH43" t="s">
        <v>1187</v>
      </c>
      <c r="AI43" t="s">
        <v>1188</v>
      </c>
      <c r="AJ43" t="s">
        <v>1189</v>
      </c>
      <c r="AK43" t="s">
        <v>1190</v>
      </c>
      <c r="AL43" t="s">
        <v>1191</v>
      </c>
      <c r="AM43" t="s">
        <v>1157</v>
      </c>
      <c r="AN43" t="s">
        <v>1192</v>
      </c>
      <c r="AO43" t="s">
        <v>1193</v>
      </c>
    </row>
    <row r="44" spans="1:41">
      <c r="A44" t="s">
        <v>1194</v>
      </c>
      <c r="B44" t="s">
        <v>1195</v>
      </c>
      <c r="C44" t="s">
        <v>1196</v>
      </c>
      <c r="D44" t="s">
        <v>1197</v>
      </c>
      <c r="E44" t="s">
        <v>1198</v>
      </c>
      <c r="F44" t="s">
        <v>1199</v>
      </c>
      <c r="G44" t="s">
        <v>1200</v>
      </c>
      <c r="H44" s="2" t="s">
        <v>1201</v>
      </c>
      <c r="I44" s="2" t="s">
        <v>1202</v>
      </c>
      <c r="J44" t="s">
        <v>1203</v>
      </c>
      <c r="K44" t="s">
        <v>1204</v>
      </c>
      <c r="L44" t="s">
        <v>1205</v>
      </c>
      <c r="M44" t="s">
        <v>1206</v>
      </c>
      <c r="N44" t="s">
        <v>1207</v>
      </c>
      <c r="O44" t="s">
        <v>1208</v>
      </c>
      <c r="P44" t="s">
        <v>1209</v>
      </c>
      <c r="Q44" t="s">
        <v>1210</v>
      </c>
      <c r="R44" t="s">
        <v>1211</v>
      </c>
      <c r="S44" t="s">
        <v>1212</v>
      </c>
      <c r="T44" t="s">
        <v>1194</v>
      </c>
      <c r="U44" t="s">
        <v>1194</v>
      </c>
      <c r="V44" t="s">
        <v>1213</v>
      </c>
      <c r="W44" s="2" t="s">
        <v>1214</v>
      </c>
      <c r="X44" t="s">
        <v>1215</v>
      </c>
      <c r="Y44" t="s">
        <v>1216</v>
      </c>
      <c r="Z44" t="s">
        <v>1217</v>
      </c>
      <c r="AA44" t="s">
        <v>1205</v>
      </c>
      <c r="AB44" t="s">
        <v>1218</v>
      </c>
      <c r="AC44" t="s">
        <v>1219</v>
      </c>
      <c r="AD44" t="s">
        <v>1200</v>
      </c>
      <c r="AE44" t="s">
        <v>1220</v>
      </c>
      <c r="AF44" t="s">
        <v>1216</v>
      </c>
      <c r="AG44" t="s">
        <v>1204</v>
      </c>
      <c r="AH44" t="s">
        <v>1203</v>
      </c>
      <c r="AI44" t="s">
        <v>1200</v>
      </c>
      <c r="AJ44" t="s">
        <v>1205</v>
      </c>
      <c r="AK44" t="s">
        <v>1221</v>
      </c>
      <c r="AL44" t="s">
        <v>1198</v>
      </c>
      <c r="AM44" t="s">
        <v>1222</v>
      </c>
      <c r="AN44" t="s">
        <v>1223</v>
      </c>
      <c r="AO44" t="s">
        <v>1224</v>
      </c>
    </row>
    <row r="45" spans="1:41">
      <c r="A45" s="1" t="s">
        <v>1225</v>
      </c>
      <c r="B45" t="s">
        <v>1226</v>
      </c>
      <c r="C45" t="s">
        <v>1227</v>
      </c>
      <c r="D45" t="s">
        <v>1228</v>
      </c>
      <c r="E45" t="s">
        <v>1229</v>
      </c>
      <c r="F45" t="s">
        <v>1230</v>
      </c>
      <c r="G45" t="s">
        <v>1231</v>
      </c>
      <c r="H45" s="2" t="s">
        <v>1232</v>
      </c>
      <c r="I45" s="2" t="s">
        <v>1233</v>
      </c>
      <c r="J45" t="s">
        <v>1234</v>
      </c>
      <c r="K45" t="s">
        <v>1234</v>
      </c>
      <c r="L45" t="s">
        <v>1225</v>
      </c>
      <c r="M45" t="s">
        <v>1235</v>
      </c>
      <c r="N45" t="s">
        <v>1225</v>
      </c>
      <c r="O45" t="s">
        <v>1236</v>
      </c>
      <c r="P45" t="s">
        <v>1225</v>
      </c>
      <c r="Q45" t="s">
        <v>1237</v>
      </c>
      <c r="R45" t="s">
        <v>1238</v>
      </c>
      <c r="S45" t="s">
        <v>1239</v>
      </c>
      <c r="T45" t="s">
        <v>1240</v>
      </c>
      <c r="U45" t="s">
        <v>1241</v>
      </c>
      <c r="V45" t="s">
        <v>1242</v>
      </c>
      <c r="W45" s="2" t="s">
        <v>1243</v>
      </c>
      <c r="X45" t="s">
        <v>1240</v>
      </c>
      <c r="Y45" t="s">
        <v>1244</v>
      </c>
      <c r="Z45" t="s">
        <v>1240</v>
      </c>
      <c r="AA45" t="s">
        <v>1240</v>
      </c>
      <c r="AB45" t="s">
        <v>1245</v>
      </c>
      <c r="AC45" t="s">
        <v>1240</v>
      </c>
      <c r="AD45" t="s">
        <v>1246</v>
      </c>
      <c r="AE45" t="s">
        <v>1242</v>
      </c>
      <c r="AF45" t="s">
        <v>1247</v>
      </c>
      <c r="AG45" t="s">
        <v>1234</v>
      </c>
      <c r="AH45" t="s">
        <v>1234</v>
      </c>
      <c r="AI45" t="s">
        <v>1248</v>
      </c>
      <c r="AJ45" t="s">
        <v>1240</v>
      </c>
      <c r="AK45" t="s">
        <v>1249</v>
      </c>
      <c r="AL45" t="s">
        <v>1229</v>
      </c>
      <c r="AM45" t="s">
        <v>1240</v>
      </c>
      <c r="AN45" t="s">
        <v>1250</v>
      </c>
      <c r="AO45" t="s">
        <v>1251</v>
      </c>
    </row>
    <row r="46" spans="1:41">
      <c r="A46" s="1" t="s">
        <v>1252</v>
      </c>
      <c r="B46" t="s">
        <v>1253</v>
      </c>
      <c r="C46" t="s">
        <v>1254</v>
      </c>
      <c r="D46" t="s">
        <v>1252</v>
      </c>
      <c r="E46" t="s">
        <v>1252</v>
      </c>
      <c r="F46" t="s">
        <v>1255</v>
      </c>
      <c r="G46" t="s">
        <v>1256</v>
      </c>
      <c r="H46" s="2" t="s">
        <v>1257</v>
      </c>
      <c r="I46" s="2" t="s">
        <v>1258</v>
      </c>
      <c r="J46" t="s">
        <v>1259</v>
      </c>
      <c r="K46" s="1" t="s">
        <v>1260</v>
      </c>
      <c r="L46" s="1" t="s">
        <v>1261</v>
      </c>
      <c r="M46" t="s">
        <v>1262</v>
      </c>
      <c r="N46" t="s">
        <v>1263</v>
      </c>
      <c r="O46" t="s">
        <v>1264</v>
      </c>
      <c r="P46" s="1" t="s">
        <v>1265</v>
      </c>
      <c r="Q46" t="s">
        <v>1252</v>
      </c>
      <c r="R46" t="s">
        <v>1266</v>
      </c>
      <c r="S46" t="s">
        <v>1267</v>
      </c>
      <c r="T46" t="s">
        <v>1268</v>
      </c>
      <c r="U46" t="s">
        <v>1269</v>
      </c>
      <c r="V46" s="1" t="s">
        <v>2886</v>
      </c>
      <c r="W46" s="2" t="s">
        <v>1270</v>
      </c>
      <c r="X46" t="s">
        <v>1271</v>
      </c>
      <c r="Y46" t="s">
        <v>1272</v>
      </c>
      <c r="Z46" t="s">
        <v>1271</v>
      </c>
      <c r="AA46" s="1" t="s">
        <v>1261</v>
      </c>
      <c r="AB46" t="s">
        <v>1273</v>
      </c>
      <c r="AC46" s="1" t="s">
        <v>1274</v>
      </c>
      <c r="AD46" s="1" t="s">
        <v>1256</v>
      </c>
      <c r="AE46" t="s">
        <v>1275</v>
      </c>
      <c r="AF46" t="s">
        <v>1276</v>
      </c>
      <c r="AG46" t="s">
        <v>1260</v>
      </c>
      <c r="AH46" t="s">
        <v>1252</v>
      </c>
      <c r="AI46" t="s">
        <v>1277</v>
      </c>
      <c r="AJ46" t="s">
        <v>1252</v>
      </c>
      <c r="AK46" t="s">
        <v>1278</v>
      </c>
      <c r="AL46" t="s">
        <v>1279</v>
      </c>
      <c r="AM46" s="1" t="s">
        <v>1280</v>
      </c>
      <c r="AN46" t="s">
        <v>1281</v>
      </c>
      <c r="AO46" t="s">
        <v>1282</v>
      </c>
    </row>
    <row r="47" spans="1:41">
      <c r="A47" t="s">
        <v>1283</v>
      </c>
      <c r="B47" t="s">
        <v>1284</v>
      </c>
      <c r="C47" t="s">
        <v>1285</v>
      </c>
      <c r="D47" t="s">
        <v>1286</v>
      </c>
      <c r="E47" t="s">
        <v>1287</v>
      </c>
      <c r="F47" t="s">
        <v>1288</v>
      </c>
      <c r="G47" t="s">
        <v>1289</v>
      </c>
      <c r="H47" s="2" t="s">
        <v>1290</v>
      </c>
      <c r="I47" s="2" t="s">
        <v>1291</v>
      </c>
      <c r="J47" t="s">
        <v>1292</v>
      </c>
      <c r="K47" t="s">
        <v>1293</v>
      </c>
      <c r="L47" t="s">
        <v>1283</v>
      </c>
      <c r="M47" t="s">
        <v>1283</v>
      </c>
      <c r="N47" t="s">
        <v>1294</v>
      </c>
      <c r="O47" t="s">
        <v>1295</v>
      </c>
      <c r="P47" t="s">
        <v>1296</v>
      </c>
      <c r="Q47" t="s">
        <v>1297</v>
      </c>
      <c r="R47" t="s">
        <v>1298</v>
      </c>
      <c r="S47" t="s">
        <v>1299</v>
      </c>
      <c r="T47" t="s">
        <v>1300</v>
      </c>
      <c r="U47" t="s">
        <v>1296</v>
      </c>
      <c r="V47" t="s">
        <v>1300</v>
      </c>
      <c r="W47" s="2" t="s">
        <v>1301</v>
      </c>
      <c r="X47" t="s">
        <v>1302</v>
      </c>
      <c r="Y47" t="s">
        <v>1303</v>
      </c>
      <c r="Z47" t="s">
        <v>1304</v>
      </c>
      <c r="AA47" t="s">
        <v>1283</v>
      </c>
      <c r="AB47" t="s">
        <v>1305</v>
      </c>
      <c r="AC47" t="s">
        <v>1300</v>
      </c>
      <c r="AD47" t="s">
        <v>1306</v>
      </c>
      <c r="AE47" t="s">
        <v>1307</v>
      </c>
      <c r="AF47" t="s">
        <v>1303</v>
      </c>
      <c r="AG47" t="s">
        <v>1308</v>
      </c>
      <c r="AH47" t="s">
        <v>1292</v>
      </c>
      <c r="AI47" t="s">
        <v>1300</v>
      </c>
      <c r="AJ47" t="s">
        <v>1283</v>
      </c>
      <c r="AK47" t="s">
        <v>1309</v>
      </c>
      <c r="AL47" t="s">
        <v>1287</v>
      </c>
      <c r="AM47" t="s">
        <v>1310</v>
      </c>
      <c r="AN47" t="s">
        <v>1311</v>
      </c>
      <c r="AO47" t="s">
        <v>1312</v>
      </c>
    </row>
    <row r="48" spans="1:41">
      <c r="A48" t="s">
        <v>1313</v>
      </c>
      <c r="B48" t="s">
        <v>1314</v>
      </c>
      <c r="C48" t="s">
        <v>1315</v>
      </c>
      <c r="D48" t="s">
        <v>1313</v>
      </c>
      <c r="E48" t="s">
        <v>1316</v>
      </c>
      <c r="F48" t="s">
        <v>1317</v>
      </c>
      <c r="G48" t="s">
        <v>1318</v>
      </c>
      <c r="H48" s="2" t="s">
        <v>1319</v>
      </c>
      <c r="I48" s="2" t="s">
        <v>1320</v>
      </c>
      <c r="J48" t="s">
        <v>1321</v>
      </c>
      <c r="K48" t="s">
        <v>1322</v>
      </c>
      <c r="L48" t="s">
        <v>1323</v>
      </c>
      <c r="M48" t="s">
        <v>1324</v>
      </c>
      <c r="N48" t="s">
        <v>1325</v>
      </c>
      <c r="O48" t="s">
        <v>1326</v>
      </c>
      <c r="P48" t="s">
        <v>1327</v>
      </c>
      <c r="Q48" t="s">
        <v>1328</v>
      </c>
      <c r="R48" t="s">
        <v>1329</v>
      </c>
      <c r="S48" t="s">
        <v>1330</v>
      </c>
      <c r="T48" t="s">
        <v>1331</v>
      </c>
      <c r="U48" t="s">
        <v>1323</v>
      </c>
      <c r="V48" t="s">
        <v>1332</v>
      </c>
      <c r="W48" s="2" t="s">
        <v>1333</v>
      </c>
      <c r="X48" t="s">
        <v>1334</v>
      </c>
      <c r="Y48" t="s">
        <v>1335</v>
      </c>
      <c r="Z48" t="s">
        <v>1336</v>
      </c>
      <c r="AA48" t="s">
        <v>1324</v>
      </c>
      <c r="AB48" t="s">
        <v>1337</v>
      </c>
      <c r="AC48" t="s">
        <v>1338</v>
      </c>
      <c r="AD48" t="s">
        <v>1339</v>
      </c>
      <c r="AE48" t="s">
        <v>1332</v>
      </c>
      <c r="AF48" t="s">
        <v>1340</v>
      </c>
      <c r="AG48" t="s">
        <v>1322</v>
      </c>
      <c r="AH48" t="s">
        <v>1321</v>
      </c>
      <c r="AI48" t="s">
        <v>1341</v>
      </c>
      <c r="AJ48" t="s">
        <v>1342</v>
      </c>
      <c r="AK48" t="s">
        <v>1343</v>
      </c>
      <c r="AL48" t="s">
        <v>1344</v>
      </c>
      <c r="AM48" t="s">
        <v>1345</v>
      </c>
      <c r="AN48" t="s">
        <v>1346</v>
      </c>
      <c r="AO48" t="s">
        <v>1347</v>
      </c>
    </row>
    <row r="49" spans="1:41">
      <c r="A49" t="s">
        <v>1348</v>
      </c>
      <c r="B49" t="s">
        <v>1349</v>
      </c>
      <c r="C49" t="s">
        <v>1350</v>
      </c>
      <c r="D49" t="s">
        <v>1351</v>
      </c>
      <c r="E49" t="s">
        <v>1352</v>
      </c>
      <c r="F49" t="s">
        <v>1353</v>
      </c>
      <c r="G49" t="s">
        <v>1354</v>
      </c>
      <c r="H49" s="2" t="s">
        <v>1355</v>
      </c>
      <c r="I49" s="2" t="s">
        <v>1356</v>
      </c>
      <c r="J49" t="s">
        <v>1357</v>
      </c>
      <c r="K49" t="s">
        <v>1358</v>
      </c>
      <c r="L49" t="s">
        <v>1359</v>
      </c>
      <c r="M49" t="s">
        <v>1360</v>
      </c>
      <c r="N49" t="s">
        <v>1361</v>
      </c>
      <c r="O49" t="s">
        <v>1362</v>
      </c>
      <c r="P49" t="s">
        <v>1363</v>
      </c>
      <c r="Q49" t="s">
        <v>1364</v>
      </c>
      <c r="R49" t="s">
        <v>1365</v>
      </c>
      <c r="S49" t="s">
        <v>1366</v>
      </c>
      <c r="T49" t="s">
        <v>1367</v>
      </c>
      <c r="U49" t="s">
        <v>1368</v>
      </c>
      <c r="V49" t="s">
        <v>1369</v>
      </c>
      <c r="W49" s="2" t="s">
        <v>1370</v>
      </c>
      <c r="X49" t="s">
        <v>1371</v>
      </c>
      <c r="Y49" t="s">
        <v>1372</v>
      </c>
      <c r="Z49" t="s">
        <v>1373</v>
      </c>
      <c r="AA49" t="s">
        <v>1374</v>
      </c>
      <c r="AB49" t="s">
        <v>1375</v>
      </c>
      <c r="AC49" t="s">
        <v>1376</v>
      </c>
      <c r="AD49" t="s">
        <v>1377</v>
      </c>
      <c r="AE49" t="s">
        <v>1378</v>
      </c>
      <c r="AF49" t="s">
        <v>1372</v>
      </c>
      <c r="AG49" t="s">
        <v>1379</v>
      </c>
      <c r="AH49" t="s">
        <v>1380</v>
      </c>
      <c r="AI49" t="s">
        <v>1381</v>
      </c>
      <c r="AJ49" t="s">
        <v>1359</v>
      </c>
      <c r="AK49" t="s">
        <v>1382</v>
      </c>
      <c r="AL49" t="s">
        <v>1383</v>
      </c>
      <c r="AM49" t="s">
        <v>1384</v>
      </c>
      <c r="AN49" t="s">
        <v>1385</v>
      </c>
      <c r="AO49" t="s">
        <v>1386</v>
      </c>
    </row>
    <row r="50" spans="1:41">
      <c r="A50" s="1" t="s">
        <v>1387</v>
      </c>
      <c r="B50" t="s">
        <v>1388</v>
      </c>
      <c r="C50" t="s">
        <v>1389</v>
      </c>
      <c r="D50" t="s">
        <v>1390</v>
      </c>
      <c r="E50" t="s">
        <v>1391</v>
      </c>
      <c r="F50" t="s">
        <v>1392</v>
      </c>
      <c r="G50" t="s">
        <v>1393</v>
      </c>
      <c r="H50" s="2" t="s">
        <v>1394</v>
      </c>
      <c r="I50" s="2" t="s">
        <v>1395</v>
      </c>
      <c r="J50" t="s">
        <v>1396</v>
      </c>
      <c r="K50" t="s">
        <v>1397</v>
      </c>
      <c r="L50" t="s">
        <v>1398</v>
      </c>
      <c r="M50" t="s">
        <v>1399</v>
      </c>
      <c r="N50" t="s">
        <v>1400</v>
      </c>
      <c r="O50" t="s">
        <v>1401</v>
      </c>
      <c r="P50" t="s">
        <v>1402</v>
      </c>
      <c r="Q50" t="s">
        <v>1403</v>
      </c>
      <c r="R50" t="s">
        <v>1404</v>
      </c>
      <c r="S50" t="s">
        <v>1405</v>
      </c>
      <c r="T50" t="s">
        <v>1406</v>
      </c>
      <c r="U50" t="s">
        <v>1387</v>
      </c>
      <c r="V50" t="s">
        <v>1407</v>
      </c>
      <c r="W50" s="2" t="s">
        <v>1408</v>
      </c>
      <c r="X50" t="s">
        <v>1409</v>
      </c>
      <c r="Y50" t="s">
        <v>1410</v>
      </c>
      <c r="Z50" t="s">
        <v>1411</v>
      </c>
      <c r="AA50" t="s">
        <v>1412</v>
      </c>
      <c r="AB50" t="s">
        <v>1413</v>
      </c>
      <c r="AC50" t="s">
        <v>1414</v>
      </c>
      <c r="AD50" t="s">
        <v>1415</v>
      </c>
      <c r="AE50" t="s">
        <v>1416</v>
      </c>
      <c r="AF50" t="s">
        <v>1410</v>
      </c>
      <c r="AG50" t="s">
        <v>1417</v>
      </c>
      <c r="AH50" t="s">
        <v>1396</v>
      </c>
      <c r="AI50" t="s">
        <v>1418</v>
      </c>
      <c r="AJ50" t="s">
        <v>1412</v>
      </c>
      <c r="AK50" t="s">
        <v>1419</v>
      </c>
      <c r="AL50" t="s">
        <v>1420</v>
      </c>
      <c r="AM50" t="s">
        <v>1387</v>
      </c>
      <c r="AN50" t="s">
        <v>1421</v>
      </c>
      <c r="AO50" t="s">
        <v>1422</v>
      </c>
    </row>
    <row r="51" spans="1:41">
      <c r="A51" s="1" t="s">
        <v>1423</v>
      </c>
      <c r="B51" t="s">
        <v>1423</v>
      </c>
      <c r="C51" t="s">
        <v>1424</v>
      </c>
      <c r="D51" t="s">
        <v>1425</v>
      </c>
      <c r="E51" t="s">
        <v>1426</v>
      </c>
      <c r="F51" t="s">
        <v>1427</v>
      </c>
      <c r="G51" t="s">
        <v>1428</v>
      </c>
      <c r="H51" s="2" t="s">
        <v>1429</v>
      </c>
      <c r="I51" s="2" t="s">
        <v>1429</v>
      </c>
      <c r="J51" t="s">
        <v>1430</v>
      </c>
      <c r="K51" t="s">
        <v>1431</v>
      </c>
      <c r="L51" t="s">
        <v>1432</v>
      </c>
      <c r="M51" t="s">
        <v>1433</v>
      </c>
      <c r="N51" t="s">
        <v>1434</v>
      </c>
      <c r="O51" t="s">
        <v>1435</v>
      </c>
      <c r="P51" t="s">
        <v>1436</v>
      </c>
      <c r="Q51" t="s">
        <v>1437</v>
      </c>
      <c r="R51" t="s">
        <v>1438</v>
      </c>
      <c r="S51" t="s">
        <v>1439</v>
      </c>
      <c r="T51" t="s">
        <v>1423</v>
      </c>
      <c r="U51" t="s">
        <v>1423</v>
      </c>
      <c r="V51" t="s">
        <v>1440</v>
      </c>
      <c r="W51" s="2" t="s">
        <v>1441</v>
      </c>
      <c r="X51" t="s">
        <v>1442</v>
      </c>
      <c r="Y51" t="s">
        <v>1443</v>
      </c>
      <c r="Z51" t="s">
        <v>1444</v>
      </c>
      <c r="AA51" t="s">
        <v>1423</v>
      </c>
      <c r="AB51" t="s">
        <v>1445</v>
      </c>
      <c r="AC51" t="s">
        <v>1446</v>
      </c>
      <c r="AD51" t="s">
        <v>1447</v>
      </c>
      <c r="AE51" t="s">
        <v>1448</v>
      </c>
      <c r="AF51" t="s">
        <v>1443</v>
      </c>
      <c r="AG51" t="s">
        <v>1431</v>
      </c>
      <c r="AH51" t="s">
        <v>1449</v>
      </c>
      <c r="AI51" t="s">
        <v>1450</v>
      </c>
      <c r="AJ51" t="s">
        <v>1451</v>
      </c>
      <c r="AK51" t="s">
        <v>1452</v>
      </c>
      <c r="AL51" t="s">
        <v>1453</v>
      </c>
      <c r="AM51" t="s">
        <v>1423</v>
      </c>
      <c r="AN51" t="s">
        <v>1454</v>
      </c>
      <c r="AO51" t="s">
        <v>1455</v>
      </c>
    </row>
    <row r="52" spans="1:41">
      <c r="A52" t="s">
        <v>1456</v>
      </c>
      <c r="B52" t="s">
        <v>1457</v>
      </c>
      <c r="C52" t="s">
        <v>1458</v>
      </c>
      <c r="D52" t="s">
        <v>1459</v>
      </c>
      <c r="E52" t="s">
        <v>1460</v>
      </c>
      <c r="F52" t="s">
        <v>1461</v>
      </c>
      <c r="G52" t="s">
        <v>1462</v>
      </c>
      <c r="H52" s="2" t="s">
        <v>1463</v>
      </c>
      <c r="I52" s="2" t="s">
        <v>1464</v>
      </c>
      <c r="J52" t="s">
        <v>1465</v>
      </c>
      <c r="K52" t="s">
        <v>1466</v>
      </c>
      <c r="L52" t="s">
        <v>1467</v>
      </c>
      <c r="M52" t="s">
        <v>1468</v>
      </c>
      <c r="N52" t="s">
        <v>1469</v>
      </c>
      <c r="O52" t="s">
        <v>1470</v>
      </c>
      <c r="P52" t="s">
        <v>1471</v>
      </c>
      <c r="Q52" t="s">
        <v>1472</v>
      </c>
      <c r="R52" t="s">
        <v>1473</v>
      </c>
      <c r="S52" t="s">
        <v>1474</v>
      </c>
      <c r="T52" t="s">
        <v>1475</v>
      </c>
      <c r="U52" t="s">
        <v>1476</v>
      </c>
      <c r="V52" t="s">
        <v>1477</v>
      </c>
      <c r="W52" s="2" t="s">
        <v>1478</v>
      </c>
      <c r="X52" t="s">
        <v>1479</v>
      </c>
      <c r="Y52" t="s">
        <v>1480</v>
      </c>
      <c r="Z52" t="s">
        <v>1481</v>
      </c>
      <c r="AA52" t="s">
        <v>1467</v>
      </c>
      <c r="AB52" t="s">
        <v>1482</v>
      </c>
      <c r="AC52" t="s">
        <v>1483</v>
      </c>
      <c r="AD52" t="s">
        <v>1484</v>
      </c>
      <c r="AE52" t="s">
        <v>1477</v>
      </c>
      <c r="AF52" t="s">
        <v>1485</v>
      </c>
      <c r="AG52" t="s">
        <v>1486</v>
      </c>
      <c r="AH52" t="s">
        <v>1487</v>
      </c>
      <c r="AI52" t="s">
        <v>1488</v>
      </c>
      <c r="AJ52" t="s">
        <v>1467</v>
      </c>
      <c r="AK52" t="s">
        <v>1489</v>
      </c>
      <c r="AL52" t="s">
        <v>1490</v>
      </c>
      <c r="AM52" t="s">
        <v>1491</v>
      </c>
      <c r="AN52" t="s">
        <v>1492</v>
      </c>
      <c r="AO52" t="s">
        <v>1493</v>
      </c>
    </row>
    <row r="53" spans="1:41">
      <c r="A53" s="1" t="s">
        <v>2617</v>
      </c>
      <c r="B53" t="s">
        <v>2619</v>
      </c>
      <c r="C53" t="s">
        <v>2620</v>
      </c>
      <c r="D53" t="s">
        <v>2621</v>
      </c>
      <c r="E53" t="s">
        <v>2622</v>
      </c>
      <c r="F53" t="s">
        <v>2623</v>
      </c>
      <c r="G53" t="s">
        <v>2624</v>
      </c>
      <c r="H53" t="s">
        <v>2625</v>
      </c>
      <c r="I53" t="s">
        <v>2626</v>
      </c>
      <c r="J53" t="s">
        <v>2627</v>
      </c>
      <c r="K53" t="s">
        <v>2628</v>
      </c>
      <c r="L53" t="s">
        <v>2629</v>
      </c>
      <c r="M53" t="s">
        <v>2630</v>
      </c>
      <c r="N53" t="s">
        <v>2631</v>
      </c>
      <c r="O53" t="s">
        <v>2632</v>
      </c>
      <c r="P53" t="s">
        <v>2633</v>
      </c>
      <c r="Q53" t="s">
        <v>2634</v>
      </c>
      <c r="R53" t="s">
        <v>2635</v>
      </c>
      <c r="S53" t="s">
        <v>2636</v>
      </c>
      <c r="T53" t="s">
        <v>2617</v>
      </c>
      <c r="U53" t="s">
        <v>2637</v>
      </c>
      <c r="V53" t="s">
        <v>2617</v>
      </c>
      <c r="W53" t="s">
        <v>2638</v>
      </c>
      <c r="X53" t="s">
        <v>2639</v>
      </c>
      <c r="Y53" t="s">
        <v>2640</v>
      </c>
      <c r="Z53" s="1" t="s">
        <v>2649</v>
      </c>
      <c r="AA53" t="s">
        <v>2617</v>
      </c>
      <c r="AB53" t="s">
        <v>2641</v>
      </c>
      <c r="AC53" t="s">
        <v>2642</v>
      </c>
      <c r="AD53" t="s">
        <v>2643</v>
      </c>
      <c r="AE53" t="s">
        <v>2617</v>
      </c>
      <c r="AF53" t="s">
        <v>2640</v>
      </c>
      <c r="AG53" t="s">
        <v>2628</v>
      </c>
      <c r="AH53" t="s">
        <v>2627</v>
      </c>
      <c r="AI53" t="s">
        <v>2644</v>
      </c>
      <c r="AJ53" t="s">
        <v>2629</v>
      </c>
      <c r="AK53" t="s">
        <v>2645</v>
      </c>
      <c r="AL53" t="s">
        <v>2646</v>
      </c>
      <c r="AM53" t="s">
        <v>2617</v>
      </c>
      <c r="AN53" t="s">
        <v>2647</v>
      </c>
      <c r="AO53" t="s">
        <v>2648</v>
      </c>
    </row>
    <row r="54" spans="1:41">
      <c r="A54" s="1" t="s">
        <v>1494</v>
      </c>
      <c r="B54" t="s">
        <v>1495</v>
      </c>
      <c r="C54" t="s">
        <v>1496</v>
      </c>
      <c r="D54" t="s">
        <v>1494</v>
      </c>
      <c r="E54" t="s">
        <v>1494</v>
      </c>
      <c r="F54" t="s">
        <v>1497</v>
      </c>
      <c r="G54" t="s">
        <v>1498</v>
      </c>
      <c r="H54" s="2" t="s">
        <v>1499</v>
      </c>
      <c r="I54" s="2" t="s">
        <v>1500</v>
      </c>
      <c r="J54" t="s">
        <v>1501</v>
      </c>
      <c r="K54" t="s">
        <v>1494</v>
      </c>
      <c r="L54" t="s">
        <v>1494</v>
      </c>
      <c r="M54" t="s">
        <v>1494</v>
      </c>
      <c r="N54" t="s">
        <v>1502</v>
      </c>
      <c r="O54" t="s">
        <v>1503</v>
      </c>
      <c r="P54" t="s">
        <v>1494</v>
      </c>
      <c r="Q54" t="s">
        <v>1504</v>
      </c>
      <c r="R54" t="s">
        <v>1505</v>
      </c>
      <c r="S54" t="s">
        <v>1494</v>
      </c>
      <c r="T54" t="s">
        <v>1494</v>
      </c>
      <c r="U54" t="s">
        <v>1494</v>
      </c>
      <c r="V54" t="s">
        <v>1506</v>
      </c>
      <c r="W54" s="2" t="s">
        <v>1507</v>
      </c>
      <c r="X54" t="s">
        <v>1508</v>
      </c>
      <c r="Y54" t="s">
        <v>1509</v>
      </c>
      <c r="Z54" t="s">
        <v>1510</v>
      </c>
      <c r="AA54" t="s">
        <v>1494</v>
      </c>
      <c r="AB54" t="s">
        <v>1511</v>
      </c>
      <c r="AC54" t="s">
        <v>1512</v>
      </c>
      <c r="AD54" t="s">
        <v>1513</v>
      </c>
      <c r="AE54" t="s">
        <v>1514</v>
      </c>
      <c r="AF54" t="s">
        <v>1509</v>
      </c>
      <c r="AG54" t="s">
        <v>1494</v>
      </c>
      <c r="AH54" t="s">
        <v>1494</v>
      </c>
      <c r="AI54" t="s">
        <v>1515</v>
      </c>
      <c r="AJ54" t="s">
        <v>1510</v>
      </c>
      <c r="AK54" t="s">
        <v>1516</v>
      </c>
      <c r="AL54" t="s">
        <v>1517</v>
      </c>
      <c r="AM54" t="s">
        <v>1518</v>
      </c>
      <c r="AN54" t="s">
        <v>1519</v>
      </c>
      <c r="AO54" t="s">
        <v>1520</v>
      </c>
    </row>
    <row r="55" spans="1:41">
      <c r="A55" t="s">
        <v>1521</v>
      </c>
      <c r="B55" t="s">
        <v>1522</v>
      </c>
      <c r="C55" t="s">
        <v>1523</v>
      </c>
      <c r="D55" t="s">
        <v>1524</v>
      </c>
      <c r="E55" t="s">
        <v>1525</v>
      </c>
      <c r="F55" t="s">
        <v>1526</v>
      </c>
      <c r="G55" t="s">
        <v>1527</v>
      </c>
      <c r="H55" s="2" t="s">
        <v>1528</v>
      </c>
      <c r="I55" s="2" t="s">
        <v>1529</v>
      </c>
      <c r="J55" t="s">
        <v>1530</v>
      </c>
      <c r="K55" t="s">
        <v>1531</v>
      </c>
      <c r="L55" t="s">
        <v>1532</v>
      </c>
      <c r="M55" t="s">
        <v>1533</v>
      </c>
      <c r="N55" t="s">
        <v>1534</v>
      </c>
      <c r="O55" t="s">
        <v>1535</v>
      </c>
      <c r="P55" t="s">
        <v>1532</v>
      </c>
      <c r="Q55" t="s">
        <v>1536</v>
      </c>
      <c r="R55" t="s">
        <v>1537</v>
      </c>
      <c r="S55" t="s">
        <v>1538</v>
      </c>
      <c r="T55" t="s">
        <v>1539</v>
      </c>
      <c r="U55" t="s">
        <v>1521</v>
      </c>
      <c r="V55" t="s">
        <v>1540</v>
      </c>
      <c r="W55" s="2" t="s">
        <v>1541</v>
      </c>
      <c r="X55" t="s">
        <v>1542</v>
      </c>
      <c r="Y55" t="s">
        <v>1543</v>
      </c>
      <c r="Z55" t="s">
        <v>1544</v>
      </c>
      <c r="AA55" t="s">
        <v>1545</v>
      </c>
      <c r="AB55" t="s">
        <v>1546</v>
      </c>
      <c r="AC55" t="s">
        <v>1547</v>
      </c>
      <c r="AD55" t="s">
        <v>1548</v>
      </c>
      <c r="AE55" t="s">
        <v>1549</v>
      </c>
      <c r="AF55" t="s">
        <v>1550</v>
      </c>
      <c r="AG55" t="s">
        <v>1551</v>
      </c>
      <c r="AH55" t="s">
        <v>1552</v>
      </c>
      <c r="AI55" t="s">
        <v>1553</v>
      </c>
      <c r="AJ55" t="s">
        <v>1532</v>
      </c>
      <c r="AK55" t="s">
        <v>1554</v>
      </c>
      <c r="AL55" t="s">
        <v>1555</v>
      </c>
      <c r="AM55" t="s">
        <v>1521</v>
      </c>
      <c r="AN55" t="s">
        <v>1556</v>
      </c>
      <c r="AO55" t="s">
        <v>1557</v>
      </c>
    </row>
    <row r="56" spans="1:41">
      <c r="A56" s="1" t="s">
        <v>1558</v>
      </c>
      <c r="B56" t="s">
        <v>1559</v>
      </c>
      <c r="C56" t="s">
        <v>1560</v>
      </c>
      <c r="D56" t="s">
        <v>1561</v>
      </c>
      <c r="E56" t="s">
        <v>1562</v>
      </c>
      <c r="F56" t="s">
        <v>1563</v>
      </c>
      <c r="G56" t="s">
        <v>1564</v>
      </c>
      <c r="H56" s="2" t="s">
        <v>1565</v>
      </c>
      <c r="I56" s="2" t="s">
        <v>1566</v>
      </c>
      <c r="J56" t="s">
        <v>1567</v>
      </c>
      <c r="K56" t="s">
        <v>1568</v>
      </c>
      <c r="L56" t="s">
        <v>1569</v>
      </c>
      <c r="M56" t="s">
        <v>1570</v>
      </c>
      <c r="N56" t="s">
        <v>1571</v>
      </c>
      <c r="O56" t="s">
        <v>1572</v>
      </c>
      <c r="P56" t="s">
        <v>1569</v>
      </c>
      <c r="Q56" t="s">
        <v>1573</v>
      </c>
      <c r="R56" t="s">
        <v>1574</v>
      </c>
      <c r="S56" t="s">
        <v>1575</v>
      </c>
      <c r="T56" t="s">
        <v>1576</v>
      </c>
      <c r="U56" t="s">
        <v>1577</v>
      </c>
      <c r="V56" t="s">
        <v>1578</v>
      </c>
      <c r="W56" s="2" t="s">
        <v>1579</v>
      </c>
      <c r="X56" t="s">
        <v>1580</v>
      </c>
      <c r="Y56" t="s">
        <v>1581</v>
      </c>
      <c r="Z56" t="s">
        <v>1582</v>
      </c>
      <c r="AA56" t="s">
        <v>1583</v>
      </c>
      <c r="AB56" t="s">
        <v>1584</v>
      </c>
      <c r="AC56" t="s">
        <v>1585</v>
      </c>
      <c r="AD56" t="s">
        <v>1586</v>
      </c>
      <c r="AE56" t="s">
        <v>1587</v>
      </c>
      <c r="AF56" t="s">
        <v>1581</v>
      </c>
      <c r="AG56" t="s">
        <v>1588</v>
      </c>
      <c r="AH56" t="s">
        <v>1589</v>
      </c>
      <c r="AI56" t="s">
        <v>1590</v>
      </c>
      <c r="AJ56" t="s">
        <v>1591</v>
      </c>
      <c r="AK56" t="s">
        <v>1592</v>
      </c>
      <c r="AL56" t="s">
        <v>1593</v>
      </c>
      <c r="AM56" t="s">
        <v>1594</v>
      </c>
      <c r="AN56" t="s">
        <v>1595</v>
      </c>
      <c r="AO56" t="s">
        <v>1596</v>
      </c>
    </row>
    <row r="57" spans="1:41">
      <c r="A57" t="s">
        <v>1597</v>
      </c>
      <c r="B57" t="s">
        <v>1598</v>
      </c>
      <c r="C57" t="s">
        <v>1599</v>
      </c>
      <c r="D57" t="s">
        <v>1600</v>
      </c>
      <c r="E57" t="s">
        <v>1601</v>
      </c>
      <c r="F57" t="s">
        <v>1602</v>
      </c>
      <c r="G57" t="s">
        <v>1603</v>
      </c>
      <c r="H57" s="2" t="s">
        <v>1604</v>
      </c>
      <c r="I57" s="2" t="s">
        <v>1604</v>
      </c>
      <c r="J57" t="s">
        <v>1605</v>
      </c>
      <c r="K57" t="s">
        <v>1606</v>
      </c>
      <c r="L57" t="s">
        <v>1607</v>
      </c>
      <c r="M57" t="s">
        <v>1608</v>
      </c>
      <c r="N57" t="s">
        <v>1609</v>
      </c>
      <c r="O57" t="s">
        <v>1610</v>
      </c>
      <c r="P57" t="s">
        <v>1607</v>
      </c>
      <c r="Q57" t="s">
        <v>1611</v>
      </c>
      <c r="R57" t="s">
        <v>1612</v>
      </c>
      <c r="S57" t="s">
        <v>1613</v>
      </c>
      <c r="T57" t="s">
        <v>1614</v>
      </c>
      <c r="U57" t="s">
        <v>1615</v>
      </c>
      <c r="V57" t="s">
        <v>1616</v>
      </c>
      <c r="W57" s="2" t="s">
        <v>1617</v>
      </c>
      <c r="X57" t="s">
        <v>1618</v>
      </c>
      <c r="Y57" t="s">
        <v>1619</v>
      </c>
      <c r="Z57" t="s">
        <v>1620</v>
      </c>
      <c r="AA57" t="s">
        <v>1621</v>
      </c>
      <c r="AB57" t="s">
        <v>1622</v>
      </c>
      <c r="AC57" t="s">
        <v>1623</v>
      </c>
      <c r="AD57" t="s">
        <v>1624</v>
      </c>
      <c r="AE57" t="s">
        <v>1625</v>
      </c>
      <c r="AF57" t="s">
        <v>1626</v>
      </c>
      <c r="AG57" t="s">
        <v>1627</v>
      </c>
      <c r="AH57" t="s">
        <v>1628</v>
      </c>
      <c r="AI57" t="s">
        <v>1629</v>
      </c>
      <c r="AJ57" t="s">
        <v>1607</v>
      </c>
      <c r="AK57" t="s">
        <v>1630</v>
      </c>
      <c r="AL57" t="s">
        <v>1631</v>
      </c>
      <c r="AM57" t="s">
        <v>1632</v>
      </c>
      <c r="AN57" t="s">
        <v>1633</v>
      </c>
      <c r="AO57" t="s">
        <v>1634</v>
      </c>
    </row>
    <row r="58" spans="1:41">
      <c r="A58" s="1" t="s">
        <v>1635</v>
      </c>
      <c r="B58" t="s">
        <v>1636</v>
      </c>
      <c r="C58" t="s">
        <v>1637</v>
      </c>
      <c r="D58" t="s">
        <v>1638</v>
      </c>
      <c r="E58" t="s">
        <v>1639</v>
      </c>
      <c r="F58" t="s">
        <v>1640</v>
      </c>
      <c r="G58" t="s">
        <v>1641</v>
      </c>
      <c r="H58" s="2" t="s">
        <v>1642</v>
      </c>
      <c r="I58" s="2" t="s">
        <v>1643</v>
      </c>
      <c r="J58" t="s">
        <v>1644</v>
      </c>
      <c r="K58" s="1" t="s">
        <v>1645</v>
      </c>
      <c r="L58" t="s">
        <v>1646</v>
      </c>
      <c r="M58" t="s">
        <v>1647</v>
      </c>
      <c r="N58" t="s">
        <v>1648</v>
      </c>
      <c r="O58" t="s">
        <v>1649</v>
      </c>
      <c r="P58" t="s">
        <v>1650</v>
      </c>
      <c r="Q58" t="s">
        <v>1651</v>
      </c>
      <c r="R58" t="s">
        <v>1652</v>
      </c>
      <c r="S58" t="s">
        <v>1653</v>
      </c>
      <c r="T58" t="s">
        <v>1654</v>
      </c>
      <c r="U58" t="s">
        <v>1655</v>
      </c>
      <c r="V58" t="s">
        <v>1656</v>
      </c>
      <c r="W58" s="2" t="s">
        <v>1657</v>
      </c>
      <c r="X58" t="s">
        <v>1658</v>
      </c>
      <c r="Y58" t="s">
        <v>1659</v>
      </c>
      <c r="Z58" t="s">
        <v>1660</v>
      </c>
      <c r="AA58" t="s">
        <v>1661</v>
      </c>
      <c r="AB58" t="s">
        <v>1662</v>
      </c>
      <c r="AC58" s="1" t="s">
        <v>1663</v>
      </c>
      <c r="AD58" t="s">
        <v>1664</v>
      </c>
      <c r="AE58" t="s">
        <v>1665</v>
      </c>
      <c r="AF58" t="s">
        <v>1666</v>
      </c>
      <c r="AG58" t="s">
        <v>1667</v>
      </c>
      <c r="AH58" t="s">
        <v>1668</v>
      </c>
      <c r="AI58" t="s">
        <v>1664</v>
      </c>
      <c r="AJ58" t="s">
        <v>1669</v>
      </c>
      <c r="AK58" t="s">
        <v>1670</v>
      </c>
      <c r="AL58" t="s">
        <v>1671</v>
      </c>
      <c r="AM58" t="s">
        <v>1672</v>
      </c>
      <c r="AN58" t="s">
        <v>1673</v>
      </c>
      <c r="AO58" t="s">
        <v>1674</v>
      </c>
    </row>
    <row r="59" spans="1:41">
      <c r="A59" s="1" t="s">
        <v>1675</v>
      </c>
      <c r="B59" t="s">
        <v>1676</v>
      </c>
      <c r="C59" t="s">
        <v>1677</v>
      </c>
      <c r="D59" t="s">
        <v>1678</v>
      </c>
      <c r="E59" t="s">
        <v>1679</v>
      </c>
      <c r="F59" t="s">
        <v>1680</v>
      </c>
      <c r="G59" t="s">
        <v>1681</v>
      </c>
      <c r="H59" s="2" t="s">
        <v>1682</v>
      </c>
      <c r="I59" s="2" t="s">
        <v>1683</v>
      </c>
      <c r="J59" t="s">
        <v>1684</v>
      </c>
      <c r="K59" s="1" t="s">
        <v>1685</v>
      </c>
      <c r="L59" t="s">
        <v>1686</v>
      </c>
      <c r="M59" t="s">
        <v>1687</v>
      </c>
      <c r="N59" t="s">
        <v>1688</v>
      </c>
      <c r="O59" t="s">
        <v>1689</v>
      </c>
      <c r="P59" t="s">
        <v>1690</v>
      </c>
      <c r="Q59" t="s">
        <v>1691</v>
      </c>
      <c r="R59" t="s">
        <v>1692</v>
      </c>
      <c r="S59" t="s">
        <v>1693</v>
      </c>
      <c r="T59" t="s">
        <v>1694</v>
      </c>
      <c r="U59" t="s">
        <v>1695</v>
      </c>
      <c r="V59" t="s">
        <v>1696</v>
      </c>
      <c r="W59" s="2" t="s">
        <v>1697</v>
      </c>
      <c r="X59" t="s">
        <v>1698</v>
      </c>
      <c r="Y59" t="s">
        <v>1699</v>
      </c>
      <c r="Z59" t="s">
        <v>1700</v>
      </c>
      <c r="AA59" t="s">
        <v>1701</v>
      </c>
      <c r="AB59" t="s">
        <v>1702</v>
      </c>
      <c r="AC59" s="1" t="s">
        <v>1703</v>
      </c>
      <c r="AD59" t="s">
        <v>1704</v>
      </c>
      <c r="AE59" t="s">
        <v>1705</v>
      </c>
      <c r="AF59" t="s">
        <v>1699</v>
      </c>
      <c r="AG59" t="s">
        <v>1706</v>
      </c>
      <c r="AH59" t="s">
        <v>1684</v>
      </c>
      <c r="AI59" t="s">
        <v>1707</v>
      </c>
      <c r="AJ59" t="s">
        <v>1708</v>
      </c>
      <c r="AK59" t="s">
        <v>1709</v>
      </c>
      <c r="AL59" t="s">
        <v>1710</v>
      </c>
      <c r="AM59" t="s">
        <v>1711</v>
      </c>
      <c r="AN59" t="s">
        <v>1712</v>
      </c>
      <c r="AO59" t="s">
        <v>1713</v>
      </c>
    </row>
    <row r="60" spans="1:41">
      <c r="A60" s="1" t="s">
        <v>1714</v>
      </c>
      <c r="B60" t="s">
        <v>1715</v>
      </c>
      <c r="C60" t="s">
        <v>1716</v>
      </c>
      <c r="D60" t="s">
        <v>1717</v>
      </c>
      <c r="E60" t="s">
        <v>1718</v>
      </c>
      <c r="F60" t="s">
        <v>1719</v>
      </c>
      <c r="G60" t="s">
        <v>1720</v>
      </c>
      <c r="H60" s="2" t="s">
        <v>1721</v>
      </c>
      <c r="I60" s="2" t="s">
        <v>1722</v>
      </c>
      <c r="J60" t="s">
        <v>1723</v>
      </c>
      <c r="K60" t="s">
        <v>1723</v>
      </c>
      <c r="L60" t="s">
        <v>1723</v>
      </c>
      <c r="M60" t="s">
        <v>1724</v>
      </c>
      <c r="N60" t="s">
        <v>1725</v>
      </c>
      <c r="O60" t="s">
        <v>1726</v>
      </c>
      <c r="P60" t="s">
        <v>1723</v>
      </c>
      <c r="Q60" t="s">
        <v>1727</v>
      </c>
      <c r="R60" t="s">
        <v>1728</v>
      </c>
      <c r="S60" t="s">
        <v>1729</v>
      </c>
      <c r="T60" t="s">
        <v>1730</v>
      </c>
      <c r="U60" t="s">
        <v>1731</v>
      </c>
      <c r="V60" t="s">
        <v>1732</v>
      </c>
      <c r="W60" s="2" t="s">
        <v>1733</v>
      </c>
      <c r="X60" t="s">
        <v>1734</v>
      </c>
      <c r="Y60" t="s">
        <v>1735</v>
      </c>
      <c r="Z60" t="s">
        <v>1732</v>
      </c>
      <c r="AA60" t="s">
        <v>1723</v>
      </c>
      <c r="AB60" t="s">
        <v>1736</v>
      </c>
      <c r="AC60" t="s">
        <v>1730</v>
      </c>
      <c r="AD60" t="s">
        <v>1737</v>
      </c>
      <c r="AE60" t="s">
        <v>1732</v>
      </c>
      <c r="AF60" t="s">
        <v>1735</v>
      </c>
      <c r="AG60" t="s">
        <v>1723</v>
      </c>
      <c r="AH60" t="s">
        <v>1734</v>
      </c>
      <c r="AI60" t="s">
        <v>1730</v>
      </c>
      <c r="AJ60" t="s">
        <v>1738</v>
      </c>
      <c r="AK60" t="s">
        <v>1739</v>
      </c>
      <c r="AL60" t="s">
        <v>1740</v>
      </c>
      <c r="AM60" t="s">
        <v>1714</v>
      </c>
      <c r="AN60" t="s">
        <v>1741</v>
      </c>
      <c r="AO60" t="s">
        <v>1742</v>
      </c>
    </row>
    <row r="61" spans="1:41">
      <c r="A61" s="1" t="s">
        <v>1743</v>
      </c>
      <c r="B61" t="s">
        <v>1744</v>
      </c>
      <c r="C61" t="s">
        <v>1745</v>
      </c>
      <c r="D61" t="s">
        <v>1746</v>
      </c>
      <c r="E61" t="s">
        <v>1747</v>
      </c>
      <c r="F61" t="s">
        <v>1748</v>
      </c>
      <c r="G61" t="s">
        <v>1749</v>
      </c>
      <c r="H61" s="2" t="s">
        <v>1750</v>
      </c>
      <c r="I61" s="2" t="s">
        <v>1751</v>
      </c>
      <c r="J61" t="s">
        <v>1752</v>
      </c>
      <c r="K61" t="s">
        <v>1753</v>
      </c>
      <c r="L61" t="s">
        <v>1754</v>
      </c>
      <c r="M61" t="s">
        <v>1755</v>
      </c>
      <c r="N61" t="s">
        <v>1756</v>
      </c>
      <c r="O61" t="s">
        <v>1757</v>
      </c>
      <c r="P61" t="s">
        <v>1758</v>
      </c>
      <c r="Q61" t="s">
        <v>1759</v>
      </c>
      <c r="R61" t="s">
        <v>1760</v>
      </c>
      <c r="S61" t="s">
        <v>1761</v>
      </c>
      <c r="T61" t="s">
        <v>1743</v>
      </c>
      <c r="U61" t="s">
        <v>1762</v>
      </c>
      <c r="V61" t="s">
        <v>1743</v>
      </c>
      <c r="W61" s="2" t="s">
        <v>1763</v>
      </c>
      <c r="X61" t="s">
        <v>1752</v>
      </c>
      <c r="Y61" t="s">
        <v>1764</v>
      </c>
      <c r="Z61" t="s">
        <v>1765</v>
      </c>
      <c r="AA61" t="s">
        <v>1766</v>
      </c>
      <c r="AB61" t="s">
        <v>1767</v>
      </c>
      <c r="AC61" t="s">
        <v>1743</v>
      </c>
      <c r="AD61" t="s">
        <v>1768</v>
      </c>
      <c r="AE61" t="s">
        <v>1743</v>
      </c>
      <c r="AF61" t="s">
        <v>1769</v>
      </c>
      <c r="AG61" t="s">
        <v>1770</v>
      </c>
      <c r="AH61" t="s">
        <v>1771</v>
      </c>
      <c r="AI61" t="s">
        <v>1743</v>
      </c>
      <c r="AJ61" t="s">
        <v>1772</v>
      </c>
      <c r="AK61" t="s">
        <v>1773</v>
      </c>
      <c r="AL61" t="s">
        <v>1774</v>
      </c>
      <c r="AM61" t="s">
        <v>1775</v>
      </c>
      <c r="AN61" t="s">
        <v>1776</v>
      </c>
      <c r="AO61" t="s">
        <v>1777</v>
      </c>
    </row>
    <row r="62" spans="1:41">
      <c r="A62" t="s">
        <v>1778</v>
      </c>
      <c r="B62" t="s">
        <v>1779</v>
      </c>
      <c r="C62" t="s">
        <v>1780</v>
      </c>
      <c r="D62" t="s">
        <v>1778</v>
      </c>
      <c r="E62" t="s">
        <v>1781</v>
      </c>
      <c r="F62" t="s">
        <v>1782</v>
      </c>
      <c r="G62" t="s">
        <v>1783</v>
      </c>
      <c r="H62" s="2" t="s">
        <v>1784</v>
      </c>
      <c r="I62" s="2" t="s">
        <v>1785</v>
      </c>
      <c r="J62" t="s">
        <v>1786</v>
      </c>
      <c r="K62" t="s">
        <v>1787</v>
      </c>
      <c r="L62" t="s">
        <v>1788</v>
      </c>
      <c r="M62" t="s">
        <v>1789</v>
      </c>
      <c r="N62" t="s">
        <v>1778</v>
      </c>
      <c r="O62" t="s">
        <v>1790</v>
      </c>
      <c r="P62" t="s">
        <v>1791</v>
      </c>
      <c r="Q62" t="s">
        <v>1792</v>
      </c>
      <c r="R62" t="s">
        <v>1793</v>
      </c>
      <c r="S62" t="s">
        <v>1794</v>
      </c>
      <c r="T62" t="s">
        <v>1795</v>
      </c>
      <c r="U62" t="s">
        <v>1778</v>
      </c>
      <c r="V62" t="s">
        <v>1796</v>
      </c>
      <c r="W62" s="2" t="s">
        <v>1797</v>
      </c>
      <c r="X62" t="s">
        <v>1798</v>
      </c>
      <c r="Y62" t="s">
        <v>1799</v>
      </c>
      <c r="Z62" t="s">
        <v>1800</v>
      </c>
      <c r="AA62" t="s">
        <v>1801</v>
      </c>
      <c r="AB62" t="s">
        <v>1802</v>
      </c>
      <c r="AC62" t="s">
        <v>1803</v>
      </c>
      <c r="AD62" t="s">
        <v>1783</v>
      </c>
      <c r="AE62" t="s">
        <v>1804</v>
      </c>
      <c r="AF62" t="s">
        <v>1805</v>
      </c>
      <c r="AG62" t="s">
        <v>1806</v>
      </c>
      <c r="AH62" t="s">
        <v>1778</v>
      </c>
      <c r="AI62" t="s">
        <v>1796</v>
      </c>
      <c r="AJ62" t="s">
        <v>1801</v>
      </c>
      <c r="AK62" t="s">
        <v>1807</v>
      </c>
      <c r="AL62" t="s">
        <v>1781</v>
      </c>
      <c r="AM62" t="s">
        <v>1808</v>
      </c>
      <c r="AN62" t="s">
        <v>1809</v>
      </c>
      <c r="AO62" t="s">
        <v>1810</v>
      </c>
    </row>
    <row r="63" spans="1:41">
      <c r="A63" s="1" t="s">
        <v>2616</v>
      </c>
      <c r="B63" t="s">
        <v>2650</v>
      </c>
      <c r="C63" t="s">
        <v>2651</v>
      </c>
      <c r="D63" t="s">
        <v>2652</v>
      </c>
      <c r="E63" t="s">
        <v>2653</v>
      </c>
      <c r="F63" t="s">
        <v>2654</v>
      </c>
      <c r="G63" t="s">
        <v>2655</v>
      </c>
      <c r="H63" t="s">
        <v>2656</v>
      </c>
      <c r="I63" t="s">
        <v>2657</v>
      </c>
      <c r="J63" t="s">
        <v>2658</v>
      </c>
      <c r="K63" t="s">
        <v>2659</v>
      </c>
      <c r="L63" t="s">
        <v>2660</v>
      </c>
      <c r="M63" t="s">
        <v>2661</v>
      </c>
      <c r="N63" t="s">
        <v>2662</v>
      </c>
      <c r="O63" t="s">
        <v>2663</v>
      </c>
      <c r="P63" t="s">
        <v>2660</v>
      </c>
      <c r="Q63" t="s">
        <v>2664</v>
      </c>
      <c r="R63" t="s">
        <v>2665</v>
      </c>
      <c r="S63" t="s">
        <v>2666</v>
      </c>
      <c r="T63" t="s">
        <v>2616</v>
      </c>
      <c r="U63" t="s">
        <v>2667</v>
      </c>
      <c r="V63" t="s">
        <v>2616</v>
      </c>
      <c r="W63" t="s">
        <v>2668</v>
      </c>
      <c r="X63" t="s">
        <v>2669</v>
      </c>
      <c r="Y63" t="s">
        <v>2670</v>
      </c>
      <c r="Z63" t="s">
        <v>2671</v>
      </c>
      <c r="AA63" t="s">
        <v>2616</v>
      </c>
      <c r="AB63" t="s">
        <v>2672</v>
      </c>
      <c r="AC63" t="s">
        <v>2616</v>
      </c>
      <c r="AD63" t="s">
        <v>2673</v>
      </c>
      <c r="AE63" t="s">
        <v>2616</v>
      </c>
      <c r="AF63" t="s">
        <v>2670</v>
      </c>
      <c r="AG63" t="s">
        <v>2659</v>
      </c>
      <c r="AH63" t="s">
        <v>2658</v>
      </c>
      <c r="AI63" t="s">
        <v>2616</v>
      </c>
      <c r="AJ63" t="s">
        <v>2660</v>
      </c>
      <c r="AK63" t="s">
        <v>2674</v>
      </c>
      <c r="AL63" t="s">
        <v>2675</v>
      </c>
      <c r="AM63" t="s">
        <v>2616</v>
      </c>
      <c r="AN63" t="s">
        <v>2676</v>
      </c>
      <c r="AO63" t="s">
        <v>2677</v>
      </c>
    </row>
    <row r="64" spans="1:41">
      <c r="A64" s="1" t="s">
        <v>1811</v>
      </c>
      <c r="B64" t="s">
        <v>1812</v>
      </c>
      <c r="C64" t="s">
        <v>1813</v>
      </c>
      <c r="D64" t="s">
        <v>1814</v>
      </c>
      <c r="E64" t="s">
        <v>1815</v>
      </c>
      <c r="F64" t="s">
        <v>1816</v>
      </c>
      <c r="G64" t="s">
        <v>1817</v>
      </c>
      <c r="H64" s="2" t="s">
        <v>1818</v>
      </c>
      <c r="I64" s="2" t="s">
        <v>1819</v>
      </c>
      <c r="J64" t="s">
        <v>1820</v>
      </c>
      <c r="K64" t="s">
        <v>1821</v>
      </c>
      <c r="L64" t="s">
        <v>1822</v>
      </c>
      <c r="M64" t="s">
        <v>1822</v>
      </c>
      <c r="N64" t="s">
        <v>1823</v>
      </c>
      <c r="O64" t="s">
        <v>1824</v>
      </c>
      <c r="P64" t="s">
        <v>1822</v>
      </c>
      <c r="Q64" t="s">
        <v>1825</v>
      </c>
      <c r="R64" t="s">
        <v>1826</v>
      </c>
      <c r="S64" t="s">
        <v>1827</v>
      </c>
      <c r="T64" t="s">
        <v>1828</v>
      </c>
      <c r="U64" t="s">
        <v>1814</v>
      </c>
      <c r="V64" t="s">
        <v>1829</v>
      </c>
      <c r="W64" s="2" t="s">
        <v>1830</v>
      </c>
      <c r="X64" t="s">
        <v>1831</v>
      </c>
      <c r="Y64" t="s">
        <v>1832</v>
      </c>
      <c r="Z64" t="s">
        <v>1833</v>
      </c>
      <c r="AA64" t="s">
        <v>1822</v>
      </c>
      <c r="AB64" t="s">
        <v>1834</v>
      </c>
      <c r="AC64" t="s">
        <v>1835</v>
      </c>
      <c r="AD64" t="s">
        <v>1836</v>
      </c>
      <c r="AE64" t="s">
        <v>1829</v>
      </c>
      <c r="AF64" t="s">
        <v>1837</v>
      </c>
      <c r="AG64" t="s">
        <v>1838</v>
      </c>
      <c r="AH64" t="s">
        <v>1820</v>
      </c>
      <c r="AI64" t="s">
        <v>1829</v>
      </c>
      <c r="AJ64" t="s">
        <v>1839</v>
      </c>
      <c r="AK64" t="s">
        <v>1840</v>
      </c>
      <c r="AL64" t="s">
        <v>1841</v>
      </c>
      <c r="AM64" t="s">
        <v>1842</v>
      </c>
      <c r="AN64" t="s">
        <v>1843</v>
      </c>
      <c r="AO64" t="s">
        <v>1844</v>
      </c>
    </row>
    <row r="65" spans="1:41">
      <c r="A65" s="1" t="s">
        <v>2618</v>
      </c>
      <c r="B65" t="s">
        <v>2678</v>
      </c>
      <c r="C65" t="s">
        <v>2679</v>
      </c>
      <c r="D65" t="s">
        <v>2680</v>
      </c>
      <c r="E65" t="s">
        <v>2681</v>
      </c>
      <c r="F65" t="s">
        <v>2682</v>
      </c>
      <c r="G65" t="s">
        <v>2683</v>
      </c>
      <c r="H65" t="s">
        <v>2684</v>
      </c>
      <c r="I65" t="s">
        <v>2685</v>
      </c>
      <c r="J65" t="s">
        <v>2686</v>
      </c>
      <c r="K65" t="s">
        <v>2687</v>
      </c>
      <c r="L65" t="s">
        <v>2688</v>
      </c>
      <c r="M65" t="s">
        <v>2689</v>
      </c>
      <c r="N65" t="s">
        <v>2690</v>
      </c>
      <c r="O65" t="s">
        <v>2691</v>
      </c>
      <c r="P65" t="s">
        <v>2618</v>
      </c>
      <c r="Q65" t="s">
        <v>2692</v>
      </c>
      <c r="R65" t="s">
        <v>2693</v>
      </c>
      <c r="S65" t="s">
        <v>2694</v>
      </c>
      <c r="T65" t="s">
        <v>2618</v>
      </c>
      <c r="U65" t="s">
        <v>2695</v>
      </c>
      <c r="V65" t="s">
        <v>2618</v>
      </c>
      <c r="W65" t="s">
        <v>2696</v>
      </c>
      <c r="X65" t="s">
        <v>2686</v>
      </c>
      <c r="Y65" t="s">
        <v>2697</v>
      </c>
      <c r="Z65" t="s">
        <v>2698</v>
      </c>
      <c r="AA65" t="s">
        <v>2618</v>
      </c>
      <c r="AB65" t="s">
        <v>2699</v>
      </c>
      <c r="AC65" t="s">
        <v>2700</v>
      </c>
      <c r="AD65" t="s">
        <v>2701</v>
      </c>
      <c r="AE65" t="s">
        <v>2618</v>
      </c>
      <c r="AF65" t="s">
        <v>2702</v>
      </c>
      <c r="AG65" t="s">
        <v>2703</v>
      </c>
      <c r="AH65" t="s">
        <v>2618</v>
      </c>
      <c r="AI65" t="s">
        <v>2618</v>
      </c>
      <c r="AJ65" t="s">
        <v>2688</v>
      </c>
      <c r="AK65" t="s">
        <v>2704</v>
      </c>
      <c r="AL65" t="s">
        <v>2705</v>
      </c>
      <c r="AM65" t="s">
        <v>2706</v>
      </c>
      <c r="AN65" t="s">
        <v>2707</v>
      </c>
      <c r="AO65" t="s">
        <v>2708</v>
      </c>
    </row>
    <row r="66" spans="1:41">
      <c r="A66" t="s">
        <v>1845</v>
      </c>
      <c r="B66" t="s">
        <v>1846</v>
      </c>
      <c r="C66" t="s">
        <v>1847</v>
      </c>
      <c r="D66" t="s">
        <v>1848</v>
      </c>
      <c r="E66" t="s">
        <v>1849</v>
      </c>
      <c r="F66" t="s">
        <v>1850</v>
      </c>
      <c r="G66" t="s">
        <v>1851</v>
      </c>
      <c r="H66" s="2" t="s">
        <v>1852</v>
      </c>
      <c r="I66" s="2" t="s">
        <v>1853</v>
      </c>
      <c r="J66" t="s">
        <v>1854</v>
      </c>
      <c r="K66" t="s">
        <v>1855</v>
      </c>
      <c r="L66" t="s">
        <v>1845</v>
      </c>
      <c r="M66" t="s">
        <v>1856</v>
      </c>
      <c r="N66" t="s">
        <v>1857</v>
      </c>
      <c r="O66" t="s">
        <v>1858</v>
      </c>
      <c r="P66" t="s">
        <v>1845</v>
      </c>
      <c r="Q66" t="s">
        <v>1859</v>
      </c>
      <c r="R66" t="s">
        <v>1860</v>
      </c>
      <c r="S66" t="s">
        <v>1861</v>
      </c>
      <c r="T66" t="s">
        <v>1862</v>
      </c>
      <c r="U66" t="s">
        <v>1845</v>
      </c>
      <c r="V66" t="s">
        <v>1863</v>
      </c>
      <c r="W66" s="2" t="s">
        <v>1864</v>
      </c>
      <c r="X66" t="s">
        <v>1865</v>
      </c>
      <c r="Y66" t="s">
        <v>1866</v>
      </c>
      <c r="Z66" t="s">
        <v>1867</v>
      </c>
      <c r="AA66" t="s">
        <v>1845</v>
      </c>
      <c r="AB66" t="s">
        <v>1868</v>
      </c>
      <c r="AC66" t="s">
        <v>1861</v>
      </c>
      <c r="AD66" t="s">
        <v>1869</v>
      </c>
      <c r="AE66" t="s">
        <v>1861</v>
      </c>
      <c r="AF66" t="s">
        <v>1870</v>
      </c>
      <c r="AG66" t="s">
        <v>1871</v>
      </c>
      <c r="AH66" t="s">
        <v>1865</v>
      </c>
      <c r="AI66" t="s">
        <v>1869</v>
      </c>
      <c r="AJ66" t="s">
        <v>1845</v>
      </c>
      <c r="AK66" t="s">
        <v>1872</v>
      </c>
      <c r="AL66" t="s">
        <v>1873</v>
      </c>
      <c r="AM66" t="s">
        <v>1874</v>
      </c>
      <c r="AN66" t="s">
        <v>1875</v>
      </c>
      <c r="AO66" t="s">
        <v>1876</v>
      </c>
    </row>
    <row r="67" spans="1:41">
      <c r="A67" t="s">
        <v>1877</v>
      </c>
      <c r="B67" t="s">
        <v>1878</v>
      </c>
      <c r="C67" t="s">
        <v>1879</v>
      </c>
      <c r="D67" t="s">
        <v>1880</v>
      </c>
      <c r="E67" t="s">
        <v>1881</v>
      </c>
      <c r="F67" t="s">
        <v>1882</v>
      </c>
      <c r="G67" t="s">
        <v>1883</v>
      </c>
      <c r="H67" s="2" t="s">
        <v>1884</v>
      </c>
      <c r="I67" s="2" t="s">
        <v>1885</v>
      </c>
      <c r="J67" t="s">
        <v>1886</v>
      </c>
      <c r="K67" t="s">
        <v>1887</v>
      </c>
      <c r="L67" t="s">
        <v>1888</v>
      </c>
      <c r="M67" t="s">
        <v>1889</v>
      </c>
      <c r="N67" t="s">
        <v>1890</v>
      </c>
      <c r="O67" t="s">
        <v>1891</v>
      </c>
      <c r="P67" t="s">
        <v>1888</v>
      </c>
      <c r="Q67" t="s">
        <v>1892</v>
      </c>
      <c r="R67" t="s">
        <v>1893</v>
      </c>
      <c r="S67" t="s">
        <v>1877</v>
      </c>
      <c r="T67" t="s">
        <v>1894</v>
      </c>
      <c r="U67" t="s">
        <v>1877</v>
      </c>
      <c r="V67" t="s">
        <v>1895</v>
      </c>
      <c r="W67" s="2" t="s">
        <v>1896</v>
      </c>
      <c r="X67" t="s">
        <v>1886</v>
      </c>
      <c r="Y67" t="s">
        <v>1897</v>
      </c>
      <c r="Z67" t="s">
        <v>1898</v>
      </c>
      <c r="AA67" t="s">
        <v>1894</v>
      </c>
      <c r="AB67" t="s">
        <v>1899</v>
      </c>
      <c r="AC67" t="s">
        <v>1894</v>
      </c>
      <c r="AD67" t="s">
        <v>1900</v>
      </c>
      <c r="AE67" t="s">
        <v>1894</v>
      </c>
      <c r="AF67" t="s">
        <v>1901</v>
      </c>
      <c r="AG67" t="s">
        <v>1902</v>
      </c>
      <c r="AH67" t="s">
        <v>1886</v>
      </c>
      <c r="AI67" t="s">
        <v>1900</v>
      </c>
      <c r="AJ67" t="s">
        <v>1888</v>
      </c>
      <c r="AK67" t="s">
        <v>1903</v>
      </c>
      <c r="AL67" t="s">
        <v>1881</v>
      </c>
      <c r="AM67" t="s">
        <v>1904</v>
      </c>
      <c r="AN67" t="s">
        <v>1905</v>
      </c>
      <c r="AO67" t="s">
        <v>1906</v>
      </c>
    </row>
    <row r="68" spans="1:41">
      <c r="A68" s="1" t="s">
        <v>1907</v>
      </c>
      <c r="B68" t="s">
        <v>1908</v>
      </c>
      <c r="C68" t="s">
        <v>1909</v>
      </c>
      <c r="D68" t="s">
        <v>1910</v>
      </c>
      <c r="E68" t="s">
        <v>1911</v>
      </c>
      <c r="F68" t="s">
        <v>1912</v>
      </c>
      <c r="G68" t="s">
        <v>1913</v>
      </c>
      <c r="H68" s="2" t="s">
        <v>1914</v>
      </c>
      <c r="I68" s="2" t="s">
        <v>1914</v>
      </c>
      <c r="J68" t="s">
        <v>1915</v>
      </c>
      <c r="K68" t="s">
        <v>1916</v>
      </c>
      <c r="L68" t="s">
        <v>1917</v>
      </c>
      <c r="M68" t="s">
        <v>1918</v>
      </c>
      <c r="N68" t="s">
        <v>1919</v>
      </c>
      <c r="O68" t="s">
        <v>1920</v>
      </c>
      <c r="P68" t="s">
        <v>1921</v>
      </c>
      <c r="Q68" t="s">
        <v>1922</v>
      </c>
      <c r="R68" t="s">
        <v>1923</v>
      </c>
      <c r="S68" t="s">
        <v>1924</v>
      </c>
      <c r="T68" t="s">
        <v>1925</v>
      </c>
      <c r="U68" t="s">
        <v>1926</v>
      </c>
      <c r="V68" t="s">
        <v>1927</v>
      </c>
      <c r="W68" s="2" t="s">
        <v>1928</v>
      </c>
      <c r="X68" t="s">
        <v>1929</v>
      </c>
      <c r="Y68" t="s">
        <v>1930</v>
      </c>
      <c r="Z68" t="s">
        <v>1931</v>
      </c>
      <c r="AA68" t="s">
        <v>1917</v>
      </c>
      <c r="AB68" t="s">
        <v>1932</v>
      </c>
      <c r="AC68" t="s">
        <v>1933</v>
      </c>
      <c r="AD68" t="s">
        <v>1934</v>
      </c>
      <c r="AE68" t="s">
        <v>1935</v>
      </c>
      <c r="AF68" t="s">
        <v>1930</v>
      </c>
      <c r="AG68" t="s">
        <v>1916</v>
      </c>
      <c r="AH68" t="s">
        <v>1915</v>
      </c>
      <c r="AI68" t="s">
        <v>1936</v>
      </c>
      <c r="AJ68" t="s">
        <v>1937</v>
      </c>
      <c r="AK68" t="s">
        <v>1938</v>
      </c>
      <c r="AL68" t="s">
        <v>1911</v>
      </c>
      <c r="AM68" t="s">
        <v>1939</v>
      </c>
      <c r="AN68" t="s">
        <v>1940</v>
      </c>
      <c r="AO68" t="s">
        <v>1941</v>
      </c>
    </row>
    <row r="69" spans="1:41">
      <c r="A69" t="s">
        <v>1942</v>
      </c>
      <c r="B69" t="s">
        <v>1943</v>
      </c>
      <c r="C69" t="s">
        <v>1944</v>
      </c>
      <c r="D69" t="s">
        <v>1945</v>
      </c>
      <c r="E69" t="s">
        <v>1946</v>
      </c>
      <c r="F69" t="s">
        <v>1947</v>
      </c>
      <c r="G69" t="s">
        <v>1948</v>
      </c>
      <c r="H69" s="2" t="s">
        <v>1949</v>
      </c>
      <c r="I69" s="2" t="s">
        <v>1950</v>
      </c>
      <c r="J69" t="s">
        <v>1951</v>
      </c>
      <c r="K69" t="s">
        <v>1952</v>
      </c>
      <c r="L69" t="s">
        <v>1953</v>
      </c>
      <c r="M69" t="s">
        <v>1953</v>
      </c>
      <c r="N69" t="s">
        <v>1954</v>
      </c>
      <c r="O69" t="s">
        <v>1955</v>
      </c>
      <c r="P69" t="s">
        <v>1956</v>
      </c>
      <c r="Q69" t="s">
        <v>1957</v>
      </c>
      <c r="R69" t="s">
        <v>1958</v>
      </c>
      <c r="S69" t="s">
        <v>1959</v>
      </c>
      <c r="T69" t="s">
        <v>1960</v>
      </c>
      <c r="U69" t="s">
        <v>1961</v>
      </c>
      <c r="V69" t="s">
        <v>1942</v>
      </c>
      <c r="W69" s="2" t="s">
        <v>1962</v>
      </c>
      <c r="X69" t="s">
        <v>1951</v>
      </c>
      <c r="Y69" t="s">
        <v>1963</v>
      </c>
      <c r="Z69" t="s">
        <v>1964</v>
      </c>
      <c r="AA69" t="s">
        <v>1956</v>
      </c>
      <c r="AB69" t="s">
        <v>1965</v>
      </c>
      <c r="AC69" t="s">
        <v>1966</v>
      </c>
      <c r="AD69" t="s">
        <v>1948</v>
      </c>
      <c r="AE69" t="s">
        <v>1960</v>
      </c>
      <c r="AF69" t="s">
        <v>1963</v>
      </c>
      <c r="AG69" t="s">
        <v>1967</v>
      </c>
      <c r="AH69" t="s">
        <v>1951</v>
      </c>
      <c r="AI69" t="s">
        <v>1960</v>
      </c>
      <c r="AJ69" t="s">
        <v>1968</v>
      </c>
      <c r="AK69" t="s">
        <v>1969</v>
      </c>
      <c r="AL69" t="s">
        <v>1970</v>
      </c>
      <c r="AM69" t="s">
        <v>1971</v>
      </c>
      <c r="AN69" t="s">
        <v>1972</v>
      </c>
      <c r="AO69" t="s">
        <v>1973</v>
      </c>
    </row>
    <row r="70" spans="1:41">
      <c r="A70" t="s">
        <v>1974</v>
      </c>
      <c r="B70" t="s">
        <v>1974</v>
      </c>
      <c r="C70" t="s">
        <v>1974</v>
      </c>
      <c r="D70" t="s">
        <v>1974</v>
      </c>
      <c r="E70" t="s">
        <v>1974</v>
      </c>
      <c r="F70" t="s">
        <v>1974</v>
      </c>
      <c r="G70" t="s">
        <v>1974</v>
      </c>
      <c r="H70" t="s">
        <v>1974</v>
      </c>
      <c r="I70" t="s">
        <v>1974</v>
      </c>
      <c r="J70" t="s">
        <v>1974</v>
      </c>
      <c r="K70" t="s">
        <v>1974</v>
      </c>
      <c r="L70" t="s">
        <v>1974</v>
      </c>
      <c r="M70" t="s">
        <v>1975</v>
      </c>
      <c r="N70" t="s">
        <v>1974</v>
      </c>
      <c r="O70" t="s">
        <v>1974</v>
      </c>
      <c r="P70" t="s">
        <v>1974</v>
      </c>
      <c r="Q70" t="s">
        <v>1974</v>
      </c>
      <c r="R70" t="s">
        <v>1974</v>
      </c>
      <c r="S70" t="s">
        <v>1974</v>
      </c>
      <c r="T70" t="s">
        <v>1974</v>
      </c>
      <c r="U70" t="s">
        <v>1974</v>
      </c>
      <c r="V70" t="s">
        <v>1974</v>
      </c>
      <c r="W70" t="s">
        <v>1976</v>
      </c>
      <c r="X70" t="s">
        <v>1974</v>
      </c>
      <c r="Y70" t="s">
        <v>1974</v>
      </c>
      <c r="Z70" t="s">
        <v>1974</v>
      </c>
      <c r="AA70" t="s">
        <v>1974</v>
      </c>
      <c r="AB70" t="s">
        <v>1977</v>
      </c>
      <c r="AC70" t="s">
        <v>1974</v>
      </c>
      <c r="AD70" t="s">
        <v>1974</v>
      </c>
      <c r="AE70" t="s">
        <v>1974</v>
      </c>
      <c r="AF70" t="s">
        <v>1974</v>
      </c>
      <c r="AG70" t="s">
        <v>1974</v>
      </c>
      <c r="AH70" t="s">
        <v>1974</v>
      </c>
      <c r="AI70" t="s">
        <v>1974</v>
      </c>
      <c r="AJ70" t="s">
        <v>1974</v>
      </c>
      <c r="AK70" t="s">
        <v>1978</v>
      </c>
      <c r="AL70" t="s">
        <v>1975</v>
      </c>
      <c r="AM70" t="s">
        <v>1974</v>
      </c>
      <c r="AN70" t="s">
        <v>1974</v>
      </c>
      <c r="AO70" t="s">
        <v>1979</v>
      </c>
    </row>
    <row r="71" spans="1:41">
      <c r="A71" t="s">
        <v>1980</v>
      </c>
      <c r="B71" t="s">
        <v>1980</v>
      </c>
      <c r="C71" t="s">
        <v>1980</v>
      </c>
      <c r="D71" t="s">
        <v>1980</v>
      </c>
      <c r="E71" t="s">
        <v>1980</v>
      </c>
      <c r="F71" t="s">
        <v>1980</v>
      </c>
      <c r="G71" t="s">
        <v>1980</v>
      </c>
      <c r="H71" t="s">
        <v>1980</v>
      </c>
      <c r="I71" t="s">
        <v>1980</v>
      </c>
      <c r="J71" t="s">
        <v>1980</v>
      </c>
      <c r="K71" t="s">
        <v>1980</v>
      </c>
      <c r="L71" t="s">
        <v>1980</v>
      </c>
      <c r="M71" t="s">
        <v>1981</v>
      </c>
      <c r="N71" t="s">
        <v>1980</v>
      </c>
      <c r="O71" t="s">
        <v>1980</v>
      </c>
      <c r="P71" t="s">
        <v>1980</v>
      </c>
      <c r="Q71" t="s">
        <v>1980</v>
      </c>
      <c r="R71" t="s">
        <v>1980</v>
      </c>
      <c r="S71" t="s">
        <v>1980</v>
      </c>
      <c r="T71" t="s">
        <v>1980</v>
      </c>
      <c r="U71" t="s">
        <v>1980</v>
      </c>
      <c r="V71" t="s">
        <v>1980</v>
      </c>
      <c r="W71" t="s">
        <v>1982</v>
      </c>
      <c r="X71" t="s">
        <v>1980</v>
      </c>
      <c r="Y71" t="s">
        <v>1980</v>
      </c>
      <c r="Z71" t="s">
        <v>1980</v>
      </c>
      <c r="AA71" t="s">
        <v>1980</v>
      </c>
      <c r="AB71" t="s">
        <v>1983</v>
      </c>
      <c r="AC71" t="s">
        <v>1980</v>
      </c>
      <c r="AD71" t="s">
        <v>1980</v>
      </c>
      <c r="AE71" t="s">
        <v>1980</v>
      </c>
      <c r="AF71" t="s">
        <v>1980</v>
      </c>
      <c r="AG71" t="s">
        <v>1980</v>
      </c>
      <c r="AH71" t="s">
        <v>1980</v>
      </c>
      <c r="AI71" t="s">
        <v>1980</v>
      </c>
      <c r="AJ71" t="s">
        <v>1980</v>
      </c>
      <c r="AK71" t="s">
        <v>1984</v>
      </c>
      <c r="AL71" t="s">
        <v>1981</v>
      </c>
      <c r="AM71" t="s">
        <v>1980</v>
      </c>
      <c r="AN71" t="s">
        <v>1980</v>
      </c>
      <c r="AO71" t="s">
        <v>1985</v>
      </c>
    </row>
    <row r="72" spans="1:41">
      <c r="A72" t="s">
        <v>1986</v>
      </c>
      <c r="B72" t="s">
        <v>1986</v>
      </c>
      <c r="C72" t="s">
        <v>1986</v>
      </c>
      <c r="D72" t="s">
        <v>1986</v>
      </c>
      <c r="E72" t="s">
        <v>1986</v>
      </c>
      <c r="F72" t="s">
        <v>1986</v>
      </c>
      <c r="G72" t="s">
        <v>1986</v>
      </c>
      <c r="H72" t="s">
        <v>1986</v>
      </c>
      <c r="I72" t="s">
        <v>1986</v>
      </c>
      <c r="J72" t="s">
        <v>1986</v>
      </c>
      <c r="K72" t="s">
        <v>1986</v>
      </c>
      <c r="L72" t="s">
        <v>1986</v>
      </c>
      <c r="M72" t="s">
        <v>1987</v>
      </c>
      <c r="N72" t="s">
        <v>1986</v>
      </c>
      <c r="O72" t="s">
        <v>1986</v>
      </c>
      <c r="P72" t="s">
        <v>1986</v>
      </c>
      <c r="Q72" t="s">
        <v>1986</v>
      </c>
      <c r="R72" t="s">
        <v>1986</v>
      </c>
      <c r="S72" t="s">
        <v>1986</v>
      </c>
      <c r="T72" t="s">
        <v>1986</v>
      </c>
      <c r="U72" t="s">
        <v>1986</v>
      </c>
      <c r="V72" t="s">
        <v>1986</v>
      </c>
      <c r="W72" t="s">
        <v>1988</v>
      </c>
      <c r="X72" t="s">
        <v>1986</v>
      </c>
      <c r="Y72" t="s">
        <v>1986</v>
      </c>
      <c r="Z72" t="s">
        <v>1986</v>
      </c>
      <c r="AA72" t="s">
        <v>1986</v>
      </c>
      <c r="AB72" t="s">
        <v>1989</v>
      </c>
      <c r="AC72" t="s">
        <v>1986</v>
      </c>
      <c r="AD72" t="s">
        <v>1986</v>
      </c>
      <c r="AE72" t="s">
        <v>1986</v>
      </c>
      <c r="AF72" t="s">
        <v>1986</v>
      </c>
      <c r="AG72" t="s">
        <v>1986</v>
      </c>
      <c r="AH72" t="s">
        <v>1986</v>
      </c>
      <c r="AI72" t="s">
        <v>1986</v>
      </c>
      <c r="AJ72" t="s">
        <v>1986</v>
      </c>
      <c r="AK72" t="s">
        <v>1990</v>
      </c>
      <c r="AL72" t="s">
        <v>1987</v>
      </c>
      <c r="AM72" t="s">
        <v>1986</v>
      </c>
      <c r="AN72" t="s">
        <v>1986</v>
      </c>
      <c r="AO72" t="s">
        <v>1991</v>
      </c>
    </row>
    <row r="73" spans="1:41">
      <c r="A73" t="s">
        <v>1992</v>
      </c>
      <c r="B73" t="s">
        <v>1992</v>
      </c>
      <c r="C73" t="s">
        <v>1992</v>
      </c>
      <c r="D73" t="s">
        <v>1992</v>
      </c>
      <c r="E73" t="s">
        <v>1992</v>
      </c>
      <c r="F73" t="s">
        <v>1992</v>
      </c>
      <c r="G73" t="s">
        <v>1992</v>
      </c>
      <c r="H73" t="s">
        <v>1992</v>
      </c>
      <c r="I73" t="s">
        <v>1992</v>
      </c>
      <c r="J73" t="s">
        <v>1992</v>
      </c>
      <c r="K73" t="s">
        <v>1992</v>
      </c>
      <c r="L73" t="s">
        <v>1992</v>
      </c>
      <c r="M73" t="s">
        <v>1993</v>
      </c>
      <c r="N73" t="s">
        <v>1992</v>
      </c>
      <c r="O73" t="s">
        <v>1992</v>
      </c>
      <c r="P73" t="s">
        <v>1992</v>
      </c>
      <c r="Q73" t="s">
        <v>1992</v>
      </c>
      <c r="R73" t="s">
        <v>1992</v>
      </c>
      <c r="S73" t="s">
        <v>1992</v>
      </c>
      <c r="T73" t="s">
        <v>1992</v>
      </c>
      <c r="U73" t="s">
        <v>1992</v>
      </c>
      <c r="V73" t="s">
        <v>1992</v>
      </c>
      <c r="W73" t="s">
        <v>1994</v>
      </c>
      <c r="X73" t="s">
        <v>1992</v>
      </c>
      <c r="Y73" t="s">
        <v>1992</v>
      </c>
      <c r="Z73" t="s">
        <v>1992</v>
      </c>
      <c r="AA73" t="s">
        <v>1992</v>
      </c>
      <c r="AB73" t="s">
        <v>1995</v>
      </c>
      <c r="AC73" t="s">
        <v>1992</v>
      </c>
      <c r="AD73" t="s">
        <v>1992</v>
      </c>
      <c r="AE73" t="s">
        <v>1992</v>
      </c>
      <c r="AF73" t="s">
        <v>1992</v>
      </c>
      <c r="AG73" t="s">
        <v>1992</v>
      </c>
      <c r="AH73" t="s">
        <v>1992</v>
      </c>
      <c r="AI73" t="s">
        <v>1992</v>
      </c>
      <c r="AJ73" t="s">
        <v>1992</v>
      </c>
      <c r="AK73" t="s">
        <v>1996</v>
      </c>
      <c r="AL73" t="s">
        <v>1993</v>
      </c>
      <c r="AM73" t="s">
        <v>1992</v>
      </c>
      <c r="AN73" t="s">
        <v>1992</v>
      </c>
      <c r="AO73" t="s">
        <v>1997</v>
      </c>
    </row>
    <row r="74" spans="1:41">
      <c r="A74" t="s">
        <v>1998</v>
      </c>
      <c r="B74" t="s">
        <v>1998</v>
      </c>
      <c r="C74" t="s">
        <v>1998</v>
      </c>
      <c r="D74" t="s">
        <v>1998</v>
      </c>
      <c r="E74" t="s">
        <v>1998</v>
      </c>
      <c r="F74" t="s">
        <v>1998</v>
      </c>
      <c r="G74" t="s">
        <v>1998</v>
      </c>
      <c r="H74" t="s">
        <v>1998</v>
      </c>
      <c r="I74" t="s">
        <v>1998</v>
      </c>
      <c r="J74" t="s">
        <v>1998</v>
      </c>
      <c r="K74" t="s">
        <v>1998</v>
      </c>
      <c r="L74" t="s">
        <v>1998</v>
      </c>
      <c r="M74" t="s">
        <v>1999</v>
      </c>
      <c r="N74" t="s">
        <v>1998</v>
      </c>
      <c r="O74" t="s">
        <v>1998</v>
      </c>
      <c r="P74" t="s">
        <v>1998</v>
      </c>
      <c r="Q74" t="s">
        <v>2000</v>
      </c>
      <c r="R74" t="s">
        <v>1998</v>
      </c>
      <c r="S74" t="s">
        <v>1998</v>
      </c>
      <c r="T74" t="s">
        <v>1998</v>
      </c>
      <c r="U74" t="s">
        <v>1998</v>
      </c>
      <c r="V74" t="s">
        <v>1998</v>
      </c>
      <c r="W74" t="s">
        <v>2001</v>
      </c>
      <c r="X74" t="s">
        <v>1998</v>
      </c>
      <c r="Y74" t="s">
        <v>1998</v>
      </c>
      <c r="Z74" t="s">
        <v>2002</v>
      </c>
      <c r="AA74" t="s">
        <v>1998</v>
      </c>
      <c r="AB74" t="s">
        <v>2003</v>
      </c>
      <c r="AC74" t="s">
        <v>1998</v>
      </c>
      <c r="AD74" t="s">
        <v>1998</v>
      </c>
      <c r="AE74" t="s">
        <v>1998</v>
      </c>
      <c r="AF74" t="s">
        <v>1998</v>
      </c>
      <c r="AG74" t="s">
        <v>1998</v>
      </c>
      <c r="AH74" t="s">
        <v>1998</v>
      </c>
      <c r="AI74" t="s">
        <v>1998</v>
      </c>
      <c r="AJ74" t="s">
        <v>1998</v>
      </c>
      <c r="AK74" t="s">
        <v>2004</v>
      </c>
      <c r="AL74" t="s">
        <v>1999</v>
      </c>
      <c r="AM74" t="s">
        <v>1998</v>
      </c>
      <c r="AN74" t="s">
        <v>1998</v>
      </c>
      <c r="AO74" t="s">
        <v>2005</v>
      </c>
    </row>
    <row r="75" spans="1:41">
      <c r="A75" t="s">
        <v>2006</v>
      </c>
      <c r="B75" t="s">
        <v>2006</v>
      </c>
      <c r="C75" t="s">
        <v>2006</v>
      </c>
      <c r="D75" t="s">
        <v>2006</v>
      </c>
      <c r="E75" t="s">
        <v>2006</v>
      </c>
      <c r="F75" t="s">
        <v>2006</v>
      </c>
      <c r="G75" t="s">
        <v>2006</v>
      </c>
      <c r="H75" t="s">
        <v>2006</v>
      </c>
      <c r="I75" t="s">
        <v>2006</v>
      </c>
      <c r="J75" t="s">
        <v>2006</v>
      </c>
      <c r="K75" t="s">
        <v>2006</v>
      </c>
      <c r="L75" t="s">
        <v>2006</v>
      </c>
      <c r="M75" t="s">
        <v>2007</v>
      </c>
      <c r="N75" t="s">
        <v>2006</v>
      </c>
      <c r="O75" t="s">
        <v>2006</v>
      </c>
      <c r="P75" t="s">
        <v>2006</v>
      </c>
      <c r="Q75" t="s">
        <v>2008</v>
      </c>
      <c r="R75" t="s">
        <v>2006</v>
      </c>
      <c r="S75" t="s">
        <v>2006</v>
      </c>
      <c r="T75" t="s">
        <v>2006</v>
      </c>
      <c r="U75" t="s">
        <v>2006</v>
      </c>
      <c r="V75" t="s">
        <v>2006</v>
      </c>
      <c r="W75" t="s">
        <v>2009</v>
      </c>
      <c r="X75" t="s">
        <v>2006</v>
      </c>
      <c r="Y75" t="s">
        <v>2006</v>
      </c>
      <c r="Z75" t="s">
        <v>2010</v>
      </c>
      <c r="AA75" t="s">
        <v>2006</v>
      </c>
      <c r="AB75" t="s">
        <v>2011</v>
      </c>
      <c r="AC75" t="s">
        <v>2006</v>
      </c>
      <c r="AD75" t="s">
        <v>2006</v>
      </c>
      <c r="AE75" t="s">
        <v>2006</v>
      </c>
      <c r="AF75" t="s">
        <v>2006</v>
      </c>
      <c r="AG75" t="s">
        <v>2006</v>
      </c>
      <c r="AH75" t="s">
        <v>2006</v>
      </c>
      <c r="AI75" t="s">
        <v>2006</v>
      </c>
      <c r="AJ75" t="s">
        <v>2006</v>
      </c>
      <c r="AK75" t="s">
        <v>2012</v>
      </c>
      <c r="AL75" t="s">
        <v>2007</v>
      </c>
      <c r="AM75" t="s">
        <v>2006</v>
      </c>
      <c r="AN75" t="s">
        <v>2006</v>
      </c>
      <c r="AO75" t="s">
        <v>2013</v>
      </c>
    </row>
    <row r="76" spans="1:41">
      <c r="A76" t="s">
        <v>2014</v>
      </c>
      <c r="B76" t="s">
        <v>2014</v>
      </c>
      <c r="C76" t="s">
        <v>2014</v>
      </c>
      <c r="D76" t="s">
        <v>2014</v>
      </c>
      <c r="E76" t="s">
        <v>2014</v>
      </c>
      <c r="F76" t="s">
        <v>2014</v>
      </c>
      <c r="G76" t="s">
        <v>2014</v>
      </c>
      <c r="H76" t="s">
        <v>2014</v>
      </c>
      <c r="I76" t="s">
        <v>2014</v>
      </c>
      <c r="J76" t="s">
        <v>2014</v>
      </c>
      <c r="K76" t="s">
        <v>2014</v>
      </c>
      <c r="L76" t="s">
        <v>2014</v>
      </c>
      <c r="M76" t="s">
        <v>2015</v>
      </c>
      <c r="N76" t="s">
        <v>2014</v>
      </c>
      <c r="O76" t="s">
        <v>2014</v>
      </c>
      <c r="P76" t="s">
        <v>2014</v>
      </c>
      <c r="Q76" t="s">
        <v>2016</v>
      </c>
      <c r="R76" t="s">
        <v>2014</v>
      </c>
      <c r="S76" t="s">
        <v>2014</v>
      </c>
      <c r="T76" t="s">
        <v>2014</v>
      </c>
      <c r="U76" t="s">
        <v>2014</v>
      </c>
      <c r="V76" t="s">
        <v>2014</v>
      </c>
      <c r="W76" t="s">
        <v>2017</v>
      </c>
      <c r="X76" t="s">
        <v>2014</v>
      </c>
      <c r="Y76" t="s">
        <v>2014</v>
      </c>
      <c r="Z76" t="s">
        <v>2014</v>
      </c>
      <c r="AA76" t="s">
        <v>2014</v>
      </c>
      <c r="AB76" t="s">
        <v>2018</v>
      </c>
      <c r="AC76" t="s">
        <v>2014</v>
      </c>
      <c r="AD76" t="s">
        <v>2014</v>
      </c>
      <c r="AE76" t="s">
        <v>2014</v>
      </c>
      <c r="AF76" t="s">
        <v>2014</v>
      </c>
      <c r="AG76" t="s">
        <v>2014</v>
      </c>
      <c r="AH76" t="s">
        <v>2014</v>
      </c>
      <c r="AI76" t="s">
        <v>2014</v>
      </c>
      <c r="AJ76" t="s">
        <v>2014</v>
      </c>
      <c r="AK76" t="s">
        <v>2019</v>
      </c>
      <c r="AL76" t="s">
        <v>2015</v>
      </c>
      <c r="AM76" t="s">
        <v>2014</v>
      </c>
      <c r="AN76" t="s">
        <v>2014</v>
      </c>
      <c r="AO76" t="s">
        <v>2020</v>
      </c>
    </row>
    <row r="77" spans="1:41">
      <c r="A77" t="s">
        <v>2021</v>
      </c>
      <c r="B77" t="s">
        <v>2021</v>
      </c>
      <c r="C77" t="s">
        <v>2021</v>
      </c>
      <c r="D77" t="s">
        <v>2021</v>
      </c>
      <c r="E77" t="s">
        <v>2021</v>
      </c>
      <c r="F77" t="s">
        <v>2021</v>
      </c>
      <c r="G77" t="s">
        <v>2021</v>
      </c>
      <c r="H77" t="s">
        <v>2021</v>
      </c>
      <c r="I77" t="s">
        <v>2021</v>
      </c>
      <c r="J77" t="s">
        <v>2021</v>
      </c>
      <c r="K77" t="s">
        <v>2021</v>
      </c>
      <c r="L77" t="s">
        <v>2021</v>
      </c>
      <c r="M77" t="s">
        <v>2022</v>
      </c>
      <c r="N77" t="s">
        <v>2021</v>
      </c>
      <c r="O77" t="s">
        <v>2021</v>
      </c>
      <c r="P77" t="s">
        <v>2021</v>
      </c>
      <c r="Q77" t="s">
        <v>2023</v>
      </c>
      <c r="R77" t="s">
        <v>2021</v>
      </c>
      <c r="S77" t="s">
        <v>2021</v>
      </c>
      <c r="T77" t="s">
        <v>2021</v>
      </c>
      <c r="U77" t="s">
        <v>2021</v>
      </c>
      <c r="V77" t="s">
        <v>2021</v>
      </c>
      <c r="W77" t="s">
        <v>2024</v>
      </c>
      <c r="X77" t="s">
        <v>2021</v>
      </c>
      <c r="Y77" t="s">
        <v>2021</v>
      </c>
      <c r="Z77" t="s">
        <v>2021</v>
      </c>
      <c r="AA77" t="s">
        <v>2021</v>
      </c>
      <c r="AB77" t="s">
        <v>2025</v>
      </c>
      <c r="AC77" t="s">
        <v>2021</v>
      </c>
      <c r="AD77" t="s">
        <v>2021</v>
      </c>
      <c r="AE77" t="s">
        <v>2021</v>
      </c>
      <c r="AF77" t="s">
        <v>2021</v>
      </c>
      <c r="AG77" t="s">
        <v>2021</v>
      </c>
      <c r="AH77" t="s">
        <v>2021</v>
      </c>
      <c r="AI77" t="s">
        <v>2021</v>
      </c>
      <c r="AJ77" t="s">
        <v>2021</v>
      </c>
      <c r="AK77" t="s">
        <v>2026</v>
      </c>
      <c r="AL77" t="s">
        <v>2022</v>
      </c>
      <c r="AM77" t="s">
        <v>2021</v>
      </c>
      <c r="AN77" t="s">
        <v>2021</v>
      </c>
      <c r="AO77" t="s">
        <v>2027</v>
      </c>
    </row>
    <row r="78" spans="1:41">
      <c r="A78" t="s">
        <v>2028</v>
      </c>
      <c r="B78" t="s">
        <v>2028</v>
      </c>
      <c r="C78" t="s">
        <v>2028</v>
      </c>
      <c r="D78" t="s">
        <v>2028</v>
      </c>
      <c r="E78" t="s">
        <v>2028</v>
      </c>
      <c r="F78" t="s">
        <v>2028</v>
      </c>
      <c r="G78" t="s">
        <v>2028</v>
      </c>
      <c r="H78" t="s">
        <v>2028</v>
      </c>
      <c r="I78" t="s">
        <v>2028</v>
      </c>
      <c r="J78" t="s">
        <v>2028</v>
      </c>
      <c r="K78" t="s">
        <v>2028</v>
      </c>
      <c r="L78" t="s">
        <v>2028</v>
      </c>
      <c r="M78" t="s">
        <v>2029</v>
      </c>
      <c r="N78" t="s">
        <v>2028</v>
      </c>
      <c r="O78" t="s">
        <v>2028</v>
      </c>
      <c r="P78" t="s">
        <v>2028</v>
      </c>
      <c r="Q78" t="s">
        <v>2030</v>
      </c>
      <c r="R78" t="s">
        <v>2028</v>
      </c>
      <c r="S78" t="s">
        <v>2028</v>
      </c>
      <c r="T78" t="s">
        <v>2028</v>
      </c>
      <c r="U78" t="s">
        <v>2028</v>
      </c>
      <c r="V78" t="s">
        <v>2028</v>
      </c>
      <c r="W78" t="s">
        <v>2031</v>
      </c>
      <c r="X78" t="s">
        <v>2028</v>
      </c>
      <c r="Y78" t="s">
        <v>2028</v>
      </c>
      <c r="Z78" t="s">
        <v>2028</v>
      </c>
      <c r="AA78" t="s">
        <v>2028</v>
      </c>
      <c r="AB78" t="s">
        <v>2032</v>
      </c>
      <c r="AC78" t="s">
        <v>2028</v>
      </c>
      <c r="AD78" t="s">
        <v>2028</v>
      </c>
      <c r="AE78" t="s">
        <v>2028</v>
      </c>
      <c r="AF78" t="s">
        <v>2028</v>
      </c>
      <c r="AG78" t="s">
        <v>2028</v>
      </c>
      <c r="AH78" t="s">
        <v>2028</v>
      </c>
      <c r="AI78" t="s">
        <v>2028</v>
      </c>
      <c r="AJ78" t="s">
        <v>2028</v>
      </c>
      <c r="AK78" t="s">
        <v>2033</v>
      </c>
      <c r="AL78" t="s">
        <v>2029</v>
      </c>
      <c r="AM78" t="s">
        <v>2028</v>
      </c>
      <c r="AN78" t="s">
        <v>2028</v>
      </c>
      <c r="AO78" t="s">
        <v>2034</v>
      </c>
    </row>
    <row r="79" spans="1:41">
      <c r="A79" t="s">
        <v>2035</v>
      </c>
      <c r="B79" t="s">
        <v>2035</v>
      </c>
      <c r="C79" t="s">
        <v>2035</v>
      </c>
      <c r="D79" t="s">
        <v>2035</v>
      </c>
      <c r="E79" t="s">
        <v>2035</v>
      </c>
      <c r="F79" t="s">
        <v>2035</v>
      </c>
      <c r="G79" t="s">
        <v>2035</v>
      </c>
      <c r="H79" t="s">
        <v>2035</v>
      </c>
      <c r="I79" t="s">
        <v>2035</v>
      </c>
      <c r="J79" t="s">
        <v>2035</v>
      </c>
      <c r="K79" t="s">
        <v>2035</v>
      </c>
      <c r="L79" t="s">
        <v>2035</v>
      </c>
      <c r="M79" t="s">
        <v>2036</v>
      </c>
      <c r="N79" t="s">
        <v>2035</v>
      </c>
      <c r="O79" t="s">
        <v>2035</v>
      </c>
      <c r="P79" t="s">
        <v>2035</v>
      </c>
      <c r="Q79" t="s">
        <v>2037</v>
      </c>
      <c r="R79" t="s">
        <v>2035</v>
      </c>
      <c r="S79" t="s">
        <v>2035</v>
      </c>
      <c r="T79" t="s">
        <v>2035</v>
      </c>
      <c r="U79" t="s">
        <v>2035</v>
      </c>
      <c r="V79" t="s">
        <v>2035</v>
      </c>
      <c r="W79" t="s">
        <v>2038</v>
      </c>
      <c r="X79" t="s">
        <v>2035</v>
      </c>
      <c r="Y79" t="s">
        <v>2035</v>
      </c>
      <c r="Z79" t="s">
        <v>2035</v>
      </c>
      <c r="AA79" t="s">
        <v>2035</v>
      </c>
      <c r="AB79" t="s">
        <v>2039</v>
      </c>
      <c r="AC79" t="s">
        <v>2035</v>
      </c>
      <c r="AD79" t="s">
        <v>2035</v>
      </c>
      <c r="AE79" t="s">
        <v>2035</v>
      </c>
      <c r="AF79" t="s">
        <v>2035</v>
      </c>
      <c r="AG79" t="s">
        <v>2035</v>
      </c>
      <c r="AH79" t="s">
        <v>2035</v>
      </c>
      <c r="AI79" t="s">
        <v>2035</v>
      </c>
      <c r="AJ79" t="s">
        <v>2035</v>
      </c>
      <c r="AK79" t="s">
        <v>2040</v>
      </c>
      <c r="AL79" t="s">
        <v>2036</v>
      </c>
      <c r="AM79" t="s">
        <v>2035</v>
      </c>
      <c r="AN79" t="s">
        <v>2035</v>
      </c>
      <c r="AO79" t="s">
        <v>2041</v>
      </c>
    </row>
    <row r="80" spans="1:41">
      <c r="A80" t="s">
        <v>2042</v>
      </c>
      <c r="B80" t="s">
        <v>2042</v>
      </c>
      <c r="C80" t="s">
        <v>2042</v>
      </c>
      <c r="D80" t="s">
        <v>2042</v>
      </c>
      <c r="E80" t="s">
        <v>2042</v>
      </c>
      <c r="F80" t="s">
        <v>2042</v>
      </c>
      <c r="G80" t="s">
        <v>2042</v>
      </c>
      <c r="H80" t="s">
        <v>2042</v>
      </c>
      <c r="I80" t="s">
        <v>2042</v>
      </c>
      <c r="J80" t="s">
        <v>2042</v>
      </c>
      <c r="K80" t="s">
        <v>2042</v>
      </c>
      <c r="L80" t="s">
        <v>2042</v>
      </c>
      <c r="M80" t="s">
        <v>2043</v>
      </c>
      <c r="N80" t="s">
        <v>2042</v>
      </c>
      <c r="O80" t="s">
        <v>2042</v>
      </c>
      <c r="P80" t="s">
        <v>2042</v>
      </c>
      <c r="Q80" t="s">
        <v>2044</v>
      </c>
      <c r="R80" t="s">
        <v>2042</v>
      </c>
      <c r="S80" t="s">
        <v>2042</v>
      </c>
      <c r="T80" t="s">
        <v>2042</v>
      </c>
      <c r="U80" t="s">
        <v>2042</v>
      </c>
      <c r="V80" t="s">
        <v>2042</v>
      </c>
      <c r="W80" t="s">
        <v>2045</v>
      </c>
      <c r="X80" t="s">
        <v>2042</v>
      </c>
      <c r="Y80" t="s">
        <v>2042</v>
      </c>
      <c r="Z80" t="s">
        <v>2042</v>
      </c>
      <c r="AA80" t="s">
        <v>2042</v>
      </c>
      <c r="AB80" t="s">
        <v>2046</v>
      </c>
      <c r="AC80" t="s">
        <v>2042</v>
      </c>
      <c r="AD80" t="s">
        <v>2042</v>
      </c>
      <c r="AE80" t="s">
        <v>2042</v>
      </c>
      <c r="AF80" t="s">
        <v>2042</v>
      </c>
      <c r="AG80" t="s">
        <v>2042</v>
      </c>
      <c r="AH80" t="s">
        <v>2042</v>
      </c>
      <c r="AI80" t="s">
        <v>2042</v>
      </c>
      <c r="AJ80" t="s">
        <v>2042</v>
      </c>
      <c r="AK80" t="s">
        <v>2047</v>
      </c>
      <c r="AL80" t="s">
        <v>2043</v>
      </c>
      <c r="AM80" t="s">
        <v>2042</v>
      </c>
      <c r="AN80" t="s">
        <v>2042</v>
      </c>
      <c r="AO80" t="s">
        <v>2048</v>
      </c>
    </row>
    <row r="81" spans="1:41">
      <c r="A81" t="s">
        <v>2049</v>
      </c>
      <c r="B81" t="s">
        <v>2049</v>
      </c>
      <c r="C81" t="s">
        <v>2049</v>
      </c>
      <c r="D81" t="s">
        <v>2049</v>
      </c>
      <c r="E81" t="s">
        <v>2049</v>
      </c>
      <c r="F81" t="s">
        <v>2049</v>
      </c>
      <c r="G81" t="s">
        <v>2049</v>
      </c>
      <c r="H81" t="s">
        <v>2049</v>
      </c>
      <c r="I81" t="s">
        <v>2049</v>
      </c>
      <c r="J81" t="s">
        <v>2049</v>
      </c>
      <c r="K81" t="s">
        <v>2049</v>
      </c>
      <c r="L81" t="s">
        <v>2049</v>
      </c>
      <c r="M81" t="s">
        <v>2050</v>
      </c>
      <c r="N81" t="s">
        <v>2049</v>
      </c>
      <c r="O81" t="s">
        <v>2049</v>
      </c>
      <c r="P81" t="s">
        <v>2049</v>
      </c>
      <c r="Q81" t="s">
        <v>2051</v>
      </c>
      <c r="R81" t="s">
        <v>2049</v>
      </c>
      <c r="S81" t="s">
        <v>2049</v>
      </c>
      <c r="T81" t="s">
        <v>2049</v>
      </c>
      <c r="U81" t="s">
        <v>2049</v>
      </c>
      <c r="V81" t="s">
        <v>2049</v>
      </c>
      <c r="W81" t="s">
        <v>2052</v>
      </c>
      <c r="X81" t="s">
        <v>2049</v>
      </c>
      <c r="Y81" t="s">
        <v>2049</v>
      </c>
      <c r="Z81" t="s">
        <v>2049</v>
      </c>
      <c r="AA81" t="s">
        <v>2049</v>
      </c>
      <c r="AB81" t="s">
        <v>2053</v>
      </c>
      <c r="AC81" t="s">
        <v>2049</v>
      </c>
      <c r="AD81" t="s">
        <v>2049</v>
      </c>
      <c r="AE81" t="s">
        <v>2049</v>
      </c>
      <c r="AF81" t="s">
        <v>2049</v>
      </c>
      <c r="AG81" t="s">
        <v>2049</v>
      </c>
      <c r="AH81" t="s">
        <v>2049</v>
      </c>
      <c r="AI81" t="s">
        <v>2049</v>
      </c>
      <c r="AJ81" t="s">
        <v>2049</v>
      </c>
      <c r="AK81" t="s">
        <v>2054</v>
      </c>
      <c r="AL81" t="s">
        <v>2050</v>
      </c>
      <c r="AM81" t="s">
        <v>2049</v>
      </c>
      <c r="AN81" t="s">
        <v>2049</v>
      </c>
      <c r="AO81" t="s">
        <v>2055</v>
      </c>
    </row>
    <row r="82" spans="1:41">
      <c r="A82" t="s">
        <v>2056</v>
      </c>
      <c r="B82" t="s">
        <v>2056</v>
      </c>
      <c r="C82" t="s">
        <v>2056</v>
      </c>
      <c r="D82" t="s">
        <v>2056</v>
      </c>
      <c r="E82" t="s">
        <v>2056</v>
      </c>
      <c r="F82" t="s">
        <v>2056</v>
      </c>
      <c r="G82" t="s">
        <v>2056</v>
      </c>
      <c r="H82" t="s">
        <v>2056</v>
      </c>
      <c r="I82" t="s">
        <v>2056</v>
      </c>
      <c r="J82" t="s">
        <v>2056</v>
      </c>
      <c r="K82" t="s">
        <v>2056</v>
      </c>
      <c r="L82" t="s">
        <v>2056</v>
      </c>
      <c r="M82" t="s">
        <v>2057</v>
      </c>
      <c r="N82" t="s">
        <v>2056</v>
      </c>
      <c r="O82" t="s">
        <v>2056</v>
      </c>
      <c r="P82" t="s">
        <v>2056</v>
      </c>
      <c r="Q82" t="s">
        <v>2058</v>
      </c>
      <c r="R82" t="s">
        <v>2056</v>
      </c>
      <c r="S82" t="s">
        <v>2056</v>
      </c>
      <c r="T82" t="s">
        <v>2056</v>
      </c>
      <c r="U82" t="s">
        <v>2056</v>
      </c>
      <c r="V82" t="s">
        <v>2056</v>
      </c>
      <c r="W82" t="s">
        <v>2059</v>
      </c>
      <c r="X82" t="s">
        <v>2056</v>
      </c>
      <c r="Y82" t="s">
        <v>2056</v>
      </c>
      <c r="Z82" t="s">
        <v>2060</v>
      </c>
      <c r="AA82" t="s">
        <v>2056</v>
      </c>
      <c r="AB82" t="s">
        <v>2061</v>
      </c>
      <c r="AC82" t="s">
        <v>2056</v>
      </c>
      <c r="AD82" t="s">
        <v>2056</v>
      </c>
      <c r="AE82" t="s">
        <v>2056</v>
      </c>
      <c r="AF82" t="s">
        <v>2056</v>
      </c>
      <c r="AG82" t="s">
        <v>2056</v>
      </c>
      <c r="AH82" t="s">
        <v>2056</v>
      </c>
      <c r="AI82" t="s">
        <v>2056</v>
      </c>
      <c r="AJ82" t="s">
        <v>2056</v>
      </c>
      <c r="AK82" t="s">
        <v>2062</v>
      </c>
      <c r="AL82" t="s">
        <v>2057</v>
      </c>
      <c r="AM82" t="s">
        <v>2056</v>
      </c>
      <c r="AN82" t="s">
        <v>2056</v>
      </c>
      <c r="AO82" t="s">
        <v>2063</v>
      </c>
    </row>
    <row r="83" spans="1:41">
      <c r="A83" t="s">
        <v>2064</v>
      </c>
      <c r="B83" t="s">
        <v>2064</v>
      </c>
      <c r="C83" t="s">
        <v>2064</v>
      </c>
      <c r="D83" t="s">
        <v>2064</v>
      </c>
      <c r="E83" t="s">
        <v>2064</v>
      </c>
      <c r="F83" t="s">
        <v>2064</v>
      </c>
      <c r="G83" t="s">
        <v>2064</v>
      </c>
      <c r="H83" t="s">
        <v>2064</v>
      </c>
      <c r="I83" t="s">
        <v>2064</v>
      </c>
      <c r="J83" t="s">
        <v>2064</v>
      </c>
      <c r="K83" t="s">
        <v>2064</v>
      </c>
      <c r="L83" t="s">
        <v>2064</v>
      </c>
      <c r="M83" t="s">
        <v>2065</v>
      </c>
      <c r="N83" t="s">
        <v>2064</v>
      </c>
      <c r="O83" t="s">
        <v>2064</v>
      </c>
      <c r="P83" t="s">
        <v>2064</v>
      </c>
      <c r="Q83" t="s">
        <v>2066</v>
      </c>
      <c r="R83" t="s">
        <v>2064</v>
      </c>
      <c r="S83" t="s">
        <v>2064</v>
      </c>
      <c r="T83" t="s">
        <v>2064</v>
      </c>
      <c r="U83" t="s">
        <v>2064</v>
      </c>
      <c r="V83" t="s">
        <v>2064</v>
      </c>
      <c r="W83" t="s">
        <v>2067</v>
      </c>
      <c r="X83" t="s">
        <v>2064</v>
      </c>
      <c r="Y83" t="s">
        <v>2064</v>
      </c>
      <c r="Z83" t="s">
        <v>2068</v>
      </c>
      <c r="AA83" t="s">
        <v>2064</v>
      </c>
      <c r="AB83" t="s">
        <v>2069</v>
      </c>
      <c r="AC83" t="s">
        <v>2064</v>
      </c>
      <c r="AD83" t="s">
        <v>2064</v>
      </c>
      <c r="AE83" t="s">
        <v>2064</v>
      </c>
      <c r="AF83" t="s">
        <v>2064</v>
      </c>
      <c r="AG83" t="s">
        <v>2064</v>
      </c>
      <c r="AH83" t="s">
        <v>2064</v>
      </c>
      <c r="AI83" t="s">
        <v>2064</v>
      </c>
      <c r="AJ83" t="s">
        <v>2064</v>
      </c>
      <c r="AK83" t="s">
        <v>2070</v>
      </c>
      <c r="AL83" t="s">
        <v>2065</v>
      </c>
      <c r="AM83" t="s">
        <v>2064</v>
      </c>
      <c r="AN83" t="s">
        <v>2064</v>
      </c>
      <c r="AO83" t="s">
        <v>2071</v>
      </c>
    </row>
    <row r="84" spans="1:41">
      <c r="A84" t="s">
        <v>2072</v>
      </c>
      <c r="B84" t="s">
        <v>2072</v>
      </c>
      <c r="C84" t="s">
        <v>2072</v>
      </c>
      <c r="D84" t="s">
        <v>2072</v>
      </c>
      <c r="E84" t="s">
        <v>2072</v>
      </c>
      <c r="F84" t="s">
        <v>2072</v>
      </c>
      <c r="G84" t="s">
        <v>2072</v>
      </c>
      <c r="H84" t="s">
        <v>2072</v>
      </c>
      <c r="I84" t="s">
        <v>2072</v>
      </c>
      <c r="J84" t="s">
        <v>2072</v>
      </c>
      <c r="K84" t="s">
        <v>2072</v>
      </c>
      <c r="L84" t="s">
        <v>2072</v>
      </c>
      <c r="M84" t="s">
        <v>2073</v>
      </c>
      <c r="N84" t="s">
        <v>2072</v>
      </c>
      <c r="O84" t="s">
        <v>2072</v>
      </c>
      <c r="P84" t="s">
        <v>2072</v>
      </c>
      <c r="Q84" t="s">
        <v>2072</v>
      </c>
      <c r="R84" t="s">
        <v>2072</v>
      </c>
      <c r="S84" t="s">
        <v>2072</v>
      </c>
      <c r="T84" t="s">
        <v>2072</v>
      </c>
      <c r="U84" t="s">
        <v>2072</v>
      </c>
      <c r="V84" t="s">
        <v>2072</v>
      </c>
      <c r="W84" t="s">
        <v>2074</v>
      </c>
      <c r="X84" t="s">
        <v>2072</v>
      </c>
      <c r="Y84" t="s">
        <v>2072</v>
      </c>
      <c r="Z84" t="s">
        <v>2075</v>
      </c>
      <c r="AA84" t="s">
        <v>2072</v>
      </c>
      <c r="AB84" t="s">
        <v>2076</v>
      </c>
      <c r="AC84" t="s">
        <v>2072</v>
      </c>
      <c r="AD84" t="s">
        <v>2072</v>
      </c>
      <c r="AE84" t="s">
        <v>2072</v>
      </c>
      <c r="AF84" t="s">
        <v>2072</v>
      </c>
      <c r="AG84" t="s">
        <v>2072</v>
      </c>
      <c r="AH84" t="s">
        <v>2072</v>
      </c>
      <c r="AI84" t="s">
        <v>2072</v>
      </c>
      <c r="AJ84" t="s">
        <v>2072</v>
      </c>
      <c r="AK84" t="s">
        <v>2077</v>
      </c>
      <c r="AL84" t="s">
        <v>2073</v>
      </c>
      <c r="AM84" t="s">
        <v>2072</v>
      </c>
      <c r="AN84" t="s">
        <v>2072</v>
      </c>
      <c r="AO84" t="s">
        <v>2078</v>
      </c>
    </row>
    <row r="85" spans="1:41">
      <c r="A85" t="s">
        <v>2079</v>
      </c>
      <c r="B85" t="s">
        <v>2079</v>
      </c>
      <c r="C85" t="s">
        <v>2079</v>
      </c>
      <c r="D85" t="s">
        <v>2079</v>
      </c>
      <c r="E85" t="s">
        <v>2079</v>
      </c>
      <c r="F85" t="s">
        <v>2079</v>
      </c>
      <c r="G85" t="s">
        <v>2079</v>
      </c>
      <c r="H85" t="s">
        <v>2079</v>
      </c>
      <c r="I85" t="s">
        <v>2079</v>
      </c>
      <c r="J85" t="s">
        <v>2079</v>
      </c>
      <c r="K85" t="s">
        <v>2079</v>
      </c>
      <c r="L85" t="s">
        <v>2079</v>
      </c>
      <c r="M85" t="s">
        <v>2080</v>
      </c>
      <c r="N85" t="s">
        <v>2079</v>
      </c>
      <c r="O85" t="s">
        <v>2079</v>
      </c>
      <c r="P85" t="s">
        <v>2079</v>
      </c>
      <c r="Q85" t="s">
        <v>2079</v>
      </c>
      <c r="R85" t="s">
        <v>2079</v>
      </c>
      <c r="S85" t="s">
        <v>2079</v>
      </c>
      <c r="T85" t="s">
        <v>2079</v>
      </c>
      <c r="U85" t="s">
        <v>2079</v>
      </c>
      <c r="V85" t="s">
        <v>2079</v>
      </c>
      <c r="W85" t="s">
        <v>2081</v>
      </c>
      <c r="X85" t="s">
        <v>2079</v>
      </c>
      <c r="Y85" t="s">
        <v>2079</v>
      </c>
      <c r="Z85" t="s">
        <v>2075</v>
      </c>
      <c r="AA85" t="s">
        <v>2079</v>
      </c>
      <c r="AB85" t="s">
        <v>2082</v>
      </c>
      <c r="AC85" t="s">
        <v>2079</v>
      </c>
      <c r="AD85" t="s">
        <v>2079</v>
      </c>
      <c r="AE85" t="s">
        <v>2079</v>
      </c>
      <c r="AF85" t="s">
        <v>2079</v>
      </c>
      <c r="AG85" t="s">
        <v>2079</v>
      </c>
      <c r="AH85" t="s">
        <v>2079</v>
      </c>
      <c r="AI85" t="s">
        <v>2079</v>
      </c>
      <c r="AJ85" t="s">
        <v>2079</v>
      </c>
      <c r="AK85" t="s">
        <v>2083</v>
      </c>
      <c r="AL85" t="s">
        <v>2080</v>
      </c>
      <c r="AM85" t="s">
        <v>2079</v>
      </c>
      <c r="AN85" t="s">
        <v>2079</v>
      </c>
      <c r="AO85" t="s">
        <v>2084</v>
      </c>
    </row>
    <row r="86" spans="1:41">
      <c r="A86" t="s">
        <v>2085</v>
      </c>
      <c r="B86" t="s">
        <v>2086</v>
      </c>
      <c r="C86" t="s">
        <v>2085</v>
      </c>
      <c r="D86" t="s">
        <v>2085</v>
      </c>
      <c r="E86" t="s">
        <v>2087</v>
      </c>
      <c r="F86" t="s">
        <v>2085</v>
      </c>
      <c r="G86" t="s">
        <v>2088</v>
      </c>
      <c r="H86" t="s">
        <v>2089</v>
      </c>
      <c r="I86" t="s">
        <v>2085</v>
      </c>
      <c r="J86" t="s">
        <v>2085</v>
      </c>
      <c r="K86" t="s">
        <v>2090</v>
      </c>
      <c r="L86" t="s">
        <v>2090</v>
      </c>
      <c r="M86" t="s">
        <v>2085</v>
      </c>
      <c r="N86" t="s">
        <v>2085</v>
      </c>
      <c r="O86" t="s">
        <v>2091</v>
      </c>
      <c r="P86" t="s">
        <v>2085</v>
      </c>
      <c r="Q86" t="s">
        <v>2092</v>
      </c>
      <c r="R86" t="s">
        <v>2085</v>
      </c>
      <c r="S86" t="s">
        <v>2093</v>
      </c>
      <c r="T86" t="s">
        <v>2085</v>
      </c>
      <c r="U86" t="s">
        <v>2085</v>
      </c>
      <c r="V86" t="s">
        <v>2085</v>
      </c>
      <c r="W86" t="s">
        <v>2094</v>
      </c>
      <c r="X86" t="s">
        <v>2095</v>
      </c>
      <c r="Y86" t="s">
        <v>2096</v>
      </c>
      <c r="Z86" t="s">
        <v>2097</v>
      </c>
      <c r="AA86" t="s">
        <v>2090</v>
      </c>
      <c r="AB86" t="s">
        <v>2098</v>
      </c>
      <c r="AC86" t="s">
        <v>2085</v>
      </c>
      <c r="AD86" t="s">
        <v>2085</v>
      </c>
      <c r="AE86" t="s">
        <v>2099</v>
      </c>
      <c r="AF86" t="s">
        <v>2100</v>
      </c>
      <c r="AG86" t="s">
        <v>2090</v>
      </c>
      <c r="AH86" t="s">
        <v>2085</v>
      </c>
      <c r="AI86" t="s">
        <v>2085</v>
      </c>
      <c r="AJ86" t="s">
        <v>2085</v>
      </c>
      <c r="AK86" t="s">
        <v>2101</v>
      </c>
      <c r="AL86" t="s">
        <v>2088</v>
      </c>
      <c r="AM86" t="s">
        <v>2102</v>
      </c>
      <c r="AN86" t="s">
        <v>2103</v>
      </c>
      <c r="AO86" t="s">
        <v>2104</v>
      </c>
    </row>
    <row r="87" spans="1:41">
      <c r="A87" t="s">
        <v>2105</v>
      </c>
      <c r="B87" t="s">
        <v>2106</v>
      </c>
      <c r="C87" t="s">
        <v>2105</v>
      </c>
      <c r="D87" t="s">
        <v>2105</v>
      </c>
      <c r="E87" t="s">
        <v>2107</v>
      </c>
      <c r="F87" t="s">
        <v>2105</v>
      </c>
      <c r="G87" t="s">
        <v>2108</v>
      </c>
      <c r="H87" t="s">
        <v>2109</v>
      </c>
      <c r="I87" t="s">
        <v>2105</v>
      </c>
      <c r="J87" t="s">
        <v>2105</v>
      </c>
      <c r="K87" t="s">
        <v>2110</v>
      </c>
      <c r="L87" t="s">
        <v>2110</v>
      </c>
      <c r="M87" t="s">
        <v>2105</v>
      </c>
      <c r="N87" t="s">
        <v>2105</v>
      </c>
      <c r="O87" t="s">
        <v>2111</v>
      </c>
      <c r="P87" t="s">
        <v>2105</v>
      </c>
      <c r="Q87" t="s">
        <v>2112</v>
      </c>
      <c r="R87" t="s">
        <v>2105</v>
      </c>
      <c r="S87" t="s">
        <v>2113</v>
      </c>
      <c r="T87" t="s">
        <v>2105</v>
      </c>
      <c r="U87" t="s">
        <v>2105</v>
      </c>
      <c r="V87" t="s">
        <v>2105</v>
      </c>
      <c r="W87" t="s">
        <v>2114</v>
      </c>
      <c r="X87" t="s">
        <v>2115</v>
      </c>
      <c r="Y87" t="s">
        <v>2116</v>
      </c>
      <c r="Z87" t="s">
        <v>2117</v>
      </c>
      <c r="AA87" t="s">
        <v>2110</v>
      </c>
      <c r="AB87" t="s">
        <v>2118</v>
      </c>
      <c r="AC87" t="s">
        <v>2105</v>
      </c>
      <c r="AD87" t="s">
        <v>2105</v>
      </c>
      <c r="AE87" t="s">
        <v>2119</v>
      </c>
      <c r="AF87" t="s">
        <v>2120</v>
      </c>
      <c r="AG87" t="s">
        <v>2110</v>
      </c>
      <c r="AH87" t="s">
        <v>2105</v>
      </c>
      <c r="AI87" t="s">
        <v>2105</v>
      </c>
      <c r="AJ87" t="s">
        <v>2105</v>
      </c>
      <c r="AK87" t="s">
        <v>2121</v>
      </c>
      <c r="AL87" t="s">
        <v>2108</v>
      </c>
      <c r="AM87" t="s">
        <v>2122</v>
      </c>
      <c r="AN87" t="s">
        <v>2123</v>
      </c>
      <c r="AO87" t="s">
        <v>2124</v>
      </c>
    </row>
    <row r="88" spans="1:41">
      <c r="A88" t="s">
        <v>2125</v>
      </c>
      <c r="B88" t="s">
        <v>2126</v>
      </c>
      <c r="C88" t="s">
        <v>2125</v>
      </c>
      <c r="D88" t="s">
        <v>2125</v>
      </c>
      <c r="E88" t="s">
        <v>2127</v>
      </c>
      <c r="F88" t="s">
        <v>2125</v>
      </c>
      <c r="G88" t="s">
        <v>2128</v>
      </c>
      <c r="H88" t="s">
        <v>2129</v>
      </c>
      <c r="I88" t="s">
        <v>2125</v>
      </c>
      <c r="J88" t="s">
        <v>2125</v>
      </c>
      <c r="K88" t="s">
        <v>2130</v>
      </c>
      <c r="L88" t="s">
        <v>2130</v>
      </c>
      <c r="M88" t="s">
        <v>2125</v>
      </c>
      <c r="N88" t="s">
        <v>2125</v>
      </c>
      <c r="O88" t="s">
        <v>2131</v>
      </c>
      <c r="P88" t="s">
        <v>2125</v>
      </c>
      <c r="Q88" t="s">
        <v>2132</v>
      </c>
      <c r="R88" t="s">
        <v>2125</v>
      </c>
      <c r="S88" t="s">
        <v>2133</v>
      </c>
      <c r="T88" t="s">
        <v>2125</v>
      </c>
      <c r="U88" t="s">
        <v>2125</v>
      </c>
      <c r="V88" t="s">
        <v>2125</v>
      </c>
      <c r="W88" t="s">
        <v>2134</v>
      </c>
      <c r="X88" t="s">
        <v>2135</v>
      </c>
      <c r="Y88" t="s">
        <v>2136</v>
      </c>
      <c r="Z88" t="s">
        <v>2137</v>
      </c>
      <c r="AA88" t="s">
        <v>2130</v>
      </c>
      <c r="AB88" t="s">
        <v>2138</v>
      </c>
      <c r="AC88" t="s">
        <v>2125</v>
      </c>
      <c r="AD88" t="s">
        <v>2125</v>
      </c>
      <c r="AE88" t="s">
        <v>2139</v>
      </c>
      <c r="AF88" t="s">
        <v>2140</v>
      </c>
      <c r="AG88" t="s">
        <v>2130</v>
      </c>
      <c r="AH88" t="s">
        <v>2125</v>
      </c>
      <c r="AI88" t="s">
        <v>2125</v>
      </c>
      <c r="AJ88" t="s">
        <v>2125</v>
      </c>
      <c r="AK88" t="s">
        <v>2141</v>
      </c>
      <c r="AL88" t="s">
        <v>2128</v>
      </c>
      <c r="AM88" t="s">
        <v>2142</v>
      </c>
      <c r="AN88" t="s">
        <v>2143</v>
      </c>
      <c r="AO88" t="s">
        <v>2144</v>
      </c>
    </row>
    <row r="89" spans="1:41">
      <c r="A89" t="s">
        <v>2145</v>
      </c>
      <c r="B89" t="s">
        <v>2146</v>
      </c>
      <c r="C89" t="s">
        <v>2145</v>
      </c>
      <c r="D89" t="s">
        <v>2145</v>
      </c>
      <c r="E89" t="s">
        <v>2147</v>
      </c>
      <c r="F89" t="s">
        <v>2145</v>
      </c>
      <c r="G89" t="s">
        <v>2148</v>
      </c>
      <c r="H89" t="s">
        <v>2149</v>
      </c>
      <c r="I89" t="s">
        <v>2145</v>
      </c>
      <c r="J89" t="s">
        <v>2145</v>
      </c>
      <c r="K89" t="s">
        <v>2150</v>
      </c>
      <c r="L89" t="s">
        <v>2150</v>
      </c>
      <c r="M89" t="s">
        <v>2145</v>
      </c>
      <c r="N89" t="s">
        <v>2145</v>
      </c>
      <c r="O89" t="s">
        <v>2151</v>
      </c>
      <c r="P89" t="s">
        <v>2145</v>
      </c>
      <c r="Q89" t="s">
        <v>2152</v>
      </c>
      <c r="R89" t="s">
        <v>2145</v>
      </c>
      <c r="S89" t="s">
        <v>2153</v>
      </c>
      <c r="T89" t="s">
        <v>2145</v>
      </c>
      <c r="U89" t="s">
        <v>2145</v>
      </c>
      <c r="V89" t="s">
        <v>2145</v>
      </c>
      <c r="W89" t="s">
        <v>2154</v>
      </c>
      <c r="X89" t="s">
        <v>2155</v>
      </c>
      <c r="Y89" t="s">
        <v>2156</v>
      </c>
      <c r="Z89" t="s">
        <v>2157</v>
      </c>
      <c r="AA89" t="s">
        <v>2150</v>
      </c>
      <c r="AB89" t="s">
        <v>2158</v>
      </c>
      <c r="AC89" t="s">
        <v>2145</v>
      </c>
      <c r="AD89" t="s">
        <v>2145</v>
      </c>
      <c r="AE89" t="s">
        <v>2159</v>
      </c>
      <c r="AF89" t="s">
        <v>2160</v>
      </c>
      <c r="AG89" t="s">
        <v>2150</v>
      </c>
      <c r="AH89" t="s">
        <v>2145</v>
      </c>
      <c r="AI89" t="s">
        <v>2145</v>
      </c>
      <c r="AJ89" t="s">
        <v>2145</v>
      </c>
      <c r="AK89" t="s">
        <v>2161</v>
      </c>
      <c r="AL89" t="s">
        <v>2148</v>
      </c>
      <c r="AM89" t="s">
        <v>2162</v>
      </c>
      <c r="AN89" t="s">
        <v>2163</v>
      </c>
      <c r="AO89" t="s">
        <v>2164</v>
      </c>
    </row>
    <row r="90" spans="1:41">
      <c r="A90" t="s">
        <v>2165</v>
      </c>
      <c r="B90" t="s">
        <v>2166</v>
      </c>
      <c r="C90" t="s">
        <v>2165</v>
      </c>
      <c r="D90" t="s">
        <v>2165</v>
      </c>
      <c r="E90" t="s">
        <v>2167</v>
      </c>
      <c r="F90" t="s">
        <v>2165</v>
      </c>
      <c r="G90" t="s">
        <v>2168</v>
      </c>
      <c r="H90" t="s">
        <v>2169</v>
      </c>
      <c r="I90" t="s">
        <v>2165</v>
      </c>
      <c r="J90" t="s">
        <v>2165</v>
      </c>
      <c r="K90" t="s">
        <v>2170</v>
      </c>
      <c r="L90" t="s">
        <v>2170</v>
      </c>
      <c r="M90" t="s">
        <v>2165</v>
      </c>
      <c r="N90" t="s">
        <v>2165</v>
      </c>
      <c r="O90" t="s">
        <v>2171</v>
      </c>
      <c r="P90" t="s">
        <v>2165</v>
      </c>
      <c r="Q90" t="s">
        <v>2172</v>
      </c>
      <c r="R90" t="s">
        <v>2165</v>
      </c>
      <c r="S90" t="s">
        <v>2173</v>
      </c>
      <c r="T90" t="s">
        <v>2165</v>
      </c>
      <c r="U90" t="s">
        <v>2165</v>
      </c>
      <c r="V90" t="s">
        <v>2165</v>
      </c>
      <c r="W90" t="s">
        <v>2174</v>
      </c>
      <c r="X90" t="s">
        <v>2175</v>
      </c>
      <c r="Y90" t="s">
        <v>2176</v>
      </c>
      <c r="Z90" t="s">
        <v>2177</v>
      </c>
      <c r="AA90" t="s">
        <v>2170</v>
      </c>
      <c r="AB90" t="s">
        <v>2178</v>
      </c>
      <c r="AC90" t="s">
        <v>2165</v>
      </c>
      <c r="AD90" t="s">
        <v>2165</v>
      </c>
      <c r="AE90" t="s">
        <v>2179</v>
      </c>
      <c r="AF90" t="s">
        <v>2180</v>
      </c>
      <c r="AG90" t="s">
        <v>2170</v>
      </c>
      <c r="AH90" t="s">
        <v>2165</v>
      </c>
      <c r="AI90" t="s">
        <v>2165</v>
      </c>
      <c r="AJ90" t="s">
        <v>2165</v>
      </c>
      <c r="AK90" t="s">
        <v>2181</v>
      </c>
      <c r="AL90" t="s">
        <v>2168</v>
      </c>
      <c r="AM90" t="s">
        <v>2182</v>
      </c>
      <c r="AN90" t="s">
        <v>2183</v>
      </c>
      <c r="AO90" t="s">
        <v>2184</v>
      </c>
    </row>
    <row r="91" spans="1:41">
      <c r="A91" t="s">
        <v>2185</v>
      </c>
      <c r="B91" t="s">
        <v>2186</v>
      </c>
      <c r="C91" t="s">
        <v>2185</v>
      </c>
      <c r="D91" t="s">
        <v>2185</v>
      </c>
      <c r="E91" t="s">
        <v>2187</v>
      </c>
      <c r="F91" t="s">
        <v>2185</v>
      </c>
      <c r="G91" t="s">
        <v>2188</v>
      </c>
      <c r="H91" t="s">
        <v>2189</v>
      </c>
      <c r="I91" t="s">
        <v>2185</v>
      </c>
      <c r="J91" t="s">
        <v>2185</v>
      </c>
      <c r="K91" t="s">
        <v>2190</v>
      </c>
      <c r="L91" t="s">
        <v>2190</v>
      </c>
      <c r="M91" t="s">
        <v>2185</v>
      </c>
      <c r="N91" t="s">
        <v>2185</v>
      </c>
      <c r="O91" t="s">
        <v>2191</v>
      </c>
      <c r="P91" t="s">
        <v>2185</v>
      </c>
      <c r="Q91" t="s">
        <v>2192</v>
      </c>
      <c r="R91" t="s">
        <v>2185</v>
      </c>
      <c r="S91" t="s">
        <v>2193</v>
      </c>
      <c r="T91" t="s">
        <v>2185</v>
      </c>
      <c r="U91" t="s">
        <v>2185</v>
      </c>
      <c r="V91" t="s">
        <v>2185</v>
      </c>
      <c r="W91" t="s">
        <v>2194</v>
      </c>
      <c r="X91" t="s">
        <v>2195</v>
      </c>
      <c r="Y91" t="s">
        <v>2196</v>
      </c>
      <c r="Z91" t="s">
        <v>2197</v>
      </c>
      <c r="AA91" t="s">
        <v>2190</v>
      </c>
      <c r="AB91" t="s">
        <v>2198</v>
      </c>
      <c r="AC91" t="s">
        <v>2185</v>
      </c>
      <c r="AD91" t="s">
        <v>2185</v>
      </c>
      <c r="AE91" t="s">
        <v>2199</v>
      </c>
      <c r="AF91" t="s">
        <v>2200</v>
      </c>
      <c r="AG91" t="s">
        <v>2190</v>
      </c>
      <c r="AH91" t="s">
        <v>2185</v>
      </c>
      <c r="AI91" t="s">
        <v>2185</v>
      </c>
      <c r="AJ91" t="s">
        <v>2185</v>
      </c>
      <c r="AK91" t="s">
        <v>2201</v>
      </c>
      <c r="AL91" t="s">
        <v>2188</v>
      </c>
      <c r="AM91" t="s">
        <v>2202</v>
      </c>
      <c r="AN91" t="s">
        <v>2203</v>
      </c>
      <c r="AO91" t="s">
        <v>2204</v>
      </c>
    </row>
    <row r="92" spans="1:41">
      <c r="A92" t="s">
        <v>2205</v>
      </c>
      <c r="B92" t="s">
        <v>2206</v>
      </c>
      <c r="C92" t="s">
        <v>2205</v>
      </c>
      <c r="D92" t="s">
        <v>2205</v>
      </c>
      <c r="E92" t="s">
        <v>2207</v>
      </c>
      <c r="F92" t="s">
        <v>2205</v>
      </c>
      <c r="G92" t="s">
        <v>2208</v>
      </c>
      <c r="H92" t="s">
        <v>2209</v>
      </c>
      <c r="I92" t="s">
        <v>2205</v>
      </c>
      <c r="J92" t="s">
        <v>2205</v>
      </c>
      <c r="K92" t="s">
        <v>2210</v>
      </c>
      <c r="L92" t="s">
        <v>2210</v>
      </c>
      <c r="M92" t="s">
        <v>2205</v>
      </c>
      <c r="N92" t="s">
        <v>2205</v>
      </c>
      <c r="O92" t="s">
        <v>2211</v>
      </c>
      <c r="P92" t="s">
        <v>2205</v>
      </c>
      <c r="Q92" t="s">
        <v>2212</v>
      </c>
      <c r="R92" t="s">
        <v>2205</v>
      </c>
      <c r="S92" t="s">
        <v>2213</v>
      </c>
      <c r="T92" t="s">
        <v>2205</v>
      </c>
      <c r="U92" t="s">
        <v>2205</v>
      </c>
      <c r="V92" t="s">
        <v>2205</v>
      </c>
      <c r="W92" t="s">
        <v>2214</v>
      </c>
      <c r="X92" t="s">
        <v>2215</v>
      </c>
      <c r="Y92" t="s">
        <v>2216</v>
      </c>
      <c r="Z92" t="s">
        <v>2217</v>
      </c>
      <c r="AA92" t="s">
        <v>2210</v>
      </c>
      <c r="AB92" t="s">
        <v>2218</v>
      </c>
      <c r="AC92" t="s">
        <v>2205</v>
      </c>
      <c r="AD92" t="s">
        <v>2205</v>
      </c>
      <c r="AE92" t="s">
        <v>2219</v>
      </c>
      <c r="AF92" t="s">
        <v>2220</v>
      </c>
      <c r="AG92" t="s">
        <v>2210</v>
      </c>
      <c r="AH92" t="s">
        <v>2205</v>
      </c>
      <c r="AI92" t="s">
        <v>2205</v>
      </c>
      <c r="AJ92" t="s">
        <v>2205</v>
      </c>
      <c r="AK92" t="s">
        <v>2221</v>
      </c>
      <c r="AL92" t="s">
        <v>2208</v>
      </c>
      <c r="AM92" t="s">
        <v>2222</v>
      </c>
      <c r="AN92" t="s">
        <v>2223</v>
      </c>
      <c r="AO92" t="s">
        <v>2224</v>
      </c>
    </row>
    <row r="93" spans="1:41">
      <c r="A93" t="s">
        <v>2225</v>
      </c>
      <c r="B93" t="s">
        <v>2226</v>
      </c>
      <c r="C93" t="s">
        <v>2225</v>
      </c>
      <c r="D93" t="s">
        <v>2225</v>
      </c>
      <c r="E93" t="s">
        <v>2227</v>
      </c>
      <c r="F93" t="s">
        <v>2225</v>
      </c>
      <c r="G93" t="s">
        <v>2228</v>
      </c>
      <c r="H93" t="s">
        <v>2229</v>
      </c>
      <c r="I93" t="s">
        <v>2225</v>
      </c>
      <c r="J93" t="s">
        <v>2225</v>
      </c>
      <c r="K93" t="s">
        <v>2230</v>
      </c>
      <c r="L93" t="s">
        <v>2230</v>
      </c>
      <c r="M93" t="s">
        <v>2225</v>
      </c>
      <c r="N93" t="s">
        <v>2225</v>
      </c>
      <c r="O93" t="s">
        <v>2231</v>
      </c>
      <c r="P93" t="s">
        <v>2225</v>
      </c>
      <c r="Q93" t="s">
        <v>2232</v>
      </c>
      <c r="R93" t="s">
        <v>2225</v>
      </c>
      <c r="S93" t="s">
        <v>2233</v>
      </c>
      <c r="T93" t="s">
        <v>2225</v>
      </c>
      <c r="U93" t="s">
        <v>2225</v>
      </c>
      <c r="V93" t="s">
        <v>2225</v>
      </c>
      <c r="W93" t="s">
        <v>2234</v>
      </c>
      <c r="X93" t="s">
        <v>2235</v>
      </c>
      <c r="Y93" t="s">
        <v>2236</v>
      </c>
      <c r="Z93" t="s">
        <v>2237</v>
      </c>
      <c r="AA93" t="s">
        <v>2230</v>
      </c>
      <c r="AB93" t="s">
        <v>2238</v>
      </c>
      <c r="AC93" t="s">
        <v>2225</v>
      </c>
      <c r="AD93" t="s">
        <v>2225</v>
      </c>
      <c r="AE93" t="s">
        <v>2239</v>
      </c>
      <c r="AF93" t="s">
        <v>2240</v>
      </c>
      <c r="AG93" t="s">
        <v>2230</v>
      </c>
      <c r="AH93" t="s">
        <v>2225</v>
      </c>
      <c r="AI93" t="s">
        <v>2225</v>
      </c>
      <c r="AJ93" t="s">
        <v>2225</v>
      </c>
      <c r="AK93" t="s">
        <v>2241</v>
      </c>
      <c r="AL93" t="s">
        <v>2228</v>
      </c>
      <c r="AM93" t="s">
        <v>2242</v>
      </c>
      <c r="AN93" t="s">
        <v>2243</v>
      </c>
      <c r="AO93" t="s">
        <v>2244</v>
      </c>
    </row>
    <row r="94" spans="1:41">
      <c r="A94" t="s">
        <v>2245</v>
      </c>
      <c r="B94" t="s">
        <v>2246</v>
      </c>
      <c r="C94" t="s">
        <v>2245</v>
      </c>
      <c r="D94" t="s">
        <v>2245</v>
      </c>
      <c r="E94" t="s">
        <v>2247</v>
      </c>
      <c r="F94" t="s">
        <v>2245</v>
      </c>
      <c r="G94" t="s">
        <v>2248</v>
      </c>
      <c r="H94" t="s">
        <v>2249</v>
      </c>
      <c r="I94" t="s">
        <v>2245</v>
      </c>
      <c r="J94" t="s">
        <v>2245</v>
      </c>
      <c r="K94" t="s">
        <v>2250</v>
      </c>
      <c r="L94" t="s">
        <v>2250</v>
      </c>
      <c r="M94" t="s">
        <v>2245</v>
      </c>
      <c r="N94" t="s">
        <v>2245</v>
      </c>
      <c r="O94" t="s">
        <v>2251</v>
      </c>
      <c r="P94" t="s">
        <v>2245</v>
      </c>
      <c r="Q94" t="s">
        <v>2252</v>
      </c>
      <c r="R94" t="s">
        <v>2245</v>
      </c>
      <c r="S94" t="s">
        <v>2253</v>
      </c>
      <c r="T94" t="s">
        <v>2245</v>
      </c>
      <c r="U94" t="s">
        <v>2245</v>
      </c>
      <c r="V94" t="s">
        <v>2245</v>
      </c>
      <c r="W94" t="s">
        <v>2254</v>
      </c>
      <c r="X94" t="s">
        <v>2255</v>
      </c>
      <c r="Y94" t="s">
        <v>2256</v>
      </c>
      <c r="Z94" t="s">
        <v>2257</v>
      </c>
      <c r="AA94" t="s">
        <v>2250</v>
      </c>
      <c r="AB94" t="s">
        <v>2258</v>
      </c>
      <c r="AC94" t="s">
        <v>2245</v>
      </c>
      <c r="AD94" t="s">
        <v>2245</v>
      </c>
      <c r="AE94" t="s">
        <v>2259</v>
      </c>
      <c r="AF94" t="s">
        <v>2260</v>
      </c>
      <c r="AG94" t="s">
        <v>2250</v>
      </c>
      <c r="AH94" t="s">
        <v>2245</v>
      </c>
      <c r="AI94" t="s">
        <v>2245</v>
      </c>
      <c r="AJ94" t="s">
        <v>2245</v>
      </c>
      <c r="AK94" t="s">
        <v>2261</v>
      </c>
      <c r="AL94" t="s">
        <v>2248</v>
      </c>
      <c r="AM94" t="s">
        <v>2262</v>
      </c>
      <c r="AN94" t="s">
        <v>2263</v>
      </c>
      <c r="AO94" t="s">
        <v>2264</v>
      </c>
    </row>
    <row r="95" spans="1:41">
      <c r="A95" t="s">
        <v>2265</v>
      </c>
      <c r="B95" t="s">
        <v>2266</v>
      </c>
      <c r="C95" t="s">
        <v>2265</v>
      </c>
      <c r="D95" t="s">
        <v>2265</v>
      </c>
      <c r="E95" t="s">
        <v>2267</v>
      </c>
      <c r="F95" t="s">
        <v>2265</v>
      </c>
      <c r="G95" t="s">
        <v>2268</v>
      </c>
      <c r="H95" t="s">
        <v>2269</v>
      </c>
      <c r="I95" t="s">
        <v>2265</v>
      </c>
      <c r="J95" t="s">
        <v>2265</v>
      </c>
      <c r="K95" t="s">
        <v>2270</v>
      </c>
      <c r="L95" t="s">
        <v>2270</v>
      </c>
      <c r="M95" t="s">
        <v>2265</v>
      </c>
      <c r="N95" t="s">
        <v>2265</v>
      </c>
      <c r="O95" t="s">
        <v>2271</v>
      </c>
      <c r="P95" t="s">
        <v>2265</v>
      </c>
      <c r="Q95" t="s">
        <v>2272</v>
      </c>
      <c r="R95" t="s">
        <v>2265</v>
      </c>
      <c r="S95" t="s">
        <v>2273</v>
      </c>
      <c r="T95" t="s">
        <v>2265</v>
      </c>
      <c r="U95" t="s">
        <v>2265</v>
      </c>
      <c r="V95" t="s">
        <v>2265</v>
      </c>
      <c r="W95" t="s">
        <v>2274</v>
      </c>
      <c r="X95" t="s">
        <v>2275</v>
      </c>
      <c r="Y95" t="s">
        <v>2276</v>
      </c>
      <c r="Z95" t="s">
        <v>2277</v>
      </c>
      <c r="AA95" t="s">
        <v>2270</v>
      </c>
      <c r="AB95" t="s">
        <v>2278</v>
      </c>
      <c r="AC95" t="s">
        <v>2265</v>
      </c>
      <c r="AD95" t="s">
        <v>2265</v>
      </c>
      <c r="AE95" t="s">
        <v>2279</v>
      </c>
      <c r="AF95" t="s">
        <v>2280</v>
      </c>
      <c r="AG95" t="s">
        <v>2270</v>
      </c>
      <c r="AH95" t="s">
        <v>2265</v>
      </c>
      <c r="AI95" t="s">
        <v>2265</v>
      </c>
      <c r="AJ95" t="s">
        <v>2265</v>
      </c>
      <c r="AK95" t="s">
        <v>2281</v>
      </c>
      <c r="AL95" t="s">
        <v>2268</v>
      </c>
      <c r="AM95" t="s">
        <v>2282</v>
      </c>
      <c r="AN95" t="s">
        <v>2283</v>
      </c>
      <c r="AO95" t="s">
        <v>2284</v>
      </c>
    </row>
    <row r="96" spans="1:41">
      <c r="A96" t="s">
        <v>2285</v>
      </c>
      <c r="B96" t="s">
        <v>2286</v>
      </c>
      <c r="C96" t="s">
        <v>2285</v>
      </c>
      <c r="D96" t="s">
        <v>2285</v>
      </c>
      <c r="E96" t="s">
        <v>2287</v>
      </c>
      <c r="F96" t="s">
        <v>2285</v>
      </c>
      <c r="G96" t="s">
        <v>2288</v>
      </c>
      <c r="H96" t="s">
        <v>2289</v>
      </c>
      <c r="I96" t="s">
        <v>2285</v>
      </c>
      <c r="J96" t="s">
        <v>2285</v>
      </c>
      <c r="K96" t="s">
        <v>2290</v>
      </c>
      <c r="L96" t="s">
        <v>2290</v>
      </c>
      <c r="M96" t="s">
        <v>2285</v>
      </c>
      <c r="N96" t="s">
        <v>2285</v>
      </c>
      <c r="O96" t="s">
        <v>2291</v>
      </c>
      <c r="P96" t="s">
        <v>2285</v>
      </c>
      <c r="Q96" t="s">
        <v>2292</v>
      </c>
      <c r="R96" t="s">
        <v>2285</v>
      </c>
      <c r="S96" t="s">
        <v>2293</v>
      </c>
      <c r="T96" t="s">
        <v>2285</v>
      </c>
      <c r="U96" t="s">
        <v>2285</v>
      </c>
      <c r="V96" t="s">
        <v>2285</v>
      </c>
      <c r="W96" t="s">
        <v>2294</v>
      </c>
      <c r="X96" t="s">
        <v>2295</v>
      </c>
      <c r="Y96" t="s">
        <v>2296</v>
      </c>
      <c r="Z96" t="s">
        <v>2297</v>
      </c>
      <c r="AA96" t="s">
        <v>2290</v>
      </c>
      <c r="AB96" t="s">
        <v>2298</v>
      </c>
      <c r="AC96" t="s">
        <v>2285</v>
      </c>
      <c r="AD96" t="s">
        <v>2285</v>
      </c>
      <c r="AE96" t="s">
        <v>2299</v>
      </c>
      <c r="AF96" t="s">
        <v>2300</v>
      </c>
      <c r="AG96" t="s">
        <v>2290</v>
      </c>
      <c r="AH96" t="s">
        <v>2285</v>
      </c>
      <c r="AI96" t="s">
        <v>2285</v>
      </c>
      <c r="AJ96" t="s">
        <v>2285</v>
      </c>
      <c r="AK96" t="s">
        <v>2301</v>
      </c>
      <c r="AL96" t="s">
        <v>2288</v>
      </c>
      <c r="AM96" t="s">
        <v>2302</v>
      </c>
      <c r="AN96" t="s">
        <v>2303</v>
      </c>
      <c r="AO96" t="s">
        <v>2304</v>
      </c>
    </row>
    <row r="97" spans="1:41">
      <c r="A97" t="s">
        <v>2305</v>
      </c>
      <c r="B97" t="s">
        <v>2306</v>
      </c>
      <c r="C97" t="s">
        <v>2305</v>
      </c>
      <c r="D97" t="s">
        <v>2305</v>
      </c>
      <c r="E97" t="s">
        <v>2307</v>
      </c>
      <c r="F97" t="s">
        <v>2305</v>
      </c>
      <c r="G97" t="s">
        <v>2308</v>
      </c>
      <c r="H97" t="s">
        <v>2309</v>
      </c>
      <c r="I97" t="s">
        <v>2305</v>
      </c>
      <c r="J97" t="s">
        <v>2305</v>
      </c>
      <c r="K97" t="s">
        <v>2310</v>
      </c>
      <c r="L97" t="s">
        <v>2310</v>
      </c>
      <c r="M97" t="s">
        <v>2305</v>
      </c>
      <c r="N97" t="s">
        <v>2305</v>
      </c>
      <c r="O97" t="s">
        <v>2311</v>
      </c>
      <c r="P97" t="s">
        <v>2305</v>
      </c>
      <c r="Q97" t="s">
        <v>2312</v>
      </c>
      <c r="R97" t="s">
        <v>2305</v>
      </c>
      <c r="S97" t="s">
        <v>2313</v>
      </c>
      <c r="T97" t="s">
        <v>2305</v>
      </c>
      <c r="U97" t="s">
        <v>2305</v>
      </c>
      <c r="V97" t="s">
        <v>2305</v>
      </c>
      <c r="W97" t="s">
        <v>2314</v>
      </c>
      <c r="X97" t="s">
        <v>2315</v>
      </c>
      <c r="Y97" t="s">
        <v>2316</v>
      </c>
      <c r="Z97" t="s">
        <v>2317</v>
      </c>
      <c r="AA97" t="s">
        <v>2310</v>
      </c>
      <c r="AB97" t="s">
        <v>2318</v>
      </c>
      <c r="AC97" t="s">
        <v>2305</v>
      </c>
      <c r="AD97" t="s">
        <v>2305</v>
      </c>
      <c r="AE97" t="s">
        <v>2319</v>
      </c>
      <c r="AF97" t="s">
        <v>2320</v>
      </c>
      <c r="AG97" t="s">
        <v>2310</v>
      </c>
      <c r="AH97" t="s">
        <v>2305</v>
      </c>
      <c r="AI97" t="s">
        <v>2305</v>
      </c>
      <c r="AJ97" t="s">
        <v>2305</v>
      </c>
      <c r="AK97" t="s">
        <v>2321</v>
      </c>
      <c r="AL97" t="s">
        <v>2308</v>
      </c>
      <c r="AM97" t="s">
        <v>2322</v>
      </c>
      <c r="AN97" t="s">
        <v>2323</v>
      </c>
      <c r="AO97" t="s">
        <v>2324</v>
      </c>
    </row>
    <row r="98" spans="1:41">
      <c r="A98" t="s">
        <v>2325</v>
      </c>
      <c r="B98" t="s">
        <v>2326</v>
      </c>
      <c r="C98" t="s">
        <v>2325</v>
      </c>
      <c r="D98" t="s">
        <v>2325</v>
      </c>
      <c r="E98" t="s">
        <v>2327</v>
      </c>
      <c r="F98" t="s">
        <v>2325</v>
      </c>
      <c r="G98" t="s">
        <v>2328</v>
      </c>
      <c r="H98" t="s">
        <v>2329</v>
      </c>
      <c r="I98" t="s">
        <v>2325</v>
      </c>
      <c r="J98" t="s">
        <v>2325</v>
      </c>
      <c r="K98" t="s">
        <v>2330</v>
      </c>
      <c r="L98" t="s">
        <v>2330</v>
      </c>
      <c r="M98" t="s">
        <v>2325</v>
      </c>
      <c r="N98" t="s">
        <v>2325</v>
      </c>
      <c r="O98" t="s">
        <v>2331</v>
      </c>
      <c r="P98" t="s">
        <v>2325</v>
      </c>
      <c r="Q98" t="s">
        <v>2332</v>
      </c>
      <c r="R98" t="s">
        <v>2325</v>
      </c>
      <c r="S98" t="s">
        <v>2333</v>
      </c>
      <c r="T98" t="s">
        <v>2325</v>
      </c>
      <c r="U98" t="s">
        <v>2325</v>
      </c>
      <c r="V98" t="s">
        <v>2325</v>
      </c>
      <c r="W98" s="2" t="s">
        <v>2334</v>
      </c>
      <c r="X98" t="s">
        <v>2335</v>
      </c>
      <c r="Y98" t="s">
        <v>2336</v>
      </c>
      <c r="Z98" t="s">
        <v>2337</v>
      </c>
      <c r="AA98" t="s">
        <v>2330</v>
      </c>
      <c r="AB98" t="s">
        <v>2338</v>
      </c>
      <c r="AC98" t="s">
        <v>2325</v>
      </c>
      <c r="AD98" t="s">
        <v>2325</v>
      </c>
      <c r="AE98" t="s">
        <v>2339</v>
      </c>
      <c r="AF98" t="s">
        <v>2340</v>
      </c>
      <c r="AG98" t="s">
        <v>2330</v>
      </c>
      <c r="AH98" t="s">
        <v>2325</v>
      </c>
      <c r="AI98" t="s">
        <v>2325</v>
      </c>
      <c r="AJ98" t="s">
        <v>2325</v>
      </c>
      <c r="AK98" t="s">
        <v>2341</v>
      </c>
      <c r="AL98" t="s">
        <v>2328</v>
      </c>
      <c r="AM98" t="s">
        <v>2342</v>
      </c>
      <c r="AN98" t="s">
        <v>2343</v>
      </c>
      <c r="AO98" t="s">
        <v>2344</v>
      </c>
    </row>
    <row r="99" spans="1:41">
      <c r="A99" t="s">
        <v>2345</v>
      </c>
      <c r="B99" t="s">
        <v>2346</v>
      </c>
      <c r="C99" t="s">
        <v>2345</v>
      </c>
      <c r="D99" t="s">
        <v>2345</v>
      </c>
      <c r="E99" t="s">
        <v>2347</v>
      </c>
      <c r="F99" t="s">
        <v>2345</v>
      </c>
      <c r="G99" t="s">
        <v>2348</v>
      </c>
      <c r="H99" t="s">
        <v>2349</v>
      </c>
      <c r="I99" t="s">
        <v>2345</v>
      </c>
      <c r="J99" t="s">
        <v>2345</v>
      </c>
      <c r="K99" t="s">
        <v>2350</v>
      </c>
      <c r="L99" t="s">
        <v>2350</v>
      </c>
      <c r="M99" t="s">
        <v>2345</v>
      </c>
      <c r="N99" t="s">
        <v>2345</v>
      </c>
      <c r="O99" t="s">
        <v>2351</v>
      </c>
      <c r="P99" t="s">
        <v>2345</v>
      </c>
      <c r="Q99" t="s">
        <v>2352</v>
      </c>
      <c r="R99" t="s">
        <v>2345</v>
      </c>
      <c r="S99" t="s">
        <v>2353</v>
      </c>
      <c r="T99" t="s">
        <v>2345</v>
      </c>
      <c r="U99" t="s">
        <v>2345</v>
      </c>
      <c r="V99" t="s">
        <v>2345</v>
      </c>
      <c r="W99" s="2" t="s">
        <v>2354</v>
      </c>
      <c r="X99" t="s">
        <v>2355</v>
      </c>
      <c r="Y99" t="s">
        <v>2356</v>
      </c>
      <c r="Z99" t="s">
        <v>2357</v>
      </c>
      <c r="AA99" t="s">
        <v>2350</v>
      </c>
      <c r="AB99" t="s">
        <v>2358</v>
      </c>
      <c r="AC99" t="s">
        <v>2345</v>
      </c>
      <c r="AD99" t="s">
        <v>2345</v>
      </c>
      <c r="AE99" t="s">
        <v>2359</v>
      </c>
      <c r="AF99" t="s">
        <v>2360</v>
      </c>
      <c r="AG99" t="s">
        <v>2350</v>
      </c>
      <c r="AH99" t="s">
        <v>2345</v>
      </c>
      <c r="AI99" t="s">
        <v>2345</v>
      </c>
      <c r="AJ99" t="s">
        <v>2345</v>
      </c>
      <c r="AK99" t="s">
        <v>2361</v>
      </c>
      <c r="AL99" t="s">
        <v>2348</v>
      </c>
      <c r="AM99" t="s">
        <v>2362</v>
      </c>
      <c r="AN99" t="s">
        <v>2363</v>
      </c>
      <c r="AO99" t="s">
        <v>2364</v>
      </c>
    </row>
    <row r="100" spans="1:41">
      <c r="A100" t="s">
        <v>2365</v>
      </c>
      <c r="B100" t="s">
        <v>2366</v>
      </c>
      <c r="C100" t="s">
        <v>2365</v>
      </c>
      <c r="D100" t="s">
        <v>2365</v>
      </c>
      <c r="E100" t="s">
        <v>2367</v>
      </c>
      <c r="F100" t="s">
        <v>2365</v>
      </c>
      <c r="G100" t="s">
        <v>2368</v>
      </c>
      <c r="H100" t="s">
        <v>2369</v>
      </c>
      <c r="I100" t="s">
        <v>2365</v>
      </c>
      <c r="J100" t="s">
        <v>2365</v>
      </c>
      <c r="K100" t="s">
        <v>2368</v>
      </c>
      <c r="L100" t="s">
        <v>2370</v>
      </c>
      <c r="M100" t="s">
        <v>2371</v>
      </c>
      <c r="N100" t="s">
        <v>2365</v>
      </c>
      <c r="O100" t="s">
        <v>2372</v>
      </c>
      <c r="P100" t="s">
        <v>2365</v>
      </c>
      <c r="Q100" t="s">
        <v>2373</v>
      </c>
      <c r="R100" t="s">
        <v>2365</v>
      </c>
      <c r="S100" t="s">
        <v>2371</v>
      </c>
      <c r="T100" t="s">
        <v>2365</v>
      </c>
      <c r="U100" t="s">
        <v>2365</v>
      </c>
      <c r="V100" t="s">
        <v>2365</v>
      </c>
      <c r="W100" s="2" t="s">
        <v>2374</v>
      </c>
      <c r="X100" t="s">
        <v>2368</v>
      </c>
      <c r="Y100" t="s">
        <v>2375</v>
      </c>
      <c r="Z100" t="s">
        <v>2370</v>
      </c>
      <c r="AA100" t="s">
        <v>2370</v>
      </c>
      <c r="AB100" t="s">
        <v>2376</v>
      </c>
      <c r="AC100" t="s">
        <v>2365</v>
      </c>
      <c r="AD100" t="s">
        <v>2365</v>
      </c>
      <c r="AE100" t="s">
        <v>2368</v>
      </c>
      <c r="AF100" t="s">
        <v>2377</v>
      </c>
      <c r="AG100" t="s">
        <v>2368</v>
      </c>
      <c r="AH100" t="s">
        <v>2365</v>
      </c>
      <c r="AI100" t="s">
        <v>2365</v>
      </c>
      <c r="AJ100" t="s">
        <v>2365</v>
      </c>
      <c r="AK100" t="s">
        <v>2378</v>
      </c>
      <c r="AL100" t="s">
        <v>2367</v>
      </c>
      <c r="AM100" t="s">
        <v>2379</v>
      </c>
      <c r="AN100" t="s">
        <v>2380</v>
      </c>
      <c r="AO100" t="s">
        <v>2381</v>
      </c>
    </row>
    <row r="101" spans="1:41">
      <c r="A101" t="s">
        <v>2382</v>
      </c>
      <c r="B101" t="s">
        <v>2383</v>
      </c>
      <c r="C101" t="s">
        <v>2382</v>
      </c>
      <c r="D101" t="s">
        <v>2382</v>
      </c>
      <c r="E101" t="s">
        <v>2384</v>
      </c>
      <c r="F101" t="s">
        <v>2382</v>
      </c>
      <c r="G101" t="s">
        <v>2385</v>
      </c>
      <c r="H101" t="s">
        <v>2386</v>
      </c>
      <c r="I101" t="s">
        <v>2382</v>
      </c>
      <c r="J101" t="s">
        <v>2382</v>
      </c>
      <c r="K101" t="s">
        <v>2385</v>
      </c>
      <c r="L101" t="s">
        <v>2387</v>
      </c>
      <c r="M101" t="s">
        <v>2388</v>
      </c>
      <c r="N101" t="s">
        <v>2382</v>
      </c>
      <c r="O101" t="s">
        <v>2389</v>
      </c>
      <c r="P101" t="s">
        <v>2382</v>
      </c>
      <c r="Q101" t="s">
        <v>2390</v>
      </c>
      <c r="R101" t="s">
        <v>2382</v>
      </c>
      <c r="S101" t="s">
        <v>2388</v>
      </c>
      <c r="T101" t="s">
        <v>2382</v>
      </c>
      <c r="U101" t="s">
        <v>2382</v>
      </c>
      <c r="V101" t="s">
        <v>2382</v>
      </c>
      <c r="W101" s="2" t="s">
        <v>2391</v>
      </c>
      <c r="X101" t="s">
        <v>2385</v>
      </c>
      <c r="Y101" t="s">
        <v>2392</v>
      </c>
      <c r="Z101" t="s">
        <v>2387</v>
      </c>
      <c r="AA101" t="s">
        <v>2387</v>
      </c>
      <c r="AB101" t="s">
        <v>2393</v>
      </c>
      <c r="AC101" t="s">
        <v>2382</v>
      </c>
      <c r="AD101" t="s">
        <v>2382</v>
      </c>
      <c r="AE101" t="s">
        <v>2385</v>
      </c>
      <c r="AF101" t="s">
        <v>2394</v>
      </c>
      <c r="AG101" t="s">
        <v>2385</v>
      </c>
      <c r="AH101" t="s">
        <v>2382</v>
      </c>
      <c r="AI101" t="s">
        <v>2382</v>
      </c>
      <c r="AJ101" t="s">
        <v>2382</v>
      </c>
      <c r="AK101" t="s">
        <v>2395</v>
      </c>
      <c r="AL101" t="s">
        <v>2384</v>
      </c>
      <c r="AM101" t="s">
        <v>2396</v>
      </c>
      <c r="AN101" t="s">
        <v>2397</v>
      </c>
      <c r="AO101" t="s">
        <v>2398</v>
      </c>
    </row>
    <row r="102" spans="1:41">
      <c r="A102" s="1" t="s">
        <v>2591</v>
      </c>
      <c r="B102" t="s">
        <v>2591</v>
      </c>
      <c r="C102" t="s">
        <v>2592</v>
      </c>
      <c r="D102" t="s">
        <v>2593</v>
      </c>
      <c r="E102" t="s">
        <v>2591</v>
      </c>
      <c r="F102" t="s">
        <v>2594</v>
      </c>
      <c r="G102" t="s">
        <v>2595</v>
      </c>
      <c r="H102" t="s">
        <v>2596</v>
      </c>
      <c r="I102" t="s">
        <v>2597</v>
      </c>
      <c r="J102" t="s">
        <v>2598</v>
      </c>
      <c r="K102" t="s">
        <v>2591</v>
      </c>
      <c r="L102" t="s">
        <v>2591</v>
      </c>
      <c r="M102" s="1" t="s">
        <v>2885</v>
      </c>
      <c r="N102" t="s">
        <v>2591</v>
      </c>
      <c r="O102" t="s">
        <v>2599</v>
      </c>
      <c r="P102" t="s">
        <v>2600</v>
      </c>
      <c r="Q102" t="s">
        <v>2601</v>
      </c>
      <c r="R102" t="s">
        <v>2602</v>
      </c>
      <c r="S102" t="s">
        <v>2591</v>
      </c>
      <c r="T102" t="s">
        <v>2603</v>
      </c>
      <c r="U102" t="s">
        <v>2604</v>
      </c>
      <c r="V102" t="s">
        <v>2605</v>
      </c>
      <c r="W102" s="2" t="s">
        <v>2606</v>
      </c>
      <c r="X102" t="s">
        <v>2607</v>
      </c>
      <c r="Y102" t="s">
        <v>2594</v>
      </c>
      <c r="Z102" t="s">
        <v>2591</v>
      </c>
      <c r="AA102" t="s">
        <v>2591</v>
      </c>
      <c r="AB102" t="s">
        <v>2608</v>
      </c>
      <c r="AC102" t="s">
        <v>2591</v>
      </c>
      <c r="AD102" t="s">
        <v>2591</v>
      </c>
      <c r="AE102" t="s">
        <v>2609</v>
      </c>
      <c r="AF102" t="s">
        <v>2610</v>
      </c>
      <c r="AG102" t="s">
        <v>2591</v>
      </c>
      <c r="AH102" t="s">
        <v>2591</v>
      </c>
      <c r="AI102" t="s">
        <v>2611</v>
      </c>
      <c r="AJ102" t="s">
        <v>2591</v>
      </c>
      <c r="AK102" t="s">
        <v>2612</v>
      </c>
      <c r="AL102" t="s">
        <v>2613</v>
      </c>
      <c r="AM102" t="s">
        <v>2591</v>
      </c>
      <c r="AN102" t="s">
        <v>2614</v>
      </c>
      <c r="AO102" t="s">
        <v>2615</v>
      </c>
    </row>
    <row r="103" spans="1:41">
      <c r="A103" s="1" t="s">
        <v>2399</v>
      </c>
      <c r="B103" s="1" t="s">
        <v>2400</v>
      </c>
      <c r="C103" s="1" t="s">
        <v>2401</v>
      </c>
      <c r="D103" s="1" t="s">
        <v>2402</v>
      </c>
      <c r="E103" s="1" t="s">
        <v>2399</v>
      </c>
      <c r="F103" s="1" t="s">
        <v>2403</v>
      </c>
      <c r="G103" s="1" t="s">
        <v>2404</v>
      </c>
      <c r="H103" s="2" t="s">
        <v>2405</v>
      </c>
      <c r="I103" s="2" t="s">
        <v>2405</v>
      </c>
      <c r="J103" s="1" t="s">
        <v>2406</v>
      </c>
      <c r="K103" s="1" t="s">
        <v>2407</v>
      </c>
      <c r="L103" s="1" t="s">
        <v>2408</v>
      </c>
      <c r="M103" s="1" t="s">
        <v>2408</v>
      </c>
      <c r="N103" s="1" t="s">
        <v>2399</v>
      </c>
      <c r="O103" s="1" t="s">
        <v>2409</v>
      </c>
      <c r="P103" s="1" t="s">
        <v>2408</v>
      </c>
      <c r="Q103" s="1" t="s">
        <v>2410</v>
      </c>
      <c r="R103" s="1" t="s">
        <v>2411</v>
      </c>
      <c r="S103" s="1" t="s">
        <v>2408</v>
      </c>
      <c r="T103" s="1" t="s">
        <v>2399</v>
      </c>
      <c r="U103" s="1" t="s">
        <v>2399</v>
      </c>
      <c r="V103" s="1" t="s">
        <v>2412</v>
      </c>
      <c r="W103" s="2" t="s">
        <v>2413</v>
      </c>
      <c r="X103" s="1" t="s">
        <v>2414</v>
      </c>
      <c r="Y103" s="1" t="s">
        <v>2415</v>
      </c>
      <c r="Z103" s="1" t="s">
        <v>2399</v>
      </c>
      <c r="AA103" s="1" t="s">
        <v>2408</v>
      </c>
      <c r="AB103" s="1" t="s">
        <v>2416</v>
      </c>
      <c r="AC103" s="1" t="s">
        <v>2417</v>
      </c>
      <c r="AD103" s="1" t="s">
        <v>2418</v>
      </c>
      <c r="AE103" s="1" t="s">
        <v>2419</v>
      </c>
      <c r="AF103" s="1" t="s">
        <v>2415</v>
      </c>
      <c r="AG103" s="1" t="s">
        <v>2420</v>
      </c>
      <c r="AH103" s="1" t="s">
        <v>2408</v>
      </c>
      <c r="AI103" s="1" t="s">
        <v>2399</v>
      </c>
      <c r="AJ103" s="1" t="s">
        <v>2399</v>
      </c>
      <c r="AK103" s="1" t="s">
        <v>2421</v>
      </c>
      <c r="AL103" s="1" t="s">
        <v>2422</v>
      </c>
      <c r="AM103" s="1" t="s">
        <v>2399</v>
      </c>
      <c r="AN103" s="1" t="s">
        <v>2403</v>
      </c>
      <c r="AO103" s="1" t="s">
        <v>2423</v>
      </c>
    </row>
    <row r="104" spans="1:41">
      <c r="A104" s="1" t="s">
        <v>2709</v>
      </c>
      <c r="B104" t="s">
        <v>2718</v>
      </c>
      <c r="C104" t="s">
        <v>2719</v>
      </c>
      <c r="D104" t="s">
        <v>2720</v>
      </c>
      <c r="E104" t="s">
        <v>2721</v>
      </c>
      <c r="F104" t="s">
        <v>2722</v>
      </c>
      <c r="G104" t="s">
        <v>2723</v>
      </c>
      <c r="H104" s="2" t="s">
        <v>2724</v>
      </c>
      <c r="I104" s="2" t="s">
        <v>2724</v>
      </c>
      <c r="J104" t="s">
        <v>2721</v>
      </c>
      <c r="K104" t="s">
        <v>2725</v>
      </c>
      <c r="L104" t="s">
        <v>2721</v>
      </c>
      <c r="M104" t="s">
        <v>2726</v>
      </c>
      <c r="N104" t="s">
        <v>2727</v>
      </c>
      <c r="O104" t="s">
        <v>2728</v>
      </c>
      <c r="P104" t="s">
        <v>2721</v>
      </c>
      <c r="Q104" t="s">
        <v>2729</v>
      </c>
      <c r="R104" t="s">
        <v>2730</v>
      </c>
      <c r="S104" t="s">
        <v>2731</v>
      </c>
      <c r="T104" t="s">
        <v>2721</v>
      </c>
      <c r="U104" t="s">
        <v>2721</v>
      </c>
      <c r="V104" t="s">
        <v>2732</v>
      </c>
      <c r="W104" s="2" t="s">
        <v>2733</v>
      </c>
      <c r="X104" t="s">
        <v>2734</v>
      </c>
      <c r="Y104" t="s">
        <v>2735</v>
      </c>
      <c r="Z104" t="s">
        <v>2709</v>
      </c>
      <c r="AA104" t="s">
        <v>2721</v>
      </c>
      <c r="AB104" t="s">
        <v>2736</v>
      </c>
      <c r="AC104" t="s">
        <v>2737</v>
      </c>
      <c r="AD104" t="s">
        <v>2738</v>
      </c>
      <c r="AE104" t="s">
        <v>2721</v>
      </c>
      <c r="AF104" t="s">
        <v>2735</v>
      </c>
      <c r="AG104" t="s">
        <v>2739</v>
      </c>
      <c r="AH104" t="s">
        <v>2721</v>
      </c>
      <c r="AI104" t="s">
        <v>2732</v>
      </c>
      <c r="AJ104" t="s">
        <v>2721</v>
      </c>
      <c r="AK104" t="s">
        <v>2740</v>
      </c>
      <c r="AL104" t="s">
        <v>2721</v>
      </c>
      <c r="AM104" t="s">
        <v>2721</v>
      </c>
      <c r="AN104" t="s">
        <v>2741</v>
      </c>
      <c r="AO104" t="s">
        <v>2742</v>
      </c>
    </row>
    <row r="105" spans="1:41">
      <c r="A105" s="1" t="s">
        <v>2710</v>
      </c>
      <c r="B105" t="s">
        <v>2743</v>
      </c>
      <c r="C105" t="s">
        <v>2744</v>
      </c>
      <c r="D105" t="s">
        <v>2745</v>
      </c>
      <c r="E105" t="s">
        <v>2746</v>
      </c>
      <c r="F105" t="s">
        <v>2747</v>
      </c>
      <c r="G105" t="s">
        <v>2710</v>
      </c>
      <c r="H105" s="2" t="s">
        <v>2748</v>
      </c>
      <c r="I105" s="2" t="s">
        <v>2749</v>
      </c>
      <c r="J105" t="s">
        <v>2710</v>
      </c>
      <c r="K105" t="s">
        <v>2710</v>
      </c>
      <c r="L105" t="s">
        <v>2710</v>
      </c>
      <c r="M105" t="s">
        <v>2710</v>
      </c>
      <c r="N105" t="s">
        <v>2710</v>
      </c>
      <c r="O105" t="s">
        <v>2750</v>
      </c>
      <c r="P105" t="s">
        <v>2710</v>
      </c>
      <c r="Q105" t="s">
        <v>2751</v>
      </c>
      <c r="R105" t="s">
        <v>2752</v>
      </c>
      <c r="S105" t="s">
        <v>2710</v>
      </c>
      <c r="T105" t="s">
        <v>2710</v>
      </c>
      <c r="U105" t="s">
        <v>2710</v>
      </c>
      <c r="V105" t="s">
        <v>2753</v>
      </c>
      <c r="W105" s="2" t="s">
        <v>2754</v>
      </c>
      <c r="X105" t="s">
        <v>2755</v>
      </c>
      <c r="Y105" t="s">
        <v>2756</v>
      </c>
      <c r="Z105" t="s">
        <v>2710</v>
      </c>
      <c r="AA105" t="s">
        <v>2710</v>
      </c>
      <c r="AB105" t="s">
        <v>2757</v>
      </c>
      <c r="AC105" t="s">
        <v>2710</v>
      </c>
      <c r="AD105" t="s">
        <v>2758</v>
      </c>
      <c r="AE105" t="s">
        <v>2710</v>
      </c>
      <c r="AF105" t="s">
        <v>2759</v>
      </c>
      <c r="AG105" t="s">
        <v>2710</v>
      </c>
      <c r="AH105" t="s">
        <v>2710</v>
      </c>
      <c r="AI105" t="s">
        <v>2710</v>
      </c>
      <c r="AJ105" t="s">
        <v>2710</v>
      </c>
      <c r="AK105" t="s">
        <v>2760</v>
      </c>
      <c r="AL105" t="s">
        <v>2710</v>
      </c>
      <c r="AM105" t="s">
        <v>2710</v>
      </c>
      <c r="AN105" t="s">
        <v>2756</v>
      </c>
      <c r="AO105" t="s">
        <v>2761</v>
      </c>
    </row>
    <row r="106" spans="1:41">
      <c r="A106" s="1" t="s">
        <v>2711</v>
      </c>
      <c r="B106" s="1" t="s">
        <v>2711</v>
      </c>
      <c r="C106" s="1" t="s">
        <v>2762</v>
      </c>
      <c r="D106" s="1" t="s">
        <v>2763</v>
      </c>
      <c r="E106" s="1" t="s">
        <v>2711</v>
      </c>
      <c r="F106" s="1" t="s">
        <v>2764</v>
      </c>
      <c r="G106" s="1" t="s">
        <v>2711</v>
      </c>
      <c r="H106" s="2" t="s">
        <v>2765</v>
      </c>
      <c r="I106" s="2" t="s">
        <v>2766</v>
      </c>
      <c r="J106" s="1" t="s">
        <v>2711</v>
      </c>
      <c r="K106" s="1" t="s">
        <v>2711</v>
      </c>
      <c r="L106" s="1" t="s">
        <v>2711</v>
      </c>
      <c r="M106" s="1" t="s">
        <v>2711</v>
      </c>
      <c r="N106" s="1" t="s">
        <v>2767</v>
      </c>
      <c r="O106" s="1" t="s">
        <v>2768</v>
      </c>
      <c r="P106" s="1" t="s">
        <v>2711</v>
      </c>
      <c r="Q106" s="1" t="s">
        <v>2769</v>
      </c>
      <c r="R106" s="1" t="s">
        <v>2770</v>
      </c>
      <c r="S106" s="1" t="s">
        <v>2711</v>
      </c>
      <c r="T106" s="1" t="s">
        <v>2711</v>
      </c>
      <c r="U106" s="1" t="s">
        <v>2711</v>
      </c>
      <c r="V106" s="1" t="s">
        <v>2771</v>
      </c>
      <c r="W106" s="2" t="s">
        <v>2772</v>
      </c>
      <c r="X106" s="1" t="s">
        <v>2773</v>
      </c>
      <c r="Y106" s="1" t="s">
        <v>2764</v>
      </c>
      <c r="Z106" s="1" t="s">
        <v>2711</v>
      </c>
      <c r="AA106" s="1" t="s">
        <v>2711</v>
      </c>
      <c r="AB106" s="1" t="s">
        <v>2774</v>
      </c>
      <c r="AC106" s="1" t="s">
        <v>2711</v>
      </c>
      <c r="AD106" s="1" t="s">
        <v>2771</v>
      </c>
      <c r="AE106" s="1" t="s">
        <v>2711</v>
      </c>
      <c r="AF106" s="1" t="s">
        <v>2764</v>
      </c>
      <c r="AG106" s="1" t="s">
        <v>2711</v>
      </c>
      <c r="AH106" s="1" t="s">
        <v>2711</v>
      </c>
      <c r="AI106" s="1" t="s">
        <v>2767</v>
      </c>
      <c r="AJ106" s="1" t="s">
        <v>2711</v>
      </c>
      <c r="AK106" s="1" t="s">
        <v>2775</v>
      </c>
      <c r="AL106" s="1" t="s">
        <v>2776</v>
      </c>
      <c r="AM106" s="1" t="s">
        <v>2711</v>
      </c>
      <c r="AN106" s="1" t="s">
        <v>2764</v>
      </c>
      <c r="AO106" t="s">
        <v>2777</v>
      </c>
    </row>
    <row r="107" spans="1:41">
      <c r="A107" s="1" t="s">
        <v>2712</v>
      </c>
      <c r="B107" s="1" t="s">
        <v>2778</v>
      </c>
      <c r="C107" s="1" t="s">
        <v>2779</v>
      </c>
      <c r="D107" s="1" t="s">
        <v>2780</v>
      </c>
      <c r="E107" s="1" t="s">
        <v>2712</v>
      </c>
      <c r="F107" s="1" t="s">
        <v>2781</v>
      </c>
      <c r="G107" s="1" t="s">
        <v>2782</v>
      </c>
      <c r="H107" s="2" t="s">
        <v>2783</v>
      </c>
      <c r="I107" s="2" t="s">
        <v>2783</v>
      </c>
      <c r="J107" s="1" t="s">
        <v>2712</v>
      </c>
      <c r="K107" s="1" t="s">
        <v>2782</v>
      </c>
      <c r="L107" s="1" t="s">
        <v>2712</v>
      </c>
      <c r="M107" s="1" t="s">
        <v>2784</v>
      </c>
      <c r="N107" s="1" t="s">
        <v>2712</v>
      </c>
      <c r="O107" s="1" t="s">
        <v>2785</v>
      </c>
      <c r="P107" s="1" t="s">
        <v>2712</v>
      </c>
      <c r="Q107" s="1" t="s">
        <v>2786</v>
      </c>
      <c r="R107" s="1" t="s">
        <v>2787</v>
      </c>
      <c r="S107" s="1" t="s">
        <v>2712</v>
      </c>
      <c r="T107" s="1" t="s">
        <v>2712</v>
      </c>
      <c r="U107" s="1" t="s">
        <v>2782</v>
      </c>
      <c r="V107" s="1" t="s">
        <v>2788</v>
      </c>
      <c r="W107" s="2" t="s">
        <v>2789</v>
      </c>
      <c r="X107" s="1" t="s">
        <v>2790</v>
      </c>
      <c r="Y107" s="1" t="s">
        <v>2781</v>
      </c>
      <c r="Z107" s="1" t="s">
        <v>2712</v>
      </c>
      <c r="AA107" s="1" t="s">
        <v>2712</v>
      </c>
      <c r="AB107" s="1" t="s">
        <v>2791</v>
      </c>
      <c r="AC107" s="1" t="s">
        <v>2712</v>
      </c>
      <c r="AD107" s="1" t="s">
        <v>2792</v>
      </c>
      <c r="AE107" s="1" t="s">
        <v>2712</v>
      </c>
      <c r="AF107" s="1" t="s">
        <v>2781</v>
      </c>
      <c r="AG107" s="1" t="s">
        <v>2782</v>
      </c>
      <c r="AH107" s="1" t="s">
        <v>2712</v>
      </c>
      <c r="AI107" s="1" t="s">
        <v>2793</v>
      </c>
      <c r="AJ107" s="1" t="s">
        <v>2712</v>
      </c>
      <c r="AK107" s="1" t="s">
        <v>2794</v>
      </c>
      <c r="AL107" s="1" t="s">
        <v>2712</v>
      </c>
      <c r="AM107" s="1" t="s">
        <v>2795</v>
      </c>
      <c r="AN107" s="1" t="s">
        <v>2796</v>
      </c>
      <c r="AO107" t="s">
        <v>2797</v>
      </c>
    </row>
    <row r="108" spans="1:41">
      <c r="A108" s="1" t="s">
        <v>2713</v>
      </c>
      <c r="B108" s="1" t="s">
        <v>2798</v>
      </c>
      <c r="C108" s="1" t="s">
        <v>2799</v>
      </c>
      <c r="D108" s="1" t="s">
        <v>2800</v>
      </c>
      <c r="E108" s="1" t="s">
        <v>2713</v>
      </c>
      <c r="F108" s="1" t="s">
        <v>2801</v>
      </c>
      <c r="G108" s="1" t="s">
        <v>2713</v>
      </c>
      <c r="H108" s="2" t="s">
        <v>2802</v>
      </c>
      <c r="I108" s="2" t="s">
        <v>2802</v>
      </c>
      <c r="J108" s="1" t="s">
        <v>2713</v>
      </c>
      <c r="K108" s="1" t="s">
        <v>2713</v>
      </c>
      <c r="L108" s="1" t="s">
        <v>2713</v>
      </c>
      <c r="M108" s="1" t="s">
        <v>2713</v>
      </c>
      <c r="N108" s="1" t="s">
        <v>2713</v>
      </c>
      <c r="O108" s="1" t="s">
        <v>2803</v>
      </c>
      <c r="P108" s="1" t="s">
        <v>2713</v>
      </c>
      <c r="Q108" s="1" t="s">
        <v>2804</v>
      </c>
      <c r="R108" s="1" t="s">
        <v>2805</v>
      </c>
      <c r="S108" s="1" t="s">
        <v>2713</v>
      </c>
      <c r="T108" s="1" t="s">
        <v>2713</v>
      </c>
      <c r="U108" s="1" t="s">
        <v>2713</v>
      </c>
      <c r="V108" s="1" t="s">
        <v>2713</v>
      </c>
      <c r="W108" s="2" t="s">
        <v>2806</v>
      </c>
      <c r="X108" s="1" t="s">
        <v>2807</v>
      </c>
      <c r="Y108" s="1" t="s">
        <v>2801</v>
      </c>
      <c r="Z108" s="1" t="s">
        <v>2713</v>
      </c>
      <c r="AA108" s="1" t="s">
        <v>2713</v>
      </c>
      <c r="AB108" s="1" t="s">
        <v>2799</v>
      </c>
      <c r="AC108" s="1" t="s">
        <v>2808</v>
      </c>
      <c r="AD108" s="1" t="s">
        <v>2713</v>
      </c>
      <c r="AE108" s="1" t="s">
        <v>2713</v>
      </c>
      <c r="AF108" s="1" t="s">
        <v>2801</v>
      </c>
      <c r="AG108" s="1" t="s">
        <v>2713</v>
      </c>
      <c r="AH108" s="1" t="s">
        <v>2713</v>
      </c>
      <c r="AI108" s="1" t="s">
        <v>2713</v>
      </c>
      <c r="AJ108" s="1" t="s">
        <v>2713</v>
      </c>
      <c r="AK108" s="1" t="s">
        <v>2809</v>
      </c>
      <c r="AL108" s="1" t="s">
        <v>2713</v>
      </c>
      <c r="AM108" s="1" t="s">
        <v>2713</v>
      </c>
      <c r="AN108" s="1" t="s">
        <v>2801</v>
      </c>
      <c r="AO108" t="s">
        <v>2810</v>
      </c>
    </row>
    <row r="109" spans="1:41">
      <c r="A109" s="1" t="s">
        <v>2714</v>
      </c>
      <c r="B109" s="1" t="s">
        <v>2811</v>
      </c>
      <c r="C109" s="1" t="s">
        <v>2812</v>
      </c>
      <c r="D109" s="1" t="s">
        <v>2813</v>
      </c>
      <c r="E109" s="1" t="s">
        <v>2814</v>
      </c>
      <c r="F109" s="1" t="s">
        <v>2815</v>
      </c>
      <c r="G109" s="1" t="s">
        <v>2714</v>
      </c>
      <c r="H109" s="2" t="s">
        <v>2816</v>
      </c>
      <c r="I109" s="2" t="s">
        <v>2817</v>
      </c>
      <c r="J109" s="1" t="s">
        <v>2714</v>
      </c>
      <c r="K109" s="1" t="s">
        <v>2714</v>
      </c>
      <c r="L109" s="1" t="s">
        <v>2818</v>
      </c>
      <c r="M109" s="1" t="s">
        <v>2714</v>
      </c>
      <c r="N109" s="1" t="s">
        <v>2819</v>
      </c>
      <c r="O109" s="1" t="s">
        <v>2820</v>
      </c>
      <c r="P109" s="1" t="s">
        <v>2714</v>
      </c>
      <c r="Q109" s="1" t="s">
        <v>2821</v>
      </c>
      <c r="R109" s="1" t="s">
        <v>2822</v>
      </c>
      <c r="S109" s="1" t="s">
        <v>2714</v>
      </c>
      <c r="T109" s="1" t="s">
        <v>2714</v>
      </c>
      <c r="U109" s="1" t="s">
        <v>2818</v>
      </c>
      <c r="V109" s="1" t="s">
        <v>2823</v>
      </c>
      <c r="W109" s="2" t="s">
        <v>2824</v>
      </c>
      <c r="X109" s="1" t="s">
        <v>2825</v>
      </c>
      <c r="Y109" s="1" t="s">
        <v>2815</v>
      </c>
      <c r="Z109" s="1" t="s">
        <v>2714</v>
      </c>
      <c r="AA109" s="1" t="s">
        <v>2714</v>
      </c>
      <c r="AB109" s="1" t="s">
        <v>2826</v>
      </c>
      <c r="AC109" s="1" t="s">
        <v>2714</v>
      </c>
      <c r="AD109" s="1" t="s">
        <v>2827</v>
      </c>
      <c r="AE109" s="1" t="s">
        <v>2714</v>
      </c>
      <c r="AF109" s="1" t="s">
        <v>2815</v>
      </c>
      <c r="AG109" s="1" t="s">
        <v>2714</v>
      </c>
      <c r="AH109" s="1" t="s">
        <v>2714</v>
      </c>
      <c r="AI109" s="1" t="s">
        <v>2827</v>
      </c>
      <c r="AJ109" s="1" t="s">
        <v>2714</v>
      </c>
      <c r="AK109" s="1" t="s">
        <v>2828</v>
      </c>
      <c r="AL109" s="1" t="s">
        <v>2714</v>
      </c>
      <c r="AM109" s="1" t="s">
        <v>2714</v>
      </c>
      <c r="AN109" s="1" t="s">
        <v>2829</v>
      </c>
      <c r="AO109" t="s">
        <v>2830</v>
      </c>
    </row>
    <row r="110" spans="1:41">
      <c r="A110" s="1" t="s">
        <v>2715</v>
      </c>
      <c r="B110" s="1" t="s">
        <v>2715</v>
      </c>
      <c r="C110" s="1" t="s">
        <v>2831</v>
      </c>
      <c r="D110" s="1" t="s">
        <v>2832</v>
      </c>
      <c r="E110" s="1" t="s">
        <v>2833</v>
      </c>
      <c r="F110" s="1" t="s">
        <v>2834</v>
      </c>
      <c r="G110" s="1" t="s">
        <v>2715</v>
      </c>
      <c r="H110" s="2" t="s">
        <v>2835</v>
      </c>
      <c r="I110" s="2" t="s">
        <v>2836</v>
      </c>
      <c r="J110" s="1" t="s">
        <v>2715</v>
      </c>
      <c r="K110" s="1" t="s">
        <v>2715</v>
      </c>
      <c r="L110" s="1" t="s">
        <v>2715</v>
      </c>
      <c r="M110" s="1" t="s">
        <v>2715</v>
      </c>
      <c r="N110" s="1" t="s">
        <v>2715</v>
      </c>
      <c r="O110" s="1" t="s">
        <v>2837</v>
      </c>
      <c r="P110" s="1" t="s">
        <v>2715</v>
      </c>
      <c r="Q110" s="1" t="s">
        <v>2838</v>
      </c>
      <c r="R110" s="1" t="s">
        <v>2839</v>
      </c>
      <c r="S110" s="1" t="s">
        <v>2715</v>
      </c>
      <c r="T110" s="1" t="s">
        <v>2715</v>
      </c>
      <c r="U110" s="1" t="s">
        <v>2715</v>
      </c>
      <c r="V110" s="1" t="s">
        <v>2715</v>
      </c>
      <c r="W110" s="2" t="s">
        <v>2840</v>
      </c>
      <c r="X110" s="1" t="s">
        <v>2841</v>
      </c>
      <c r="Y110" s="1" t="s">
        <v>2834</v>
      </c>
      <c r="Z110" s="1" t="s">
        <v>2715</v>
      </c>
      <c r="AA110" s="1" t="s">
        <v>2715</v>
      </c>
      <c r="AB110" s="1" t="s">
        <v>2842</v>
      </c>
      <c r="AC110" s="1" t="s">
        <v>2715</v>
      </c>
      <c r="AD110" s="1" t="s">
        <v>2715</v>
      </c>
      <c r="AE110" s="1" t="s">
        <v>2715</v>
      </c>
      <c r="AF110" s="1" t="s">
        <v>2834</v>
      </c>
      <c r="AG110" s="1" t="s">
        <v>2715</v>
      </c>
      <c r="AH110" s="1" t="s">
        <v>2715</v>
      </c>
      <c r="AI110" s="1" t="s">
        <v>2715</v>
      </c>
      <c r="AJ110" s="1" t="s">
        <v>2715</v>
      </c>
      <c r="AK110" s="1" t="s">
        <v>2843</v>
      </c>
      <c r="AL110" s="1" t="s">
        <v>2715</v>
      </c>
      <c r="AM110" s="1" t="s">
        <v>2715</v>
      </c>
      <c r="AN110" s="1" t="s">
        <v>2844</v>
      </c>
      <c r="AO110" t="s">
        <v>2715</v>
      </c>
    </row>
    <row r="111" spans="1:41">
      <c r="A111" s="1" t="s">
        <v>2716</v>
      </c>
      <c r="B111" s="1" t="s">
        <v>2845</v>
      </c>
      <c r="C111" s="1" t="s">
        <v>2846</v>
      </c>
      <c r="D111" s="1" t="s">
        <v>2847</v>
      </c>
      <c r="E111" s="1" t="s">
        <v>2716</v>
      </c>
      <c r="F111" s="1" t="s">
        <v>2848</v>
      </c>
      <c r="G111" s="1" t="s">
        <v>2716</v>
      </c>
      <c r="H111" s="2" t="s">
        <v>2849</v>
      </c>
      <c r="I111" s="2" t="s">
        <v>2850</v>
      </c>
      <c r="J111" s="1" t="s">
        <v>2716</v>
      </c>
      <c r="K111" s="1" t="s">
        <v>2716</v>
      </c>
      <c r="L111" s="1" t="s">
        <v>2716</v>
      </c>
      <c r="M111" s="1" t="s">
        <v>2851</v>
      </c>
      <c r="N111" s="1" t="s">
        <v>2716</v>
      </c>
      <c r="O111" s="1" t="s">
        <v>2852</v>
      </c>
      <c r="P111" s="1" t="s">
        <v>2716</v>
      </c>
      <c r="Q111" s="1" t="s">
        <v>2853</v>
      </c>
      <c r="R111" s="1" t="s">
        <v>2854</v>
      </c>
      <c r="S111" s="1" t="s">
        <v>2716</v>
      </c>
      <c r="T111" s="1" t="s">
        <v>2851</v>
      </c>
      <c r="U111" s="1" t="s">
        <v>2716</v>
      </c>
      <c r="V111" s="1" t="s">
        <v>2851</v>
      </c>
      <c r="W111" s="2" t="s">
        <v>2855</v>
      </c>
      <c r="X111" s="1" t="s">
        <v>2856</v>
      </c>
      <c r="Y111" s="1" t="s">
        <v>2857</v>
      </c>
      <c r="Z111" s="1" t="s">
        <v>2716</v>
      </c>
      <c r="AA111" s="1" t="s">
        <v>2716</v>
      </c>
      <c r="AB111" s="1" t="s">
        <v>2846</v>
      </c>
      <c r="AC111" s="1" t="s">
        <v>2716</v>
      </c>
      <c r="AD111" s="1" t="s">
        <v>2851</v>
      </c>
      <c r="AE111" s="1" t="s">
        <v>2716</v>
      </c>
      <c r="AF111" s="1" t="s">
        <v>2858</v>
      </c>
      <c r="AG111" s="1" t="s">
        <v>2859</v>
      </c>
      <c r="AH111" s="1" t="s">
        <v>2716</v>
      </c>
      <c r="AI111" s="1" t="s">
        <v>2851</v>
      </c>
      <c r="AJ111" s="1" t="s">
        <v>2716</v>
      </c>
      <c r="AK111" s="1" t="s">
        <v>2860</v>
      </c>
      <c r="AL111" s="1" t="s">
        <v>2716</v>
      </c>
      <c r="AM111" s="1" t="s">
        <v>2716</v>
      </c>
      <c r="AN111" s="1" t="s">
        <v>2861</v>
      </c>
      <c r="AO111" t="s">
        <v>2862</v>
      </c>
    </row>
    <row r="112" spans="1:41">
      <c r="A112" s="1" t="s">
        <v>2717</v>
      </c>
      <c r="B112" s="1" t="s">
        <v>2717</v>
      </c>
      <c r="C112" s="1" t="s">
        <v>2863</v>
      </c>
      <c r="D112" s="1" t="s">
        <v>2864</v>
      </c>
      <c r="E112" s="1" t="s">
        <v>2865</v>
      </c>
      <c r="F112" s="1" t="s">
        <v>2866</v>
      </c>
      <c r="G112" s="1" t="s">
        <v>2717</v>
      </c>
      <c r="H112" s="2" t="s">
        <v>2867</v>
      </c>
      <c r="I112" s="2" t="s">
        <v>2868</v>
      </c>
      <c r="J112" s="1" t="s">
        <v>2717</v>
      </c>
      <c r="K112" s="1" t="s">
        <v>2869</v>
      </c>
      <c r="L112" s="1" t="s">
        <v>2717</v>
      </c>
      <c r="M112" s="1" t="s">
        <v>2717</v>
      </c>
      <c r="N112" s="1" t="s">
        <v>2717</v>
      </c>
      <c r="O112" s="1" t="s">
        <v>2870</v>
      </c>
      <c r="P112" s="1" t="s">
        <v>2717</v>
      </c>
      <c r="Q112" s="1" t="s">
        <v>2871</v>
      </c>
      <c r="R112" s="1" t="s">
        <v>2872</v>
      </c>
      <c r="S112" s="1" t="s">
        <v>2873</v>
      </c>
      <c r="T112" s="1" t="s">
        <v>2717</v>
      </c>
      <c r="U112" s="1" t="s">
        <v>2717</v>
      </c>
      <c r="V112" s="1" t="s">
        <v>2874</v>
      </c>
      <c r="W112" s="2" t="s">
        <v>2875</v>
      </c>
      <c r="X112" s="1" t="s">
        <v>2876</v>
      </c>
      <c r="Y112" s="1" t="s">
        <v>2877</v>
      </c>
      <c r="Z112" s="1" t="s">
        <v>2717</v>
      </c>
      <c r="AA112" s="1" t="s">
        <v>2717</v>
      </c>
      <c r="AB112" s="1" t="s">
        <v>2878</v>
      </c>
      <c r="AC112" s="1" t="s">
        <v>2879</v>
      </c>
      <c r="AD112" s="1" t="s">
        <v>2880</v>
      </c>
      <c r="AE112" s="1" t="s">
        <v>2717</v>
      </c>
      <c r="AF112" s="1" t="s">
        <v>2881</v>
      </c>
      <c r="AG112" s="1" t="s">
        <v>2869</v>
      </c>
      <c r="AH112" s="1" t="s">
        <v>2717</v>
      </c>
      <c r="AI112" s="1" t="s">
        <v>2717</v>
      </c>
      <c r="AJ112" s="1" t="s">
        <v>2717</v>
      </c>
      <c r="AK112" s="1" t="s">
        <v>2882</v>
      </c>
      <c r="AL112" s="1" t="s">
        <v>2717</v>
      </c>
      <c r="AM112" s="1" t="s">
        <v>2717</v>
      </c>
      <c r="AN112" s="1" t="s">
        <v>2883</v>
      </c>
      <c r="AO112" t="s">
        <v>2884</v>
      </c>
    </row>
    <row r="113" spans="1:41">
      <c r="A113" s="1"/>
      <c r="B113" s="1"/>
      <c r="C113" s="1"/>
      <c r="D113" s="1"/>
      <c r="E113" s="1"/>
      <c r="F113" s="1"/>
      <c r="G113" s="1"/>
      <c r="H113" s="2"/>
      <c r="I113" s="2"/>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c r="AJ113" s="1"/>
      <c r="AK113" s="1"/>
      <c r="AL113" s="1"/>
      <c r="AM113" s="1"/>
      <c r="AN113" s="1"/>
    </row>
    <row r="114" spans="1:41">
      <c r="A114" s="1"/>
      <c r="B114" s="1"/>
      <c r="C114" s="1"/>
      <c r="D114" s="1"/>
      <c r="E114" s="1"/>
      <c r="F114" s="1"/>
      <c r="G114" s="1"/>
      <c r="H114" s="2"/>
      <c r="I114" s="2"/>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c r="AJ114" s="1"/>
      <c r="AK114" s="1"/>
      <c r="AL114" s="1"/>
      <c r="AM114" s="1"/>
      <c r="AN114" s="1"/>
      <c r="AO114" s="1"/>
    </row>
    <row r="115" spans="1:41">
      <c r="A115" t="s">
        <v>2424</v>
      </c>
      <c r="B115" t="s">
        <v>2425</v>
      </c>
      <c r="C115" t="s">
        <v>2426</v>
      </c>
      <c r="D115" t="s">
        <v>2427</v>
      </c>
      <c r="E115" t="s">
        <v>2428</v>
      </c>
      <c r="F115" t="s">
        <v>2429</v>
      </c>
      <c r="G115" t="s">
        <v>2430</v>
      </c>
      <c r="H115" t="s">
        <v>2431</v>
      </c>
      <c r="I115" t="s">
        <v>2432</v>
      </c>
      <c r="J115" t="s">
        <v>2433</v>
      </c>
      <c r="K115" t="s">
        <v>2434</v>
      </c>
      <c r="L115" t="s">
        <v>2435</v>
      </c>
      <c r="M115" t="s">
        <v>2436</v>
      </c>
      <c r="N115" t="s">
        <v>2437</v>
      </c>
      <c r="O115" t="s">
        <v>2438</v>
      </c>
      <c r="P115" t="s">
        <v>2439</v>
      </c>
      <c r="Q115" t="s">
        <v>2440</v>
      </c>
      <c r="R115" t="s">
        <v>2441</v>
      </c>
      <c r="S115" t="s">
        <v>2442</v>
      </c>
      <c r="T115" t="s">
        <v>2443</v>
      </c>
      <c r="U115" t="s">
        <v>2444</v>
      </c>
      <c r="V115" t="s">
        <v>2445</v>
      </c>
      <c r="W115" t="s">
        <v>2446</v>
      </c>
      <c r="X115" t="s">
        <v>2447</v>
      </c>
      <c r="Y115" t="s">
        <v>2448</v>
      </c>
      <c r="Z115" t="s">
        <v>2449</v>
      </c>
      <c r="AA115" t="s">
        <v>2450</v>
      </c>
      <c r="AB115" t="s">
        <v>2451</v>
      </c>
      <c r="AC115" t="s">
        <v>2452</v>
      </c>
      <c r="AD115" t="s">
        <v>2453</v>
      </c>
      <c r="AE115" t="s">
        <v>2454</v>
      </c>
      <c r="AF115" t="s">
        <v>2455</v>
      </c>
      <c r="AG115" t="s">
        <v>2456</v>
      </c>
      <c r="AH115" t="s">
        <v>2457</v>
      </c>
      <c r="AI115" t="s">
        <v>2458</v>
      </c>
      <c r="AJ115" t="s">
        <v>2459</v>
      </c>
      <c r="AK115" t="s">
        <v>2460</v>
      </c>
      <c r="AL115" t="s">
        <v>2461</v>
      </c>
      <c r="AM115" t="s">
        <v>2462</v>
      </c>
      <c r="AN115" t="s">
        <v>2463</v>
      </c>
      <c r="AO115" t="s">
        <v>2464</v>
      </c>
    </row>
  </sheetData>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MJ47"/>
  <sheetViews>
    <sheetView showGridLines="0" zoomScaleNormal="100" workbookViewId="0">
      <selection activeCell="C4" sqref="C4"/>
    </sheetView>
  </sheetViews>
  <sheetFormatPr defaultColWidth="9.140625" defaultRowHeight="12.75"/>
  <cols>
    <col min="1" max="1" width="1.85546875" style="77" customWidth="1"/>
    <col min="2" max="2" width="21.85546875" style="77" customWidth="1"/>
    <col min="3" max="3" width="19.42578125" style="111" customWidth="1"/>
    <col min="4" max="4" width="2.5703125" style="77" customWidth="1"/>
    <col min="5" max="5" width="2.140625" style="77" customWidth="1"/>
    <col min="6" max="6" width="16.28515625" style="77" customWidth="1"/>
    <col min="7" max="7" width="28.5703125" style="77" customWidth="1"/>
    <col min="8" max="8" width="2.5703125" style="77" customWidth="1"/>
    <col min="9" max="1024" width="9.140625" style="77"/>
    <col min="1025" max="16384" width="9.140625" style="81"/>
  </cols>
  <sheetData>
    <row r="2" spans="2:8" ht="15.75">
      <c r="B2" s="78" t="s">
        <v>2465</v>
      </c>
      <c r="C2" s="79"/>
      <c r="D2" s="80"/>
      <c r="F2" s="78" t="s">
        <v>2466</v>
      </c>
      <c r="G2" s="79"/>
      <c r="H2" s="80"/>
    </row>
    <row r="3" spans="2:8">
      <c r="B3" s="82"/>
      <c r="C3" s="83"/>
      <c r="D3" s="84"/>
      <c r="F3" s="82"/>
      <c r="G3" s="83"/>
      <c r="H3" s="84"/>
    </row>
    <row r="4" spans="2:8">
      <c r="B4" s="85" t="s">
        <v>2467</v>
      </c>
      <c r="C4" s="86" t="s">
        <v>0</v>
      </c>
      <c r="D4" s="84"/>
      <c r="F4" s="82"/>
      <c r="G4" s="87"/>
      <c r="H4" s="84"/>
    </row>
    <row r="5" spans="2:8">
      <c r="B5" s="82"/>
      <c r="C5" s="83"/>
      <c r="D5" s="84"/>
      <c r="F5" s="88" t="s">
        <v>2468</v>
      </c>
      <c r="G5" s="89" t="s">
        <v>2469</v>
      </c>
      <c r="H5" s="84"/>
    </row>
    <row r="6" spans="2:8">
      <c r="B6" s="85" t="s">
        <v>2470</v>
      </c>
      <c r="C6" s="86" t="s">
        <v>2471</v>
      </c>
      <c r="D6" s="84"/>
      <c r="F6" s="88" t="s">
        <v>2472</v>
      </c>
      <c r="G6" s="90" t="s">
        <v>2473</v>
      </c>
      <c r="H6" s="84"/>
    </row>
    <row r="7" spans="2:8">
      <c r="B7" s="82"/>
      <c r="C7" s="83"/>
      <c r="D7" s="84"/>
      <c r="F7" s="88" t="s">
        <v>2474</v>
      </c>
      <c r="G7" s="90" t="s">
        <v>2475</v>
      </c>
      <c r="H7" s="84"/>
    </row>
    <row r="8" spans="2:8">
      <c r="B8" s="85" t="s">
        <v>2476</v>
      </c>
      <c r="C8" s="91" t="s">
        <v>2493</v>
      </c>
      <c r="D8" s="84"/>
      <c r="F8" s="88" t="s">
        <v>2478</v>
      </c>
      <c r="G8" s="90" t="s">
        <v>2479</v>
      </c>
      <c r="H8" s="84"/>
    </row>
    <row r="9" spans="2:8">
      <c r="B9" s="82"/>
      <c r="C9" s="83"/>
      <c r="D9" s="84"/>
      <c r="F9" s="88" t="s">
        <v>2480</v>
      </c>
      <c r="G9" s="92" t="s">
        <v>2481</v>
      </c>
      <c r="H9" s="84"/>
    </row>
    <row r="10" spans="2:8">
      <c r="B10" s="85" t="s">
        <v>2482</v>
      </c>
      <c r="C10" s="91" t="s">
        <v>2483</v>
      </c>
      <c r="D10" s="84"/>
      <c r="F10" s="82"/>
      <c r="G10" s="93"/>
      <c r="H10" s="84"/>
    </row>
    <row r="11" spans="2:8">
      <c r="B11" s="94"/>
      <c r="C11" s="95"/>
      <c r="D11" s="96"/>
      <c r="F11" s="94"/>
      <c r="G11" s="95"/>
      <c r="H11" s="96"/>
    </row>
    <row r="12" spans="2:8">
      <c r="B12" s="97"/>
      <c r="C12" s="97"/>
      <c r="D12" s="97"/>
      <c r="E12" s="97"/>
    </row>
    <row r="13" spans="2:8">
      <c r="B13" s="98"/>
      <c r="C13" s="99"/>
      <c r="D13" s="100"/>
      <c r="F13" s="101" t="s">
        <v>2484</v>
      </c>
      <c r="G13" s="101">
        <f>IF(ISERROR(MATCH(C4,lang_list,0)),1,MATCH(C4,lang_list,0))</f>
        <v>1</v>
      </c>
      <c r="H13" s="102"/>
    </row>
    <row r="14" spans="2:8" ht="16.5" thickBot="1">
      <c r="B14" s="82"/>
      <c r="C14" s="103" t="s">
        <v>2481</v>
      </c>
      <c r="D14" s="84"/>
      <c r="F14" s="101" t="s">
        <v>2485</v>
      </c>
      <c r="G14" s="104">
        <f>TIME(VLOOKUP(C8,F16:G39,2,0),VLOOKUP(C10,F41:G44,2,0),0)+IF(C6="Yes",TIME(1,0,0),0)</f>
        <v>0.33333333333333337</v>
      </c>
      <c r="H14" s="102"/>
    </row>
    <row r="15" spans="2:8">
      <c r="B15" s="105" t="str">
        <f>INDEX(T,66,lang)</f>
        <v>England</v>
      </c>
      <c r="C15" s="106">
        <v>104.303</v>
      </c>
      <c r="D15" s="84"/>
      <c r="F15" s="101"/>
      <c r="G15" s="101"/>
      <c r="H15" s="102"/>
    </row>
    <row r="16" spans="2:8">
      <c r="B16" s="105" t="str">
        <f>INDEX(T,40,lang)</f>
        <v>Spain</v>
      </c>
      <c r="C16" s="107">
        <v>88.864000000000004</v>
      </c>
      <c r="D16" s="84"/>
      <c r="F16" s="101" t="s">
        <v>2486</v>
      </c>
      <c r="G16" s="101">
        <v>0</v>
      </c>
      <c r="H16" s="102"/>
    </row>
    <row r="17" spans="2:8">
      <c r="B17" s="105" t="str">
        <f>INDEX(T,41,lang)</f>
        <v>Italy</v>
      </c>
      <c r="C17" s="107">
        <v>88.712000000000003</v>
      </c>
      <c r="D17" s="84"/>
      <c r="F17" s="101" t="s">
        <v>2487</v>
      </c>
      <c r="G17" s="101">
        <v>1</v>
      </c>
      <c r="H17" s="102"/>
    </row>
    <row r="18" spans="2:8">
      <c r="B18" s="105" t="str">
        <f>INDEX(T,52,lang)</f>
        <v>Germany</v>
      </c>
      <c r="C18" s="107">
        <v>85.337999999999994</v>
      </c>
      <c r="D18" s="84"/>
      <c r="F18" s="101" t="s">
        <v>2488</v>
      </c>
      <c r="G18" s="101">
        <v>2</v>
      </c>
      <c r="H18" s="102"/>
    </row>
    <row r="19" spans="2:8">
      <c r="B19" s="105" t="str">
        <f>INDEX(T,62,lang)</f>
        <v>France</v>
      </c>
      <c r="C19" s="107">
        <v>66.664000000000001</v>
      </c>
      <c r="D19" s="84"/>
      <c r="F19" s="101" t="s">
        <v>2489</v>
      </c>
      <c r="G19" s="101">
        <v>3</v>
      </c>
      <c r="H19" s="102"/>
    </row>
    <row r="20" spans="2:8">
      <c r="B20" s="105" t="str">
        <f>INDEX(T,48,lang)</f>
        <v>Netherlands</v>
      </c>
      <c r="C20" s="107">
        <v>61.3</v>
      </c>
      <c r="D20" s="84"/>
      <c r="F20" s="101" t="s">
        <v>2490</v>
      </c>
      <c r="G20" s="101">
        <v>4</v>
      </c>
      <c r="H20" s="102"/>
    </row>
    <row r="21" spans="2:8">
      <c r="B21" s="105" t="str">
        <f>INDEX(T,42,lang)</f>
        <v>Portugal</v>
      </c>
      <c r="C21" s="107">
        <v>56.316000000000003</v>
      </c>
      <c r="D21" s="84"/>
      <c r="F21" s="101" t="s">
        <v>2491</v>
      </c>
      <c r="G21" s="101">
        <v>5</v>
      </c>
      <c r="H21" s="102"/>
    </row>
    <row r="22" spans="2:8">
      <c r="B22" s="105" t="str">
        <f>INDEX(T,67,lang)</f>
        <v>Belgium</v>
      </c>
      <c r="C22" s="107">
        <v>48.6</v>
      </c>
      <c r="D22" s="84"/>
      <c r="F22" s="101" t="s">
        <v>2492</v>
      </c>
      <c r="G22" s="101">
        <v>6</v>
      </c>
      <c r="H22" s="102"/>
    </row>
    <row r="23" spans="2:8">
      <c r="B23" s="105" t="str">
        <f>INDEX(T,46,lang)</f>
        <v>Turkey</v>
      </c>
      <c r="C23" s="107">
        <v>38.6</v>
      </c>
      <c r="D23" s="84"/>
      <c r="F23" s="101" t="s">
        <v>2493</v>
      </c>
      <c r="G23" s="101">
        <v>7</v>
      </c>
      <c r="H23" s="102"/>
    </row>
    <row r="24" spans="2:8">
      <c r="B24" s="105" t="str">
        <f>INDEX(T,50,lang)</f>
        <v>Scotland</v>
      </c>
      <c r="C24" s="107">
        <v>36.049999999999997</v>
      </c>
      <c r="D24" s="84"/>
      <c r="F24" s="101" t="s">
        <v>2494</v>
      </c>
      <c r="G24" s="101">
        <v>8</v>
      </c>
      <c r="H24" s="102"/>
    </row>
    <row r="25" spans="2:8">
      <c r="B25" s="105" t="str">
        <f>INDEX(T,58,lang)</f>
        <v>Czech Republic</v>
      </c>
      <c r="C25" s="107">
        <v>36.049999999999997</v>
      </c>
      <c r="D25" s="84"/>
      <c r="F25" s="101" t="s">
        <v>2495</v>
      </c>
      <c r="G25" s="101">
        <v>9</v>
      </c>
      <c r="H25" s="102"/>
    </row>
    <row r="26" spans="2:8">
      <c r="B26" s="105" t="str">
        <f>INDEX(T,57,lang)</f>
        <v>Switzerland</v>
      </c>
      <c r="C26" s="107">
        <v>32.975000000000001</v>
      </c>
      <c r="D26" s="84"/>
      <c r="F26" s="101" t="s">
        <v>2496</v>
      </c>
      <c r="G26" s="101">
        <v>10</v>
      </c>
      <c r="H26" s="102"/>
    </row>
    <row r="27" spans="2:8">
      <c r="B27" s="105" t="str">
        <f>INDEX(T,61,lang)</f>
        <v>Austria</v>
      </c>
      <c r="C27" s="107">
        <v>32.6</v>
      </c>
      <c r="D27" s="84"/>
      <c r="F27" s="101" t="s">
        <v>2497</v>
      </c>
      <c r="G27" s="101">
        <v>11</v>
      </c>
      <c r="H27" s="102"/>
    </row>
    <row r="28" spans="2:8">
      <c r="B28" s="105" t="str">
        <f>INDEX(T,44,lang)</f>
        <v>Denmark</v>
      </c>
      <c r="C28" s="107">
        <v>31.45</v>
      </c>
      <c r="D28" s="84"/>
      <c r="F28" s="101" t="s">
        <v>2477</v>
      </c>
      <c r="G28" s="101">
        <v>12</v>
      </c>
      <c r="H28" s="102"/>
    </row>
    <row r="29" spans="2:8">
      <c r="B29" s="105" t="str">
        <f>INDEX(T,45,lang)</f>
        <v>Ukraine</v>
      </c>
      <c r="C29" s="107">
        <v>28</v>
      </c>
      <c r="D29" s="84"/>
      <c r="F29" s="101" t="s">
        <v>2498</v>
      </c>
      <c r="G29" s="101">
        <v>13</v>
      </c>
      <c r="H29" s="102"/>
    </row>
    <row r="30" spans="2:8">
      <c r="B30" s="105" t="str">
        <f>INDEX(T,63,lang)</f>
        <v>Serbia</v>
      </c>
      <c r="C30" s="107">
        <v>27.774999999999999</v>
      </c>
      <c r="D30" s="84"/>
      <c r="F30" s="101" t="s">
        <v>2499</v>
      </c>
      <c r="G30" s="101">
        <v>14</v>
      </c>
      <c r="H30" s="102"/>
    </row>
    <row r="31" spans="2:8">
      <c r="B31" s="105" t="str">
        <f>INDEX(T,55,lang)</f>
        <v>Croatia</v>
      </c>
      <c r="C31" s="107">
        <v>25.524999999999999</v>
      </c>
      <c r="D31" s="84"/>
      <c r="F31" s="101" t="s">
        <v>2500</v>
      </c>
      <c r="G31" s="101">
        <v>15</v>
      </c>
      <c r="H31" s="102"/>
    </row>
    <row r="32" spans="2:8">
      <c r="B32" s="105" t="str">
        <f>INDEX(T,64,lang)</f>
        <v>Poland</v>
      </c>
      <c r="C32" s="107">
        <v>25.375</v>
      </c>
      <c r="D32" s="84"/>
      <c r="F32" s="101" t="s">
        <v>2501</v>
      </c>
      <c r="G32" s="101">
        <v>16</v>
      </c>
      <c r="H32" s="102"/>
    </row>
    <row r="33" spans="2:8">
      <c r="B33" s="105" t="str">
        <f>INDEX(T,43,lang)</f>
        <v>Hungary</v>
      </c>
      <c r="C33" s="107">
        <v>21.875</v>
      </c>
      <c r="D33" s="84"/>
      <c r="F33" s="101" t="s">
        <v>2502</v>
      </c>
      <c r="G33" s="101">
        <v>17</v>
      </c>
      <c r="H33" s="102"/>
    </row>
    <row r="34" spans="2:8">
      <c r="B34" s="105" t="str">
        <f>INDEX(T,39,lang)</f>
        <v>Romania</v>
      </c>
      <c r="C34" s="107">
        <v>21.375</v>
      </c>
      <c r="D34" s="84"/>
      <c r="F34" s="101" t="s">
        <v>2503</v>
      </c>
      <c r="G34" s="101">
        <v>18</v>
      </c>
      <c r="H34" s="102"/>
    </row>
    <row r="35" spans="2:8">
      <c r="B35" s="105" t="str">
        <f>INDEX(T,51,lang)</f>
        <v>Slovakia</v>
      </c>
      <c r="C35" s="107">
        <v>19.625</v>
      </c>
      <c r="D35" s="84"/>
      <c r="F35" s="101" t="s">
        <v>2504</v>
      </c>
      <c r="G35" s="101">
        <v>19</v>
      </c>
      <c r="H35" s="102"/>
    </row>
    <row r="36" spans="2:8">
      <c r="B36" s="105" t="str">
        <f>INDEX(T,53,lang)</f>
        <v>Slovenia</v>
      </c>
      <c r="C36" s="107">
        <v>13.25</v>
      </c>
      <c r="D36" s="84"/>
      <c r="F36" s="101" t="s">
        <v>2505</v>
      </c>
      <c r="G36" s="101">
        <v>20</v>
      </c>
      <c r="H36" s="102"/>
    </row>
    <row r="37" spans="2:8">
      <c r="B37" s="105" t="str">
        <f>INDEX(T,65,lang)</f>
        <v>Georgia</v>
      </c>
      <c r="C37" s="107">
        <v>7.625</v>
      </c>
      <c r="D37" s="84"/>
      <c r="F37" s="101" t="s">
        <v>2506</v>
      </c>
      <c r="G37" s="101">
        <v>21</v>
      </c>
      <c r="H37" s="102"/>
    </row>
    <row r="38" spans="2:8">
      <c r="B38" s="105" t="str">
        <f>INDEX(T,38,lang)</f>
        <v>Albania</v>
      </c>
      <c r="C38" s="108">
        <v>7.375</v>
      </c>
      <c r="D38" s="84"/>
      <c r="F38" s="101" t="s">
        <v>2507</v>
      </c>
      <c r="G38" s="101">
        <v>22</v>
      </c>
      <c r="H38" s="102"/>
    </row>
    <row r="39" spans="2:8" hidden="1">
      <c r="B39" s="105"/>
      <c r="C39" s="109"/>
      <c r="D39" s="84"/>
      <c r="F39" s="101" t="s">
        <v>2508</v>
      </c>
      <c r="G39" s="101">
        <v>23</v>
      </c>
      <c r="H39" s="102"/>
    </row>
    <row r="40" spans="2:8" hidden="1">
      <c r="B40" s="105"/>
      <c r="C40" s="109"/>
      <c r="D40" s="84"/>
      <c r="F40" s="101"/>
      <c r="G40" s="101"/>
      <c r="H40" s="102"/>
    </row>
    <row r="41" spans="2:8" hidden="1">
      <c r="B41" s="105"/>
      <c r="C41" s="109"/>
      <c r="D41" s="84"/>
      <c r="F41" s="101" t="s">
        <v>2483</v>
      </c>
      <c r="G41" s="101">
        <v>0</v>
      </c>
      <c r="H41" s="102"/>
    </row>
    <row r="42" spans="2:8" hidden="1">
      <c r="B42" s="105"/>
      <c r="C42" s="109"/>
      <c r="D42" s="84"/>
      <c r="F42" s="101" t="s">
        <v>2509</v>
      </c>
      <c r="G42" s="101">
        <v>15</v>
      </c>
      <c r="H42" s="102"/>
    </row>
    <row r="43" spans="2:8" hidden="1">
      <c r="B43" s="105"/>
      <c r="C43" s="109"/>
      <c r="D43" s="84"/>
      <c r="F43" s="101" t="s">
        <v>2510</v>
      </c>
      <c r="G43" s="101">
        <v>30</v>
      </c>
      <c r="H43" s="102"/>
    </row>
    <row r="44" spans="2:8" hidden="1">
      <c r="B44" s="105"/>
      <c r="C44" s="109"/>
      <c r="D44" s="84"/>
      <c r="F44" s="101" t="s">
        <v>2511</v>
      </c>
      <c r="G44" s="101">
        <v>45</v>
      </c>
      <c r="H44" s="102"/>
    </row>
    <row r="45" spans="2:8" hidden="1">
      <c r="B45" s="105"/>
      <c r="C45" s="109"/>
      <c r="D45" s="84"/>
      <c r="F45" s="101"/>
      <c r="G45" s="101"/>
      <c r="H45" s="102"/>
    </row>
    <row r="46" spans="2:8" hidden="1">
      <c r="B46" s="105"/>
      <c r="C46" s="110"/>
      <c r="D46" s="84"/>
      <c r="F46" s="102" t="s">
        <v>2512</v>
      </c>
      <c r="G46" s="104">
        <f>IF(G4="Type 2",0,1)</f>
        <v>1</v>
      </c>
      <c r="H46" s="102"/>
    </row>
    <row r="47" spans="2:8">
      <c r="B47" s="94"/>
      <c r="C47" s="95"/>
      <c r="D47" s="96"/>
      <c r="F47" s="102"/>
      <c r="G47" s="102"/>
      <c r="H47" s="102"/>
    </row>
  </sheetData>
  <sheetProtection password="B93B" sheet="1" objects="1" scenarios="1"/>
  <dataValidations count="4">
    <dataValidation type="list" allowBlank="1" showInputMessage="1" showErrorMessage="1" sqref="C6">
      <formula1>"Yes,No"</formula1>
      <formula2>0</formula2>
    </dataValidation>
    <dataValidation type="list" allowBlank="1" showInputMessage="1" showErrorMessage="1" sqref="C4">
      <formula1>lang_list</formula1>
      <formula2>0</formula2>
    </dataValidation>
    <dataValidation type="list" allowBlank="1" showInputMessage="1" showErrorMessage="1" promptTitle="Select GTM-time" prompt="Use drop-down List" sqref="C8">
      <formula1>$F$16:$F$39</formula1>
      <formula2>0</formula2>
    </dataValidation>
    <dataValidation type="list" allowBlank="1" showInputMessage="1" showErrorMessage="1" promptTitle="Select Minutes" prompt="Use drop-down List" sqref="C10">
      <formula1>$F$41:$F$44</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K20"/>
  <sheetViews>
    <sheetView showGridLines="0" zoomScaleNormal="100" workbookViewId="0">
      <selection activeCell="D12" sqref="D12"/>
    </sheetView>
  </sheetViews>
  <sheetFormatPr defaultColWidth="8.42578125" defaultRowHeight="12.75"/>
  <cols>
    <col min="1" max="1" width="1.85546875" customWidth="1"/>
    <col min="3" max="6" width="6" style="3" customWidth="1"/>
    <col min="7" max="7" width="1.85546875" customWidth="1"/>
    <col min="8" max="11" width="16.28515625" customWidth="1"/>
    <col min="12" max="12" width="1.85546875" customWidth="1"/>
  </cols>
  <sheetData>
    <row r="1" spans="2:11" ht="34.5" customHeight="1">
      <c r="B1" s="170" t="s">
        <v>2513</v>
      </c>
      <c r="C1" s="170"/>
      <c r="D1" s="170"/>
      <c r="E1" s="170"/>
      <c r="F1" s="170"/>
      <c r="G1" s="170"/>
      <c r="H1" s="170"/>
      <c r="I1" s="170"/>
      <c r="J1" s="170"/>
      <c r="K1" s="170"/>
    </row>
    <row r="2" spans="2:11" ht="8.25" customHeight="1"/>
    <row r="3" spans="2:11">
      <c r="B3" s="1" t="s">
        <v>2514</v>
      </c>
      <c r="C3" s="171" t="str">
        <f>'UEFA EURO 2024'!BB50</f>
        <v>ABCD</v>
      </c>
      <c r="D3" s="171"/>
      <c r="E3" s="171"/>
      <c r="F3" s="171"/>
    </row>
    <row r="4" spans="2:11" ht="8.25" customHeight="1"/>
    <row r="5" spans="2:11">
      <c r="C5" s="4" t="s">
        <v>2515</v>
      </c>
      <c r="D5" s="4" t="s">
        <v>2516</v>
      </c>
      <c r="E5" s="4" t="s">
        <v>2517</v>
      </c>
      <c r="F5" s="4" t="s">
        <v>2518</v>
      </c>
    </row>
    <row r="6" spans="2:11">
      <c r="B6" s="5" t="s">
        <v>2519</v>
      </c>
      <c r="C6" s="6" t="s">
        <v>2520</v>
      </c>
      <c r="D6" s="7" t="s">
        <v>2521</v>
      </c>
      <c r="E6" s="7" t="s">
        <v>2522</v>
      </c>
      <c r="F6" s="8" t="s">
        <v>2523</v>
      </c>
      <c r="H6" s="9" t="str">
        <f>'UEFA EURO 2024'!BE53</f>
        <v>3A</v>
      </c>
      <c r="I6" s="7" t="str">
        <f>'UEFA EURO 2024'!BF53</f>
        <v>3D</v>
      </c>
      <c r="J6" s="7" t="str">
        <f>'UEFA EURO 2024'!BG53</f>
        <v>3B</v>
      </c>
      <c r="K6" s="8" t="str">
        <f>'UEFA EURO 2024'!BH53</f>
        <v>3C</v>
      </c>
    </row>
    <row r="7" spans="2:11">
      <c r="B7" s="10" t="s">
        <v>2524</v>
      </c>
      <c r="C7" s="11" t="s">
        <v>2520</v>
      </c>
      <c r="D7" s="12" t="s">
        <v>2525</v>
      </c>
      <c r="E7" s="12" t="s">
        <v>2522</v>
      </c>
      <c r="F7" s="13" t="s">
        <v>2523</v>
      </c>
      <c r="H7" s="14" t="str">
        <f>'UEFA EURO 2024'!BE54</f>
        <v>3A</v>
      </c>
      <c r="I7" s="12" t="str">
        <f>'UEFA EURO 2024'!BF54</f>
        <v>3E</v>
      </c>
      <c r="J7" s="12" t="str">
        <f>'UEFA EURO 2024'!BG54</f>
        <v>3B</v>
      </c>
      <c r="K7" s="13" t="str">
        <f>'UEFA EURO 2024'!BH54</f>
        <v>3C</v>
      </c>
    </row>
    <row r="8" spans="2:11">
      <c r="B8" s="10" t="s">
        <v>2526</v>
      </c>
      <c r="C8" s="11" t="s">
        <v>2520</v>
      </c>
      <c r="D8" s="12" t="s">
        <v>2527</v>
      </c>
      <c r="E8" s="12" t="s">
        <v>2522</v>
      </c>
      <c r="F8" s="13" t="s">
        <v>2523</v>
      </c>
      <c r="H8" s="14" t="str">
        <f>'UEFA EURO 2024'!BE55</f>
        <v>3A</v>
      </c>
      <c r="I8" s="12" t="str">
        <f>'UEFA EURO 2024'!BF55</f>
        <v>3F</v>
      </c>
      <c r="J8" s="12" t="str">
        <f>'UEFA EURO 2024'!BG55</f>
        <v>3B</v>
      </c>
      <c r="K8" s="13" t="str">
        <f>'UEFA EURO 2024'!BH55</f>
        <v>3C</v>
      </c>
    </row>
    <row r="9" spans="2:11">
      <c r="B9" s="10" t="s">
        <v>2528</v>
      </c>
      <c r="C9" s="11" t="s">
        <v>2521</v>
      </c>
      <c r="D9" s="12" t="s">
        <v>2525</v>
      </c>
      <c r="E9" s="12" t="s">
        <v>2520</v>
      </c>
      <c r="F9" s="13" t="s">
        <v>2522</v>
      </c>
      <c r="H9" s="14" t="str">
        <f>'UEFA EURO 2024'!BE56</f>
        <v>3D</v>
      </c>
      <c r="I9" s="12" t="str">
        <f>'UEFA EURO 2024'!BF56</f>
        <v>3E</v>
      </c>
      <c r="J9" s="12" t="str">
        <f>'UEFA EURO 2024'!BG56</f>
        <v>3A</v>
      </c>
      <c r="K9" s="13" t="str">
        <f>'UEFA EURO 2024'!BH56</f>
        <v>3B</v>
      </c>
    </row>
    <row r="10" spans="2:11">
      <c r="B10" s="10" t="s">
        <v>2529</v>
      </c>
      <c r="C10" s="11" t="s">
        <v>2521</v>
      </c>
      <c r="D10" s="12" t="s">
        <v>2527</v>
      </c>
      <c r="E10" s="12" t="s">
        <v>2520</v>
      </c>
      <c r="F10" s="13" t="s">
        <v>2522</v>
      </c>
      <c r="H10" s="14" t="str">
        <f>'UEFA EURO 2024'!BE57</f>
        <v>3D</v>
      </c>
      <c r="I10" s="12" t="str">
        <f>'UEFA EURO 2024'!BF57</f>
        <v>3F</v>
      </c>
      <c r="J10" s="12" t="str">
        <f>'UEFA EURO 2024'!BG57</f>
        <v>3A</v>
      </c>
      <c r="K10" s="13" t="str">
        <f>'UEFA EURO 2024'!BH57</f>
        <v>3B</v>
      </c>
    </row>
    <row r="11" spans="2:11">
      <c r="B11" s="10" t="s">
        <v>2530</v>
      </c>
      <c r="C11" s="11" t="s">
        <v>2525</v>
      </c>
      <c r="D11" s="12" t="s">
        <v>2527</v>
      </c>
      <c r="E11" s="12" t="s">
        <v>2522</v>
      </c>
      <c r="F11" s="13" t="s">
        <v>2520</v>
      </c>
      <c r="H11" s="14" t="str">
        <f>'UEFA EURO 2024'!BE58</f>
        <v>3E</v>
      </c>
      <c r="I11" s="12" t="str">
        <f>'UEFA EURO 2024'!BF58</f>
        <v>3F</v>
      </c>
      <c r="J11" s="12" t="str">
        <f>'UEFA EURO 2024'!BG58</f>
        <v>3B</v>
      </c>
      <c r="K11" s="13" t="str">
        <f>'UEFA EURO 2024'!BH58</f>
        <v>3A</v>
      </c>
    </row>
    <row r="12" spans="2:11">
      <c r="B12" s="10" t="s">
        <v>2531</v>
      </c>
      <c r="C12" s="11" t="s">
        <v>2525</v>
      </c>
      <c r="D12" s="12" t="s">
        <v>2521</v>
      </c>
      <c r="E12" s="12" t="s">
        <v>2523</v>
      </c>
      <c r="F12" s="13" t="s">
        <v>2520</v>
      </c>
      <c r="H12" s="14" t="str">
        <f>'UEFA EURO 2024'!BE59</f>
        <v>3E</v>
      </c>
      <c r="I12" s="12" t="str">
        <f>'UEFA EURO 2024'!BF59</f>
        <v>3D</v>
      </c>
      <c r="J12" s="12" t="str">
        <f>'UEFA EURO 2024'!BG59</f>
        <v>3C</v>
      </c>
      <c r="K12" s="13" t="str">
        <f>'UEFA EURO 2024'!BH59</f>
        <v>3A</v>
      </c>
    </row>
    <row r="13" spans="2:11">
      <c r="B13" s="10" t="s">
        <v>2532</v>
      </c>
      <c r="C13" s="11" t="s">
        <v>2527</v>
      </c>
      <c r="D13" s="12" t="s">
        <v>2521</v>
      </c>
      <c r="E13" s="12" t="s">
        <v>2523</v>
      </c>
      <c r="F13" s="13" t="s">
        <v>2520</v>
      </c>
      <c r="H13" s="14" t="str">
        <f>'UEFA EURO 2024'!BE60</f>
        <v>3F</v>
      </c>
      <c r="I13" s="12" t="str">
        <f>'UEFA EURO 2024'!BF60</f>
        <v>3D</v>
      </c>
      <c r="J13" s="12" t="str">
        <f>'UEFA EURO 2024'!BG60</f>
        <v>3C</v>
      </c>
      <c r="K13" s="13" t="str">
        <f>'UEFA EURO 2024'!BH60</f>
        <v>3A</v>
      </c>
    </row>
    <row r="14" spans="2:11">
      <c r="B14" s="10" t="s">
        <v>2533</v>
      </c>
      <c r="C14" s="11" t="s">
        <v>2525</v>
      </c>
      <c r="D14" s="12" t="s">
        <v>2527</v>
      </c>
      <c r="E14" s="12" t="s">
        <v>2523</v>
      </c>
      <c r="F14" s="13" t="s">
        <v>2520</v>
      </c>
      <c r="H14" s="14" t="str">
        <f>'UEFA EURO 2024'!BE61</f>
        <v>3E</v>
      </c>
      <c r="I14" s="12" t="str">
        <f>'UEFA EURO 2024'!BF61</f>
        <v>3F</v>
      </c>
      <c r="J14" s="12" t="str">
        <f>'UEFA EURO 2024'!BG61</f>
        <v>3C</v>
      </c>
      <c r="K14" s="13" t="str">
        <f>'UEFA EURO 2024'!BH61</f>
        <v>3A</v>
      </c>
    </row>
    <row r="15" spans="2:11">
      <c r="B15" s="10" t="s">
        <v>2534</v>
      </c>
      <c r="C15" s="11" t="s">
        <v>2525</v>
      </c>
      <c r="D15" s="12" t="s">
        <v>2527</v>
      </c>
      <c r="E15" s="12" t="s">
        <v>2521</v>
      </c>
      <c r="F15" s="13" t="s">
        <v>2520</v>
      </c>
      <c r="H15" s="14" t="str">
        <f>'UEFA EURO 2024'!BE62</f>
        <v>3E</v>
      </c>
      <c r="I15" s="12" t="str">
        <f>'UEFA EURO 2024'!BF62</f>
        <v>3F</v>
      </c>
      <c r="J15" s="12" t="str">
        <f>'UEFA EURO 2024'!BG62</f>
        <v>3D</v>
      </c>
      <c r="K15" s="13" t="str">
        <f>'UEFA EURO 2024'!BH62</f>
        <v>3A</v>
      </c>
    </row>
    <row r="16" spans="2:11">
      <c r="B16" s="10" t="s">
        <v>2535</v>
      </c>
      <c r="C16" s="11" t="s">
        <v>2525</v>
      </c>
      <c r="D16" s="12" t="s">
        <v>2521</v>
      </c>
      <c r="E16" s="12" t="s">
        <v>2522</v>
      </c>
      <c r="F16" s="13" t="s">
        <v>2523</v>
      </c>
      <c r="H16" s="14" t="str">
        <f>'UEFA EURO 2024'!BE63</f>
        <v>3E</v>
      </c>
      <c r="I16" s="12" t="str">
        <f>'UEFA EURO 2024'!BF63</f>
        <v>3D</v>
      </c>
      <c r="J16" s="12" t="str">
        <f>'UEFA EURO 2024'!BG63</f>
        <v>3B</v>
      </c>
      <c r="K16" s="13" t="str">
        <f>'UEFA EURO 2024'!BH63</f>
        <v>3C</v>
      </c>
    </row>
    <row r="17" spans="2:11">
      <c r="B17" s="10" t="s">
        <v>2536</v>
      </c>
      <c r="C17" s="11" t="s">
        <v>2527</v>
      </c>
      <c r="D17" s="12" t="s">
        <v>2521</v>
      </c>
      <c r="E17" s="12" t="s">
        <v>2523</v>
      </c>
      <c r="F17" s="13" t="s">
        <v>2522</v>
      </c>
      <c r="H17" s="14" t="str">
        <f>'UEFA EURO 2024'!BE64</f>
        <v>3F</v>
      </c>
      <c r="I17" s="12" t="str">
        <f>'UEFA EURO 2024'!BF64</f>
        <v>3D</v>
      </c>
      <c r="J17" s="12" t="str">
        <f>'UEFA EURO 2024'!BG64</f>
        <v>3C</v>
      </c>
      <c r="K17" s="13" t="str">
        <f>'UEFA EURO 2024'!BH64</f>
        <v>3B</v>
      </c>
    </row>
    <row r="18" spans="2:11">
      <c r="B18" s="10" t="s">
        <v>2537</v>
      </c>
      <c r="C18" s="11" t="s">
        <v>2527</v>
      </c>
      <c r="D18" s="12" t="s">
        <v>2525</v>
      </c>
      <c r="E18" s="12" t="s">
        <v>2523</v>
      </c>
      <c r="F18" s="13" t="s">
        <v>2522</v>
      </c>
      <c r="H18" s="14" t="str">
        <f>'UEFA EURO 2024'!BE65</f>
        <v>3F</v>
      </c>
      <c r="I18" s="12" t="str">
        <f>'UEFA EURO 2024'!BF65</f>
        <v>3E</v>
      </c>
      <c r="J18" s="12" t="str">
        <f>'UEFA EURO 2024'!BG65</f>
        <v>3C</v>
      </c>
      <c r="K18" s="13" t="str">
        <f>'UEFA EURO 2024'!BH65</f>
        <v>3B</v>
      </c>
    </row>
    <row r="19" spans="2:11">
      <c r="B19" s="10" t="s">
        <v>2538</v>
      </c>
      <c r="C19" s="11" t="s">
        <v>2527</v>
      </c>
      <c r="D19" s="12" t="s">
        <v>2525</v>
      </c>
      <c r="E19" s="12" t="s">
        <v>2521</v>
      </c>
      <c r="F19" s="13" t="s">
        <v>2522</v>
      </c>
      <c r="H19" s="14" t="str">
        <f>'UEFA EURO 2024'!BE66</f>
        <v>3F</v>
      </c>
      <c r="I19" s="12" t="str">
        <f>'UEFA EURO 2024'!BF66</f>
        <v>3E</v>
      </c>
      <c r="J19" s="12" t="str">
        <f>'UEFA EURO 2024'!BG66</f>
        <v>3D</v>
      </c>
      <c r="K19" s="13" t="str">
        <f>'UEFA EURO 2024'!BH66</f>
        <v>3B</v>
      </c>
    </row>
    <row r="20" spans="2:11">
      <c r="B20" s="15" t="s">
        <v>2539</v>
      </c>
      <c r="C20" s="16" t="s">
        <v>2527</v>
      </c>
      <c r="D20" s="17" t="s">
        <v>2525</v>
      </c>
      <c r="E20" s="17" t="s">
        <v>2521</v>
      </c>
      <c r="F20" s="18" t="s">
        <v>2523</v>
      </c>
      <c r="H20" s="19" t="str">
        <f>'UEFA EURO 2024'!BE67</f>
        <v>3F</v>
      </c>
      <c r="I20" s="17" t="str">
        <f>'UEFA EURO 2024'!BF67</f>
        <v>3E</v>
      </c>
      <c r="J20" s="17" t="str">
        <f>'UEFA EURO 2024'!BG67</f>
        <v>3D</v>
      </c>
      <c r="K20" s="18" t="str">
        <f>'UEFA EURO 2024'!BH67</f>
        <v>3C</v>
      </c>
    </row>
  </sheetData>
  <sheetProtection password="B93B" sheet="1" objects="1" scenarios="1"/>
  <mergeCells count="2">
    <mergeCell ref="B1:K1"/>
    <mergeCell ref="C3:F3"/>
  </mergeCells>
  <conditionalFormatting sqref="B6:F20 H6:K20">
    <cfRule type="expression" dxfId="9" priority="2">
      <formula>IF($B6=$C$3,1,0)</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EV97"/>
  <sheetViews>
    <sheetView showGridLines="0" tabSelected="1" zoomScaleNormal="100" workbookViewId="0">
      <selection sqref="A1:U1"/>
    </sheetView>
  </sheetViews>
  <sheetFormatPr defaultColWidth="9.140625" defaultRowHeight="12.75"/>
  <cols>
    <col min="1" max="1" width="4.85546875" style="20" customWidth="1"/>
    <col min="2" max="2" width="5.7109375" style="20" customWidth="1"/>
    <col min="3" max="3" width="11.7109375" style="20" customWidth="1"/>
    <col min="4" max="4" width="7.28515625" style="21" customWidth="1"/>
    <col min="5" max="5" width="22.5703125" style="22" customWidth="1"/>
    <col min="6" max="7" width="4.28515625" style="23" customWidth="1"/>
    <col min="8" max="8" width="22.5703125" style="24" customWidth="1"/>
    <col min="9" max="9" width="7.85546875" style="22" customWidth="1"/>
    <col min="10" max="13" width="3.85546875" style="22" customWidth="1"/>
    <col min="14" max="14" width="3.42578125" style="25" customWidth="1"/>
    <col min="15" max="15" width="14" style="26" customWidth="1"/>
    <col min="16" max="19" width="5.42578125" style="27" customWidth="1"/>
    <col min="20" max="20" width="7.7109375" style="27" customWidth="1"/>
    <col min="21" max="21" width="6.7109375" style="27" customWidth="1"/>
    <col min="22" max="22" width="1.28515625" style="64" customWidth="1"/>
    <col min="23" max="23" width="15.42578125" style="65" hidden="1" customWidth="1"/>
    <col min="24" max="25" width="16" style="67" hidden="1" customWidth="1"/>
    <col min="26" max="26" width="5" style="66" hidden="1" customWidth="1"/>
    <col min="27" max="32" width="6.140625" style="65" hidden="1" customWidth="1"/>
    <col min="33" max="35" width="4.42578125" style="65" hidden="1" customWidth="1"/>
    <col min="36" max="36" width="6.140625" style="65" hidden="1" customWidth="1"/>
    <col min="37" max="40" width="4.42578125" style="65" hidden="1" customWidth="1"/>
    <col min="41" max="41" width="6.140625" style="65" hidden="1" customWidth="1"/>
    <col min="42" max="44" width="4.42578125" style="65" hidden="1" customWidth="1"/>
    <col min="45" max="45" width="6.140625" style="65" hidden="1" customWidth="1"/>
    <col min="46" max="48" width="4.42578125" style="65" hidden="1" customWidth="1"/>
    <col min="49" max="49" width="4.28515625" style="66" hidden="1" customWidth="1"/>
    <col min="50" max="53" width="4.42578125" style="65" hidden="1" customWidth="1"/>
    <col min="54" max="54" width="4.28515625" style="66" hidden="1" customWidth="1"/>
    <col min="55" max="55" width="5.42578125" style="65" hidden="1" customWidth="1"/>
    <col min="56" max="56" width="13.42578125" style="66" hidden="1" customWidth="1"/>
    <col min="57" max="61" width="5.42578125" style="65" hidden="1" customWidth="1"/>
    <col min="62" max="64" width="6" style="65" hidden="1" customWidth="1"/>
    <col min="65" max="65" width="5.42578125" style="65" hidden="1" customWidth="1"/>
    <col min="66" max="67" width="6" style="65" hidden="1" customWidth="1"/>
    <col min="68" max="68" width="7.42578125" style="65" hidden="1" customWidth="1"/>
    <col min="69" max="69" width="8" style="66" hidden="1" customWidth="1"/>
    <col min="70" max="70" width="10" style="66" hidden="1" customWidth="1"/>
    <col min="71" max="71" width="15.28515625" style="66" hidden="1" customWidth="1"/>
    <col min="72" max="76" width="4.7109375" style="65" hidden="1" customWidth="1"/>
    <col min="77" max="77" width="15.28515625" style="66" hidden="1" customWidth="1"/>
    <col min="78" max="79" width="5" style="66" hidden="1" customWidth="1"/>
    <col min="80" max="80" width="2" style="66" hidden="1" customWidth="1"/>
    <col min="81" max="84" width="3.5703125" style="65" hidden="1" customWidth="1"/>
    <col min="85" max="85" width="2.28515625" style="66" hidden="1" customWidth="1"/>
    <col min="86" max="89" width="3.5703125" style="65" hidden="1" customWidth="1"/>
    <col min="90" max="91" width="3.28515625" style="66" hidden="1" customWidth="1"/>
    <col min="92" max="95" width="3.5703125" style="65" hidden="1" customWidth="1"/>
    <col min="96" max="96" width="2.28515625" style="66" hidden="1" customWidth="1"/>
    <col min="97" max="100" width="3.5703125" style="65" hidden="1" customWidth="1"/>
    <col min="101" max="101" width="2.28515625" style="66" hidden="1" customWidth="1"/>
    <col min="102" max="105" width="3.5703125" style="65" hidden="1" customWidth="1"/>
    <col min="106" max="107" width="2.28515625" style="66" hidden="1" customWidth="1"/>
    <col min="108" max="111" width="3.5703125" style="65" hidden="1" customWidth="1"/>
    <col min="112" max="112" width="2.28515625" style="66" hidden="1" customWidth="1"/>
    <col min="113" max="113" width="8" style="66" hidden="1" customWidth="1"/>
    <col min="114" max="114" width="2" style="66" hidden="1" customWidth="1"/>
    <col min="115" max="118" width="3.5703125" style="65" hidden="1" customWidth="1"/>
    <col min="119" max="119" width="2.7109375" style="66" hidden="1" customWidth="1"/>
    <col min="120" max="120" width="8" style="66" hidden="1" customWidth="1"/>
    <col min="121" max="122" width="3" style="66" hidden="1" customWidth="1"/>
    <col min="123" max="126" width="3.5703125" style="65" hidden="1" customWidth="1"/>
    <col min="127" max="128" width="2.28515625" style="66" hidden="1" customWidth="1"/>
    <col min="129" max="129" width="3" style="66" hidden="1" customWidth="1"/>
    <col min="130" max="130" width="10.140625" style="66" hidden="1" customWidth="1"/>
    <col min="131" max="131" width="6.85546875" style="66" hidden="1" customWidth="1"/>
    <col min="132" max="133" width="6" style="66" hidden="1" customWidth="1"/>
    <col min="134" max="134" width="6.85546875" style="66" hidden="1" customWidth="1"/>
    <col min="135" max="138" width="3.5703125" style="65" hidden="1" customWidth="1"/>
    <col min="139" max="139" width="2.28515625" style="66" hidden="1" customWidth="1"/>
    <col min="140" max="143" width="3.5703125" style="65" hidden="1" customWidth="1"/>
    <col min="144" max="145" width="3.28515625" style="66" hidden="1" customWidth="1"/>
    <col min="146" max="149" width="3.5703125" style="65" hidden="1" customWidth="1"/>
    <col min="150" max="150" width="2.28515625" style="66" hidden="1" customWidth="1"/>
    <col min="151" max="151" width="3" style="66" hidden="1" customWidth="1"/>
    <col min="152" max="152" width="3.28515625" style="164" customWidth="1"/>
  </cols>
  <sheetData>
    <row r="1" spans="1:152" ht="30" customHeight="1">
      <c r="A1" s="178" t="str">
        <f>INDEX(T,2,lang)</f>
        <v>UEFA EURO 2024 Tournament Schedule</v>
      </c>
      <c r="B1" s="178"/>
      <c r="C1" s="178"/>
      <c r="D1" s="178"/>
      <c r="E1" s="178"/>
      <c r="F1" s="178"/>
      <c r="G1" s="178"/>
      <c r="H1" s="178"/>
      <c r="I1" s="178"/>
      <c r="J1" s="178"/>
      <c r="K1" s="178"/>
      <c r="L1" s="178"/>
      <c r="M1" s="178"/>
      <c r="N1" s="178"/>
      <c r="O1" s="178"/>
      <c r="P1" s="178"/>
      <c r="Q1" s="178"/>
      <c r="R1" s="178"/>
      <c r="S1" s="178"/>
      <c r="T1" s="178"/>
      <c r="U1" s="178"/>
      <c r="X1" s="65"/>
      <c r="Y1" s="65"/>
      <c r="Z1" s="65"/>
      <c r="AW1" s="65"/>
      <c r="BB1" s="65"/>
      <c r="BD1" s="65"/>
      <c r="BF1" s="66"/>
      <c r="BG1" s="66"/>
      <c r="BH1" s="66"/>
      <c r="BN1" s="66"/>
      <c r="BO1" s="66"/>
      <c r="BP1" s="66"/>
      <c r="BT1" s="66"/>
      <c r="BU1" s="66"/>
      <c r="BV1" s="66"/>
      <c r="BW1" s="66"/>
      <c r="BX1" s="66"/>
      <c r="CC1" s="66"/>
      <c r="CD1" s="66"/>
      <c r="CE1" s="66"/>
      <c r="CF1" s="66"/>
      <c r="CH1" s="66"/>
      <c r="CI1" s="66"/>
      <c r="CJ1" s="66"/>
      <c r="CK1" s="66"/>
      <c r="CN1" s="66"/>
      <c r="CO1" s="66"/>
      <c r="CP1" s="66"/>
      <c r="CQ1" s="66"/>
      <c r="CS1" s="66"/>
      <c r="CT1" s="66"/>
      <c r="CU1" s="66"/>
      <c r="CV1" s="66"/>
      <c r="CX1" s="66"/>
      <c r="CY1" s="66"/>
      <c r="CZ1" s="66"/>
      <c r="DA1" s="66"/>
      <c r="DD1" s="66"/>
      <c r="DE1" s="66"/>
      <c r="DF1" s="66"/>
      <c r="DG1" s="66"/>
      <c r="DK1" s="66"/>
      <c r="DL1" s="66"/>
      <c r="DM1" s="66"/>
      <c r="DN1" s="66"/>
      <c r="DS1" s="66"/>
      <c r="DT1" s="66"/>
      <c r="DU1" s="66"/>
      <c r="DV1" s="66"/>
      <c r="EE1" s="66"/>
      <c r="EF1" s="66"/>
      <c r="EG1" s="66"/>
      <c r="EH1" s="66"/>
      <c r="EJ1" s="66"/>
      <c r="EK1" s="66"/>
      <c r="EL1" s="66"/>
      <c r="EM1" s="66"/>
      <c r="EP1" s="66"/>
      <c r="EQ1" s="66"/>
      <c r="ER1" s="66"/>
      <c r="ES1" s="66"/>
    </row>
    <row r="2" spans="1:152" ht="6" hidden="1" customHeight="1">
      <c r="X2" s="65"/>
      <c r="Y2" s="65"/>
      <c r="Z2" s="65"/>
      <c r="AW2" s="65"/>
      <c r="BB2" s="65"/>
      <c r="BD2" s="65"/>
      <c r="BF2" s="66"/>
      <c r="BG2" s="66"/>
      <c r="BH2" s="66"/>
      <c r="BN2" s="66"/>
      <c r="BO2" s="66"/>
      <c r="BP2" s="66"/>
      <c r="BT2" s="66"/>
      <c r="BU2" s="66"/>
      <c r="BV2" s="66"/>
      <c r="BW2" s="66"/>
      <c r="BX2" s="66"/>
      <c r="CC2" s="66"/>
      <c r="CD2" s="66"/>
      <c r="CE2" s="66"/>
      <c r="CF2" s="66"/>
      <c r="CH2" s="66"/>
      <c r="CI2" s="66"/>
      <c r="CJ2" s="66"/>
      <c r="CK2" s="66"/>
      <c r="CN2" s="66"/>
      <c r="CO2" s="66"/>
      <c r="CP2" s="66"/>
      <c r="CQ2" s="66"/>
      <c r="CS2" s="66"/>
      <c r="CT2" s="66"/>
      <c r="CU2" s="66"/>
      <c r="CV2" s="66"/>
      <c r="CX2" s="66"/>
      <c r="CY2" s="66"/>
      <c r="CZ2" s="66"/>
      <c r="DA2" s="66"/>
      <c r="DD2" s="66"/>
      <c r="DE2" s="66"/>
      <c r="DF2" s="66"/>
      <c r="DG2" s="66"/>
      <c r="DK2" s="66"/>
      <c r="DL2" s="66"/>
      <c r="DM2" s="66"/>
      <c r="DN2" s="66"/>
      <c r="DS2" s="66"/>
      <c r="DT2" s="66"/>
      <c r="DU2" s="66"/>
      <c r="DV2" s="66"/>
      <c r="EE2" s="66"/>
      <c r="EF2" s="66"/>
      <c r="EG2" s="66"/>
      <c r="EH2" s="66"/>
      <c r="EJ2" s="66"/>
      <c r="EK2" s="66"/>
      <c r="EL2" s="66"/>
      <c r="EM2" s="66"/>
      <c r="EP2" s="66"/>
      <c r="EQ2" s="66"/>
      <c r="ER2" s="66"/>
      <c r="ES2" s="66"/>
    </row>
    <row r="3" spans="1:152" ht="6" hidden="1" customHeight="1">
      <c r="A3" s="28"/>
      <c r="B3" s="28"/>
      <c r="C3" s="28"/>
      <c r="D3" s="28"/>
      <c r="E3" s="28"/>
      <c r="F3" s="28"/>
      <c r="G3" s="28"/>
      <c r="H3" s="28"/>
      <c r="I3" s="28"/>
      <c r="J3" s="28"/>
      <c r="K3" s="28"/>
      <c r="L3" s="28"/>
      <c r="M3" s="28"/>
      <c r="N3" s="28"/>
      <c r="O3" s="28"/>
      <c r="P3" s="28"/>
      <c r="Q3" s="28"/>
      <c r="R3" s="28"/>
      <c r="X3" s="65"/>
      <c r="Y3" s="65"/>
      <c r="Z3" s="65"/>
      <c r="AW3" s="65"/>
      <c r="BB3" s="65"/>
      <c r="BD3" s="65"/>
      <c r="BF3" s="66"/>
      <c r="BG3" s="66"/>
      <c r="BH3" s="66"/>
      <c r="BN3" s="66"/>
      <c r="BO3" s="66"/>
      <c r="BP3" s="66"/>
      <c r="BT3" s="66"/>
      <c r="BU3" s="66"/>
      <c r="BV3" s="66"/>
      <c r="BW3" s="66"/>
      <c r="BX3" s="66"/>
      <c r="CC3" s="66"/>
      <c r="CD3" s="66"/>
      <c r="CE3" s="66"/>
      <c r="CF3" s="66"/>
      <c r="CH3" s="66"/>
      <c r="CI3" s="66"/>
      <c r="CJ3" s="66"/>
      <c r="CK3" s="66"/>
      <c r="CN3" s="66"/>
      <c r="CO3" s="66"/>
      <c r="CP3" s="66"/>
      <c r="CQ3" s="66"/>
      <c r="CS3" s="66"/>
      <c r="CT3" s="66"/>
      <c r="CU3" s="66"/>
      <c r="CV3" s="66"/>
      <c r="CX3" s="66"/>
      <c r="CY3" s="66"/>
      <c r="CZ3" s="66"/>
      <c r="DA3" s="66"/>
      <c r="DD3" s="66"/>
      <c r="DE3" s="66"/>
      <c r="DF3" s="66"/>
      <c r="DG3" s="66"/>
      <c r="DK3" s="66"/>
      <c r="DL3" s="66"/>
      <c r="DM3" s="66"/>
      <c r="DN3" s="66"/>
      <c r="DS3" s="66"/>
      <c r="DT3" s="66"/>
      <c r="DU3" s="66"/>
      <c r="DV3" s="66"/>
      <c r="EE3" s="66"/>
      <c r="EF3" s="66"/>
      <c r="EG3" s="66"/>
      <c r="EH3" s="66"/>
      <c r="EJ3" s="66"/>
      <c r="EK3" s="66"/>
      <c r="EL3" s="66"/>
      <c r="EM3" s="66"/>
      <c r="EP3" s="66"/>
      <c r="EQ3" s="66"/>
      <c r="ER3" s="66"/>
      <c r="ES3" s="66"/>
    </row>
    <row r="4" spans="1:152" ht="6.75" customHeight="1">
      <c r="A4" s="28"/>
      <c r="B4" s="28"/>
      <c r="C4" s="28"/>
      <c r="D4" s="28"/>
      <c r="E4" s="28"/>
      <c r="F4" s="28"/>
      <c r="G4" s="28"/>
      <c r="H4" s="28"/>
      <c r="I4" s="28"/>
      <c r="J4" s="28"/>
      <c r="K4" s="28"/>
      <c r="L4" s="28"/>
      <c r="M4" s="28"/>
    </row>
    <row r="5" spans="1:152" ht="4.5" customHeight="1">
      <c r="A5" s="28"/>
      <c r="B5" s="28"/>
      <c r="C5" s="70"/>
      <c r="D5" s="70"/>
      <c r="E5" s="70"/>
      <c r="F5"/>
      <c r="G5" s="70"/>
      <c r="H5" s="70"/>
      <c r="I5" s="70"/>
      <c r="J5" s="28"/>
      <c r="K5" s="28"/>
      <c r="L5" s="28"/>
      <c r="M5" s="28"/>
      <c r="CC5" s="66"/>
      <c r="CD5" s="66"/>
      <c r="CE5" s="66"/>
      <c r="CF5" s="66"/>
      <c r="DS5" s="66"/>
      <c r="DT5" s="66"/>
      <c r="DU5" s="66"/>
      <c r="DV5" s="66"/>
      <c r="EE5" s="66"/>
      <c r="EF5" s="66"/>
      <c r="EG5" s="66"/>
      <c r="EH5" s="66"/>
    </row>
    <row r="6" spans="1:152" ht="4.5" customHeight="1">
      <c r="A6" s="28"/>
      <c r="B6" s="28"/>
      <c r="C6" s="70"/>
      <c r="D6" s="70"/>
      <c r="E6" s="70"/>
      <c r="F6"/>
      <c r="G6" s="70"/>
      <c r="H6" s="70"/>
      <c r="I6" s="70"/>
      <c r="J6" s="28"/>
      <c r="K6" s="28"/>
      <c r="L6" s="28"/>
      <c r="M6" s="28"/>
      <c r="T6" s="179"/>
      <c r="U6" s="179"/>
      <c r="W6" s="65" t="s">
        <v>2540</v>
      </c>
      <c r="AA6" s="65" t="s">
        <v>2541</v>
      </c>
      <c r="AB6" s="65" t="s">
        <v>2542</v>
      </c>
      <c r="BC6" s="65" t="s">
        <v>2543</v>
      </c>
      <c r="BD6" s="65" t="s">
        <v>970</v>
      </c>
      <c r="BE6" s="65" t="s">
        <v>320</v>
      </c>
      <c r="BF6" s="65" t="s">
        <v>357</v>
      </c>
      <c r="BG6" s="65" t="s">
        <v>292</v>
      </c>
      <c r="BH6" s="65" t="s">
        <v>2541</v>
      </c>
      <c r="BI6" s="65" t="s">
        <v>2542</v>
      </c>
      <c r="BJ6" s="65" t="s">
        <v>2544</v>
      </c>
      <c r="BK6" s="65" t="s">
        <v>2544</v>
      </c>
      <c r="BM6" s="65" t="s">
        <v>2545</v>
      </c>
      <c r="BN6" s="65" t="s">
        <v>336</v>
      </c>
      <c r="BP6" s="65" t="s">
        <v>2887</v>
      </c>
      <c r="BQ6" s="65" t="s">
        <v>2888</v>
      </c>
      <c r="BR6" s="65" t="s">
        <v>2546</v>
      </c>
      <c r="BT6" s="65" t="s">
        <v>320</v>
      </c>
      <c r="BU6" s="65" t="s">
        <v>357</v>
      </c>
      <c r="BV6" s="65" t="s">
        <v>2541</v>
      </c>
      <c r="BW6" s="65" t="s">
        <v>2542</v>
      </c>
      <c r="BX6" s="65" t="s">
        <v>2547</v>
      </c>
      <c r="CC6" s="66"/>
      <c r="CD6" s="66"/>
      <c r="CE6" s="66"/>
      <c r="CF6" s="66"/>
      <c r="CH6" s="68"/>
      <c r="CI6" s="68"/>
      <c r="CJ6" s="68"/>
      <c r="CK6" s="68"/>
      <c r="CN6" s="68"/>
      <c r="CO6" s="68"/>
      <c r="CP6" s="68"/>
      <c r="CQ6" s="68"/>
      <c r="CS6" s="68"/>
      <c r="CT6" s="68"/>
      <c r="CU6" s="68"/>
      <c r="CV6" s="68"/>
      <c r="CX6" s="68"/>
      <c r="CY6" s="68"/>
      <c r="CZ6" s="68"/>
      <c r="DA6" s="68"/>
      <c r="DD6" s="68"/>
      <c r="DE6" s="68"/>
      <c r="DF6" s="68"/>
      <c r="DG6" s="68"/>
      <c r="DK6" s="68"/>
      <c r="DL6" s="68"/>
      <c r="DM6" s="68"/>
      <c r="DN6" s="68"/>
      <c r="DS6" s="66"/>
      <c r="DT6" s="66"/>
      <c r="DU6" s="66"/>
      <c r="DV6" s="66"/>
      <c r="EE6" s="66"/>
      <c r="EF6" s="66"/>
      <c r="EG6" s="66"/>
      <c r="EH6" s="66"/>
      <c r="EJ6" s="68"/>
      <c r="EK6" s="68"/>
      <c r="EL6" s="68"/>
      <c r="EM6" s="68"/>
      <c r="EP6" s="68"/>
      <c r="EQ6" s="68"/>
      <c r="ER6" s="68"/>
      <c r="ES6" s="68"/>
      <c r="EV6" s="180"/>
    </row>
    <row r="7" spans="1:152" ht="4.5" customHeight="1">
      <c r="W7" s="65">
        <f>DATE(2024,6,14)+TIME(8,0,0)+gmt_delta</f>
        <v>45457.666666666672</v>
      </c>
      <c r="X7" s="67" t="str">
        <f t="shared" ref="X7:X42" si="0">IF(OR(F10="",G10=""),"",IF(F10&gt;G10,E10&amp;"_win",IF(F10&lt;G10,E10&amp;"_lose",E10&amp;"_draw")))</f>
        <v/>
      </c>
      <c r="Y7" s="67" t="str">
        <f t="shared" ref="Y7:Y42" si="1">IF(X7="","",IF(F10&lt;G10,H10&amp;"_win",IF(F10&gt;G10,H10&amp;"_lose",H10&amp;"_draw")))</f>
        <v/>
      </c>
      <c r="Z7" s="66">
        <f t="shared" ref="Z7:Z42" si="2">IF(X7="",0,IF(VLOOKUP(E10,$BD$8:$BM$53,7,0)=VLOOKUP(H10,$BD$8:$BM$53,7,0),1,0))</f>
        <v>0</v>
      </c>
      <c r="AA7" s="65">
        <f t="shared" ref="AA7:AA42" si="3">Z7*F10</f>
        <v>0</v>
      </c>
      <c r="AB7" s="65">
        <f t="shared" ref="AB7:AB42" si="4">Z7*G10</f>
        <v>0</v>
      </c>
      <c r="AC7" s="65">
        <f t="shared" ref="AC7:AC42" si="5">VLOOKUP(E10,$BY$8:$CA$31,2,0)</f>
        <v>1</v>
      </c>
      <c r="AD7" s="65">
        <f t="shared" ref="AD7:AD42" si="6">VLOOKUP(E10,$BY$8:$CA$31,3,0)</f>
        <v>1</v>
      </c>
      <c r="AE7" s="65">
        <f t="shared" ref="AE7:AE42" si="7">VLOOKUP(H10,$BY$8:$CA$31,3,0)</f>
        <v>2</v>
      </c>
      <c r="AF7" s="65" t="str">
        <f t="shared" ref="AF7:AF42" si="8">AC7&amp;AD7&amp;AE7</f>
        <v>112</v>
      </c>
      <c r="AG7" s="65">
        <f t="shared" ref="AG7:AG42" si="9">IF(OR(F10="",G10=""),0,IF(F10&gt;G10,3,IF(F10&lt;G10,0,1)))</f>
        <v>0</v>
      </c>
      <c r="AH7" s="65">
        <f t="shared" ref="AH7:AH42" si="10">IF(OR(F10="",G10=""),0,F10-G10)</f>
        <v>0</v>
      </c>
      <c r="AI7" s="65">
        <f t="shared" ref="AI7:AI42" si="11">IF(OR(F10="",G10=""),0,F10)</f>
        <v>0</v>
      </c>
      <c r="AJ7" s="65" t="str">
        <f t="shared" ref="AJ7:AJ42" si="12">AC7&amp;AE7&amp;AD7</f>
        <v>121</v>
      </c>
      <c r="AK7" s="65">
        <f t="shared" ref="AK7:AK42" si="13">IF(OR(G10="",F10=""),0,IF(G10&gt;F10,3,IF(G10&lt;F10,0,1)))</f>
        <v>0</v>
      </c>
      <c r="AL7" s="65">
        <f t="shared" ref="AL7:AL42" si="14">IF(OR(G10="",F10=""),0,G10-F10)</f>
        <v>0</v>
      </c>
      <c r="AM7" s="65">
        <f t="shared" ref="AM7:AM42" si="15">IF(OR(G10="",F10=""),0,G10)</f>
        <v>0</v>
      </c>
      <c r="AO7" s="65" t="str">
        <f t="shared" ref="AO7:AO30" si="16">AF7</f>
        <v>112</v>
      </c>
      <c r="AP7" s="65">
        <f t="shared" ref="AP7:AP30" si="17">AG7</f>
        <v>0</v>
      </c>
      <c r="AQ7" s="65">
        <f t="shared" ref="AQ7:AQ30" si="18">AH7</f>
        <v>0</v>
      </c>
      <c r="AR7" s="65">
        <f t="shared" ref="AR7:AR30" si="19">AI7</f>
        <v>0</v>
      </c>
      <c r="AS7" s="65" t="str">
        <f t="shared" ref="AS7:AS30" si="20">AJ7</f>
        <v>121</v>
      </c>
      <c r="AT7" s="65">
        <f t="shared" ref="AT7:AT30" si="21">AK7</f>
        <v>0</v>
      </c>
      <c r="AU7" s="65">
        <f t="shared" ref="AU7:AU30" si="22">AL7</f>
        <v>0</v>
      </c>
      <c r="AV7" s="65">
        <f t="shared" ref="AV7:AV30" si="23">AM7</f>
        <v>0</v>
      </c>
      <c r="AX7" s="65" t="str">
        <f t="shared" ref="AX7:AX42" si="24">AF7</f>
        <v>112</v>
      </c>
      <c r="AY7" s="65">
        <v>0</v>
      </c>
      <c r="AZ7" s="65" t="str">
        <f t="shared" ref="AZ7:AZ42" si="25">AJ7</f>
        <v>121</v>
      </c>
      <c r="BA7" s="65">
        <v>0</v>
      </c>
      <c r="CC7" s="66"/>
      <c r="CD7" s="66"/>
      <c r="CE7" s="66"/>
      <c r="CF7" s="66"/>
      <c r="DI7" s="65" t="s">
        <v>336</v>
      </c>
      <c r="DP7" s="65" t="s">
        <v>336</v>
      </c>
      <c r="DS7" s="66"/>
      <c r="DT7" s="66"/>
      <c r="DU7" s="66"/>
      <c r="DV7" s="66"/>
      <c r="EA7" s="65" t="s">
        <v>2548</v>
      </c>
      <c r="EB7" s="65" t="s">
        <v>2549</v>
      </c>
      <c r="EC7" s="65" t="s">
        <v>2550</v>
      </c>
      <c r="ED7" s="65" t="s">
        <v>336</v>
      </c>
      <c r="EE7" s="66"/>
      <c r="EF7" s="66"/>
      <c r="EG7" s="66"/>
      <c r="EH7" s="66"/>
      <c r="EV7" s="180"/>
    </row>
    <row r="8" spans="1:152" ht="12.75" customHeight="1">
      <c r="A8" s="176" t="str">
        <f>INDEX(T,3,lang)</f>
        <v>Group Stage</v>
      </c>
      <c r="B8" s="176"/>
      <c r="C8" s="176"/>
      <c r="D8" s="176"/>
      <c r="E8" s="176"/>
      <c r="F8" s="176"/>
      <c r="G8" s="176"/>
      <c r="H8" s="176"/>
      <c r="I8" s="176"/>
      <c r="J8" s="176"/>
      <c r="K8" s="176"/>
      <c r="L8" s="29"/>
      <c r="M8" s="29"/>
      <c r="O8" s="30" t="str">
        <f>INDEX(T,9,lang) &amp; " " &amp; "A"</f>
        <v>Group A</v>
      </c>
      <c r="P8" s="31" t="str">
        <f>INDEX(T,10,lang)</f>
        <v>PL</v>
      </c>
      <c r="Q8" s="31" t="str">
        <f>INDEX(T,11,lang)</f>
        <v>W</v>
      </c>
      <c r="R8" s="31" t="str">
        <f>INDEX(T,12,lang)</f>
        <v>DRAW</v>
      </c>
      <c r="S8" s="31" t="str">
        <f>INDEX(T,13,lang)</f>
        <v>L</v>
      </c>
      <c r="T8" s="31" t="str">
        <f>INDEX(T,14,lang)</f>
        <v>GF - GA</v>
      </c>
      <c r="U8" s="31" t="str">
        <f>INDEX(T,15,lang)</f>
        <v>PNT</v>
      </c>
      <c r="W8" s="65">
        <f>DATE(2024,6,15)+TIME(2,0,0)+gmt_delta</f>
        <v>45458.416666666672</v>
      </c>
      <c r="X8" s="67" t="str">
        <f t="shared" si="0"/>
        <v/>
      </c>
      <c r="Y8" s="67" t="str">
        <f t="shared" si="1"/>
        <v/>
      </c>
      <c r="Z8" s="66">
        <f t="shared" si="2"/>
        <v>0</v>
      </c>
      <c r="AA8" s="65">
        <f t="shared" si="3"/>
        <v>0</v>
      </c>
      <c r="AB8" s="65">
        <f t="shared" si="4"/>
        <v>0</v>
      </c>
      <c r="AC8" s="65">
        <f t="shared" si="5"/>
        <v>1</v>
      </c>
      <c r="AD8" s="65">
        <f t="shared" si="6"/>
        <v>4</v>
      </c>
      <c r="AE8" s="65">
        <f t="shared" si="7"/>
        <v>3</v>
      </c>
      <c r="AF8" s="65" t="str">
        <f t="shared" si="8"/>
        <v>143</v>
      </c>
      <c r="AG8" s="65">
        <f t="shared" si="9"/>
        <v>0</v>
      </c>
      <c r="AH8" s="65">
        <f t="shared" si="10"/>
        <v>0</v>
      </c>
      <c r="AI8" s="65">
        <f t="shared" si="11"/>
        <v>0</v>
      </c>
      <c r="AJ8" s="65" t="str">
        <f t="shared" si="12"/>
        <v>134</v>
      </c>
      <c r="AK8" s="65">
        <f t="shared" si="13"/>
        <v>0</v>
      </c>
      <c r="AL8" s="65">
        <f t="shared" si="14"/>
        <v>0</v>
      </c>
      <c r="AM8" s="65">
        <f t="shared" si="15"/>
        <v>0</v>
      </c>
      <c r="AO8" s="65" t="str">
        <f t="shared" si="16"/>
        <v>143</v>
      </c>
      <c r="AP8" s="65">
        <f t="shared" si="17"/>
        <v>0</v>
      </c>
      <c r="AQ8" s="65">
        <f t="shared" si="18"/>
        <v>0</v>
      </c>
      <c r="AR8" s="65">
        <f t="shared" si="19"/>
        <v>0</v>
      </c>
      <c r="AS8" s="65" t="str">
        <f t="shared" si="20"/>
        <v>134</v>
      </c>
      <c r="AT8" s="65">
        <f t="shared" si="21"/>
        <v>0</v>
      </c>
      <c r="AU8" s="65">
        <f t="shared" si="22"/>
        <v>0</v>
      </c>
      <c r="AV8" s="65">
        <f t="shared" si="23"/>
        <v>0</v>
      </c>
      <c r="AX8" s="65" t="str">
        <f t="shared" si="24"/>
        <v>143</v>
      </c>
      <c r="AY8" s="65">
        <v>0</v>
      </c>
      <c r="AZ8" s="65" t="str">
        <f t="shared" si="25"/>
        <v>134</v>
      </c>
      <c r="BA8" s="65">
        <v>0</v>
      </c>
      <c r="BC8" s="65">
        <f>DQ8</f>
        <v>1</v>
      </c>
      <c r="BD8" s="66" t="str">
        <f>INDEX(T,52,lang)</f>
        <v>Germany</v>
      </c>
      <c r="BE8" s="65">
        <f>COUNTIF($X$7:$Y$42,"=" &amp; BD8 &amp; "_win")</f>
        <v>0</v>
      </c>
      <c r="BF8" s="65">
        <f>COUNTIF($X$7:$Y$42,"=" &amp; BD8 &amp; "_draw")</f>
        <v>0</v>
      </c>
      <c r="BG8" s="65">
        <f>COUNTIF($X$7:$Y$42,"=" &amp; BD8 &amp; "_lose")</f>
        <v>0</v>
      </c>
      <c r="BH8" s="65">
        <f>SUMIF($E$10:$E$45,$BD8,$F$10:$F$45) + SUMIF($H$10:$H$45,$BD8,$G$10:$G$45)</f>
        <v>0</v>
      </c>
      <c r="BI8" s="65">
        <f>SUMIF($E$10:$E$45,$BD8,$G$10:$G$45) + SUMIF($H$10:$H$45,$BD8,$F$10:$F$45)</f>
        <v>0</v>
      </c>
      <c r="BJ8" s="65">
        <f>BM8*10000</f>
        <v>0</v>
      </c>
      <c r="BK8" s="65">
        <f>BH8-BI8</f>
        <v>0</v>
      </c>
      <c r="BL8" s="65">
        <f>(BK8-BK13)/BK12</f>
        <v>0</v>
      </c>
      <c r="BM8" s="65">
        <f>BE8*3+BF8</f>
        <v>0</v>
      </c>
      <c r="BN8" s="65">
        <f>BT8/BT12*10+BU8/BU12+BX8/BX12*0.1+BV8/BV12*0.01</f>
        <v>0</v>
      </c>
      <c r="BO8" s="65">
        <f>RANK(BN8,$BN$8:$BN$11)</f>
        <v>1</v>
      </c>
      <c r="BP8" s="65">
        <f>IF(VLOOKUP(BD8,db_fifarank,2,0)="",MIN(db_fifarank),VLOOKUP(BD8,db_fifarank,2,0))</f>
        <v>85.337999999999994</v>
      </c>
      <c r="BQ8" s="65">
        <f>0.1*((BP8-$BP$44)/$BP$46-(COUNTIF($BP$8:$BP$41,BP8)-1)/(100-ROW(BP8)))</f>
        <v>8.0433930340046214E-2</v>
      </c>
      <c r="BR8" s="66">
        <f>10000000*BM8/BM12+100000*BN8/BN12+100*BL8+10*BH8/BH12+1*BN8/BN12+BQ8</f>
        <v>8.0433930340046214E-2</v>
      </c>
      <c r="BS8" s="66" t="str">
        <f>IF(SUM(BE8:BG11)=12,O9,INDEX(T,70,lang))</f>
        <v>1A</v>
      </c>
      <c r="BT8" s="65">
        <f>SUMPRODUCT(($X$7:$X$42=BD8&amp;"_win")*($Z$7:$Z$42))+SUMPRODUCT(($Y$7:$Y$42=BD8&amp;"_win")*($Z$7:$Z$42))</f>
        <v>0</v>
      </c>
      <c r="BU8" s="65">
        <f>SUMPRODUCT(($X$7:$X$42=BD8&amp;"_draw")*($Z$7:$Z$42))+SUMPRODUCT(($Y$7:$Y$42=BD8&amp;"_draw")*($Z$7:$Z$42))</f>
        <v>0</v>
      </c>
      <c r="BV8" s="65">
        <f>SUMPRODUCT(($E$10:$E$45=BD8)*($Z$7:$Z$42)*($F$10:$F$45))+SUMPRODUCT(($H$10:$H$45=BD8)*($Z$7:$Z$42)*($G$10:$G$45))</f>
        <v>0</v>
      </c>
      <c r="BW8" s="65">
        <f>SUMPRODUCT(($E$10:$E$45=BD8)*($Z$7:$Z$42)*($G$10:$G$45))+SUMPRODUCT(($H$10:$H$45=BD8)*($Z$7:$Z$42)*($F$10:$F$45))</f>
        <v>0</v>
      </c>
      <c r="BX8" s="65">
        <f>BV8-BW8</f>
        <v>0</v>
      </c>
      <c r="BY8" s="66" t="str">
        <f>BD8</f>
        <v>Germany</v>
      </c>
      <c r="BZ8" s="66">
        <v>1</v>
      </c>
      <c r="CA8" s="66">
        <v>1</v>
      </c>
      <c r="CD8" s="65">
        <f>IFERROR(VLOOKUP("112",$AF$7:$AI$42,2,0),0) + IFERROR(VLOOKUP("112",$AJ$7:$AM$42,2,0),0)</f>
        <v>0</v>
      </c>
      <c r="CE8" s="65">
        <f>IFERROR(VLOOKUP("113",$AF$7:$AI$42,2,0),0) + IFERROR(VLOOKUP("113",$AJ$7:$AM$42,2,0),0)</f>
        <v>0</v>
      </c>
      <c r="CF8" s="65">
        <f>IFERROR(VLOOKUP("114",$AF$7:$AI$42,2,0),0) + IFERROR(VLOOKUP("114",$AJ$7:$AM$42,2,0),0)</f>
        <v>0</v>
      </c>
      <c r="CG8" s="66">
        <f>SUM(CC8:CF8)</f>
        <v>0</v>
      </c>
      <c r="CI8" s="65">
        <f>IFERROR(VLOOKUP("112",$AF$7:$AI$42,3,0),0) + IFERROR(VLOOKUP("112",$AJ$7:$AM$42,3,0),0)</f>
        <v>0</v>
      </c>
      <c r="CJ8" s="65">
        <f>IFERROR(VLOOKUP("113",$AF$7:$AI$42,3,0),0) + IFERROR(VLOOKUP("113",$AJ$7:$AM$42,3,0),0)</f>
        <v>0</v>
      </c>
      <c r="CK8" s="65">
        <f>IFERROR(VLOOKUP("114",$AF$7:$AI$42,3,0),0) + IFERROR(VLOOKUP("114",$AJ$7:$AM$42,3,0),0)</f>
        <v>0</v>
      </c>
      <c r="CL8" s="66">
        <f>SUM(CH8:CK8)</f>
        <v>0</v>
      </c>
      <c r="CM8" s="66">
        <f>RANK(CL8,CL8:CL11)</f>
        <v>1</v>
      </c>
      <c r="CO8" s="65">
        <f>IFERROR(VLOOKUP("112",$AF$7:$AI$42,4,0),0) + IFERROR(VLOOKUP("112",$AJ$7:$AM$42,4,0),0)</f>
        <v>0</v>
      </c>
      <c r="CP8" s="65">
        <f>IFERROR(VLOOKUP("113",$AF$7:$AI$42,4,0),0) + IFERROR(VLOOKUP("113",$AJ$7:$AM$42,4,0),0)</f>
        <v>0</v>
      </c>
      <c r="CQ8" s="65">
        <f>IFERROR(VLOOKUP("114",$AF$7:$AI$42,4,0),0) + IFERROR(VLOOKUP("114",$AJ$7:$AM$42,4,0),0)</f>
        <v>0</v>
      </c>
      <c r="CR8" s="66">
        <f>SUM(CN8:CQ8)</f>
        <v>0</v>
      </c>
      <c r="CT8" s="65">
        <f>IF(CD12=CG8,CD8,0)</f>
        <v>0</v>
      </c>
      <c r="CU8" s="65">
        <f>IF(CE12=CG8,CE8,0)</f>
        <v>0</v>
      </c>
      <c r="CV8" s="65">
        <f>IF(CF12=CG8,CF8,0)</f>
        <v>0</v>
      </c>
      <c r="CW8" s="66">
        <f>SUM(CS8:CV8)</f>
        <v>0</v>
      </c>
      <c r="CY8" s="65">
        <f>IF(CD12=CG8,CI8,0)</f>
        <v>0</v>
      </c>
      <c r="CZ8" s="65">
        <f>IF(CE12=CG8,CJ8,0)</f>
        <v>0</v>
      </c>
      <c r="DA8" s="65">
        <f>IF(CF12=CG8,CK8,0)</f>
        <v>0</v>
      </c>
      <c r="DB8" s="66">
        <f>SUM(CX8:DA8)</f>
        <v>0</v>
      </c>
      <c r="DC8" s="66">
        <f>RANK(DB8,DB8:DB11)</f>
        <v>1</v>
      </c>
      <c r="DE8" s="65">
        <f>IF(CD12=CG8,CO8,0)</f>
        <v>0</v>
      </c>
      <c r="DF8" s="65">
        <f>IF(CE12=CG8,CP8,0)</f>
        <v>0</v>
      </c>
      <c r="DG8" s="65">
        <f>IF(CF12=CG8,CQ8,0)</f>
        <v>0</v>
      </c>
      <c r="DH8" s="66">
        <f>SUM(DD8:DG8)</f>
        <v>0</v>
      </c>
      <c r="DI8" s="66">
        <f>CG8*10000+CW8*100+(5-DC8)+DH8/10</f>
        <v>4</v>
      </c>
      <c r="DJ8" s="66">
        <f>RANK(DI8,DI8:DI11)</f>
        <v>1</v>
      </c>
      <c r="DL8" s="65">
        <f>IF(DL12=DJ8,CD8,0)</f>
        <v>0</v>
      </c>
      <c r="DM8" s="65">
        <f>IF(DM12=DJ8,CE8,0)</f>
        <v>0</v>
      </c>
      <c r="DN8" s="65">
        <f>IF(DN12=DJ8,CF8,0)</f>
        <v>0</v>
      </c>
      <c r="DO8" s="66">
        <f>SUM(DK8:DN8)</f>
        <v>0</v>
      </c>
      <c r="DP8" s="66">
        <f>(5-DJ8)*10000+DO8*100+(5-CM8)+CR8/10+(5-DX8)/100+BQ8/10000</f>
        <v>40004.040008043397</v>
      </c>
      <c r="DQ8" s="66">
        <f>RANK(DP8,DP8:DP11)</f>
        <v>1</v>
      </c>
      <c r="DT8" s="65">
        <f>IFERROR(VLOOKUP("112",$AX$7:$AY$42,2,0),0) + IFERROR(VLOOKUP("112",$AZ$7:$BA$42,2,0),0)</f>
        <v>0</v>
      </c>
      <c r="DU8" s="65">
        <f>IFERROR(VLOOKUP("113",$AX$7:$AY$42,2,0),0) + IFERROR(VLOOKUP("113",$AZ$7:$BA$42,2,0),0)</f>
        <v>0</v>
      </c>
      <c r="DV8" s="65">
        <f>IFERROR(VLOOKUP("114",$AX$7:$AY$42,2,0),0) + IFERROR(VLOOKUP("114",$AZ$7:$BA$42,2,0),0)</f>
        <v>0</v>
      </c>
      <c r="DW8" s="66">
        <f>SUM(DS8:DV8)</f>
        <v>0</v>
      </c>
      <c r="DX8" s="66">
        <f>RANK(DW8,DW8:DW11)</f>
        <v>1</v>
      </c>
      <c r="DZ8" s="66" t="str">
        <f>BD8</f>
        <v>Germany</v>
      </c>
      <c r="EA8" s="66">
        <f>EI8*10000+EO8*100+ET8</f>
        <v>100</v>
      </c>
      <c r="EB8" s="65">
        <f>COUNTIF(EA8:EA11,EA8)</f>
        <v>4</v>
      </c>
      <c r="EC8" s="65">
        <f>COUNTIF(CG8:CG11,CG8)</f>
        <v>4</v>
      </c>
      <c r="ED8" s="66">
        <f>IF(AND(EB8&gt;=2,EC8=2),EA8,-EA8-0.4)</f>
        <v>-100.4</v>
      </c>
      <c r="EF8" s="65">
        <f>IFERROR(VLOOKUP("112",$AO$7:$AR$42,2,0),0) + IFERROR(VLOOKUP("112",$AS$7:$AV$42,2,0),0)</f>
        <v>0</v>
      </c>
      <c r="EG8" s="65">
        <f>IFERROR(VLOOKUP("113",$AO$7:$AR$42,2,0),0) + IFERROR(VLOOKUP("113",$AS$7:$AV$42,2,0),0)</f>
        <v>0</v>
      </c>
      <c r="EH8" s="65">
        <f>IFERROR(VLOOKUP("114",$AO$7:$AR$42,2,0),0) + IFERROR(VLOOKUP("114",$AS$7:$AV$42,2,0),0)</f>
        <v>0</v>
      </c>
      <c r="EI8" s="66">
        <f>SUM(EE8:EH8)</f>
        <v>0</v>
      </c>
      <c r="EK8" s="65">
        <f>IFERROR(VLOOKUP("112",$AO$7:$AR$42,3,0),0) + IFERROR(VLOOKUP("112",$AS$7:$AV$42,3,0),0)</f>
        <v>0</v>
      </c>
      <c r="EL8" s="65">
        <f>IFERROR(VLOOKUP("113",$AO$7:$AR$42,3,0),0) + IFERROR(VLOOKUP("113",$AS$7:$AV$42,3,0),0)</f>
        <v>0</v>
      </c>
      <c r="EM8" s="65">
        <f>IFERROR(VLOOKUP("114",$AO$7:$AR$42,3,0),0) + IFERROR(VLOOKUP("114",$AS$7:$AV$42,3,0),0)</f>
        <v>0</v>
      </c>
      <c r="EN8" s="66">
        <f>SUM(EJ8:EM8)</f>
        <v>0</v>
      </c>
      <c r="EO8" s="66">
        <f>RANK(EN8,EN8:EN11)</f>
        <v>1</v>
      </c>
      <c r="EQ8" s="65">
        <f>IFERROR(VLOOKUP("112",$AO$7:$AR$42,4,0),0) + IFERROR(VLOOKUP("112",$AS$7:$AV$42,4,0),0)</f>
        <v>0</v>
      </c>
      <c r="ER8" s="65">
        <f>IFERROR(VLOOKUP("113",$AO$7:$AR$42,4,0),0) + IFERROR(VLOOKUP("113",$AS$7:$AV$42,4,0),0)</f>
        <v>0</v>
      </c>
      <c r="ES8" s="65">
        <f>IFERROR(VLOOKUP("114",$AO$7:$AR$42,4,0),0) + IFERROR(VLOOKUP("114",$AS$7:$AV$42,4,0),0)</f>
        <v>0</v>
      </c>
      <c r="ET8" s="66">
        <f>SUM(EP8:ES8)</f>
        <v>0</v>
      </c>
    </row>
    <row r="9" spans="1:152" ht="12.75" customHeight="1">
      <c r="A9" s="176"/>
      <c r="B9" s="176"/>
      <c r="C9" s="176"/>
      <c r="D9" s="176"/>
      <c r="E9" s="176"/>
      <c r="F9" s="176"/>
      <c r="G9" s="176"/>
      <c r="H9" s="176"/>
      <c r="I9" s="176"/>
      <c r="J9" s="176"/>
      <c r="K9" s="176"/>
      <c r="L9" s="29"/>
      <c r="M9" s="29"/>
      <c r="O9" s="32" t="str">
        <f>VLOOKUP(1,BC8:BM11,2,0)</f>
        <v>Germany</v>
      </c>
      <c r="P9" s="33">
        <f>Q9+R9+S9</f>
        <v>0</v>
      </c>
      <c r="Q9" s="33">
        <f>VLOOKUP(1,BC8:BM11,3,0)</f>
        <v>0</v>
      </c>
      <c r="R9" s="33">
        <f>VLOOKUP(1,BC8:BM11,4,0)</f>
        <v>0</v>
      </c>
      <c r="S9" s="33">
        <f>VLOOKUP(1,BC8:BM11,5,0)</f>
        <v>0</v>
      </c>
      <c r="T9" s="33" t="str">
        <f>VLOOKUP(1,BC8:BM11,6,0) &amp; " - " &amp; VLOOKUP(1,BC8:BM11,7,0)</f>
        <v>0 - 0</v>
      </c>
      <c r="U9" s="34">
        <f>Q9*3+R9</f>
        <v>0</v>
      </c>
      <c r="W9" s="65">
        <f>DATE(2024,6,15)+TIME(5,0,0)+gmt_delta</f>
        <v>45458.541666666672</v>
      </c>
      <c r="X9" s="67" t="str">
        <f t="shared" si="0"/>
        <v/>
      </c>
      <c r="Y9" s="67" t="str">
        <f t="shared" si="1"/>
        <v/>
      </c>
      <c r="Z9" s="66">
        <f t="shared" si="2"/>
        <v>0</v>
      </c>
      <c r="AA9" s="65">
        <f t="shared" si="3"/>
        <v>0</v>
      </c>
      <c r="AB9" s="65">
        <f t="shared" si="4"/>
        <v>0</v>
      </c>
      <c r="AC9" s="65">
        <f t="shared" si="5"/>
        <v>2</v>
      </c>
      <c r="AD9" s="65">
        <f t="shared" si="6"/>
        <v>1</v>
      </c>
      <c r="AE9" s="65">
        <f t="shared" si="7"/>
        <v>3</v>
      </c>
      <c r="AF9" s="65" t="str">
        <f t="shared" si="8"/>
        <v>213</v>
      </c>
      <c r="AG9" s="65">
        <f t="shared" si="9"/>
        <v>0</v>
      </c>
      <c r="AH9" s="65">
        <f t="shared" si="10"/>
        <v>0</v>
      </c>
      <c r="AI9" s="65">
        <f t="shared" si="11"/>
        <v>0</v>
      </c>
      <c r="AJ9" s="65" t="str">
        <f t="shared" si="12"/>
        <v>231</v>
      </c>
      <c r="AK9" s="65">
        <f t="shared" si="13"/>
        <v>0</v>
      </c>
      <c r="AL9" s="65">
        <f t="shared" si="14"/>
        <v>0</v>
      </c>
      <c r="AM9" s="65">
        <f t="shared" si="15"/>
        <v>0</v>
      </c>
      <c r="AO9" s="65" t="str">
        <f t="shared" si="16"/>
        <v>213</v>
      </c>
      <c r="AP9" s="65">
        <f t="shared" si="17"/>
        <v>0</v>
      </c>
      <c r="AQ9" s="65">
        <f t="shared" si="18"/>
        <v>0</v>
      </c>
      <c r="AR9" s="65">
        <f t="shared" si="19"/>
        <v>0</v>
      </c>
      <c r="AS9" s="65" t="str">
        <f t="shared" si="20"/>
        <v>231</v>
      </c>
      <c r="AT9" s="65">
        <f t="shared" si="21"/>
        <v>0</v>
      </c>
      <c r="AU9" s="65">
        <f t="shared" si="22"/>
        <v>0</v>
      </c>
      <c r="AV9" s="65">
        <f t="shared" si="23"/>
        <v>0</v>
      </c>
      <c r="AX9" s="65" t="str">
        <f t="shared" si="24"/>
        <v>213</v>
      </c>
      <c r="AY9" s="65">
        <v>0</v>
      </c>
      <c r="AZ9" s="65" t="str">
        <f t="shared" si="25"/>
        <v>231</v>
      </c>
      <c r="BA9" s="65">
        <v>0</v>
      </c>
      <c r="BC9" s="65">
        <f>DQ9</f>
        <v>2</v>
      </c>
      <c r="BD9" s="66" t="str">
        <f>INDEX(T,50,lang)</f>
        <v>Scotland</v>
      </c>
      <c r="BE9" s="65">
        <f>COUNTIF($X$7:$Y$42,"=" &amp; BD9 &amp; "_win")</f>
        <v>0</v>
      </c>
      <c r="BF9" s="65">
        <f>COUNTIF($X$7:$Y$42,"=" &amp; BD9 &amp; "_draw")</f>
        <v>0</v>
      </c>
      <c r="BG9" s="65">
        <f>COUNTIF($X$7:$Y$42,"=" &amp; BD9 &amp; "_lose")</f>
        <v>0</v>
      </c>
      <c r="BH9" s="65">
        <f>SUMIF($E$10:$E$45,$BD9,$F$10:$F$45) + SUMIF($H$10:$H$45,$BD9,$G$10:$G$45)</f>
        <v>0</v>
      </c>
      <c r="BI9" s="65">
        <f>SUMIF($E$10:$E$45,$BD9,$G$10:$G$45) + SUMIF($H$10:$H$45,$BD9,$F$10:$F$45)</f>
        <v>0</v>
      </c>
      <c r="BJ9" s="65">
        <f>BM9*10000</f>
        <v>0</v>
      </c>
      <c r="BK9" s="65">
        <f>BH9-BI9</f>
        <v>0</v>
      </c>
      <c r="BL9" s="65">
        <f>(BK9-BK13)/BK12</f>
        <v>0</v>
      </c>
      <c r="BM9" s="65">
        <f>BE9*3+BF9</f>
        <v>0</v>
      </c>
      <c r="BN9" s="65">
        <f>BT9/BT12*10+BU9/BU12+BX9/BX12*0.1+BV9/BV12*0.01</f>
        <v>0</v>
      </c>
      <c r="BO9" s="65">
        <f>RANK(BN9,$BN$8:$BN$11)</f>
        <v>1</v>
      </c>
      <c r="BP9" s="65">
        <f>IF(VLOOKUP(BD9,db_fifarank,2,0)="",MIN(db_fifarank),VLOOKUP(BD9,db_fifarank,2,0))</f>
        <v>36.049999999999997</v>
      </c>
      <c r="BQ9" s="65">
        <f t="shared" ref="BQ9:BQ11" si="26">0.1*((BP9-$BP$44)/$BP$46-(COUNTIF($BP$8:$BP$41,BP9)-1)/(100-ROW(BP9)))</f>
        <v>2.8484913691458752E-2</v>
      </c>
      <c r="BR9" s="66">
        <f>10000000*BM9/BM12+100000*BN9/BN12+100*BL9+10*BH9/BH12+1*BN9/BN12+BQ9</f>
        <v>2.8484913691458752E-2</v>
      </c>
      <c r="BS9" s="66" t="str">
        <f>IF(SUM(BE8:BG11)=12,O10,INDEX(T,71,lang))</f>
        <v>2A</v>
      </c>
      <c r="BT9" s="65">
        <f>SUMPRODUCT(($X$7:$X$42=BD9&amp;"_win")*($Z$7:$Z$42))+SUMPRODUCT(($Y$7:$Y$42=BD9&amp;"_win")*($Z$7:$Z$42))</f>
        <v>0</v>
      </c>
      <c r="BU9" s="65">
        <f>SUMPRODUCT(($X$7:$X$42=BD9&amp;"_draw")*($Z$7:$Z$42))+SUMPRODUCT(($Y$7:$Y$42=BD9&amp;"_draw")*($Z$7:$Z$42))</f>
        <v>0</v>
      </c>
      <c r="BV9" s="65">
        <f>SUMPRODUCT(($E$10:$E$45=BD9)*($Z$7:$Z$42)*($F$10:$F$45))+SUMPRODUCT(($H$10:$H$45=BD9)*($Z$7:$Z$42)*($G$10:$G$45))</f>
        <v>0</v>
      </c>
      <c r="BW9" s="65">
        <f>SUMPRODUCT(($E$10:$E$45=BD9)*($Z$7:$Z$42)*($G$10:$G$45))+SUMPRODUCT(($H$10:$H$45=BD9)*($Z$7:$Z$42)*($F$10:$F$45))</f>
        <v>0</v>
      </c>
      <c r="BX9" s="65">
        <f>BV9-BW9</f>
        <v>0</v>
      </c>
      <c r="BY9" s="66" t="str">
        <f>BD9</f>
        <v>Scotland</v>
      </c>
      <c r="BZ9" s="66">
        <v>1</v>
      </c>
      <c r="CA9" s="66">
        <v>2</v>
      </c>
      <c r="CC9" s="65">
        <f>IFERROR(VLOOKUP("121",$AF$7:$AI$42,2,0),0) + IFERROR(VLOOKUP("121",$AJ$7:$AM$42,2,0),0)</f>
        <v>0</v>
      </c>
      <c r="CE9" s="65">
        <f>IFERROR(VLOOKUP("123",$AF$7:$AI$42,2,0),0) + IFERROR(VLOOKUP("123",$AJ$7:$AM$42,2,0),0)</f>
        <v>0</v>
      </c>
      <c r="CF9" s="65">
        <f>IFERROR(VLOOKUP("124",$AF$7:$AI$42,2,0),0) + IFERROR(VLOOKUP("124",$AJ$7:$AM$42,2,0),0)</f>
        <v>0</v>
      </c>
      <c r="CG9" s="66">
        <f>SUM(CC9:CF9)</f>
        <v>0</v>
      </c>
      <c r="CH9" s="65">
        <f>IFERROR(VLOOKUP("121",$AF$7:$AI$42,3,0),0) + IFERROR(VLOOKUP("121",$AJ$7:$AM$42,3,0),0)</f>
        <v>0</v>
      </c>
      <c r="CJ9" s="65">
        <f>IFERROR(VLOOKUP("123",$AF$7:$AI$42,3,0),0) + IFERROR(VLOOKUP("123",$AJ$7:$AM$42,3,0),0)</f>
        <v>0</v>
      </c>
      <c r="CK9" s="65">
        <f>IFERROR(VLOOKUP("124",$AF$7:$AI$42,3,0),0) + IFERROR(VLOOKUP("124",$AJ$7:$AM$42,3,0),0)</f>
        <v>0</v>
      </c>
      <c r="CL9" s="66">
        <f>SUM(CH9:CK9)</f>
        <v>0</v>
      </c>
      <c r="CM9" s="66">
        <f>RANK(CL9,CL8:CL11)</f>
        <v>1</v>
      </c>
      <c r="CN9" s="65">
        <f>IFERROR(VLOOKUP("121",$AF$7:$AI$42,4,0),0) + IFERROR(VLOOKUP("121",$AJ$7:$AM$42,4,0),0)</f>
        <v>0</v>
      </c>
      <c r="CP9" s="65">
        <f>IFERROR(VLOOKUP("123",$AF$7:$AI$42,4,0),0) + IFERROR(VLOOKUP("123",$AJ$7:$AM$42,4,0),0)</f>
        <v>0</v>
      </c>
      <c r="CQ9" s="65">
        <f>IFERROR(VLOOKUP("124",$AF$7:$AI$42,4,0),0) + IFERROR(VLOOKUP("124",$AJ$7:$AM$42,4,0),0)</f>
        <v>0</v>
      </c>
      <c r="CR9" s="66">
        <f>SUM(CN9:CQ9)</f>
        <v>0</v>
      </c>
      <c r="CS9" s="65">
        <f>IF(CC12=CG9,CC9,0)</f>
        <v>0</v>
      </c>
      <c r="CU9" s="65">
        <f>IF(CE12=CG9,CE9,0)</f>
        <v>0</v>
      </c>
      <c r="CV9" s="65">
        <f>IF(CF12=CG9,CF9,0)</f>
        <v>0</v>
      </c>
      <c r="CW9" s="66">
        <f>SUM(CS9:CV9)</f>
        <v>0</v>
      </c>
      <c r="CX9" s="65">
        <f>IF(CC12=CG9,CH9,0)</f>
        <v>0</v>
      </c>
      <c r="CZ9" s="65">
        <f>IF(CE12=CG9,CJ9,0)</f>
        <v>0</v>
      </c>
      <c r="DA9" s="65">
        <f>IF(CF12=CG9,CK9,0)</f>
        <v>0</v>
      </c>
      <c r="DB9" s="66">
        <f>SUM(CX9:DA9)</f>
        <v>0</v>
      </c>
      <c r="DC9" s="66">
        <f>RANK(DB9,DB8:DB11)</f>
        <v>1</v>
      </c>
      <c r="DD9" s="65">
        <f>IF(CC12=CG9,CN9,0)</f>
        <v>0</v>
      </c>
      <c r="DF9" s="65">
        <f>IF(CE12=CG9,CP9,0)</f>
        <v>0</v>
      </c>
      <c r="DG9" s="65">
        <f>IF(CF12=CG9,CQ9,0)</f>
        <v>0</v>
      </c>
      <c r="DH9" s="66">
        <f>SUM(DD9:DG9)</f>
        <v>0</v>
      </c>
      <c r="DI9" s="66">
        <f>CG9*10000+CW9*100+(5-DC9)+DH9/10</f>
        <v>4</v>
      </c>
      <c r="DJ9" s="66">
        <f>RANK(DI9,DI8:DI11)</f>
        <v>1</v>
      </c>
      <c r="DK9" s="65">
        <f>IF(DK12=DJ9,CC9,0)</f>
        <v>0</v>
      </c>
      <c r="DM9" s="65">
        <f>IF(DM12=DJ9,CE9,0)</f>
        <v>0</v>
      </c>
      <c r="DN9" s="65">
        <f>IF(DN12=DJ9,CF9,0)</f>
        <v>0</v>
      </c>
      <c r="DO9" s="66">
        <f>SUM(DK9:DN9)</f>
        <v>0</v>
      </c>
      <c r="DP9" s="66">
        <f>(5-DJ9)*10000+DO9*100+(5-CM9)+CR9/10+(5-DX9)/100+BQ9/10000</f>
        <v>40004.040002848495</v>
      </c>
      <c r="DQ9" s="66">
        <f>RANK(DP9,DP8:DP11)</f>
        <v>2</v>
      </c>
      <c r="DS9" s="65">
        <f>IFERROR(VLOOKUP("121",$AX$7:$AY$42,2,0),0) + IFERROR(VLOOKUP("121",$AZ$7:$BA$42,2,0),0)</f>
        <v>0</v>
      </c>
      <c r="DU9" s="65">
        <f>IFERROR(VLOOKUP("123",$AX$7:$AY$42,2,0),0) + IFERROR(VLOOKUP("123",$AZ$7:$BA$42,2,0),0)</f>
        <v>0</v>
      </c>
      <c r="DV9" s="65">
        <f>IFERROR(VLOOKUP("124",$AX$7:$AY$42,2,0),0) + IFERROR(VLOOKUP("124",$AZ$7:$BA$42,2,0),0)</f>
        <v>0</v>
      </c>
      <c r="DW9" s="66">
        <f>SUM(DS9:DV9)</f>
        <v>0</v>
      </c>
      <c r="DX9" s="66">
        <f>RANK(DW9,DW8:DW11)</f>
        <v>1</v>
      </c>
      <c r="DZ9" s="66" t="str">
        <f>BD9</f>
        <v>Scotland</v>
      </c>
      <c r="EA9" s="66">
        <f>EI9*10000+EO9*100+ET9</f>
        <v>100</v>
      </c>
      <c r="EB9" s="65">
        <f>COUNTIF(EA8:EA11,EA9)</f>
        <v>4</v>
      </c>
      <c r="EC9" s="65">
        <f>COUNTIF(CG8:CG11,CG9)</f>
        <v>4</v>
      </c>
      <c r="ED9" s="66">
        <f>IF(AND(EB9&gt;=2,EC9=2),EA9,-EA9-0.3)</f>
        <v>-100.3</v>
      </c>
      <c r="EE9" s="65">
        <f>IFERROR(VLOOKUP("121",$AO$7:$AR$42,2,0),0) + IFERROR(VLOOKUP("121",$AS$7:$AV$42,2,0),0)</f>
        <v>0</v>
      </c>
      <c r="EG9" s="65">
        <f>IFERROR(VLOOKUP("123",$AO$7:$AR$42,2,0),0) + IFERROR(VLOOKUP("123",$AS$7:$AV$42,2,0),0)</f>
        <v>0</v>
      </c>
      <c r="EH9" s="65">
        <f>IFERROR(VLOOKUP("124",$AO$7:$AR$42,2,0),0) + IFERROR(VLOOKUP("124",$AS$7:$AV$42,2,0),0)</f>
        <v>0</v>
      </c>
      <c r="EI9" s="66">
        <f>SUM(EE9:EH9)</f>
        <v>0</v>
      </c>
      <c r="EJ9" s="65">
        <f>IFERROR(VLOOKUP("121",$AO$7:$AR$42,3,0),0) + IFERROR(VLOOKUP("121",$AS$7:$AV$42,3,0),0)</f>
        <v>0</v>
      </c>
      <c r="EL9" s="65">
        <f>IFERROR(VLOOKUP("123",$AO$7:$AR$42,3,0),0) + IFERROR(VLOOKUP("123",$AS$7:$AV$42,3,0),0)</f>
        <v>0</v>
      </c>
      <c r="EM9" s="65">
        <f>IFERROR(VLOOKUP("124",$AO$7:$AR$42,3,0),0) + IFERROR(VLOOKUP("124",$AS$7:$AV$42,3,0),0)</f>
        <v>0</v>
      </c>
      <c r="EN9" s="66">
        <f>SUM(EJ9:EM9)</f>
        <v>0</v>
      </c>
      <c r="EO9" s="66">
        <f>RANK(EN9,EN8:EN11)</f>
        <v>1</v>
      </c>
      <c r="EP9" s="65">
        <f>IFERROR(VLOOKUP("121",$AO$7:$AR$42,4,0),0) + IFERROR(VLOOKUP("121",$AS$7:$AV$42,4,0),0)</f>
        <v>0</v>
      </c>
      <c r="ER9" s="65">
        <f>IFERROR(VLOOKUP("123",$AO$7:$AR$42,4,0),0) + IFERROR(VLOOKUP("123",$AS$7:$AV$42,4,0),0)</f>
        <v>0</v>
      </c>
      <c r="ES9" s="65">
        <f>IFERROR(VLOOKUP("124",$AO$7:$AR$42,4,0),0) + IFERROR(VLOOKUP("124",$AS$7:$AV$42,4,0),0)</f>
        <v>0</v>
      </c>
      <c r="ET9" s="66">
        <f>SUM(EP9:ES9)</f>
        <v>0</v>
      </c>
    </row>
    <row r="10" spans="1:152">
      <c r="A10" s="35">
        <v>1</v>
      </c>
      <c r="B10" s="36" t="str">
        <f t="shared" ref="B10:B45" si="27">INDEX(T,18+INT(MOD(W7-1,7)),lang)</f>
        <v>Fri</v>
      </c>
      <c r="C10" s="37" t="str">
        <f t="shared" ref="C10:C45" si="28">INDEX(T,24+MONTH(W7),lang) &amp; " " &amp; DAY(W7) &amp; ", " &amp; YEAR(W7)</f>
        <v>Jun 14, 2024</v>
      </c>
      <c r="D10" s="38">
        <f t="shared" ref="D10:D45" si="29">TIME(HOUR(W7),MINUTE(W7),0)</f>
        <v>0.66666666666666663</v>
      </c>
      <c r="E10" s="39" t="str">
        <f>BD8</f>
        <v>Germany</v>
      </c>
      <c r="F10" s="40"/>
      <c r="G10" s="41"/>
      <c r="H10" s="42" t="str">
        <f>BD9</f>
        <v>Scotland</v>
      </c>
      <c r="I10" s="177" t="str">
        <f>INDEX(T,103,lang)</f>
        <v>Munich</v>
      </c>
      <c r="J10" s="177"/>
      <c r="K10" s="177"/>
      <c r="L10" s="29"/>
      <c r="M10" s="29"/>
      <c r="O10" s="43" t="str">
        <f>VLOOKUP(2,BC8:BM11,2,0)</f>
        <v>Scotland</v>
      </c>
      <c r="P10" s="44">
        <f>Q10+R10+S10</f>
        <v>0</v>
      </c>
      <c r="Q10" s="44">
        <f>VLOOKUP(2,BC8:BM11,3,0)</f>
        <v>0</v>
      </c>
      <c r="R10" s="44">
        <f>VLOOKUP(2,BC8:BM11,4,0)</f>
        <v>0</v>
      </c>
      <c r="S10" s="44">
        <f>VLOOKUP(2,BC8:BM11,5,0)</f>
        <v>0</v>
      </c>
      <c r="T10" s="44" t="str">
        <f>VLOOKUP(2,BC8:BM11,6,0) &amp; " - " &amp; VLOOKUP(2,BC8:BM11,7,0)</f>
        <v>0 - 0</v>
      </c>
      <c r="U10" s="45">
        <f>Q10*3+R10</f>
        <v>0</v>
      </c>
      <c r="W10" s="65">
        <f>DATE(2024,6,15)+TIME(8,0,0)+gmt_delta</f>
        <v>45458.666666666672</v>
      </c>
      <c r="X10" s="67" t="str">
        <f t="shared" si="0"/>
        <v/>
      </c>
      <c r="Y10" s="67" t="str">
        <f t="shared" si="1"/>
        <v/>
      </c>
      <c r="Z10" s="66">
        <f t="shared" si="2"/>
        <v>0</v>
      </c>
      <c r="AA10" s="65">
        <f t="shared" si="3"/>
        <v>0</v>
      </c>
      <c r="AB10" s="65">
        <f t="shared" si="4"/>
        <v>0</v>
      </c>
      <c r="AC10" s="65">
        <f t="shared" si="5"/>
        <v>2</v>
      </c>
      <c r="AD10" s="65">
        <f t="shared" si="6"/>
        <v>2</v>
      </c>
      <c r="AE10" s="65">
        <f t="shared" si="7"/>
        <v>4</v>
      </c>
      <c r="AF10" s="65" t="str">
        <f t="shared" si="8"/>
        <v>224</v>
      </c>
      <c r="AG10" s="65">
        <f t="shared" si="9"/>
        <v>0</v>
      </c>
      <c r="AH10" s="65">
        <f t="shared" si="10"/>
        <v>0</v>
      </c>
      <c r="AI10" s="65">
        <f t="shared" si="11"/>
        <v>0</v>
      </c>
      <c r="AJ10" s="65" t="str">
        <f t="shared" si="12"/>
        <v>242</v>
      </c>
      <c r="AK10" s="65">
        <f t="shared" si="13"/>
        <v>0</v>
      </c>
      <c r="AL10" s="65">
        <f t="shared" si="14"/>
        <v>0</v>
      </c>
      <c r="AM10" s="65">
        <f t="shared" si="15"/>
        <v>0</v>
      </c>
      <c r="AO10" s="65" t="str">
        <f t="shared" si="16"/>
        <v>224</v>
      </c>
      <c r="AP10" s="65">
        <f t="shared" si="17"/>
        <v>0</v>
      </c>
      <c r="AQ10" s="65">
        <f t="shared" si="18"/>
        <v>0</v>
      </c>
      <c r="AR10" s="65">
        <f t="shared" si="19"/>
        <v>0</v>
      </c>
      <c r="AS10" s="65" t="str">
        <f t="shared" si="20"/>
        <v>242</v>
      </c>
      <c r="AT10" s="65">
        <f t="shared" si="21"/>
        <v>0</v>
      </c>
      <c r="AU10" s="65">
        <f t="shared" si="22"/>
        <v>0</v>
      </c>
      <c r="AV10" s="65">
        <f t="shared" si="23"/>
        <v>0</v>
      </c>
      <c r="AX10" s="65" t="str">
        <f t="shared" si="24"/>
        <v>224</v>
      </c>
      <c r="AY10" s="65">
        <v>0</v>
      </c>
      <c r="AZ10" s="65" t="str">
        <f t="shared" si="25"/>
        <v>242</v>
      </c>
      <c r="BA10" s="65">
        <v>0</v>
      </c>
      <c r="BC10" s="65">
        <f>DQ10</f>
        <v>3</v>
      </c>
      <c r="BD10" s="66" t="str">
        <f>INDEX(T,57,lang)</f>
        <v>Switzerland</v>
      </c>
      <c r="BE10" s="65">
        <f>COUNTIF($X$7:$Y$42,"=" &amp; BD10 &amp; "_win")</f>
        <v>0</v>
      </c>
      <c r="BF10" s="65">
        <f>COUNTIF($X$7:$Y$42,"=" &amp; BD10 &amp; "_draw")</f>
        <v>0</v>
      </c>
      <c r="BG10" s="65">
        <f>COUNTIF($X$7:$Y$42,"=" &amp; BD10 &amp; "_lose")</f>
        <v>0</v>
      </c>
      <c r="BH10" s="65">
        <f>SUMIF($E$10:$E$45,$BD10,$F$10:$F$45) + SUMIF($H$10:$H$45,$BD10,$G$10:$G$45)</f>
        <v>0</v>
      </c>
      <c r="BI10" s="65">
        <f>SUMIF($E$10:$E$45,$BD10,$G$10:$G$45) + SUMIF($H$10:$H$45,$BD10,$F$10:$F$45)</f>
        <v>0</v>
      </c>
      <c r="BJ10" s="65">
        <f>BM10*10000</f>
        <v>0</v>
      </c>
      <c r="BK10" s="65">
        <f>BH10-BI10</f>
        <v>0</v>
      </c>
      <c r="BL10" s="65">
        <f>(BK10-BK13)/BK12</f>
        <v>0</v>
      </c>
      <c r="BM10" s="65">
        <f>BE10*3+BF10</f>
        <v>0</v>
      </c>
      <c r="BN10" s="65">
        <f>BT10/BT12*10+BU10/BU12+BX10/BX12*0.1+BV10/BV12*0.01</f>
        <v>0</v>
      </c>
      <c r="BO10" s="65">
        <f>RANK(BN10,$BN$8:$BN$11)</f>
        <v>1</v>
      </c>
      <c r="BP10" s="65">
        <f>IF(VLOOKUP(BD10,db_fifarank,2,0)="",MIN(db_fifarank),VLOOKUP(BD10,db_fifarank,2,0))</f>
        <v>32.975000000000001</v>
      </c>
      <c r="BQ10" s="65">
        <f t="shared" si="26"/>
        <v>2.6411356883459892E-2</v>
      </c>
      <c r="BR10" s="66">
        <f>10000000*BM10/BM12+100000*BN10/BN12+100*BL10+10*BH10/BH12+1*BN10/BN12+BQ10</f>
        <v>2.6411356883459892E-2</v>
      </c>
      <c r="BS10" s="66" t="str">
        <f>IF(SUM(BE8:BG11)&gt;0,O11,"3A")</f>
        <v>3A</v>
      </c>
      <c r="BT10" s="65">
        <f>SUMPRODUCT(($X$7:$X$42=BD10&amp;"_win")*($Z$7:$Z$42))+SUMPRODUCT(($Y$7:$Y$42=BD10&amp;"_win")*($Z$7:$Z$42))</f>
        <v>0</v>
      </c>
      <c r="BU10" s="65">
        <f>SUMPRODUCT(($X$7:$X$42=BD10&amp;"_draw")*($Z$7:$Z$42))+SUMPRODUCT(($Y$7:$Y$42=BD10&amp;"_draw")*($Z$7:$Z$42))</f>
        <v>0</v>
      </c>
      <c r="BV10" s="65">
        <f>SUMPRODUCT(($E$10:$E$45=BD10)*($Z$7:$Z$42)*($F$10:$F$45))+SUMPRODUCT(($H$10:$H$45=BD10)*($Z$7:$Z$42)*($G$10:$G$45))</f>
        <v>0</v>
      </c>
      <c r="BW10" s="65">
        <f>SUMPRODUCT(($E$10:$E$45=BD10)*($Z$7:$Z$42)*($G$10:$G$45))+SUMPRODUCT(($H$10:$H$45=BD10)*($Z$7:$Z$42)*($F$10:$F$45))</f>
        <v>0</v>
      </c>
      <c r="BX10" s="65">
        <f>BV10-BW10</f>
        <v>0</v>
      </c>
      <c r="BY10" s="66" t="str">
        <f>BD10</f>
        <v>Switzerland</v>
      </c>
      <c r="BZ10" s="66">
        <v>1</v>
      </c>
      <c r="CA10" s="66">
        <v>3</v>
      </c>
      <c r="CC10" s="65">
        <f>IFERROR(VLOOKUP("131",$AF$7:$AI$42,2,0),0) + IFERROR(VLOOKUP("131",$AJ$7:$AM$42,2,0),0)</f>
        <v>0</v>
      </c>
      <c r="CD10" s="65">
        <f>IFERROR(VLOOKUP("132",$AF$7:$AI$42,2,0),0) + IFERROR(VLOOKUP("132",$AJ$7:$AM$42,2,0),0)</f>
        <v>0</v>
      </c>
      <c r="CF10" s="65">
        <f>IFERROR(VLOOKUP("134",$AF$7:$AI$42,2,0),0) + IFERROR(VLOOKUP("134",$AJ$7:$AM$42,2,0),0)</f>
        <v>0</v>
      </c>
      <c r="CG10" s="66">
        <f>SUM(CC10:CF10)</f>
        <v>0</v>
      </c>
      <c r="CH10" s="65">
        <f>IFERROR(VLOOKUP("131",$AF$7:$AI$42,3,0),0) + IFERROR(VLOOKUP("131",$AJ$7:$AM$42,3,0),0)</f>
        <v>0</v>
      </c>
      <c r="CI10" s="65">
        <f>IFERROR(VLOOKUP("132",$AF$7:$AI$42,3,0),0) + IFERROR(VLOOKUP("132",$AJ$7:$AM$42,3,0),0)</f>
        <v>0</v>
      </c>
      <c r="CK10" s="65">
        <f>IFERROR(VLOOKUP("134",$AF$7:$AI$42,3,0),0) + IFERROR(VLOOKUP("134",$AJ$7:$AM$42,3,0),0)</f>
        <v>0</v>
      </c>
      <c r="CL10" s="66">
        <f>SUM(CH10:CK10)</f>
        <v>0</v>
      </c>
      <c r="CM10" s="66">
        <f>RANK(CL10,CL8:CL11)</f>
        <v>1</v>
      </c>
      <c r="CN10" s="65">
        <f>IFERROR(VLOOKUP("131",$AF$7:$AI$42,4,0),0) + IFERROR(VLOOKUP("131",$AJ$7:$AM$42,4,0),0)</f>
        <v>0</v>
      </c>
      <c r="CO10" s="65">
        <f>IFERROR(VLOOKUP("132",$AF$7:$AI$42,4,0),0) + IFERROR(VLOOKUP("132",$AJ$7:$AM$42,4,0),0)</f>
        <v>0</v>
      </c>
      <c r="CQ10" s="65">
        <f>IFERROR(VLOOKUP("134",$AF$7:$AI$42,4,0),0) + IFERROR(VLOOKUP("134",$AJ$7:$AM$42,4,0),0)</f>
        <v>0</v>
      </c>
      <c r="CR10" s="66">
        <f>SUM(CN10:CQ10)</f>
        <v>0</v>
      </c>
      <c r="CS10" s="65">
        <f>IF(CC12=CG10,CC10,0)</f>
        <v>0</v>
      </c>
      <c r="CT10" s="65">
        <f>IF(CD12=CG10,CD10,0)</f>
        <v>0</v>
      </c>
      <c r="CV10" s="65">
        <f>IF(CF12=CG10,CF10,0)</f>
        <v>0</v>
      </c>
      <c r="CW10" s="66">
        <f>SUM(CS10:CV10)</f>
        <v>0</v>
      </c>
      <c r="CX10" s="65">
        <f>IF(CC12=CG10,CH10,0)</f>
        <v>0</v>
      </c>
      <c r="CY10" s="65">
        <f>IF(CD12=CG10,CI10,0)</f>
        <v>0</v>
      </c>
      <c r="DA10" s="65">
        <f>IF(CF12=CG10,CK10,0)</f>
        <v>0</v>
      </c>
      <c r="DB10" s="66">
        <f>SUM(CX10:DA10)</f>
        <v>0</v>
      </c>
      <c r="DC10" s="66">
        <f>RANK(DB10,DB8:DB11)</f>
        <v>1</v>
      </c>
      <c r="DD10" s="65">
        <f>IF(CC12=CG10,CN10,0)</f>
        <v>0</v>
      </c>
      <c r="DE10" s="65">
        <f>IF(CD12=CG10,CO10,0)</f>
        <v>0</v>
      </c>
      <c r="DG10" s="65">
        <f>IF(CF12=CG10,CQ10,0)</f>
        <v>0</v>
      </c>
      <c r="DH10" s="66">
        <f>SUM(DD10:DG10)</f>
        <v>0</v>
      </c>
      <c r="DI10" s="66">
        <f>CG10*10000+CW10*100+(5-DC10)+DH10/10</f>
        <v>4</v>
      </c>
      <c r="DJ10" s="66">
        <f>RANK(DI10,DI8:DI11)</f>
        <v>1</v>
      </c>
      <c r="DK10" s="65">
        <f>IF(DK12=DJ10,CC10,0)</f>
        <v>0</v>
      </c>
      <c r="DL10" s="65">
        <f>IF(DL12=DJ10,CD10,0)</f>
        <v>0</v>
      </c>
      <c r="DN10" s="65">
        <f>IF(DN12=DJ10,CF10,0)</f>
        <v>0</v>
      </c>
      <c r="DO10" s="66">
        <f>SUM(DK10:DN10)</f>
        <v>0</v>
      </c>
      <c r="DP10" s="66">
        <f>(5-DJ10)*10000+DO10*100+(5-CM10)+CR10/10+(5-DX10)/100+BQ10/10000</f>
        <v>40004.040002641137</v>
      </c>
      <c r="DQ10" s="66">
        <f>RANK(DP10,DP8:DP11)</f>
        <v>3</v>
      </c>
      <c r="DS10" s="65">
        <f>IFERROR(VLOOKUP("131",$AX$7:$AY$42,2,0),0) + IFERROR(VLOOKUP("131",$AZ$7:$BA$42,2,0),0)</f>
        <v>0</v>
      </c>
      <c r="DT10" s="65">
        <f>IFERROR(VLOOKUP("132",$AX$7:$AY$42,2,0),0) + IFERROR(VLOOKUP("132",$AZ$7:$BA$42,2,0),0)</f>
        <v>0</v>
      </c>
      <c r="DV10" s="65">
        <f>IFERROR(VLOOKUP("134",$AX$7:$AY$42,2,0),0) + IFERROR(VLOOKUP("134",$AZ$7:$BA$42,2,0),0)</f>
        <v>0</v>
      </c>
      <c r="DW10" s="66">
        <f>SUM(DS10:DV10)</f>
        <v>0</v>
      </c>
      <c r="DX10" s="66">
        <f>RANK(DW10,DW8:DW11)</f>
        <v>1</v>
      </c>
      <c r="DZ10" s="66" t="str">
        <f>BD10</f>
        <v>Switzerland</v>
      </c>
      <c r="EA10" s="66">
        <f>EI10*10000+EO10*100+ET10</f>
        <v>100</v>
      </c>
      <c r="EB10" s="65">
        <f>COUNTIF(EA8:EA11,EA10)</f>
        <v>4</v>
      </c>
      <c r="EC10" s="65">
        <f>COUNTIF(CG8:CG11,CG10)</f>
        <v>4</v>
      </c>
      <c r="ED10" s="66">
        <f>IF(AND(EB10&gt;=2,EC10=2),EA10,-EA10-0.2)</f>
        <v>-100.2</v>
      </c>
      <c r="EE10" s="65">
        <f>IFERROR(VLOOKUP("131",$AO$7:$AR$42,2,0),0) + IFERROR(VLOOKUP("131",$AS$7:$AV$42,2,0),0)</f>
        <v>0</v>
      </c>
      <c r="EF10" s="65">
        <f>IFERROR(VLOOKUP("132",$AO$7:$AR$42,2,0),0) + IFERROR(VLOOKUP("132",$AS$7:$AV$42,2,0),0)</f>
        <v>0</v>
      </c>
      <c r="EH10" s="65">
        <f>IFERROR(VLOOKUP("134",$AO$7:$AR$42,2,0),0) + IFERROR(VLOOKUP("134",$AS$7:$AV$42,2,0),0)</f>
        <v>0</v>
      </c>
      <c r="EI10" s="66">
        <f>SUM(EE10:EH10)</f>
        <v>0</v>
      </c>
      <c r="EJ10" s="65">
        <f>IFERROR(VLOOKUP("131",$AO$7:$AR$42,3,0),0) + IFERROR(VLOOKUP("131",$AS$7:$AV$42,3,0),0)</f>
        <v>0</v>
      </c>
      <c r="EK10" s="65">
        <f>IFERROR(VLOOKUP("132",$AO$7:$AR$42,3,0),0) + IFERROR(VLOOKUP("132",$AS$7:$AV$42,3,0),0)</f>
        <v>0</v>
      </c>
      <c r="EM10" s="65">
        <f>IFERROR(VLOOKUP("134",$AO$7:$AR$42,3,0),0) + IFERROR(VLOOKUP("134",$AS$7:$AV$42,3,0),0)</f>
        <v>0</v>
      </c>
      <c r="EN10" s="66">
        <f>SUM(EJ10:EM10)</f>
        <v>0</v>
      </c>
      <c r="EO10" s="66">
        <f>RANK(EN10,EN8:EN11)</f>
        <v>1</v>
      </c>
      <c r="EP10" s="65">
        <f>IFERROR(VLOOKUP("131",$AO$7:$AR$42,4,0),0) + IFERROR(VLOOKUP("131",$AS$7:$AV$42,4,0),0)</f>
        <v>0</v>
      </c>
      <c r="EQ10" s="65">
        <f>IFERROR(VLOOKUP("132",$AO$7:$AR$42,4,0),0) + IFERROR(VLOOKUP("132",$AS$7:$AV$42,4,0),0)</f>
        <v>0</v>
      </c>
      <c r="ES10" s="65">
        <f>IFERROR(VLOOKUP("134",$AO$7:$AR$42,4,0),0) + IFERROR(VLOOKUP("134",$AS$7:$AV$42,4,0),0)</f>
        <v>0</v>
      </c>
      <c r="ET10" s="66">
        <f>SUM(EP10:ES10)</f>
        <v>0</v>
      </c>
      <c r="EV10" s="175"/>
    </row>
    <row r="11" spans="1:152">
      <c r="A11" s="46">
        <v>2</v>
      </c>
      <c r="B11" s="47" t="str">
        <f t="shared" si="27"/>
        <v>Sat</v>
      </c>
      <c r="C11" s="48" t="str">
        <f t="shared" si="28"/>
        <v>Jun 15, 2024</v>
      </c>
      <c r="D11" s="49">
        <f t="shared" si="29"/>
        <v>0.41666666666666669</v>
      </c>
      <c r="E11" s="50" t="str">
        <f>BD11</f>
        <v>Hungary</v>
      </c>
      <c r="F11" s="40"/>
      <c r="G11" s="41"/>
      <c r="H11" s="51" t="str">
        <f>BD10</f>
        <v>Switzerland</v>
      </c>
      <c r="I11" s="172" t="str">
        <f>INDEX(T,104,lang)</f>
        <v>Cologne</v>
      </c>
      <c r="J11" s="172"/>
      <c r="K11" s="172"/>
      <c r="L11" s="29"/>
      <c r="M11" s="29"/>
      <c r="O11" s="43" t="str">
        <f>VLOOKUP(3,BC8:BM11,2,0)</f>
        <v>Switzerland</v>
      </c>
      <c r="P11" s="44">
        <f>Q11+R11+S11</f>
        <v>0</v>
      </c>
      <c r="Q11" s="44">
        <f>VLOOKUP(3,BC8:BM11,3,0)</f>
        <v>0</v>
      </c>
      <c r="R11" s="44">
        <f>VLOOKUP(3,BC8:BM11,4,0)</f>
        <v>0</v>
      </c>
      <c r="S11" s="44">
        <f>VLOOKUP(3,BC8:BM11,5,0)</f>
        <v>0</v>
      </c>
      <c r="T11" s="44" t="str">
        <f>VLOOKUP(3,BC8:BM11,6,0) &amp; " - " &amp; VLOOKUP(3,BC8:BM11,7,0)</f>
        <v>0 - 0</v>
      </c>
      <c r="U11" s="45">
        <f>Q11*3+R11</f>
        <v>0</v>
      </c>
      <c r="W11" s="65">
        <f>DATE(2024,6,16)+TIME(2,0,0)+gmt_delta</f>
        <v>45459.416666666672</v>
      </c>
      <c r="X11" s="67" t="str">
        <f t="shared" si="0"/>
        <v/>
      </c>
      <c r="Y11" s="67" t="str">
        <f t="shared" si="1"/>
        <v/>
      </c>
      <c r="Z11" s="66">
        <f t="shared" si="2"/>
        <v>0</v>
      </c>
      <c r="AA11" s="65">
        <f t="shared" si="3"/>
        <v>0</v>
      </c>
      <c r="AB11" s="65">
        <f t="shared" si="4"/>
        <v>0</v>
      </c>
      <c r="AC11" s="65">
        <f t="shared" si="5"/>
        <v>4</v>
      </c>
      <c r="AD11" s="65">
        <f t="shared" si="6"/>
        <v>4</v>
      </c>
      <c r="AE11" s="65">
        <f t="shared" si="7"/>
        <v>2</v>
      </c>
      <c r="AF11" s="65" t="str">
        <f t="shared" si="8"/>
        <v>442</v>
      </c>
      <c r="AG11" s="65">
        <f t="shared" si="9"/>
        <v>0</v>
      </c>
      <c r="AH11" s="65">
        <f t="shared" si="10"/>
        <v>0</v>
      </c>
      <c r="AI11" s="65">
        <f t="shared" si="11"/>
        <v>0</v>
      </c>
      <c r="AJ11" s="65" t="str">
        <f t="shared" si="12"/>
        <v>424</v>
      </c>
      <c r="AK11" s="65">
        <f t="shared" si="13"/>
        <v>0</v>
      </c>
      <c r="AL11" s="65">
        <f t="shared" si="14"/>
        <v>0</v>
      </c>
      <c r="AM11" s="65">
        <f t="shared" si="15"/>
        <v>0</v>
      </c>
      <c r="AO11" s="65" t="str">
        <f t="shared" si="16"/>
        <v>442</v>
      </c>
      <c r="AP11" s="65">
        <f t="shared" si="17"/>
        <v>0</v>
      </c>
      <c r="AQ11" s="65">
        <f t="shared" si="18"/>
        <v>0</v>
      </c>
      <c r="AR11" s="65">
        <f t="shared" si="19"/>
        <v>0</v>
      </c>
      <c r="AS11" s="65" t="str">
        <f t="shared" si="20"/>
        <v>424</v>
      </c>
      <c r="AT11" s="65">
        <f t="shared" si="21"/>
        <v>0</v>
      </c>
      <c r="AU11" s="65">
        <f t="shared" si="22"/>
        <v>0</v>
      </c>
      <c r="AV11" s="65">
        <f t="shared" si="23"/>
        <v>0</v>
      </c>
      <c r="AX11" s="65" t="str">
        <f t="shared" si="24"/>
        <v>442</v>
      </c>
      <c r="AY11" s="65">
        <v>0</v>
      </c>
      <c r="AZ11" s="65" t="str">
        <f t="shared" si="25"/>
        <v>424</v>
      </c>
      <c r="BA11" s="65">
        <v>0</v>
      </c>
      <c r="BC11" s="65">
        <f>DQ11</f>
        <v>4</v>
      </c>
      <c r="BD11" s="66" t="str">
        <f>INDEX(T,43,lang)</f>
        <v>Hungary</v>
      </c>
      <c r="BE11" s="65">
        <f>COUNTIF($X$7:$Y$42,"=" &amp; BD11 &amp; "_win")</f>
        <v>0</v>
      </c>
      <c r="BF11" s="65">
        <f>COUNTIF($X$7:$Y$42,"=" &amp; BD11 &amp; "_draw")</f>
        <v>0</v>
      </c>
      <c r="BG11" s="65">
        <f>COUNTIF($X$7:$Y$42,"=" &amp; BD11 &amp; "_lose")</f>
        <v>0</v>
      </c>
      <c r="BH11" s="65">
        <f>SUMIF($E$10:$E$45,$BD11,$F$10:$F$45) + SUMIF($H$10:$H$45,$BD11,$G$10:$G$45)</f>
        <v>0</v>
      </c>
      <c r="BI11" s="65">
        <f>SUMIF($E$10:$E$45,$BD11,$G$10:$G$45) + SUMIF($H$10:$H$45,$BD11,$F$10:$F$45)</f>
        <v>0</v>
      </c>
      <c r="BJ11" s="65">
        <f>BM11*10000</f>
        <v>0</v>
      </c>
      <c r="BK11" s="65">
        <f>BH11-BI11</f>
        <v>0</v>
      </c>
      <c r="BL11" s="65">
        <f>(BK11-BK13)/BK12</f>
        <v>0</v>
      </c>
      <c r="BM11" s="65">
        <f>BE11*3+BF11</f>
        <v>0</v>
      </c>
      <c r="BN11" s="65">
        <f>BT11/BT12*10+BU11/BU12+BX11/BX12*0.1+BV11/BV12*0.01</f>
        <v>0</v>
      </c>
      <c r="BO11" s="65">
        <f>RANK(BN11,$BN$8:$BN$11)</f>
        <v>1</v>
      </c>
      <c r="BP11" s="65">
        <f>IF(VLOOKUP(BD11,db_fifarank,2,0)="",MIN(db_fifarank),VLOOKUP(BD11,db_fifarank,2,0))</f>
        <v>21.875</v>
      </c>
      <c r="BQ11" s="65">
        <f t="shared" si="26"/>
        <v>1.4959557609772203E-2</v>
      </c>
      <c r="BR11" s="66">
        <f>10000000*BM11/BM12+100000*BN11/BN12+100*BL11+10*BH11/BH12+1*BN11/BN12+BQ11</f>
        <v>1.4959557609772203E-2</v>
      </c>
      <c r="BT11" s="65">
        <f>SUMPRODUCT(($X$7:$X$42=BD11&amp;"_win")*($Z$7:$Z$42))+SUMPRODUCT(($Y$7:$Y$42=BD11&amp;"_win")*($Z$7:$Z$42))</f>
        <v>0</v>
      </c>
      <c r="BU11" s="65">
        <f>SUMPRODUCT(($X$7:$X$42=BD11&amp;"_draw")*($Z$7:$Z$42))+SUMPRODUCT(($Y$7:$Y$42=BD11&amp;"_draw")*($Z$7:$Z$42))</f>
        <v>0</v>
      </c>
      <c r="BV11" s="65">
        <f>SUMPRODUCT(($E$10:$E$45=BD11)*($Z$7:$Z$42)*($F$10:$F$45))+SUMPRODUCT(($H$10:$H$45=BD11)*($Z$7:$Z$42)*($G$10:$G$45))</f>
        <v>0</v>
      </c>
      <c r="BW11" s="65">
        <f>SUMPRODUCT(($E$10:$E$45=BD11)*($Z$7:$Z$42)*($G$10:$G$45))+SUMPRODUCT(($H$10:$H$45=BD11)*($Z$7:$Z$42)*($F$10:$F$45))</f>
        <v>0</v>
      </c>
      <c r="BX11" s="65">
        <f>BV11-BW11</f>
        <v>0</v>
      </c>
      <c r="BY11" s="66" t="str">
        <f>BD11</f>
        <v>Hungary</v>
      </c>
      <c r="BZ11" s="66">
        <v>1</v>
      </c>
      <c r="CA11" s="66">
        <v>4</v>
      </c>
      <c r="CC11" s="65">
        <f>IFERROR(VLOOKUP("141",$AF$7:$AI$42,2,0),0) + IFERROR(VLOOKUP("141",$AJ$7:$AM$42,2,0),0)</f>
        <v>0</v>
      </c>
      <c r="CD11" s="65">
        <f>IFERROR(VLOOKUP("142",$AF$7:$AI$42,2,0),0) + IFERROR(VLOOKUP("142",$AJ$7:$AM$42,2,0),0)</f>
        <v>0</v>
      </c>
      <c r="CE11" s="65">
        <f>IFERROR(VLOOKUP("143",$AF$7:$AI$42,2,0),0) + IFERROR(VLOOKUP("143",$AJ$7:$AM$42,2,0),0)</f>
        <v>0</v>
      </c>
      <c r="CG11" s="66">
        <f>SUM(CC11:CF11)</f>
        <v>0</v>
      </c>
      <c r="CH11" s="65">
        <f>IFERROR(VLOOKUP("141",$AF$7:$AI$42,3,0),0) + IFERROR(VLOOKUP("141",$AJ$7:$AM$42,3,0),0)</f>
        <v>0</v>
      </c>
      <c r="CI11" s="65">
        <f>IFERROR(VLOOKUP("142",$AF$7:$AI$42,3,0),0) + IFERROR(VLOOKUP("142",$AJ$7:$AM$42,3,0),0)</f>
        <v>0</v>
      </c>
      <c r="CJ11" s="65">
        <f>IFERROR(VLOOKUP("143",$AF$7:$AI$42,3,0),0) + IFERROR(VLOOKUP("143",$AJ$7:$AM$42,3,0),0)</f>
        <v>0</v>
      </c>
      <c r="CL11" s="66">
        <f>SUM(CH11:CK11)</f>
        <v>0</v>
      </c>
      <c r="CM11" s="66">
        <f>RANK(CL11,CL8:CL11)</f>
        <v>1</v>
      </c>
      <c r="CN11" s="65">
        <f>IFERROR(VLOOKUP("141",$AF$7:$AI$42,4,0),0) + IFERROR(VLOOKUP("141",$AJ$7:$AM$42,4,0),0)</f>
        <v>0</v>
      </c>
      <c r="CO11" s="65">
        <f>IFERROR(VLOOKUP("142",$AF$7:$AI$42,4,0),0) + IFERROR(VLOOKUP("142",$AJ$7:$AM$42,4,0),0)</f>
        <v>0</v>
      </c>
      <c r="CP11" s="65">
        <f>IFERROR(VLOOKUP("143",$AF$7:$AI$42,4,0),0) + IFERROR(VLOOKUP("143",$AJ$7:$AM$42,4,0),0)</f>
        <v>0</v>
      </c>
      <c r="CR11" s="66">
        <f>SUM(CN11:CQ11)</f>
        <v>0</v>
      </c>
      <c r="CS11" s="65">
        <f>IF(CC12=CG11,CC11,0)</f>
        <v>0</v>
      </c>
      <c r="CT11" s="65">
        <f>IF(CD12=CG11,CD11,0)</f>
        <v>0</v>
      </c>
      <c r="CU11" s="65">
        <f>IF(CE12=CG11,CE11,0)</f>
        <v>0</v>
      </c>
      <c r="CW11" s="66">
        <f>SUM(CS11:CV11)</f>
        <v>0</v>
      </c>
      <c r="CX11" s="65">
        <f>IF(CC12=CG11,CH11,0)</f>
        <v>0</v>
      </c>
      <c r="CY11" s="65">
        <f>IF(CD12=CG11,CI11,0)</f>
        <v>0</v>
      </c>
      <c r="CZ11" s="65">
        <f>IF(CE12=CG11,CJ11,0)</f>
        <v>0</v>
      </c>
      <c r="DB11" s="66">
        <f>SUM(CX11:DA11)</f>
        <v>0</v>
      </c>
      <c r="DC11" s="66">
        <f>RANK(DB11,DB8:DB11)</f>
        <v>1</v>
      </c>
      <c r="DD11" s="65">
        <f>IF(CC12=CG11,CN11,0)</f>
        <v>0</v>
      </c>
      <c r="DE11" s="65">
        <f>IF(CD12=CG11,CO11,0)</f>
        <v>0</v>
      </c>
      <c r="DF11" s="65">
        <f>IF(CE12=CG11,CP11,0)</f>
        <v>0</v>
      </c>
      <c r="DH11" s="66">
        <f>SUM(DD11:DG11)</f>
        <v>0</v>
      </c>
      <c r="DI11" s="66">
        <f>CG11*10000+CW11*100+(5-DC11)+DH11/10</f>
        <v>4</v>
      </c>
      <c r="DJ11" s="66">
        <f>RANK(DI11,DI8:DI11)</f>
        <v>1</v>
      </c>
      <c r="DK11" s="65">
        <f>IF(DK12=DJ11,CC11,0)</f>
        <v>0</v>
      </c>
      <c r="DL11" s="65">
        <f>IF(DL12=DJ11,CD11,0)</f>
        <v>0</v>
      </c>
      <c r="DM11" s="65">
        <f>IF(DM12=DJ11,CE11,0)</f>
        <v>0</v>
      </c>
      <c r="DO11" s="66">
        <f>SUM(DK11:DN11)</f>
        <v>0</v>
      </c>
      <c r="DP11" s="66">
        <f>(5-DJ11)*10000+DO11*100+(5-CM11)+CR11/10+(5-DX11)/100+BQ11/10000</f>
        <v>40004.04000149596</v>
      </c>
      <c r="DQ11" s="66">
        <f>RANK(DP11,DP8:DP11)</f>
        <v>4</v>
      </c>
      <c r="DS11" s="65">
        <f>IFERROR(VLOOKUP("141",$AX$7:$AY$42,2,0),0) + IFERROR(VLOOKUP("141",$AZ$7:$BA$42,2,0),0)</f>
        <v>0</v>
      </c>
      <c r="DT11" s="65">
        <f>IFERROR(VLOOKUP("142",$AX$7:$AY$42,2,0),0) + IFERROR(VLOOKUP("142",$AZ$7:$BA$42,2,0),0)</f>
        <v>0</v>
      </c>
      <c r="DU11" s="65">
        <f>IFERROR(VLOOKUP("143",$AX$7:$AY$42,2,0),0) + IFERROR(VLOOKUP("143",$AZ$7:$BA$42,2,0),0)</f>
        <v>0</v>
      </c>
      <c r="DW11" s="66">
        <f>SUM(DS11:DV11)</f>
        <v>0</v>
      </c>
      <c r="DX11" s="66">
        <f>RANK(DW11,DW8:DW11)</f>
        <v>1</v>
      </c>
      <c r="DZ11" s="66" t="str">
        <f>BD11</f>
        <v>Hungary</v>
      </c>
      <c r="EA11" s="66">
        <f>EI11*10000+EO11*100+ET11</f>
        <v>100</v>
      </c>
      <c r="EB11" s="65">
        <f>COUNTIF(EA8:EA11,EA11)</f>
        <v>4</v>
      </c>
      <c r="EC11" s="65">
        <f>COUNTIF(CG8:CG11,CG11)</f>
        <v>4</v>
      </c>
      <c r="ED11" s="66">
        <f>IF(AND(EB11&gt;=2,EC11=2),EA11,-EA11-0.1)</f>
        <v>-100.1</v>
      </c>
      <c r="EE11" s="65">
        <f>IFERROR(VLOOKUP("141",$AO$7:$AR$42,2,0),0) + IFERROR(VLOOKUP("141",$AS$7:$AV$42,2,0),0)</f>
        <v>0</v>
      </c>
      <c r="EF11" s="65">
        <f>IFERROR(VLOOKUP("142",$AO$7:$AR$42,2,0),0) + IFERROR(VLOOKUP("142",$AS$7:$AV$42,2,0),0)</f>
        <v>0</v>
      </c>
      <c r="EG11" s="65">
        <f>IFERROR(VLOOKUP("143",$AO$7:$AR$42,2,0),0) + IFERROR(VLOOKUP("143",$AS$7:$AV$42,2,0),0)</f>
        <v>0</v>
      </c>
      <c r="EI11" s="66">
        <f>SUM(EE11:EH11)</f>
        <v>0</v>
      </c>
      <c r="EJ11" s="65">
        <f>IFERROR(VLOOKUP("141",$AO$7:$AR$42,3,0),0) + IFERROR(VLOOKUP("141",$AS$7:$AV$42,3,0),0)</f>
        <v>0</v>
      </c>
      <c r="EK11" s="65">
        <f>IFERROR(VLOOKUP("142",$AO$7:$AR$42,3,0),0) + IFERROR(VLOOKUP("142",$AS$7:$AV$42,3,0),0)</f>
        <v>0</v>
      </c>
      <c r="EL11" s="65">
        <f>IFERROR(VLOOKUP("143",$AO$7:$AR$42,3,0),0) + IFERROR(VLOOKUP("143",$AS$7:$AV$42,3,0),0)</f>
        <v>0</v>
      </c>
      <c r="EN11" s="66">
        <f>SUM(EJ11:EM11)</f>
        <v>0</v>
      </c>
      <c r="EO11" s="66">
        <f>RANK(EN11,EN8:EN11)</f>
        <v>1</v>
      </c>
      <c r="EP11" s="65">
        <f>IFERROR(VLOOKUP("141",$AO$7:$AR$42,4,0),0) + IFERROR(VLOOKUP("141",$AS$7:$AV$42,4,0),0)</f>
        <v>0</v>
      </c>
      <c r="EQ11" s="65">
        <f>IFERROR(VLOOKUP("142",$AO$7:$AR$42,4,0),0) + IFERROR(VLOOKUP("142",$AS$7:$AV$42,4,0),0)</f>
        <v>0</v>
      </c>
      <c r="ER11" s="65">
        <f>IFERROR(VLOOKUP("143",$AO$7:$AR$42,4,0),0) + IFERROR(VLOOKUP("143",$AS$7:$AV$42,4,0),0)</f>
        <v>0</v>
      </c>
      <c r="ET11" s="66">
        <f>SUM(EP11:ES11)</f>
        <v>0</v>
      </c>
      <c r="EV11" s="175"/>
    </row>
    <row r="12" spans="1:152">
      <c r="A12" s="46">
        <v>3</v>
      </c>
      <c r="B12" s="47" t="str">
        <f t="shared" si="27"/>
        <v>Sat</v>
      </c>
      <c r="C12" s="48" t="str">
        <f t="shared" si="28"/>
        <v>Jun 15, 2024</v>
      </c>
      <c r="D12" s="49">
        <f t="shared" si="29"/>
        <v>0.54166666666666663</v>
      </c>
      <c r="E12" s="50" t="str">
        <f>BD14</f>
        <v>Spain</v>
      </c>
      <c r="F12" s="40"/>
      <c r="G12" s="41"/>
      <c r="H12" s="51" t="str">
        <f>BD16</f>
        <v>Croatia</v>
      </c>
      <c r="I12" s="172" t="str">
        <f>INDEX(T,107,lang)</f>
        <v>Berlin</v>
      </c>
      <c r="J12" s="172"/>
      <c r="K12" s="172"/>
      <c r="L12" s="29"/>
      <c r="M12" s="29"/>
      <c r="O12" s="54" t="str">
        <f>VLOOKUP(4,BC8:BM11,2,0)</f>
        <v>Hungary</v>
      </c>
      <c r="P12" s="55">
        <f>Q12+R12+S12</f>
        <v>0</v>
      </c>
      <c r="Q12" s="55">
        <f>VLOOKUP(4,BC8:BM11,3,0)</f>
        <v>0</v>
      </c>
      <c r="R12" s="55">
        <f>VLOOKUP(4,BC8:BM11,4,0)</f>
        <v>0</v>
      </c>
      <c r="S12" s="55">
        <f>VLOOKUP(4,BC8:BM11,5,0)</f>
        <v>0</v>
      </c>
      <c r="T12" s="55" t="str">
        <f>VLOOKUP(4,BC8:BM11,6,0) &amp; " - " &amp; VLOOKUP(4,BC8:BM11,7,0)</f>
        <v>0 - 0</v>
      </c>
      <c r="U12" s="56">
        <f>Q12*3+R12</f>
        <v>0</v>
      </c>
      <c r="W12" s="65">
        <f>DATE(2024,6,16)+TIME(5,0,0)+gmt_delta</f>
        <v>45459.541666666672</v>
      </c>
      <c r="X12" s="67" t="str">
        <f t="shared" si="0"/>
        <v/>
      </c>
      <c r="Y12" s="67" t="str">
        <f t="shared" si="1"/>
        <v/>
      </c>
      <c r="Z12" s="66">
        <f t="shared" si="2"/>
        <v>0</v>
      </c>
      <c r="AA12" s="65">
        <f t="shared" si="3"/>
        <v>0</v>
      </c>
      <c r="AB12" s="65">
        <f t="shared" si="4"/>
        <v>0</v>
      </c>
      <c r="AC12" s="65">
        <f t="shared" si="5"/>
        <v>3</v>
      </c>
      <c r="AD12" s="65">
        <f t="shared" si="6"/>
        <v>4</v>
      </c>
      <c r="AE12" s="65">
        <f t="shared" si="7"/>
        <v>2</v>
      </c>
      <c r="AF12" s="65" t="str">
        <f t="shared" si="8"/>
        <v>342</v>
      </c>
      <c r="AG12" s="65">
        <f t="shared" si="9"/>
        <v>0</v>
      </c>
      <c r="AH12" s="65">
        <f t="shared" si="10"/>
        <v>0</v>
      </c>
      <c r="AI12" s="65">
        <f t="shared" si="11"/>
        <v>0</v>
      </c>
      <c r="AJ12" s="65" t="str">
        <f t="shared" si="12"/>
        <v>324</v>
      </c>
      <c r="AK12" s="65">
        <f t="shared" si="13"/>
        <v>0</v>
      </c>
      <c r="AL12" s="65">
        <f t="shared" si="14"/>
        <v>0</v>
      </c>
      <c r="AM12" s="65">
        <f t="shared" si="15"/>
        <v>0</v>
      </c>
      <c r="AO12" s="65" t="str">
        <f t="shared" si="16"/>
        <v>342</v>
      </c>
      <c r="AP12" s="65">
        <f t="shared" si="17"/>
        <v>0</v>
      </c>
      <c r="AQ12" s="65">
        <f t="shared" si="18"/>
        <v>0</v>
      </c>
      <c r="AR12" s="65">
        <f t="shared" si="19"/>
        <v>0</v>
      </c>
      <c r="AS12" s="65" t="str">
        <f t="shared" si="20"/>
        <v>324</v>
      </c>
      <c r="AT12" s="65">
        <f t="shared" si="21"/>
        <v>0</v>
      </c>
      <c r="AU12" s="65">
        <f t="shared" si="22"/>
        <v>0</v>
      </c>
      <c r="AV12" s="65">
        <f t="shared" si="23"/>
        <v>0</v>
      </c>
      <c r="AX12" s="65" t="str">
        <f t="shared" si="24"/>
        <v>342</v>
      </c>
      <c r="AY12" s="65">
        <v>0</v>
      </c>
      <c r="AZ12" s="65" t="str">
        <f t="shared" si="25"/>
        <v>324</v>
      </c>
      <c r="BA12" s="65">
        <v>0</v>
      </c>
      <c r="BE12" s="65">
        <f>MAX(BE8:BE11)-MIN(BE8:BE11)+1</f>
        <v>1</v>
      </c>
      <c r="BF12" s="65">
        <f>MAX(BF8:BF11)-MIN(BF8:BF11)+1</f>
        <v>1</v>
      </c>
      <c r="BG12" s="65">
        <f>MAX(BG8:BG11)-MIN(BG8:BG11)+1</f>
        <v>1</v>
      </c>
      <c r="BH12" s="65">
        <f>MAX(BH8:BH11)-MIN(BH8:BH11)+1</f>
        <v>1</v>
      </c>
      <c r="BI12" s="65">
        <f>MAX(BI8:BI11)-MIN(BI8:BI11)+1</f>
        <v>1</v>
      </c>
      <c r="BJ12" s="65">
        <f>MAX(BJ8:BJ11)-BJ13+1</f>
        <v>1</v>
      </c>
      <c r="BK12" s="65">
        <f>MAX(BK8:BK11)-BK13+1</f>
        <v>1</v>
      </c>
      <c r="BM12" s="65">
        <f>MAX(BM8:BM11)-MIN(BM8:BM11)+1</f>
        <v>1</v>
      </c>
      <c r="BN12" s="65">
        <f>MAX(BN8:BN11)-MIN(BN8:BN11)+1</f>
        <v>1</v>
      </c>
      <c r="BT12" s="65">
        <f>MAX(BT8:BT11)-MIN(BT8:BT11)+1</f>
        <v>1</v>
      </c>
      <c r="BU12" s="65">
        <f>MAX(BU8:BU11)-MIN(BU8:BU11)+1</f>
        <v>1</v>
      </c>
      <c r="BV12" s="65">
        <f>MAX(BV8:BV11)-MIN(BV8:BV11)+1</f>
        <v>1</v>
      </c>
      <c r="BW12" s="65">
        <f>MAX(BW8:BW11)-MIN(BW8:BW11)+1</f>
        <v>1</v>
      </c>
      <c r="BX12" s="65">
        <f>MAX(BX8:BX11)-MIN(BX8:BX11)+1</f>
        <v>1</v>
      </c>
      <c r="BY12" s="66" t="str">
        <f>BD14</f>
        <v>Spain</v>
      </c>
      <c r="BZ12" s="66">
        <v>2</v>
      </c>
      <c r="CA12" s="66">
        <v>1</v>
      </c>
      <c r="CC12" s="65">
        <f>CG8</f>
        <v>0</v>
      </c>
      <c r="CD12" s="65">
        <f>CG9</f>
        <v>0</v>
      </c>
      <c r="CE12" s="65">
        <f>CG10</f>
        <v>0</v>
      </c>
      <c r="CF12" s="65">
        <f>CG11</f>
        <v>0</v>
      </c>
      <c r="DK12" s="65">
        <f>DJ8</f>
        <v>1</v>
      </c>
      <c r="DL12" s="65">
        <f>DJ9</f>
        <v>1</v>
      </c>
      <c r="DM12" s="65">
        <f>DJ10</f>
        <v>1</v>
      </c>
      <c r="DN12" s="65">
        <f>DJ11</f>
        <v>1</v>
      </c>
      <c r="DO12" s="66">
        <f>SUM(DK12:DN12)</f>
        <v>4</v>
      </c>
      <c r="DS12" s="65">
        <f>DW8</f>
        <v>0</v>
      </c>
      <c r="DT12" s="65">
        <f>DW9</f>
        <v>0</v>
      </c>
      <c r="DU12" s="65">
        <f>DW10</f>
        <v>0</v>
      </c>
      <c r="DV12" s="65">
        <f>DW11</f>
        <v>0</v>
      </c>
      <c r="EE12" s="65">
        <f>EI8</f>
        <v>0</v>
      </c>
      <c r="EF12" s="65">
        <f>EI9</f>
        <v>0</v>
      </c>
      <c r="EG12" s="65">
        <f>EI10</f>
        <v>0</v>
      </c>
      <c r="EH12" s="65">
        <f>EI11</f>
        <v>0</v>
      </c>
    </row>
    <row r="13" spans="1:152">
      <c r="A13" s="46">
        <v>4</v>
      </c>
      <c r="B13" s="47" t="str">
        <f t="shared" si="27"/>
        <v>Sat</v>
      </c>
      <c r="C13" s="48" t="str">
        <f t="shared" si="28"/>
        <v>Jun 15, 2024</v>
      </c>
      <c r="D13" s="49">
        <f t="shared" si="29"/>
        <v>0.66666666666666663</v>
      </c>
      <c r="E13" s="50" t="str">
        <f>BD15</f>
        <v>Italy</v>
      </c>
      <c r="F13" s="40"/>
      <c r="G13" s="41"/>
      <c r="H13" s="51" t="str">
        <f>BD17</f>
        <v>Albania</v>
      </c>
      <c r="I13" s="172" t="str">
        <f>INDEX(T,108,lang)</f>
        <v>Dortmund</v>
      </c>
      <c r="J13" s="172"/>
      <c r="K13" s="172"/>
      <c r="L13" s="29"/>
      <c r="M13" s="29"/>
      <c r="W13" s="65">
        <f>DATE(2024,6,16)+TIME(8,0,0)+gmt_delta</f>
        <v>45459.666666666672</v>
      </c>
      <c r="X13" s="67" t="str">
        <f t="shared" si="0"/>
        <v/>
      </c>
      <c r="Y13" s="67" t="str">
        <f t="shared" si="1"/>
        <v/>
      </c>
      <c r="Z13" s="66">
        <f t="shared" si="2"/>
        <v>0</v>
      </c>
      <c r="AA13" s="65">
        <f t="shared" si="3"/>
        <v>0</v>
      </c>
      <c r="AB13" s="65">
        <f t="shared" si="4"/>
        <v>0</v>
      </c>
      <c r="AC13" s="65">
        <f t="shared" si="5"/>
        <v>3</v>
      </c>
      <c r="AD13" s="65">
        <f t="shared" si="6"/>
        <v>3</v>
      </c>
      <c r="AE13" s="65">
        <f t="shared" si="7"/>
        <v>1</v>
      </c>
      <c r="AF13" s="65" t="str">
        <f t="shared" si="8"/>
        <v>331</v>
      </c>
      <c r="AG13" s="65">
        <f t="shared" si="9"/>
        <v>0</v>
      </c>
      <c r="AH13" s="65">
        <f t="shared" si="10"/>
        <v>0</v>
      </c>
      <c r="AI13" s="65">
        <f t="shared" si="11"/>
        <v>0</v>
      </c>
      <c r="AJ13" s="65" t="str">
        <f t="shared" si="12"/>
        <v>313</v>
      </c>
      <c r="AK13" s="65">
        <f t="shared" si="13"/>
        <v>0</v>
      </c>
      <c r="AL13" s="65">
        <f t="shared" si="14"/>
        <v>0</v>
      </c>
      <c r="AM13" s="65">
        <f t="shared" si="15"/>
        <v>0</v>
      </c>
      <c r="AO13" s="65" t="str">
        <f t="shared" si="16"/>
        <v>331</v>
      </c>
      <c r="AP13" s="65">
        <f t="shared" si="17"/>
        <v>0</v>
      </c>
      <c r="AQ13" s="65">
        <f t="shared" si="18"/>
        <v>0</v>
      </c>
      <c r="AR13" s="65">
        <f t="shared" si="19"/>
        <v>0</v>
      </c>
      <c r="AS13" s="65" t="str">
        <f t="shared" si="20"/>
        <v>313</v>
      </c>
      <c r="AT13" s="65">
        <f t="shared" si="21"/>
        <v>0</v>
      </c>
      <c r="AU13" s="65">
        <f t="shared" si="22"/>
        <v>0</v>
      </c>
      <c r="AV13" s="65">
        <f t="shared" si="23"/>
        <v>0</v>
      </c>
      <c r="AX13" s="65" t="str">
        <f t="shared" si="24"/>
        <v>331</v>
      </c>
      <c r="AY13" s="65">
        <v>0</v>
      </c>
      <c r="AZ13" s="65" t="str">
        <f t="shared" si="25"/>
        <v>313</v>
      </c>
      <c r="BA13" s="65">
        <v>0</v>
      </c>
      <c r="BJ13" s="65">
        <f>MIN(BJ8:BJ11)</f>
        <v>0</v>
      </c>
      <c r="BK13" s="65">
        <f>MIN(BK8:BK11)</f>
        <v>0</v>
      </c>
      <c r="BY13" s="66" t="str">
        <f>BD15</f>
        <v>Italy</v>
      </c>
      <c r="BZ13" s="66">
        <v>2</v>
      </c>
      <c r="CA13" s="66">
        <v>2</v>
      </c>
    </row>
    <row r="14" spans="1:152">
      <c r="A14" s="46">
        <v>5</v>
      </c>
      <c r="B14" s="47" t="str">
        <f t="shared" si="27"/>
        <v>Sun</v>
      </c>
      <c r="C14" s="48" t="str">
        <f t="shared" si="28"/>
        <v>Jun 16, 2024</v>
      </c>
      <c r="D14" s="49">
        <f t="shared" si="29"/>
        <v>0.41666666666666669</v>
      </c>
      <c r="E14" s="50" t="str">
        <f>BD29</f>
        <v>Poland</v>
      </c>
      <c r="F14" s="40"/>
      <c r="G14" s="41"/>
      <c r="H14" s="51" t="str">
        <f>BD27</f>
        <v>Netherlands</v>
      </c>
      <c r="I14" s="172" t="str">
        <f>INDEX(T,109,lang)</f>
        <v>Hamburg</v>
      </c>
      <c r="J14" s="172"/>
      <c r="K14" s="172"/>
      <c r="L14" s="29"/>
      <c r="M14" s="29"/>
      <c r="O14" s="30" t="str">
        <f>INDEX(T,9,lang) &amp; " " &amp; "B"</f>
        <v>Group B</v>
      </c>
      <c r="P14" s="31" t="str">
        <f>INDEX(T,10,lang)</f>
        <v>PL</v>
      </c>
      <c r="Q14" s="31" t="str">
        <f>INDEX(T,11,lang)</f>
        <v>W</v>
      </c>
      <c r="R14" s="31" t="str">
        <f>INDEX(T,12,lang)</f>
        <v>DRAW</v>
      </c>
      <c r="S14" s="31" t="str">
        <f>INDEX(T,13,lang)</f>
        <v>L</v>
      </c>
      <c r="T14" s="31" t="str">
        <f>INDEX(T,14,lang)</f>
        <v>GF - GA</v>
      </c>
      <c r="U14" s="31" t="str">
        <f>INDEX(T,15,lang)</f>
        <v>PNT</v>
      </c>
      <c r="W14" s="65">
        <f>DATE(2024,6,17)+TIME(2,0,0)+gmt_delta</f>
        <v>45460.416666666672</v>
      </c>
      <c r="X14" s="67" t="str">
        <f t="shared" si="0"/>
        <v/>
      </c>
      <c r="Y14" s="67" t="str">
        <f t="shared" si="1"/>
        <v/>
      </c>
      <c r="Z14" s="66">
        <f t="shared" si="2"/>
        <v>0</v>
      </c>
      <c r="AA14" s="65">
        <f t="shared" si="3"/>
        <v>0</v>
      </c>
      <c r="AB14" s="65">
        <f t="shared" si="4"/>
        <v>0</v>
      </c>
      <c r="AC14" s="65">
        <f t="shared" si="5"/>
        <v>5</v>
      </c>
      <c r="AD14" s="65">
        <f t="shared" si="6"/>
        <v>3</v>
      </c>
      <c r="AE14" s="65">
        <f t="shared" si="7"/>
        <v>2</v>
      </c>
      <c r="AF14" s="65" t="str">
        <f t="shared" si="8"/>
        <v>532</v>
      </c>
      <c r="AG14" s="65">
        <f t="shared" si="9"/>
        <v>0</v>
      </c>
      <c r="AH14" s="65">
        <f t="shared" si="10"/>
        <v>0</v>
      </c>
      <c r="AI14" s="65">
        <f t="shared" si="11"/>
        <v>0</v>
      </c>
      <c r="AJ14" s="65" t="str">
        <f t="shared" si="12"/>
        <v>523</v>
      </c>
      <c r="AK14" s="65">
        <f t="shared" si="13"/>
        <v>0</v>
      </c>
      <c r="AL14" s="65">
        <f t="shared" si="14"/>
        <v>0</v>
      </c>
      <c r="AM14" s="65">
        <f t="shared" si="15"/>
        <v>0</v>
      </c>
      <c r="AO14" s="65" t="str">
        <f t="shared" si="16"/>
        <v>532</v>
      </c>
      <c r="AP14" s="65">
        <f t="shared" si="17"/>
        <v>0</v>
      </c>
      <c r="AQ14" s="65">
        <f t="shared" si="18"/>
        <v>0</v>
      </c>
      <c r="AR14" s="65">
        <f t="shared" si="19"/>
        <v>0</v>
      </c>
      <c r="AS14" s="65" t="str">
        <f t="shared" si="20"/>
        <v>523</v>
      </c>
      <c r="AT14" s="65">
        <f t="shared" si="21"/>
        <v>0</v>
      </c>
      <c r="AU14" s="65">
        <f t="shared" si="22"/>
        <v>0</v>
      </c>
      <c r="AV14" s="65">
        <f t="shared" si="23"/>
        <v>0</v>
      </c>
      <c r="AX14" s="65" t="str">
        <f t="shared" si="24"/>
        <v>532</v>
      </c>
      <c r="AY14" s="65">
        <v>0</v>
      </c>
      <c r="AZ14" s="65" t="str">
        <f t="shared" si="25"/>
        <v>523</v>
      </c>
      <c r="BA14" s="65">
        <v>0</v>
      </c>
      <c r="BC14" s="65">
        <f>DQ14</f>
        <v>1</v>
      </c>
      <c r="BD14" s="66" t="str">
        <f>INDEX(T,40,lang)</f>
        <v>Spain</v>
      </c>
      <c r="BE14" s="65">
        <f>COUNTIF($X$7:$Y$42,"=" &amp; BD14 &amp; "_win")</f>
        <v>0</v>
      </c>
      <c r="BF14" s="65">
        <f>COUNTIF($X$7:$Y$42,"=" &amp; BD14 &amp; "_draw")</f>
        <v>0</v>
      </c>
      <c r="BG14" s="65">
        <f>COUNTIF($X$7:$Y$42,"=" &amp; BD14 &amp; "_lose")</f>
        <v>0</v>
      </c>
      <c r="BH14" s="65">
        <f>SUMIF($E$10:$E$45,$BD14,$F$10:$F$45) + SUMIF($H$10:$H$45,$BD14,$G$10:$G$45)</f>
        <v>0</v>
      </c>
      <c r="BI14" s="65">
        <f>SUMIF($E$10:$E$45,$BD14,$G$10:$G$45) + SUMIF($H$10:$H$45,$BD14,$F$10:$F$45)</f>
        <v>0</v>
      </c>
      <c r="BJ14" s="65">
        <f>BM14*10000</f>
        <v>0</v>
      </c>
      <c r="BK14" s="65">
        <f>BH14-BI14</f>
        <v>0</v>
      </c>
      <c r="BL14" s="65">
        <f>(BK14-BK19)/BK18</f>
        <v>0</v>
      </c>
      <c r="BM14" s="65">
        <f>BE14*3+BF14</f>
        <v>0</v>
      </c>
      <c r="BN14" s="65">
        <f>BT14/BT18*10+BU14/BU18+BX14/BX18*0.1+BV14/BV18*0.01</f>
        <v>0</v>
      </c>
      <c r="BP14" s="65">
        <f>IF(VLOOKUP(BD14,db_fifarank,2,0)="",MIN(db_fifarank),VLOOKUP(BD14,db_fifarank,2,0))</f>
        <v>88.864000000000004</v>
      </c>
      <c r="BQ14" s="65">
        <f>0.1*((BP14-$BP$44)/$BP$46-(COUNTIF($BP$8:$BP$41,BP14)-1)/(100-ROW(BP14)))</f>
        <v>8.407168207329152E-2</v>
      </c>
      <c r="BR14" s="66">
        <f>10000000*BM14/BM18+100000*BN14/BN18+100*BL14+10*BH14/BH18+1*BN14/BN18+BQ14</f>
        <v>8.407168207329152E-2</v>
      </c>
      <c r="BS14" s="66" t="str">
        <f>IF(SUM(BE14:BG17)=12,O15,INDEX(T,72,lang))</f>
        <v>1B</v>
      </c>
      <c r="BT14" s="65">
        <f>SUMPRODUCT(($X$7:$X$42=BD14&amp;"_win")*($Z$7:$Z$42))+SUMPRODUCT(($Y$7:$Y$42=BD14&amp;"_win")*($Z$7:$Z$42))</f>
        <v>0</v>
      </c>
      <c r="BU14" s="65">
        <f>SUMPRODUCT(($X$7:$X$42=BD14&amp;"_draw")*($Z$7:$Z$42))+SUMPRODUCT(($Y$7:$Y$42=BD14&amp;"_draw")*($Z$7:$Z$42))</f>
        <v>0</v>
      </c>
      <c r="BV14" s="65">
        <f>SUMPRODUCT(($E$10:$E$45=BD14)*($Z$7:$Z$42)*($F$10:$F$45))+SUMPRODUCT(($H$10:$H$45=BD14)*($Z$7:$Z$42)*($G$10:$G$45))</f>
        <v>0</v>
      </c>
      <c r="BW14" s="65">
        <f>SUMPRODUCT(($E$10:$E$45=BD14)*($Z$7:$Z$42)*($G$10:$G$45))+SUMPRODUCT(($H$10:$H$45=BD14)*($Z$7:$Z$42)*($F$10:$F$45))</f>
        <v>0</v>
      </c>
      <c r="BX14" s="65">
        <f>BV14-BW14</f>
        <v>0</v>
      </c>
      <c r="BY14" s="66" t="str">
        <f>BD16</f>
        <v>Croatia</v>
      </c>
      <c r="BZ14" s="66">
        <v>2</v>
      </c>
      <c r="CA14" s="66">
        <v>3</v>
      </c>
      <c r="CD14" s="65">
        <f>IFERROR(VLOOKUP("212",$AF$7:$AI$42,2,0),0) + IFERROR(VLOOKUP("212",$AJ$7:$AM$42,2,0),0)</f>
        <v>0</v>
      </c>
      <c r="CE14" s="65">
        <f>IFERROR(VLOOKUP("213",$AF$7:$AI$42,2,0),0) + IFERROR(VLOOKUP("213",$AJ$7:$AM$42,2,0),0)</f>
        <v>0</v>
      </c>
      <c r="CF14" s="65">
        <f>IFERROR(VLOOKUP("214",$AF$7:$AI$42,2,0),0) + IFERROR(VLOOKUP("214",$AJ$7:$AM$42,2,0),0)</f>
        <v>0</v>
      </c>
      <c r="CG14" s="66">
        <f>SUM(CC14:CF14)</f>
        <v>0</v>
      </c>
      <c r="CI14" s="65">
        <f>IFERROR(VLOOKUP("212",$AF$7:$AI$42,3,0),0) + IFERROR(VLOOKUP("212",$AJ$7:$AM$42,3,0),0)</f>
        <v>0</v>
      </c>
      <c r="CJ14" s="65">
        <f>IFERROR(VLOOKUP("213",$AF$7:$AI$42,3,0),0) + IFERROR(VLOOKUP("213",$AJ$7:$AM$42,3,0),0)</f>
        <v>0</v>
      </c>
      <c r="CK14" s="65">
        <f>IFERROR(VLOOKUP("214",$AF$7:$AI$42,3,0),0) + IFERROR(VLOOKUP("214",$AJ$7:$AM$42,3,0),0)</f>
        <v>0</v>
      </c>
      <c r="CL14" s="66">
        <f>SUM(CH14:CK14)</f>
        <v>0</v>
      </c>
      <c r="CM14" s="66">
        <f>RANK(CL14,CL14:CL17)</f>
        <v>1</v>
      </c>
      <c r="CO14" s="65">
        <f>IFERROR(VLOOKUP("212",$AF$7:$AI$42,4,0),0) + IFERROR(VLOOKUP("212",$AJ$7:$AM$42,4,0),0)</f>
        <v>0</v>
      </c>
      <c r="CP14" s="65">
        <f>IFERROR(VLOOKUP("213",$AF$7:$AI$42,4,0),0) + IFERROR(VLOOKUP("213",$AJ$7:$AM$42,4,0),0)</f>
        <v>0</v>
      </c>
      <c r="CQ14" s="65">
        <f>IFERROR(VLOOKUP("214",$AF$7:$AI$42,4,0),0) + IFERROR(VLOOKUP("214",$AJ$7:$AM$42,4,0),0)</f>
        <v>0</v>
      </c>
      <c r="CR14" s="66">
        <f>SUM(CN14:CQ14)</f>
        <v>0</v>
      </c>
      <c r="CT14" s="65">
        <f>IF(CD18=CG14,CD14,0)</f>
        <v>0</v>
      </c>
      <c r="CU14" s="65">
        <f>IF(CE18=CG14,CE14,0)</f>
        <v>0</v>
      </c>
      <c r="CV14" s="65">
        <f>IF(CF18=CG14,CF14,0)</f>
        <v>0</v>
      </c>
      <c r="CW14" s="66">
        <f>SUM(CS14:CV14)</f>
        <v>0</v>
      </c>
      <c r="CY14" s="65">
        <f>IF(CD18=CG14,CI14,0)</f>
        <v>0</v>
      </c>
      <c r="CZ14" s="65">
        <f>IF(CE18=CG14,CJ14,0)</f>
        <v>0</v>
      </c>
      <c r="DA14" s="65">
        <f>IF(CF18=CG14,CK14,0)</f>
        <v>0</v>
      </c>
      <c r="DB14" s="66">
        <f>SUM(CX14:DA14)</f>
        <v>0</v>
      </c>
      <c r="DC14" s="66">
        <f>RANK(DB14,DB14:DB17)</f>
        <v>1</v>
      </c>
      <c r="DE14" s="65">
        <f>IF(CD18=CG14,CO14,0)</f>
        <v>0</v>
      </c>
      <c r="DF14" s="65">
        <f>IF(CE18=CG14,CP14,0)</f>
        <v>0</v>
      </c>
      <c r="DG14" s="65">
        <f>IF(CF18=CG14,CQ14,0)</f>
        <v>0</v>
      </c>
      <c r="DH14" s="66">
        <f>SUM(DD14:DG14)</f>
        <v>0</v>
      </c>
      <c r="DI14" s="66">
        <f>CG14*10000+CW14*100+(5-DC14)+DH14/10</f>
        <v>4</v>
      </c>
      <c r="DJ14" s="66">
        <f>RANK(DI14,DI14:DI17)</f>
        <v>1</v>
      </c>
      <c r="DL14" s="65">
        <f>IF(DL18=DJ14,CD14,0)</f>
        <v>0</v>
      </c>
      <c r="DM14" s="65">
        <f>IF(DM18=DJ14,CE14,0)</f>
        <v>0</v>
      </c>
      <c r="DN14" s="65">
        <f>IF(DN18=DJ14,CF14,0)</f>
        <v>0</v>
      </c>
      <c r="DO14" s="66">
        <f>SUM(DK14:DN14)</f>
        <v>0</v>
      </c>
      <c r="DP14" s="66">
        <f>(5-DJ14)*10000+DO14*100+(5-CM14)+CR14/10+(5-DX14)/100+BQ14/10000</f>
        <v>40004.040008407166</v>
      </c>
      <c r="DQ14" s="66">
        <f>RANK(DP14,DP14:DP17)</f>
        <v>1</v>
      </c>
      <c r="DT14" s="65">
        <f>IFERROR(VLOOKUP("212",$AX$7:$AY$42,2,0),0) + IFERROR(VLOOKUP("212",$AZ$7:$BA$42,2,0),0)</f>
        <v>0</v>
      </c>
      <c r="DU14" s="65">
        <f>IFERROR(VLOOKUP("213",$AX$7:$AY$42,2,0),0) + IFERROR(VLOOKUP("213",$AZ$7:$BA$42,2,0),0)</f>
        <v>0</v>
      </c>
      <c r="DV14" s="65">
        <f>IFERROR(VLOOKUP("214",$AX$7:$AY$42,2,0),0) + IFERROR(VLOOKUP("214",$AZ$7:$BA$42,2,0),0)</f>
        <v>0</v>
      </c>
      <c r="DW14" s="66">
        <f>SUM(DS14:DV14)</f>
        <v>0</v>
      </c>
      <c r="DX14" s="66">
        <f>RANK(DW14,DW14:DW17)</f>
        <v>1</v>
      </c>
      <c r="DZ14" s="66" t="str">
        <f>BD14</f>
        <v>Spain</v>
      </c>
      <c r="EA14" s="66">
        <f>EI14*10000+EO14*100+ET14</f>
        <v>100</v>
      </c>
      <c r="EB14" s="65">
        <f>COUNTIF(EA14:EA17,EA14)</f>
        <v>4</v>
      </c>
      <c r="EC14" s="65">
        <f>COUNTIF(CG14:CG17,CG14)</f>
        <v>4</v>
      </c>
      <c r="ED14" s="66">
        <f>IF(AND(EB14&gt;=2,EC14=2),EA14,-EA14-0.4)</f>
        <v>-100.4</v>
      </c>
      <c r="EF14" s="65">
        <f>IFERROR(VLOOKUP("212",$AO$7:$AR$42,2,0),0) + IFERROR(VLOOKUP("212",$AS$7:$AV$42,2,0),0)</f>
        <v>0</v>
      </c>
      <c r="EG14" s="65">
        <f>IFERROR(VLOOKUP("213",$AO$7:$AR$42,2,0),0) + IFERROR(VLOOKUP("213",$AS$7:$AV$42,2,0),0)</f>
        <v>0</v>
      </c>
      <c r="EH14" s="65">
        <f>IFERROR(VLOOKUP("214",$AO$7:$AR$42,2,0),0) + IFERROR(VLOOKUP("214",$AS$7:$AV$42,2,0),0)</f>
        <v>0</v>
      </c>
      <c r="EI14" s="66">
        <f>SUM(EE14:EH14)</f>
        <v>0</v>
      </c>
      <c r="EK14" s="65">
        <f>IFERROR(VLOOKUP("212",$AO$7:$AR$42,3,0),0) + IFERROR(VLOOKUP("212",$AS$7:$AV$42,3,0),0)</f>
        <v>0</v>
      </c>
      <c r="EL14" s="65">
        <f>IFERROR(VLOOKUP("213",$AO$7:$AR$42,3,0),0) + IFERROR(VLOOKUP("213",$AS$7:$AV$42,3,0),0)</f>
        <v>0</v>
      </c>
      <c r="EM14" s="65">
        <f>IFERROR(VLOOKUP("214",$AO$7:$AR$42,3,0),0) + IFERROR(VLOOKUP("214",$AS$7:$AV$42,3,0),0)</f>
        <v>0</v>
      </c>
      <c r="EN14" s="66">
        <f>SUM(EJ14:EM14)</f>
        <v>0</v>
      </c>
      <c r="EO14" s="66">
        <f>RANK(EN14,EN14:EN17)</f>
        <v>1</v>
      </c>
      <c r="EQ14" s="65">
        <f>IFERROR(VLOOKUP("212",$AO$7:$AR$42,4,0),0) + IFERROR(VLOOKUP("212",$AS$7:$AV$42,4,0),0)</f>
        <v>0</v>
      </c>
      <c r="ER14" s="65">
        <f>IFERROR(VLOOKUP("213",$AO$7:$AR$42,4,0),0) + IFERROR(VLOOKUP("213",$AS$7:$AV$42,4,0),0)</f>
        <v>0</v>
      </c>
      <c r="ES14" s="65">
        <f>IFERROR(VLOOKUP("214",$AO$7:$AR$42,4,0),0) + IFERROR(VLOOKUP("214",$AS$7:$AV$42,4,0),0)</f>
        <v>0</v>
      </c>
      <c r="ET14" s="66">
        <f>SUM(EP14:ES14)</f>
        <v>0</v>
      </c>
      <c r="EV14" s="175"/>
    </row>
    <row r="15" spans="1:152">
      <c r="A15" s="46">
        <v>6</v>
      </c>
      <c r="B15" s="47" t="str">
        <f t="shared" si="27"/>
        <v>Sun</v>
      </c>
      <c r="C15" s="48" t="str">
        <f t="shared" si="28"/>
        <v>Jun 16, 2024</v>
      </c>
      <c r="D15" s="49">
        <f t="shared" si="29"/>
        <v>0.54166666666666663</v>
      </c>
      <c r="E15" s="50" t="str">
        <f>BD23</f>
        <v>Slovenia</v>
      </c>
      <c r="F15" s="40"/>
      <c r="G15" s="41"/>
      <c r="H15" s="51" t="str">
        <f>BD21</f>
        <v>Denmark</v>
      </c>
      <c r="I15" s="172" t="str">
        <f>INDEX(T,105,lang)</f>
        <v>Stuttgart</v>
      </c>
      <c r="J15" s="172"/>
      <c r="K15" s="172"/>
      <c r="L15" s="57"/>
      <c r="M15" s="57"/>
      <c r="O15" s="32" t="str">
        <f>VLOOKUP(1,BC14:BM17,2,0)</f>
        <v>Spain</v>
      </c>
      <c r="P15" s="33">
        <f>Q15+R15+S15</f>
        <v>0</v>
      </c>
      <c r="Q15" s="33">
        <f>VLOOKUP(1,BC14:BM17,3,0)</f>
        <v>0</v>
      </c>
      <c r="R15" s="33">
        <f>VLOOKUP(1,BC14:BM17,4,0)</f>
        <v>0</v>
      </c>
      <c r="S15" s="33">
        <f>VLOOKUP(1,BC14:BM17,5,0)</f>
        <v>0</v>
      </c>
      <c r="T15" s="33" t="str">
        <f>VLOOKUP(1,BC14:BM17,6,0) &amp; " - " &amp; VLOOKUP(1,BC14:BM17,7,0)</f>
        <v>0 - 0</v>
      </c>
      <c r="U15" s="34">
        <f>Q15*3+R15</f>
        <v>0</v>
      </c>
      <c r="W15" s="65">
        <f>DATE(2024,6,17)+TIME(5,0,0)+gmt_delta</f>
        <v>45460.541666666672</v>
      </c>
      <c r="X15" s="67" t="str">
        <f t="shared" si="0"/>
        <v/>
      </c>
      <c r="Y15" s="67" t="str">
        <f t="shared" si="1"/>
        <v/>
      </c>
      <c r="Z15" s="66">
        <f t="shared" si="2"/>
        <v>0</v>
      </c>
      <c r="AA15" s="65">
        <f t="shared" si="3"/>
        <v>0</v>
      </c>
      <c r="AB15" s="65">
        <f t="shared" si="4"/>
        <v>0</v>
      </c>
      <c r="AC15" s="65">
        <f t="shared" si="5"/>
        <v>5</v>
      </c>
      <c r="AD15" s="65">
        <f t="shared" si="6"/>
        <v>1</v>
      </c>
      <c r="AE15" s="65">
        <f t="shared" si="7"/>
        <v>4</v>
      </c>
      <c r="AF15" s="65" t="str">
        <f t="shared" si="8"/>
        <v>514</v>
      </c>
      <c r="AG15" s="65">
        <f t="shared" si="9"/>
        <v>0</v>
      </c>
      <c r="AH15" s="65">
        <f t="shared" si="10"/>
        <v>0</v>
      </c>
      <c r="AI15" s="65">
        <f t="shared" si="11"/>
        <v>0</v>
      </c>
      <c r="AJ15" s="65" t="str">
        <f t="shared" si="12"/>
        <v>541</v>
      </c>
      <c r="AK15" s="65">
        <f t="shared" si="13"/>
        <v>0</v>
      </c>
      <c r="AL15" s="65">
        <f t="shared" si="14"/>
        <v>0</v>
      </c>
      <c r="AM15" s="65">
        <f t="shared" si="15"/>
        <v>0</v>
      </c>
      <c r="AO15" s="65" t="str">
        <f t="shared" si="16"/>
        <v>514</v>
      </c>
      <c r="AP15" s="65">
        <f t="shared" si="17"/>
        <v>0</v>
      </c>
      <c r="AQ15" s="65">
        <f t="shared" si="18"/>
        <v>0</v>
      </c>
      <c r="AR15" s="65">
        <f t="shared" si="19"/>
        <v>0</v>
      </c>
      <c r="AS15" s="65" t="str">
        <f t="shared" si="20"/>
        <v>541</v>
      </c>
      <c r="AT15" s="65">
        <f t="shared" si="21"/>
        <v>0</v>
      </c>
      <c r="AU15" s="65">
        <f t="shared" si="22"/>
        <v>0</v>
      </c>
      <c r="AV15" s="65">
        <f t="shared" si="23"/>
        <v>0</v>
      </c>
      <c r="AX15" s="65" t="str">
        <f t="shared" si="24"/>
        <v>514</v>
      </c>
      <c r="AY15" s="65">
        <v>0</v>
      </c>
      <c r="AZ15" s="65" t="str">
        <f t="shared" si="25"/>
        <v>541</v>
      </c>
      <c r="BA15" s="65">
        <v>0</v>
      </c>
      <c r="BC15" s="65">
        <f>DQ15</f>
        <v>2</v>
      </c>
      <c r="BD15" s="66" t="str">
        <f>INDEX(T,41,lang)</f>
        <v>Italy</v>
      </c>
      <c r="BE15" s="65">
        <f>COUNTIF($X$7:$Y$42,"=" &amp; BD15 &amp; "_win")</f>
        <v>0</v>
      </c>
      <c r="BF15" s="65">
        <f>COUNTIF($X$7:$Y$42,"=" &amp; BD15 &amp; "_draw")</f>
        <v>0</v>
      </c>
      <c r="BG15" s="65">
        <f>COUNTIF($X$7:$Y$42,"=" &amp; BD15 &amp; "_lose")</f>
        <v>0</v>
      </c>
      <c r="BH15" s="65">
        <f>SUMIF($E$10:$E$45,$BD15,$F$10:$F$45) + SUMIF($H$10:$H$45,$BD15,$G$10:$G$45)</f>
        <v>0</v>
      </c>
      <c r="BI15" s="65">
        <f>SUMIF($E$10:$E$45,$BD15,$G$10:$G$45) + SUMIF($H$10:$H$45,$BD15,$F$10:$F$45)</f>
        <v>0</v>
      </c>
      <c r="BJ15" s="65">
        <f>BM15*10000</f>
        <v>0</v>
      </c>
      <c r="BK15" s="65">
        <f>BH15-BI15</f>
        <v>0</v>
      </c>
      <c r="BL15" s="65">
        <f>(BK15-BK19)/BK18</f>
        <v>0</v>
      </c>
      <c r="BM15" s="65">
        <f>BE15*3+BF15</f>
        <v>0</v>
      </c>
      <c r="BN15" s="65">
        <f>BT15/BT18*10+BU15/BU18+BX15/BX18*0.1+BV15/BV18*0.01</f>
        <v>0</v>
      </c>
      <c r="BP15" s="65">
        <f>IF(VLOOKUP(BD15,db_fifarank,2,0)="",MIN(db_fifarank),VLOOKUP(BD15,db_fifarank,2,0))</f>
        <v>88.712000000000003</v>
      </c>
      <c r="BQ15" s="65">
        <f t="shared" ref="BQ15:BQ17" si="30">0.1*((BP15-$BP$44)/$BP$46-(COUNTIF($BP$8:$BP$41,BP15)-1)/(100-ROW(BP15)))</f>
        <v>8.3914864641795983E-2</v>
      </c>
      <c r="BR15" s="66">
        <f>10000000*BM15/BM18+100000*BN15/BN18+100*BL15+10*BH15/BH18+1*BN15/BN18+BQ15</f>
        <v>8.3914864641795983E-2</v>
      </c>
      <c r="BS15" s="66" t="str">
        <f>IF(SUM(BE14:BG17)=12,O16,INDEX(T,73,lang))</f>
        <v>2B</v>
      </c>
      <c r="BT15" s="65">
        <f>SUMPRODUCT(($X$7:$X$42=BD15&amp;"_win")*($Z$7:$Z$42))+SUMPRODUCT(($Y$7:$Y$42=BD15&amp;"_win")*($Z$7:$Z$42))</f>
        <v>0</v>
      </c>
      <c r="BU15" s="65">
        <f>SUMPRODUCT(($X$7:$X$42=BD15&amp;"_draw")*($Z$7:$Z$42))+SUMPRODUCT(($Y$7:$Y$42=BD15&amp;"_draw")*($Z$7:$Z$42))</f>
        <v>0</v>
      </c>
      <c r="BV15" s="65">
        <f>SUMPRODUCT(($E$10:$E$45=BD15)*($Z$7:$Z$42)*($F$10:$F$45))+SUMPRODUCT(($H$10:$H$45=BD15)*($Z$7:$Z$42)*($G$10:$G$45))</f>
        <v>0</v>
      </c>
      <c r="BW15" s="65">
        <f>SUMPRODUCT(($E$10:$E$45=BD15)*($Z$7:$Z$42)*($G$10:$G$45))+SUMPRODUCT(($H$10:$H$45=BD15)*($Z$7:$Z$42)*($F$10:$F$45))</f>
        <v>0</v>
      </c>
      <c r="BX15" s="65">
        <f>BV15-BW15</f>
        <v>0</v>
      </c>
      <c r="BY15" s="66" t="str">
        <f>BD17</f>
        <v>Albania</v>
      </c>
      <c r="BZ15" s="66">
        <v>2</v>
      </c>
      <c r="CA15" s="66">
        <v>4</v>
      </c>
      <c r="CC15" s="65">
        <f>IFERROR(VLOOKUP("221",$AF$7:$AI$42,2,0),0) + IFERROR(VLOOKUP("221",$AJ$7:$AM$42,2,0),0)</f>
        <v>0</v>
      </c>
      <c r="CE15" s="65">
        <f>IFERROR(VLOOKUP("223",$AF$7:$AI$42,2,0),0) + IFERROR(VLOOKUP("223",$AJ$7:$AM$42,2,0),0)</f>
        <v>0</v>
      </c>
      <c r="CF15" s="65">
        <f>IFERROR(VLOOKUP("224",$AF$7:$AI$42,2,0),0) + IFERROR(VLOOKUP("224",$AJ$7:$AM$42,2,0),0)</f>
        <v>0</v>
      </c>
      <c r="CG15" s="66">
        <f>SUM(CC15:CF15)</f>
        <v>0</v>
      </c>
      <c r="CH15" s="65">
        <f>IFERROR(VLOOKUP("221",$AF$7:$AI$42,3,0),0) + IFERROR(VLOOKUP("221",$AJ$7:$AM$42,3,0),0)</f>
        <v>0</v>
      </c>
      <c r="CJ15" s="65">
        <f>IFERROR(VLOOKUP("223",$AF$7:$AI$42,3,0),0) + IFERROR(VLOOKUP("223",$AJ$7:$AM$42,3,0),0)</f>
        <v>0</v>
      </c>
      <c r="CK15" s="65">
        <f>IFERROR(VLOOKUP("224",$AF$7:$AI$42,3,0),0) + IFERROR(VLOOKUP("224",$AJ$7:$AM$42,3,0),0)</f>
        <v>0</v>
      </c>
      <c r="CL15" s="66">
        <f>SUM(CH15:CK15)</f>
        <v>0</v>
      </c>
      <c r="CM15" s="66">
        <f>RANK(CL15,CL14:CL17)</f>
        <v>1</v>
      </c>
      <c r="CN15" s="65">
        <f>IFERROR(VLOOKUP("221",$AF$7:$AI$42,4,0),0) + IFERROR(VLOOKUP("221",$AJ$7:$AM$42,4,0),0)</f>
        <v>0</v>
      </c>
      <c r="CP15" s="65">
        <f>IFERROR(VLOOKUP("223",$AF$7:$AI$42,4,0),0) + IFERROR(VLOOKUP("223",$AJ$7:$AM$42,4,0),0)</f>
        <v>0</v>
      </c>
      <c r="CQ15" s="65">
        <f>IFERROR(VLOOKUP("224",$AF$7:$AI$42,4,0),0) + IFERROR(VLOOKUP("224",$AJ$7:$AM$42,4,0),0)</f>
        <v>0</v>
      </c>
      <c r="CR15" s="66">
        <f>SUM(CN15:CQ15)</f>
        <v>0</v>
      </c>
      <c r="CS15" s="65">
        <f>IF(CC18=CG15,CC15,0)</f>
        <v>0</v>
      </c>
      <c r="CU15" s="65">
        <f>IF(CE18=CG15,CE15,0)</f>
        <v>0</v>
      </c>
      <c r="CV15" s="65">
        <f>IF(CF18=CG15,CF15,0)</f>
        <v>0</v>
      </c>
      <c r="CW15" s="66">
        <f>SUM(CS15:CV15)</f>
        <v>0</v>
      </c>
      <c r="CX15" s="65">
        <f>IF(CC18=CG15,CH15,0)</f>
        <v>0</v>
      </c>
      <c r="CZ15" s="65">
        <f>IF(CE18=CG15,CJ15,0)</f>
        <v>0</v>
      </c>
      <c r="DA15" s="65">
        <f>IF(CF18=CG15,CK15,0)</f>
        <v>0</v>
      </c>
      <c r="DB15" s="66">
        <f>SUM(CX15:DA15)</f>
        <v>0</v>
      </c>
      <c r="DC15" s="66">
        <f>RANK(DB15,DB14:DB17)</f>
        <v>1</v>
      </c>
      <c r="DD15" s="65">
        <f>IF(CC18=CG15,CN15,0)</f>
        <v>0</v>
      </c>
      <c r="DF15" s="65">
        <f>IF(CE18=CG15,CP15,0)</f>
        <v>0</v>
      </c>
      <c r="DG15" s="65">
        <f>IF(CF18=CG15,CQ15,0)</f>
        <v>0</v>
      </c>
      <c r="DH15" s="66">
        <f>SUM(DD15:DG15)</f>
        <v>0</v>
      </c>
      <c r="DI15" s="66">
        <f>CG15*10000+CW15*100+(5-DC15)+DH15/10</f>
        <v>4</v>
      </c>
      <c r="DJ15" s="66">
        <f>RANK(DI15,DI14:DI17)</f>
        <v>1</v>
      </c>
      <c r="DK15" s="65">
        <f>IF(DK18=DJ15,CC15,0)</f>
        <v>0</v>
      </c>
      <c r="DM15" s="65">
        <f>IF(DM18=DJ15,CE15,0)</f>
        <v>0</v>
      </c>
      <c r="DN15" s="65">
        <f>IF(DN18=DJ15,CF15,0)</f>
        <v>0</v>
      </c>
      <c r="DO15" s="66">
        <f>SUM(DK15:DN15)</f>
        <v>0</v>
      </c>
      <c r="DP15" s="66">
        <f>(5-DJ15)*10000+DO15*100+(5-CM15)+CR15/10+(5-DX15)/100+BQ15/10000</f>
        <v>40004.040008391486</v>
      </c>
      <c r="DQ15" s="66">
        <f>RANK(DP15,DP14:DP17)</f>
        <v>2</v>
      </c>
      <c r="DS15" s="65">
        <f>IFERROR(VLOOKUP("221",$AX$7:$AY$42,2,0),0) + IFERROR(VLOOKUP("221",$AZ$7:$BA$42,2,0),0)</f>
        <v>0</v>
      </c>
      <c r="DU15" s="65">
        <f>IFERROR(VLOOKUP("223",$AX$7:$AY$42,2,0),0) + IFERROR(VLOOKUP("223",$AZ$7:$BA$42,2,0),0)</f>
        <v>0</v>
      </c>
      <c r="DV15" s="65">
        <f>IFERROR(VLOOKUP("224",$AX$7:$AY$42,2,0),0) + IFERROR(VLOOKUP("224",$AZ$7:$BA$42,2,0),0)</f>
        <v>0</v>
      </c>
      <c r="DW15" s="66">
        <f>SUM(DS15:DV15)</f>
        <v>0</v>
      </c>
      <c r="DX15" s="66">
        <f>RANK(DW15,DW14:DW17)</f>
        <v>1</v>
      </c>
      <c r="DZ15" s="66" t="str">
        <f>BD15</f>
        <v>Italy</v>
      </c>
      <c r="EA15" s="66">
        <f>EI15*10000+EO15*100+ET15</f>
        <v>100</v>
      </c>
      <c r="EB15" s="65">
        <f>COUNTIF(EA14:EA17,EA15)</f>
        <v>4</v>
      </c>
      <c r="EC15" s="65">
        <f>COUNTIF(CG14:CG17,CG15)</f>
        <v>4</v>
      </c>
      <c r="ED15" s="66">
        <f>IF(AND(EB15&gt;=2,EC15=2),EA15,-EA15-0.3)</f>
        <v>-100.3</v>
      </c>
      <c r="EE15" s="65">
        <f>IFERROR(VLOOKUP("221",$AO$7:$AR$42,2,0),0) + IFERROR(VLOOKUP("221",$AS$7:$AV$42,2,0),0)</f>
        <v>0</v>
      </c>
      <c r="EG15" s="65">
        <f>IFERROR(VLOOKUP("223",$AO$7:$AR$42,2,0),0) + IFERROR(VLOOKUP("223",$AS$7:$AV$42,2,0),0)</f>
        <v>0</v>
      </c>
      <c r="EH15" s="65">
        <f>IFERROR(VLOOKUP("224",$AO$7:$AR$42,2,0),0) + IFERROR(VLOOKUP("224",$AS$7:$AV$42,2,0),0)</f>
        <v>0</v>
      </c>
      <c r="EI15" s="66">
        <f>SUM(EE15:EH15)</f>
        <v>0</v>
      </c>
      <c r="EJ15" s="65">
        <f>IFERROR(VLOOKUP("221",$AO$7:$AR$42,3,0),0) + IFERROR(VLOOKUP("221",$AS$7:$AV$42,3,0),0)</f>
        <v>0</v>
      </c>
      <c r="EL15" s="65">
        <f>IFERROR(VLOOKUP("223",$AO$7:$AR$42,3,0),0) + IFERROR(VLOOKUP("223",$AS$7:$AV$42,3,0),0)</f>
        <v>0</v>
      </c>
      <c r="EM15" s="65">
        <f>IFERROR(VLOOKUP("224",$AO$7:$AR$42,3,0),0) + IFERROR(VLOOKUP("224",$AS$7:$AV$42,3,0),0)</f>
        <v>0</v>
      </c>
      <c r="EN15" s="66">
        <f>SUM(EJ15:EM15)</f>
        <v>0</v>
      </c>
      <c r="EO15" s="66">
        <f>RANK(EN15,EN14:EN17)</f>
        <v>1</v>
      </c>
      <c r="EP15" s="65">
        <f>IFERROR(VLOOKUP("221",$AO$7:$AR$42,4,0),0) + IFERROR(VLOOKUP("221",$AS$7:$AV$42,4,0),0)</f>
        <v>0</v>
      </c>
      <c r="ER15" s="65">
        <f>IFERROR(VLOOKUP("223",$AO$7:$AR$42,4,0),0) + IFERROR(VLOOKUP("223",$AS$7:$AV$42,4,0),0)</f>
        <v>0</v>
      </c>
      <c r="ES15" s="65">
        <f>IFERROR(VLOOKUP("224",$AO$7:$AR$42,4,0),0) + IFERROR(VLOOKUP("224",$AS$7:$AV$42,4,0),0)</f>
        <v>0</v>
      </c>
      <c r="ET15" s="66">
        <f>SUM(EP15:ES15)</f>
        <v>0</v>
      </c>
      <c r="EV15" s="175"/>
    </row>
    <row r="16" spans="1:152">
      <c r="A16" s="46">
        <v>7</v>
      </c>
      <c r="B16" s="47" t="str">
        <f t="shared" si="27"/>
        <v>Sun</v>
      </c>
      <c r="C16" s="48" t="str">
        <f t="shared" si="28"/>
        <v>Jun 16, 2024</v>
      </c>
      <c r="D16" s="49">
        <f t="shared" si="29"/>
        <v>0.66666666666666663</v>
      </c>
      <c r="E16" s="50" t="str">
        <f>BD22</f>
        <v>Serbia</v>
      </c>
      <c r="F16" s="40"/>
      <c r="G16" s="41"/>
      <c r="H16" s="51" t="str">
        <f>BD20</f>
        <v>England</v>
      </c>
      <c r="I16" s="172" t="str">
        <f>INDEX(T,110,lang)</f>
        <v>Gelsenkirchen</v>
      </c>
      <c r="J16" s="172"/>
      <c r="K16" s="172"/>
      <c r="L16" s="57"/>
      <c r="M16" s="57"/>
      <c r="O16" s="43" t="str">
        <f>VLOOKUP(2,BC14:BM17,2,0)</f>
        <v>Italy</v>
      </c>
      <c r="P16" s="44">
        <f>Q16+R16+S16</f>
        <v>0</v>
      </c>
      <c r="Q16" s="44">
        <f>VLOOKUP(2,BC14:BM17,3,0)</f>
        <v>0</v>
      </c>
      <c r="R16" s="44">
        <f>VLOOKUP(2,BC14:BM17,4,0)</f>
        <v>0</v>
      </c>
      <c r="S16" s="44">
        <f>VLOOKUP(2,BC14:BM17,5,0)</f>
        <v>0</v>
      </c>
      <c r="T16" s="44" t="str">
        <f>VLOOKUP(2,BC14:BM17,6,0) &amp; " - " &amp; VLOOKUP(2,BC14:BM17,7,0)</f>
        <v>0 - 0</v>
      </c>
      <c r="U16" s="45">
        <f>Q16*3+R16</f>
        <v>0</v>
      </c>
      <c r="W16" s="65">
        <f>DATE(2024,6,17)+TIME(8,0,0)+gmt_delta</f>
        <v>45460.666666666672</v>
      </c>
      <c r="X16" s="67" t="str">
        <f t="shared" si="0"/>
        <v/>
      </c>
      <c r="Y16" s="67" t="str">
        <f t="shared" si="1"/>
        <v/>
      </c>
      <c r="Z16" s="66">
        <f t="shared" si="2"/>
        <v>0</v>
      </c>
      <c r="AA16" s="65">
        <f t="shared" si="3"/>
        <v>0</v>
      </c>
      <c r="AB16" s="65">
        <f t="shared" si="4"/>
        <v>0</v>
      </c>
      <c r="AC16" s="65">
        <f t="shared" si="5"/>
        <v>4</v>
      </c>
      <c r="AD16" s="65">
        <f t="shared" si="6"/>
        <v>3</v>
      </c>
      <c r="AE16" s="65">
        <f t="shared" si="7"/>
        <v>1</v>
      </c>
      <c r="AF16" s="65" t="str">
        <f t="shared" si="8"/>
        <v>431</v>
      </c>
      <c r="AG16" s="65">
        <f t="shared" si="9"/>
        <v>0</v>
      </c>
      <c r="AH16" s="65">
        <f t="shared" si="10"/>
        <v>0</v>
      </c>
      <c r="AI16" s="65">
        <f t="shared" si="11"/>
        <v>0</v>
      </c>
      <c r="AJ16" s="65" t="str">
        <f t="shared" si="12"/>
        <v>413</v>
      </c>
      <c r="AK16" s="65">
        <f t="shared" si="13"/>
        <v>0</v>
      </c>
      <c r="AL16" s="65">
        <f t="shared" si="14"/>
        <v>0</v>
      </c>
      <c r="AM16" s="65">
        <f t="shared" si="15"/>
        <v>0</v>
      </c>
      <c r="AO16" s="65" t="str">
        <f t="shared" si="16"/>
        <v>431</v>
      </c>
      <c r="AP16" s="65">
        <f t="shared" si="17"/>
        <v>0</v>
      </c>
      <c r="AQ16" s="65">
        <f t="shared" si="18"/>
        <v>0</v>
      </c>
      <c r="AR16" s="65">
        <f t="shared" si="19"/>
        <v>0</v>
      </c>
      <c r="AS16" s="65" t="str">
        <f t="shared" si="20"/>
        <v>413</v>
      </c>
      <c r="AT16" s="65">
        <f t="shared" si="21"/>
        <v>0</v>
      </c>
      <c r="AU16" s="65">
        <f t="shared" si="22"/>
        <v>0</v>
      </c>
      <c r="AV16" s="65">
        <f t="shared" si="23"/>
        <v>0</v>
      </c>
      <c r="AX16" s="65" t="str">
        <f t="shared" si="24"/>
        <v>431</v>
      </c>
      <c r="AY16" s="65">
        <v>0</v>
      </c>
      <c r="AZ16" s="65" t="str">
        <f t="shared" si="25"/>
        <v>413</v>
      </c>
      <c r="BA16" s="65">
        <v>0</v>
      </c>
      <c r="BC16" s="65">
        <f>DQ16</f>
        <v>3</v>
      </c>
      <c r="BD16" s="66" t="str">
        <f>INDEX(T,55,lang)</f>
        <v>Croatia</v>
      </c>
      <c r="BE16" s="65">
        <f>COUNTIF($X$7:$Y$42,"=" &amp; BD16 &amp; "_win")</f>
        <v>0</v>
      </c>
      <c r="BF16" s="65">
        <f>COUNTIF($X$7:$Y$42,"=" &amp; BD16 &amp; "_draw")</f>
        <v>0</v>
      </c>
      <c r="BG16" s="65">
        <f>COUNTIF($X$7:$Y$42,"=" &amp; BD16 &amp; "_lose")</f>
        <v>0</v>
      </c>
      <c r="BH16" s="65">
        <f>SUMIF($E$10:$E$45,$BD16,$F$10:$F$45) + SUMIF($H$10:$H$45,$BD16,$G$10:$G$45)</f>
        <v>0</v>
      </c>
      <c r="BI16" s="65">
        <f>SUMIF($E$10:$E$45,$BD16,$G$10:$G$45) + SUMIF($H$10:$H$45,$BD16,$F$10:$F$45)</f>
        <v>0</v>
      </c>
      <c r="BJ16" s="65">
        <f>BM16*10000</f>
        <v>0</v>
      </c>
      <c r="BK16" s="65">
        <f>BH16-BI16</f>
        <v>0</v>
      </c>
      <c r="BL16" s="65">
        <f>(BK16-BK19)/BK18</f>
        <v>0</v>
      </c>
      <c r="BM16" s="65">
        <f>BE16*3+BF16</f>
        <v>0</v>
      </c>
      <c r="BN16" s="65">
        <f>BT16/BT18*10+BU16/BU18+BX16/BX18*0.1+BV16/BV18*0.01</f>
        <v>0</v>
      </c>
      <c r="BP16" s="65">
        <f>IF(VLOOKUP(BD16,db_fifarank,2,0)="",MIN(db_fifarank),VLOOKUP(BD16,db_fifarank,2,0))</f>
        <v>25.524999999999999</v>
      </c>
      <c r="BQ16" s="65">
        <f t="shared" si="30"/>
        <v>1.8725239352921755E-2</v>
      </c>
      <c r="BR16" s="66">
        <f>10000000*BM16/BM18+100000*BN16/BN18+100*BL16+10*BH16/BH18+1*BN16/BN18+BQ16</f>
        <v>1.8725239352921755E-2</v>
      </c>
      <c r="BS16" s="66" t="str">
        <f>IF(SUM(BE14:BG17)&gt;0,O17,"3B")</f>
        <v>3B</v>
      </c>
      <c r="BT16" s="65">
        <f>SUMPRODUCT(($X$7:$X$42=BD16&amp;"_win")*($Z$7:$Z$42))+SUMPRODUCT(($Y$7:$Y$42=BD16&amp;"_win")*($Z$7:$Z$42))</f>
        <v>0</v>
      </c>
      <c r="BU16" s="65">
        <f>SUMPRODUCT(($X$7:$X$42=BD16&amp;"_draw")*($Z$7:$Z$42))+SUMPRODUCT(($Y$7:$Y$42=BD16&amp;"_draw")*($Z$7:$Z$42))</f>
        <v>0</v>
      </c>
      <c r="BV16" s="65">
        <f>SUMPRODUCT(($E$10:$E$45=BD16)*($Z$7:$Z$42)*($F$10:$F$45))+SUMPRODUCT(($H$10:$H$45=BD16)*($Z$7:$Z$42)*($G$10:$G$45))</f>
        <v>0</v>
      </c>
      <c r="BW16" s="65">
        <f>SUMPRODUCT(($E$10:$E$45=BD16)*($Z$7:$Z$42)*($G$10:$G$45))+SUMPRODUCT(($H$10:$H$45=BD16)*($Z$7:$Z$42)*($F$10:$F$45))</f>
        <v>0</v>
      </c>
      <c r="BX16" s="65">
        <f>BV16-BW16</f>
        <v>0</v>
      </c>
      <c r="BY16" s="66" t="str">
        <f>BD20</f>
        <v>England</v>
      </c>
      <c r="BZ16" s="66">
        <v>3</v>
      </c>
      <c r="CA16" s="66">
        <v>1</v>
      </c>
      <c r="CC16" s="65">
        <f>IFERROR(VLOOKUP("231",$AF$7:$AI$42,2,0),0) + IFERROR(VLOOKUP("231",$AJ$7:$AM$42,2,0),0)</f>
        <v>0</v>
      </c>
      <c r="CD16" s="65">
        <f>IFERROR(VLOOKUP("232",$AF$7:$AI$42,2,0),0) + IFERROR(VLOOKUP("232",$AJ$7:$AM$42,2,0),0)</f>
        <v>0</v>
      </c>
      <c r="CF16" s="65">
        <f>IFERROR(VLOOKUP("234",$AF$7:$AI$42,2,0),0) + IFERROR(VLOOKUP("234",$AJ$7:$AM$42,2,0),0)</f>
        <v>0</v>
      </c>
      <c r="CG16" s="66">
        <f>SUM(CC16:CF16)</f>
        <v>0</v>
      </c>
      <c r="CH16" s="65">
        <f>IFERROR(VLOOKUP("231",$AF$7:$AI$42,3,0),0) + IFERROR(VLOOKUP("231",$AJ$7:$AM$42,3,0),0)</f>
        <v>0</v>
      </c>
      <c r="CI16" s="65">
        <f>IFERROR(VLOOKUP("232",$AF$7:$AI$42,3,0),0) + IFERROR(VLOOKUP("232",$AJ$7:$AM$42,3,0),0)</f>
        <v>0</v>
      </c>
      <c r="CK16" s="65">
        <f>IFERROR(VLOOKUP("234",$AF$7:$AI$42,3,0),0) + IFERROR(VLOOKUP("234",$AJ$7:$AM$42,3,0),0)</f>
        <v>0</v>
      </c>
      <c r="CL16" s="66">
        <f>SUM(CH16:CK16)</f>
        <v>0</v>
      </c>
      <c r="CM16" s="66">
        <f>RANK(CL16,CL14:CL17)</f>
        <v>1</v>
      </c>
      <c r="CN16" s="65">
        <f>IFERROR(VLOOKUP("231",$AF$7:$AI$42,4,0),0) + IFERROR(VLOOKUP("231",$AJ$7:$AM$42,4,0),0)</f>
        <v>0</v>
      </c>
      <c r="CO16" s="65">
        <f>IFERROR(VLOOKUP("232",$AF$7:$AI$42,4,0),0) + IFERROR(VLOOKUP("232",$AJ$7:$AM$42,4,0),0)</f>
        <v>0</v>
      </c>
      <c r="CQ16" s="65">
        <f>IFERROR(VLOOKUP("234",$AF$7:$AI$42,4,0),0) + IFERROR(VLOOKUP("234",$AJ$7:$AM$42,4,0),0)</f>
        <v>0</v>
      </c>
      <c r="CR16" s="66">
        <f>SUM(CN16:CQ16)</f>
        <v>0</v>
      </c>
      <c r="CS16" s="65">
        <f>IF(CC18=CG16,CC16,0)</f>
        <v>0</v>
      </c>
      <c r="CT16" s="65">
        <f>IF(CD18=CG16,CD16,0)</f>
        <v>0</v>
      </c>
      <c r="CV16" s="65">
        <f>IF(CF18=CG16,CF16,0)</f>
        <v>0</v>
      </c>
      <c r="CW16" s="66">
        <f>SUM(CS16:CV16)</f>
        <v>0</v>
      </c>
      <c r="CX16" s="65">
        <f>IF(CC18=CG16,CH16,0)</f>
        <v>0</v>
      </c>
      <c r="CY16" s="65">
        <f>IF(CD18=CG16,CI16,0)</f>
        <v>0</v>
      </c>
      <c r="DA16" s="65">
        <f>IF(CF18=CG16,CK16,0)</f>
        <v>0</v>
      </c>
      <c r="DB16" s="66">
        <f>SUM(CX16:DA16)</f>
        <v>0</v>
      </c>
      <c r="DC16" s="66">
        <f>RANK(DB16,DB14:DB17)</f>
        <v>1</v>
      </c>
      <c r="DD16" s="65">
        <f>IF(CC18=CG16,CN16,0)</f>
        <v>0</v>
      </c>
      <c r="DE16" s="65">
        <f>IF(CD18=CG16,CO16,0)</f>
        <v>0</v>
      </c>
      <c r="DG16" s="65">
        <f>IF(CF18=CG16,CQ16,0)</f>
        <v>0</v>
      </c>
      <c r="DH16" s="66">
        <f>SUM(DD16:DG16)</f>
        <v>0</v>
      </c>
      <c r="DI16" s="66">
        <f>CG16*10000+CW16*100+(5-DC16)+DH16/10</f>
        <v>4</v>
      </c>
      <c r="DJ16" s="66">
        <f>RANK(DI16,DI14:DI17)</f>
        <v>1</v>
      </c>
      <c r="DK16" s="65">
        <f>IF(DK18=DJ16,CC16,0)</f>
        <v>0</v>
      </c>
      <c r="DL16" s="65">
        <f>IF(DL18=DJ16,CD16,0)</f>
        <v>0</v>
      </c>
      <c r="DN16" s="65">
        <f>IF(DN18=DJ16,CF16,0)</f>
        <v>0</v>
      </c>
      <c r="DO16" s="66">
        <f>SUM(DK16:DN16)</f>
        <v>0</v>
      </c>
      <c r="DP16" s="66">
        <f>(5-DJ16)*10000+DO16*100+(5-CM16)+CR16/10+(5-DX16)/100+BQ16/10000</f>
        <v>40004.040001872527</v>
      </c>
      <c r="DQ16" s="66">
        <f>RANK(DP16,DP14:DP17)</f>
        <v>3</v>
      </c>
      <c r="DS16" s="65">
        <f>IFERROR(VLOOKUP("231",$AX$7:$AY$42,2,0),0) + IFERROR(VLOOKUP("231",$AZ$7:$BA$42,2,0),0)</f>
        <v>0</v>
      </c>
      <c r="DT16" s="65">
        <f>IFERROR(VLOOKUP("232",$AX$7:$AY$42,2,0),0) + IFERROR(VLOOKUP("232",$AZ$7:$BA$42,2,0),0)</f>
        <v>0</v>
      </c>
      <c r="DV16" s="65">
        <f>IFERROR(VLOOKUP("234",$AX$7:$AY$42,2,0),0) + IFERROR(VLOOKUP("234",$AZ$7:$BA$42,2,0),0)</f>
        <v>0</v>
      </c>
      <c r="DW16" s="66">
        <f>SUM(DS16:DV16)</f>
        <v>0</v>
      </c>
      <c r="DX16" s="66">
        <f>RANK(DW16,DW14:DW17)</f>
        <v>1</v>
      </c>
      <c r="DZ16" s="66" t="str">
        <f>BD16</f>
        <v>Croatia</v>
      </c>
      <c r="EA16" s="66">
        <f>EI16*10000+EO16*100+ET16</f>
        <v>100</v>
      </c>
      <c r="EB16" s="65">
        <f>COUNTIF(EA14:EA17,EA16)</f>
        <v>4</v>
      </c>
      <c r="EC16" s="65">
        <f>COUNTIF(CG14:CG17,CG16)</f>
        <v>4</v>
      </c>
      <c r="ED16" s="66">
        <f>IF(AND(EB16&gt;=2,EC16=2),EA16,-EA16-0.2)</f>
        <v>-100.2</v>
      </c>
      <c r="EE16" s="65">
        <f>IFERROR(VLOOKUP("231",$AO$7:$AR$42,2,0),0) + IFERROR(VLOOKUP("231",$AS$7:$AV$42,2,0),0)</f>
        <v>0</v>
      </c>
      <c r="EF16" s="65">
        <f>IFERROR(VLOOKUP("232",$AO$7:$AR$42,2,0),0) + IFERROR(VLOOKUP("232",$AS$7:$AV$42,2,0),0)</f>
        <v>0</v>
      </c>
      <c r="EH16" s="65">
        <f>IFERROR(VLOOKUP("234",$AO$7:$AR$42,2,0),0) + IFERROR(VLOOKUP("234",$AS$7:$AV$42,2,0),0)</f>
        <v>0</v>
      </c>
      <c r="EI16" s="66">
        <f>SUM(EE16:EH16)</f>
        <v>0</v>
      </c>
      <c r="EJ16" s="65">
        <f>IFERROR(VLOOKUP("231",$AO$7:$AR$42,3,0),0) + IFERROR(VLOOKUP("231",$AS$7:$AV$42,3,0),0)</f>
        <v>0</v>
      </c>
      <c r="EK16" s="65">
        <f>IFERROR(VLOOKUP("232",$AO$7:$AR$42,3,0),0) + IFERROR(VLOOKUP("232",$AS$7:$AV$42,3,0),0)</f>
        <v>0</v>
      </c>
      <c r="EM16" s="65">
        <f>IFERROR(VLOOKUP("234",$AO$7:$AR$42,3,0),0) + IFERROR(VLOOKUP("234",$AS$7:$AV$42,3,0),0)</f>
        <v>0</v>
      </c>
      <c r="EN16" s="66">
        <f>SUM(EJ16:EM16)</f>
        <v>0</v>
      </c>
      <c r="EO16" s="66">
        <f>RANK(EN16,EN14:EN17)</f>
        <v>1</v>
      </c>
      <c r="EP16" s="65">
        <f>IFERROR(VLOOKUP("231",$AO$7:$AR$42,4,0),0) + IFERROR(VLOOKUP("231",$AS$7:$AV$42,4,0),0)</f>
        <v>0</v>
      </c>
      <c r="EQ16" s="65">
        <f>IFERROR(VLOOKUP("232",$AO$7:$AR$42,4,0),0) + IFERROR(VLOOKUP("232",$AS$7:$AV$42,4,0),0)</f>
        <v>0</v>
      </c>
      <c r="ES16" s="65">
        <f>IFERROR(VLOOKUP("234",$AO$7:$AR$42,4,0),0) + IFERROR(VLOOKUP("234",$AS$7:$AV$42,4,0),0)</f>
        <v>0</v>
      </c>
      <c r="ET16" s="66">
        <f>SUM(EP16:ES16)</f>
        <v>0</v>
      </c>
    </row>
    <row r="17" spans="1:152">
      <c r="A17" s="46">
        <v>8</v>
      </c>
      <c r="B17" s="47" t="str">
        <f t="shared" si="27"/>
        <v>Mon</v>
      </c>
      <c r="C17" s="48" t="str">
        <f t="shared" si="28"/>
        <v>Jun 17, 2024</v>
      </c>
      <c r="D17" s="49">
        <f t="shared" si="29"/>
        <v>0.41666666666666669</v>
      </c>
      <c r="E17" s="50" t="str">
        <f>BD34</f>
        <v>Romania</v>
      </c>
      <c r="F17" s="40"/>
      <c r="G17" s="41"/>
      <c r="H17" s="51" t="str">
        <f>BD33</f>
        <v>Ukraine</v>
      </c>
      <c r="I17" s="172" t="str">
        <f>INDEX(T,103,lang)</f>
        <v>Munich</v>
      </c>
      <c r="J17" s="172"/>
      <c r="K17" s="172"/>
      <c r="L17" s="29"/>
      <c r="M17" s="29"/>
      <c r="O17" s="43" t="str">
        <f>VLOOKUP(3,BC14:BM17,2,0)</f>
        <v>Croatia</v>
      </c>
      <c r="P17" s="44">
        <f>Q17+R17+S17</f>
        <v>0</v>
      </c>
      <c r="Q17" s="44">
        <f>VLOOKUP(3,BC14:BM17,3,0)</f>
        <v>0</v>
      </c>
      <c r="R17" s="44">
        <f>VLOOKUP(3,BC14:BM17,4,0)</f>
        <v>0</v>
      </c>
      <c r="S17" s="44">
        <f>VLOOKUP(3,BC14:BM17,5,0)</f>
        <v>0</v>
      </c>
      <c r="T17" s="44" t="str">
        <f>VLOOKUP(3,BC14:BM17,6,0) &amp; " - " &amp; VLOOKUP(3,BC14:BM17,7,0)</f>
        <v>0 - 0</v>
      </c>
      <c r="U17" s="45">
        <f>Q17*3+R17</f>
        <v>0</v>
      </c>
      <c r="W17" s="65">
        <f>DATE(2024,6,18)+TIME(5,0,0)+gmt_delta</f>
        <v>45461.541666666672</v>
      </c>
      <c r="X17" s="67" t="str">
        <f t="shared" si="0"/>
        <v/>
      </c>
      <c r="Y17" s="67" t="str">
        <f t="shared" si="1"/>
        <v/>
      </c>
      <c r="Z17" s="66">
        <f t="shared" si="2"/>
        <v>0</v>
      </c>
      <c r="AA17" s="65">
        <f t="shared" si="3"/>
        <v>0</v>
      </c>
      <c r="AB17" s="65">
        <f t="shared" si="4"/>
        <v>0</v>
      </c>
      <c r="AC17" s="65">
        <f t="shared" si="5"/>
        <v>6</v>
      </c>
      <c r="AD17" s="65">
        <f t="shared" si="6"/>
        <v>2</v>
      </c>
      <c r="AE17" s="65">
        <f t="shared" si="7"/>
        <v>4</v>
      </c>
      <c r="AF17" s="65" t="str">
        <f t="shared" si="8"/>
        <v>624</v>
      </c>
      <c r="AG17" s="65">
        <f t="shared" si="9"/>
        <v>0</v>
      </c>
      <c r="AH17" s="65">
        <f t="shared" si="10"/>
        <v>0</v>
      </c>
      <c r="AI17" s="65">
        <f t="shared" si="11"/>
        <v>0</v>
      </c>
      <c r="AJ17" s="65" t="str">
        <f t="shared" si="12"/>
        <v>642</v>
      </c>
      <c r="AK17" s="65">
        <f t="shared" si="13"/>
        <v>0</v>
      </c>
      <c r="AL17" s="65">
        <f t="shared" si="14"/>
        <v>0</v>
      </c>
      <c r="AM17" s="65">
        <f t="shared" si="15"/>
        <v>0</v>
      </c>
      <c r="AO17" s="65" t="str">
        <f t="shared" si="16"/>
        <v>624</v>
      </c>
      <c r="AP17" s="65">
        <f t="shared" si="17"/>
        <v>0</v>
      </c>
      <c r="AQ17" s="65">
        <f t="shared" si="18"/>
        <v>0</v>
      </c>
      <c r="AR17" s="65">
        <f t="shared" si="19"/>
        <v>0</v>
      </c>
      <c r="AS17" s="65" t="str">
        <f t="shared" si="20"/>
        <v>642</v>
      </c>
      <c r="AT17" s="65">
        <f t="shared" si="21"/>
        <v>0</v>
      </c>
      <c r="AU17" s="65">
        <f t="shared" si="22"/>
        <v>0</v>
      </c>
      <c r="AV17" s="65">
        <f t="shared" si="23"/>
        <v>0</v>
      </c>
      <c r="AX17" s="65" t="str">
        <f t="shared" si="24"/>
        <v>624</v>
      </c>
      <c r="AY17" s="65">
        <v>0</v>
      </c>
      <c r="AZ17" s="65" t="str">
        <f t="shared" si="25"/>
        <v>642</v>
      </c>
      <c r="BA17" s="65">
        <v>0</v>
      </c>
      <c r="BC17" s="65">
        <f>DQ17</f>
        <v>4</v>
      </c>
      <c r="BD17" s="66" t="str">
        <f>INDEX(T,38,lang)</f>
        <v>Albania</v>
      </c>
      <c r="BE17" s="65">
        <f>COUNTIF($X$7:$Y$42,"=" &amp; BD17 &amp; "_win")</f>
        <v>0</v>
      </c>
      <c r="BF17" s="65">
        <f>COUNTIF($X$7:$Y$42,"=" &amp; BD17 &amp; "_draw")</f>
        <v>0</v>
      </c>
      <c r="BG17" s="65">
        <f>COUNTIF($X$7:$Y$42,"=" &amp; BD17 &amp; "_lose")</f>
        <v>0</v>
      </c>
      <c r="BH17" s="65">
        <f>SUMIF($E$10:$E$45,$BD17,$F$10:$F$45) + SUMIF($H$10:$H$45,$BD17,$G$10:$G$45)</f>
        <v>0</v>
      </c>
      <c r="BI17" s="65">
        <f>SUMIF($E$10:$E$45,$BD17,$G$10:$G$45) + SUMIF($H$10:$H$45,$BD17,$F$10:$F$45)</f>
        <v>0</v>
      </c>
      <c r="BJ17" s="65">
        <f>BM17*10000</f>
        <v>0</v>
      </c>
      <c r="BK17" s="65">
        <f>BH17-BI17</f>
        <v>0</v>
      </c>
      <c r="BL17" s="65">
        <f>(BK17-BK19)/BK18</f>
        <v>0</v>
      </c>
      <c r="BM17" s="65">
        <f>BE17*3+BF17</f>
        <v>0</v>
      </c>
      <c r="BN17" s="65">
        <f>BT17/BT18*10+BU17/BU18+BX17/BX18*0.1+BV17/BV18*0.01</f>
        <v>0</v>
      </c>
      <c r="BP17" s="65">
        <f>IF(VLOOKUP(BD17,db_fifarank,2,0)="",MIN(db_fifarank),VLOOKUP(BD17,db_fifarank,2,0))</f>
        <v>7.375</v>
      </c>
      <c r="BQ17" s="65">
        <f t="shared" si="30"/>
        <v>0</v>
      </c>
      <c r="BR17" s="66">
        <f>10000000*BM17/BM18+100000*BN17/BN18+100*BL17+10*BH17/BH18+1*BN17/BN18+BQ17</f>
        <v>0</v>
      </c>
      <c r="BT17" s="65">
        <f>SUMPRODUCT(($X$7:$X$42=BD17&amp;"_win")*($Z$7:$Z$42))+SUMPRODUCT(($Y$7:$Y$42=BD17&amp;"_win")*($Z$7:$Z$42))</f>
        <v>0</v>
      </c>
      <c r="BU17" s="65">
        <f>SUMPRODUCT(($X$7:$X$42=BD17&amp;"_draw")*($Z$7:$Z$42))+SUMPRODUCT(($Y$7:$Y$42=BD17&amp;"_draw")*($Z$7:$Z$42))</f>
        <v>0</v>
      </c>
      <c r="BV17" s="65">
        <f>SUMPRODUCT(($E$10:$E$45=BD17)*($Z$7:$Z$42)*($F$10:$F$45))+SUMPRODUCT(($H$10:$H$45=BD17)*($Z$7:$Z$42)*($G$10:$G$45))</f>
        <v>0</v>
      </c>
      <c r="BW17" s="65">
        <f>SUMPRODUCT(($E$10:$E$45=BD17)*($Z$7:$Z$42)*($G$10:$G$45))+SUMPRODUCT(($H$10:$H$45=BD17)*($Z$7:$Z$42)*($F$10:$F$45))</f>
        <v>0</v>
      </c>
      <c r="BX17" s="65">
        <f>BV17-BW17</f>
        <v>0</v>
      </c>
      <c r="BY17" s="66" t="str">
        <f>BD21</f>
        <v>Denmark</v>
      </c>
      <c r="BZ17" s="66">
        <v>3</v>
      </c>
      <c r="CA17" s="66">
        <v>2</v>
      </c>
      <c r="CC17" s="65">
        <f>IFERROR(VLOOKUP("241",$AF$7:$AI$42,2,0),0) + IFERROR(VLOOKUP("241",$AJ$7:$AM$42,2,0),0)</f>
        <v>0</v>
      </c>
      <c r="CD17" s="65">
        <f>IFERROR(VLOOKUP("242",$AF$7:$AI$42,2,0),0) + IFERROR(VLOOKUP("242",$AJ$7:$AM$42,2,0),0)</f>
        <v>0</v>
      </c>
      <c r="CE17" s="65">
        <f>IFERROR(VLOOKUP("243",$AF$7:$AI$42,2,0),0) + IFERROR(VLOOKUP("243",$AJ$7:$AM$42,2,0),0)</f>
        <v>0</v>
      </c>
      <c r="CG17" s="66">
        <f>SUM(CC17:CF17)</f>
        <v>0</v>
      </c>
      <c r="CH17" s="65">
        <f>IFERROR(VLOOKUP("241",$AF$7:$AI$42,3,0),0) + IFERROR(VLOOKUP("241",$AJ$7:$AM$42,3,0),0)</f>
        <v>0</v>
      </c>
      <c r="CI17" s="65">
        <f>IFERROR(VLOOKUP("242",$AF$7:$AI$42,3,0),0) + IFERROR(VLOOKUP("242",$AJ$7:$AM$42,3,0),0)</f>
        <v>0</v>
      </c>
      <c r="CJ17" s="65">
        <f>IFERROR(VLOOKUP("243",$AF$7:$AI$42,3,0),0) + IFERROR(VLOOKUP("243",$AJ$7:$AM$42,3,0),0)</f>
        <v>0</v>
      </c>
      <c r="CL17" s="66">
        <f>SUM(CH17:CK17)</f>
        <v>0</v>
      </c>
      <c r="CM17" s="66">
        <f>RANK(CL17,CL14:CL17)</f>
        <v>1</v>
      </c>
      <c r="CN17" s="65">
        <f>IFERROR(VLOOKUP("241",$AF$7:$AI$42,4,0),0) + IFERROR(VLOOKUP("241",$AJ$7:$AM$42,4,0),0)</f>
        <v>0</v>
      </c>
      <c r="CO17" s="65">
        <f>IFERROR(VLOOKUP("242",$AF$7:$AI$42,4,0),0) + IFERROR(VLOOKUP("242",$AJ$7:$AM$42,4,0),0)</f>
        <v>0</v>
      </c>
      <c r="CP17" s="65">
        <f>IFERROR(VLOOKUP("243",$AF$7:$AI$42,4,0),0) + IFERROR(VLOOKUP("243",$AJ$7:$AM$42,4,0),0)</f>
        <v>0</v>
      </c>
      <c r="CR17" s="66">
        <f>SUM(CN17:CQ17)</f>
        <v>0</v>
      </c>
      <c r="CS17" s="65">
        <f>IF(CC18=CG17,CC17,0)</f>
        <v>0</v>
      </c>
      <c r="CT17" s="65">
        <f>IF(CD18=CG17,CD17,0)</f>
        <v>0</v>
      </c>
      <c r="CU17" s="65">
        <f>IF(CE18=CG17,CE17,0)</f>
        <v>0</v>
      </c>
      <c r="CW17" s="66">
        <f>SUM(CS17:CV17)</f>
        <v>0</v>
      </c>
      <c r="CX17" s="65">
        <f>IF(CC18=CG17,CH17,0)</f>
        <v>0</v>
      </c>
      <c r="CY17" s="65">
        <f>IF(CD18=CG17,CI17,0)</f>
        <v>0</v>
      </c>
      <c r="CZ17" s="65">
        <f>IF(CE18=CG17,CJ17,0)</f>
        <v>0</v>
      </c>
      <c r="DB17" s="66">
        <f>SUM(CX17:DA17)</f>
        <v>0</v>
      </c>
      <c r="DC17" s="66">
        <f>RANK(DB17,DB14:DB17)</f>
        <v>1</v>
      </c>
      <c r="DD17" s="65">
        <f>IF(CC18=CG17,CN17,0)</f>
        <v>0</v>
      </c>
      <c r="DE17" s="65">
        <f>IF(CD18=CG17,CO17,0)</f>
        <v>0</v>
      </c>
      <c r="DF17" s="65">
        <f>IF(CE18=CG17,CP17,0)</f>
        <v>0</v>
      </c>
      <c r="DH17" s="66">
        <f>SUM(DD17:DG17)</f>
        <v>0</v>
      </c>
      <c r="DI17" s="66">
        <f>CG17*10000+CW17*100+(5-DC17)+DH17/10</f>
        <v>4</v>
      </c>
      <c r="DJ17" s="66">
        <f>RANK(DI17,DI14:DI17)</f>
        <v>1</v>
      </c>
      <c r="DK17" s="65">
        <f>IF(DK18=DJ17,CC17,0)</f>
        <v>0</v>
      </c>
      <c r="DL17" s="65">
        <f>IF(DL18=DJ17,CD17,0)</f>
        <v>0</v>
      </c>
      <c r="DM17" s="65">
        <f>IF(DM18=DJ17,CE17,0)</f>
        <v>0</v>
      </c>
      <c r="DO17" s="66">
        <f>SUM(DK17:DN17)</f>
        <v>0</v>
      </c>
      <c r="DP17" s="66">
        <f>(5-DJ17)*10000+DO17*100+(5-CM17)+CR17/10+(5-DX17)/100+BQ17/10000</f>
        <v>40004.04</v>
      </c>
      <c r="DQ17" s="66">
        <f>RANK(DP17,DP14:DP17)</f>
        <v>4</v>
      </c>
      <c r="DS17" s="65">
        <f>IFERROR(VLOOKUP("241",$AX$7:$AY$42,2,0),0) + IFERROR(VLOOKUP("241",$AZ$7:$BA$42,2,0),0)</f>
        <v>0</v>
      </c>
      <c r="DT17" s="65">
        <f>IFERROR(VLOOKUP("242",$AX$7:$AY$42,2,0),0) + IFERROR(VLOOKUP("242",$AZ$7:$BA$42,2,0),0)</f>
        <v>0</v>
      </c>
      <c r="DU17" s="65">
        <f>IFERROR(VLOOKUP("243",$AX$7:$AY$42,2,0),0) + IFERROR(VLOOKUP("243",$AZ$7:$BA$42,2,0),0)</f>
        <v>0</v>
      </c>
      <c r="DW17" s="66">
        <f>SUM(DS17:DV17)</f>
        <v>0</v>
      </c>
      <c r="DX17" s="66">
        <f>RANK(DW17,DW14:DW17)</f>
        <v>1</v>
      </c>
      <c r="DZ17" s="66" t="str">
        <f>BD17</f>
        <v>Albania</v>
      </c>
      <c r="EA17" s="66">
        <f>EI17*10000+EO17*100+ET17</f>
        <v>100</v>
      </c>
      <c r="EB17" s="65">
        <f>COUNTIF(EA14:EA17,EA17)</f>
        <v>4</v>
      </c>
      <c r="EC17" s="65">
        <f>COUNTIF(CG14:CG17,CG17)</f>
        <v>4</v>
      </c>
      <c r="ED17" s="66">
        <f>IF(AND(EB17&gt;=2,EC17=2),EA17,-EA17-0.1)</f>
        <v>-100.1</v>
      </c>
      <c r="EE17" s="65">
        <f>IFERROR(VLOOKUP("241",$AO$7:$AR$42,2,0),0) + IFERROR(VLOOKUP("241",$AS$7:$AV$42,2,0),0)</f>
        <v>0</v>
      </c>
      <c r="EF17" s="65">
        <f>IFERROR(VLOOKUP("242",$AO$7:$AR$42,2,0),0) + IFERROR(VLOOKUP("242",$AS$7:$AV$42,2,0),0)</f>
        <v>0</v>
      </c>
      <c r="EG17" s="65">
        <f>IFERROR(VLOOKUP("243",$AO$7:$AR$42,2,0),0) + IFERROR(VLOOKUP("243",$AS$7:$AV$42,2,0),0)</f>
        <v>0</v>
      </c>
      <c r="EI17" s="66">
        <f>SUM(EE17:EH17)</f>
        <v>0</v>
      </c>
      <c r="EJ17" s="65">
        <f>IFERROR(VLOOKUP("241",$AO$7:$AR$42,3,0),0) + IFERROR(VLOOKUP("241",$AS$7:$AV$42,3,0),0)</f>
        <v>0</v>
      </c>
      <c r="EK17" s="65">
        <f>IFERROR(VLOOKUP("242",$AO$7:$AR$42,3,0),0) + IFERROR(VLOOKUP("242",$AS$7:$AV$42,3,0),0)</f>
        <v>0</v>
      </c>
      <c r="EL17" s="65">
        <f>IFERROR(VLOOKUP("243",$AO$7:$AR$42,3,0),0) + IFERROR(VLOOKUP("243",$AS$7:$AV$42,3,0),0)</f>
        <v>0</v>
      </c>
      <c r="EN17" s="66">
        <f>SUM(EJ17:EM17)</f>
        <v>0</v>
      </c>
      <c r="EO17" s="66">
        <f>RANK(EN17,EN14:EN17)</f>
        <v>1</v>
      </c>
      <c r="EP17" s="65">
        <f>IFERROR(VLOOKUP("241",$AO$7:$AR$42,4,0),0) + IFERROR(VLOOKUP("241",$AS$7:$AV$42,4,0),0)</f>
        <v>0</v>
      </c>
      <c r="EQ17" s="65">
        <f>IFERROR(VLOOKUP("242",$AO$7:$AR$42,4,0),0) + IFERROR(VLOOKUP("242",$AS$7:$AV$42,4,0),0)</f>
        <v>0</v>
      </c>
      <c r="ER17" s="65">
        <f>IFERROR(VLOOKUP("243",$AO$7:$AR$42,4,0),0) + IFERROR(VLOOKUP("243",$AS$7:$AV$42,4,0),0)</f>
        <v>0</v>
      </c>
      <c r="ET17" s="66">
        <f>SUM(EP17:ES17)</f>
        <v>0</v>
      </c>
    </row>
    <row r="18" spans="1:152">
      <c r="A18" s="46">
        <v>9</v>
      </c>
      <c r="B18" s="47" t="str">
        <f t="shared" si="27"/>
        <v>Mon</v>
      </c>
      <c r="C18" s="48" t="str">
        <f t="shared" si="28"/>
        <v>Jun 17, 2024</v>
      </c>
      <c r="D18" s="49">
        <f t="shared" si="29"/>
        <v>0.54166666666666663</v>
      </c>
      <c r="E18" s="50" t="str">
        <f>BD32</f>
        <v>Belgium</v>
      </c>
      <c r="F18" s="40"/>
      <c r="G18" s="41"/>
      <c r="H18" s="51" t="str">
        <f>BD35</f>
        <v>Slovakia</v>
      </c>
      <c r="I18" s="172" t="str">
        <f>INDEX(T,106,lang)</f>
        <v>Frankfurt</v>
      </c>
      <c r="J18" s="172"/>
      <c r="K18" s="172"/>
      <c r="L18" s="29"/>
      <c r="M18" s="29"/>
      <c r="O18" s="54" t="str">
        <f>VLOOKUP(4,BC14:BM17,2,0)</f>
        <v>Albania</v>
      </c>
      <c r="P18" s="55">
        <f>Q18+R18+S18</f>
        <v>0</v>
      </c>
      <c r="Q18" s="55">
        <f>VLOOKUP(4,BC14:BM17,3,0)</f>
        <v>0</v>
      </c>
      <c r="R18" s="55">
        <f>VLOOKUP(4,BC14:BM17,4,0)</f>
        <v>0</v>
      </c>
      <c r="S18" s="55">
        <f>VLOOKUP(4,BC14:BM17,5,0)</f>
        <v>0</v>
      </c>
      <c r="T18" s="55" t="str">
        <f>VLOOKUP(4,BC14:BM17,6,0) &amp; " - " &amp; VLOOKUP(4,BC14:BM17,7,0)</f>
        <v>0 - 0</v>
      </c>
      <c r="U18" s="56">
        <f>Q18*3+R18</f>
        <v>0</v>
      </c>
      <c r="W18" s="65">
        <f>DATE(2024,6,18)+TIME(8,0,0)+gmt_delta</f>
        <v>45461.666666666672</v>
      </c>
      <c r="X18" s="67" t="str">
        <f t="shared" si="0"/>
        <v/>
      </c>
      <c r="Y18" s="67" t="str">
        <f t="shared" si="1"/>
        <v/>
      </c>
      <c r="Z18" s="66">
        <f t="shared" si="2"/>
        <v>0</v>
      </c>
      <c r="AA18" s="65">
        <f t="shared" si="3"/>
        <v>0</v>
      </c>
      <c r="AB18" s="65">
        <f t="shared" si="4"/>
        <v>0</v>
      </c>
      <c r="AC18" s="65">
        <f t="shared" si="5"/>
        <v>6</v>
      </c>
      <c r="AD18" s="65">
        <f t="shared" si="6"/>
        <v>1</v>
      </c>
      <c r="AE18" s="65">
        <f t="shared" si="7"/>
        <v>3</v>
      </c>
      <c r="AF18" s="65" t="str">
        <f t="shared" si="8"/>
        <v>613</v>
      </c>
      <c r="AG18" s="65">
        <f t="shared" si="9"/>
        <v>0</v>
      </c>
      <c r="AH18" s="65">
        <f t="shared" si="10"/>
        <v>0</v>
      </c>
      <c r="AI18" s="65">
        <f t="shared" si="11"/>
        <v>0</v>
      </c>
      <c r="AJ18" s="65" t="str">
        <f t="shared" si="12"/>
        <v>631</v>
      </c>
      <c r="AK18" s="65">
        <f t="shared" si="13"/>
        <v>0</v>
      </c>
      <c r="AL18" s="65">
        <f t="shared" si="14"/>
        <v>0</v>
      </c>
      <c r="AM18" s="65">
        <f t="shared" si="15"/>
        <v>0</v>
      </c>
      <c r="AO18" s="65" t="str">
        <f t="shared" si="16"/>
        <v>613</v>
      </c>
      <c r="AP18" s="65">
        <f t="shared" si="17"/>
        <v>0</v>
      </c>
      <c r="AQ18" s="65">
        <f t="shared" si="18"/>
        <v>0</v>
      </c>
      <c r="AR18" s="65">
        <f t="shared" si="19"/>
        <v>0</v>
      </c>
      <c r="AS18" s="65" t="str">
        <f t="shared" si="20"/>
        <v>631</v>
      </c>
      <c r="AT18" s="65">
        <f t="shared" si="21"/>
        <v>0</v>
      </c>
      <c r="AU18" s="65">
        <f t="shared" si="22"/>
        <v>0</v>
      </c>
      <c r="AV18" s="65">
        <f t="shared" si="23"/>
        <v>0</v>
      </c>
      <c r="AX18" s="65" t="str">
        <f t="shared" si="24"/>
        <v>613</v>
      </c>
      <c r="AY18" s="65">
        <v>0</v>
      </c>
      <c r="AZ18" s="65" t="str">
        <f t="shared" si="25"/>
        <v>631</v>
      </c>
      <c r="BA18" s="65">
        <v>0</v>
      </c>
      <c r="BE18" s="65">
        <f>MAX(BE14:BE17)-MIN(BE14:BE17)+1</f>
        <v>1</v>
      </c>
      <c r="BF18" s="65">
        <f>MAX(BF14:BF17)-MIN(BF14:BF17)+1</f>
        <v>1</v>
      </c>
      <c r="BG18" s="65">
        <f>MAX(BG14:BG17)-MIN(BG14:BG17)+1</f>
        <v>1</v>
      </c>
      <c r="BH18" s="65">
        <f>MAX(BH14:BH17)-MIN(BH14:BH17)+1</f>
        <v>1</v>
      </c>
      <c r="BI18" s="65">
        <f>MAX(BI14:BI17)-MIN(BI14:BI17)+1</f>
        <v>1</v>
      </c>
      <c r="BJ18" s="65">
        <f>MAX(BJ14:BJ17)-BJ19+1</f>
        <v>1</v>
      </c>
      <c r="BK18" s="65">
        <f>MAX(BK14:BK17)-BK19+1</f>
        <v>1</v>
      </c>
      <c r="BM18" s="65">
        <f>MAX(BM14:BM17)-MIN(BM14:BM17)+1</f>
        <v>1</v>
      </c>
      <c r="BN18" s="65">
        <f>MAX(BN14:BN17)-MIN(BN14:BN17)+1</f>
        <v>1</v>
      </c>
      <c r="BT18" s="65">
        <f>MAX(BT14:BT17)-MIN(BT14:BT17)+1</f>
        <v>1</v>
      </c>
      <c r="BU18" s="65">
        <f>MAX(BU14:BU17)-MIN(BU14:BU17)+1</f>
        <v>1</v>
      </c>
      <c r="BV18" s="65">
        <f>MAX(BV14:BV17)-MIN(BV14:BV17)+1</f>
        <v>1</v>
      </c>
      <c r="BW18" s="65">
        <f>MAX(BW14:BW17)-MIN(BW14:BW17)+1</f>
        <v>1</v>
      </c>
      <c r="BX18" s="65">
        <f>MAX(BX14:BX17)-MIN(BX14:BX17)+1</f>
        <v>1</v>
      </c>
      <c r="BY18" s="66" t="str">
        <f>BD22</f>
        <v>Serbia</v>
      </c>
      <c r="BZ18" s="66">
        <v>3</v>
      </c>
      <c r="CA18" s="66">
        <v>3</v>
      </c>
      <c r="CC18" s="65">
        <f>CG14</f>
        <v>0</v>
      </c>
      <c r="CD18" s="65">
        <f>CG15</f>
        <v>0</v>
      </c>
      <c r="CE18" s="65">
        <f>CG16</f>
        <v>0</v>
      </c>
      <c r="CF18" s="65">
        <f>CG17</f>
        <v>0</v>
      </c>
      <c r="DK18" s="65">
        <f>DJ14</f>
        <v>1</v>
      </c>
      <c r="DL18" s="65">
        <f>DJ15</f>
        <v>1</v>
      </c>
      <c r="DM18" s="65">
        <f>DJ16</f>
        <v>1</v>
      </c>
      <c r="DN18" s="65">
        <f>DJ17</f>
        <v>1</v>
      </c>
      <c r="DO18" s="66">
        <f>SUM(DK18:DN18)</f>
        <v>4</v>
      </c>
      <c r="DS18" s="65">
        <f>DW14</f>
        <v>0</v>
      </c>
      <c r="DT18" s="65">
        <f>DW15</f>
        <v>0</v>
      </c>
      <c r="DU18" s="65">
        <f>DW16</f>
        <v>0</v>
      </c>
      <c r="DV18" s="65">
        <f>DW17</f>
        <v>0</v>
      </c>
      <c r="EE18" s="65">
        <f>EI14</f>
        <v>0</v>
      </c>
      <c r="EF18" s="65">
        <f>EI15</f>
        <v>0</v>
      </c>
      <c r="EG18" s="65">
        <f>EI16</f>
        <v>0</v>
      </c>
      <c r="EH18" s="65">
        <f>EI17</f>
        <v>0</v>
      </c>
      <c r="EV18" s="175"/>
    </row>
    <row r="19" spans="1:152">
      <c r="A19" s="46">
        <v>10</v>
      </c>
      <c r="B19" s="47" t="str">
        <f t="shared" si="27"/>
        <v>Mon</v>
      </c>
      <c r="C19" s="48" t="str">
        <f t="shared" si="28"/>
        <v>Jun 17, 2024</v>
      </c>
      <c r="D19" s="49">
        <f t="shared" si="29"/>
        <v>0.66666666666666663</v>
      </c>
      <c r="E19" s="50" t="str">
        <f>BD28</f>
        <v>Austria</v>
      </c>
      <c r="F19" s="40"/>
      <c r="G19" s="41"/>
      <c r="H19" s="51" t="str">
        <f>BD26</f>
        <v>France</v>
      </c>
      <c r="I19" s="172" t="str">
        <f>INDEX(T,111,lang)</f>
        <v>Düsseldorf</v>
      </c>
      <c r="J19" s="172"/>
      <c r="K19" s="172"/>
      <c r="L19" s="29"/>
      <c r="M19" s="29"/>
      <c r="W19" s="65">
        <f>DATE(2024,6,19)+TIME(2,0,0)+gmt_delta</f>
        <v>45462.416666666672</v>
      </c>
      <c r="X19" s="67" t="str">
        <f t="shared" si="0"/>
        <v/>
      </c>
      <c r="Y19" s="67" t="str">
        <f t="shared" si="1"/>
        <v/>
      </c>
      <c r="Z19" s="66">
        <f t="shared" si="2"/>
        <v>0</v>
      </c>
      <c r="AA19" s="65">
        <f t="shared" si="3"/>
        <v>0</v>
      </c>
      <c r="AB19" s="65">
        <f t="shared" si="4"/>
        <v>0</v>
      </c>
      <c r="AC19" s="65">
        <f t="shared" si="5"/>
        <v>2</v>
      </c>
      <c r="AD19" s="65">
        <f t="shared" si="6"/>
        <v>3</v>
      </c>
      <c r="AE19" s="65">
        <f t="shared" si="7"/>
        <v>4</v>
      </c>
      <c r="AF19" s="65" t="str">
        <f t="shared" si="8"/>
        <v>234</v>
      </c>
      <c r="AG19" s="65">
        <f t="shared" si="9"/>
        <v>0</v>
      </c>
      <c r="AH19" s="65">
        <f t="shared" si="10"/>
        <v>0</v>
      </c>
      <c r="AI19" s="65">
        <f t="shared" si="11"/>
        <v>0</v>
      </c>
      <c r="AJ19" s="65" t="str">
        <f t="shared" si="12"/>
        <v>243</v>
      </c>
      <c r="AK19" s="65">
        <f t="shared" si="13"/>
        <v>0</v>
      </c>
      <c r="AL19" s="65">
        <f t="shared" si="14"/>
        <v>0</v>
      </c>
      <c r="AM19" s="65">
        <f t="shared" si="15"/>
        <v>0</v>
      </c>
      <c r="AO19" s="65" t="str">
        <f t="shared" si="16"/>
        <v>234</v>
      </c>
      <c r="AP19" s="65">
        <f t="shared" si="17"/>
        <v>0</v>
      </c>
      <c r="AQ19" s="65">
        <f t="shared" si="18"/>
        <v>0</v>
      </c>
      <c r="AR19" s="65">
        <f t="shared" si="19"/>
        <v>0</v>
      </c>
      <c r="AS19" s="65" t="str">
        <f t="shared" si="20"/>
        <v>243</v>
      </c>
      <c r="AT19" s="65">
        <f t="shared" si="21"/>
        <v>0</v>
      </c>
      <c r="AU19" s="65">
        <f t="shared" si="22"/>
        <v>0</v>
      </c>
      <c r="AV19" s="65">
        <f t="shared" si="23"/>
        <v>0</v>
      </c>
      <c r="AX19" s="65" t="str">
        <f t="shared" si="24"/>
        <v>234</v>
      </c>
      <c r="AY19" s="65">
        <v>0</v>
      </c>
      <c r="AZ19" s="65" t="str">
        <f t="shared" si="25"/>
        <v>243</v>
      </c>
      <c r="BA19" s="65">
        <v>0</v>
      </c>
      <c r="BJ19" s="65">
        <f>MIN(BJ14:BJ17)</f>
        <v>0</v>
      </c>
      <c r="BK19" s="65">
        <f>MIN(BK14:BK17)</f>
        <v>0</v>
      </c>
      <c r="BY19" s="66" t="str">
        <f>BD23</f>
        <v>Slovenia</v>
      </c>
      <c r="BZ19" s="66">
        <v>3</v>
      </c>
      <c r="CA19" s="66">
        <v>4</v>
      </c>
      <c r="EV19" s="175"/>
    </row>
    <row r="20" spans="1:152">
      <c r="A20" s="46">
        <v>11</v>
      </c>
      <c r="B20" s="47" t="str">
        <f t="shared" si="27"/>
        <v>Tue</v>
      </c>
      <c r="C20" s="48" t="str">
        <f t="shared" si="28"/>
        <v>Jun 18, 2024</v>
      </c>
      <c r="D20" s="49">
        <f t="shared" si="29"/>
        <v>0.54166666666666663</v>
      </c>
      <c r="E20" s="50" t="str">
        <f>BD39</f>
        <v>Turkey</v>
      </c>
      <c r="F20" s="40"/>
      <c r="G20" s="41"/>
      <c r="H20" s="51" t="str">
        <f>BD41</f>
        <v>Georgia</v>
      </c>
      <c r="I20" s="172" t="str">
        <f>INDEX(T,108,lang)</f>
        <v>Dortmund</v>
      </c>
      <c r="J20" s="172"/>
      <c r="K20" s="172"/>
      <c r="L20" s="29"/>
      <c r="M20" s="29"/>
      <c r="O20" s="30" t="str">
        <f>INDEX(T,9,lang) &amp; " " &amp; "C"</f>
        <v>Group C</v>
      </c>
      <c r="P20" s="31" t="str">
        <f>INDEX(T,10,lang)</f>
        <v>PL</v>
      </c>
      <c r="Q20" s="31" t="str">
        <f>INDEX(T,11,lang)</f>
        <v>W</v>
      </c>
      <c r="R20" s="31" t="str">
        <f>INDEX(T,12,lang)</f>
        <v>DRAW</v>
      </c>
      <c r="S20" s="31" t="str">
        <f>INDEX(T,13,lang)</f>
        <v>L</v>
      </c>
      <c r="T20" s="31" t="str">
        <f>INDEX(T,14,lang)</f>
        <v>GF - GA</v>
      </c>
      <c r="U20" s="31" t="str">
        <f>INDEX(T,15,lang)</f>
        <v>PNT</v>
      </c>
      <c r="W20" s="65">
        <f>DATE(2024,6,19)+TIME(5,0,0)+gmt_delta</f>
        <v>45462.541666666672</v>
      </c>
      <c r="X20" s="67" t="str">
        <f t="shared" si="0"/>
        <v/>
      </c>
      <c r="Y20" s="67" t="str">
        <f t="shared" si="1"/>
        <v/>
      </c>
      <c r="Z20" s="66">
        <f t="shared" si="2"/>
        <v>0</v>
      </c>
      <c r="AA20" s="65">
        <f t="shared" si="3"/>
        <v>0</v>
      </c>
      <c r="AB20" s="65">
        <f t="shared" si="4"/>
        <v>0</v>
      </c>
      <c r="AC20" s="65">
        <f t="shared" si="5"/>
        <v>1</v>
      </c>
      <c r="AD20" s="65">
        <f t="shared" si="6"/>
        <v>1</v>
      </c>
      <c r="AE20" s="65">
        <f t="shared" si="7"/>
        <v>4</v>
      </c>
      <c r="AF20" s="65" t="str">
        <f t="shared" si="8"/>
        <v>114</v>
      </c>
      <c r="AG20" s="65">
        <f t="shared" si="9"/>
        <v>0</v>
      </c>
      <c r="AH20" s="65">
        <f t="shared" si="10"/>
        <v>0</v>
      </c>
      <c r="AI20" s="65">
        <f t="shared" si="11"/>
        <v>0</v>
      </c>
      <c r="AJ20" s="65" t="str">
        <f t="shared" si="12"/>
        <v>141</v>
      </c>
      <c r="AK20" s="65">
        <f t="shared" si="13"/>
        <v>0</v>
      </c>
      <c r="AL20" s="65">
        <f t="shared" si="14"/>
        <v>0</v>
      </c>
      <c r="AM20" s="65">
        <f t="shared" si="15"/>
        <v>0</v>
      </c>
      <c r="AO20" s="65" t="str">
        <f t="shared" si="16"/>
        <v>114</v>
      </c>
      <c r="AP20" s="65">
        <f t="shared" si="17"/>
        <v>0</v>
      </c>
      <c r="AQ20" s="65">
        <f t="shared" si="18"/>
        <v>0</v>
      </c>
      <c r="AR20" s="65">
        <f t="shared" si="19"/>
        <v>0</v>
      </c>
      <c r="AS20" s="65" t="str">
        <f t="shared" si="20"/>
        <v>141</v>
      </c>
      <c r="AT20" s="65">
        <f t="shared" si="21"/>
        <v>0</v>
      </c>
      <c r="AU20" s="65">
        <f t="shared" si="22"/>
        <v>0</v>
      </c>
      <c r="AV20" s="65">
        <f t="shared" si="23"/>
        <v>0</v>
      </c>
      <c r="AX20" s="65" t="str">
        <f t="shared" si="24"/>
        <v>114</v>
      </c>
      <c r="AY20" s="65">
        <v>0</v>
      </c>
      <c r="AZ20" s="65" t="str">
        <f t="shared" si="25"/>
        <v>141</v>
      </c>
      <c r="BA20" s="65">
        <v>0</v>
      </c>
      <c r="BC20" s="65">
        <f>DQ20</f>
        <v>1</v>
      </c>
      <c r="BD20" s="66" t="str">
        <f>INDEX(T,66,lang)</f>
        <v>England</v>
      </c>
      <c r="BE20" s="65">
        <f>COUNTIF($X$7:$Y$42,"=" &amp; BD20 &amp; "_win")</f>
        <v>0</v>
      </c>
      <c r="BF20" s="65">
        <f>COUNTIF($X$7:$Y$42,"=" &amp; BD20 &amp; "_draw")</f>
        <v>0</v>
      </c>
      <c r="BG20" s="65">
        <f>COUNTIF($X$7:$Y$42,"=" &amp; BD20 &amp; "_lose")</f>
        <v>0</v>
      </c>
      <c r="BH20" s="65">
        <f>SUMIF($E$10:$E$45,$BD20,$F$10:$F$45) + SUMIF($H$10:$H$45,$BD20,$G$10:$G$45)</f>
        <v>0</v>
      </c>
      <c r="BI20" s="65">
        <f>SUMIF($E$10:$E$45,$BD20,$G$10:$G$45) + SUMIF($H$10:$H$45,$BD20,$F$10:$F$45)</f>
        <v>0</v>
      </c>
      <c r="BJ20" s="65">
        <f>BM20*10000</f>
        <v>0</v>
      </c>
      <c r="BK20" s="65">
        <f>BH20-BI20</f>
        <v>0</v>
      </c>
      <c r="BL20" s="65">
        <f>(BK20-BK25)/BK24</f>
        <v>0</v>
      </c>
      <c r="BM20" s="65">
        <f>BE20*3+BF20</f>
        <v>0</v>
      </c>
      <c r="BN20" s="65">
        <f>BT20/BT24*10+BU20/BU24+BX20/BX24*0.1+BV20/BV24*0.01</f>
        <v>0</v>
      </c>
      <c r="BP20" s="65">
        <f>IF(VLOOKUP(BD20,db_fifarank,2,0)="",MIN(db_fifarank),VLOOKUP(BD20,db_fifarank,2,0))</f>
        <v>104.303</v>
      </c>
      <c r="BQ20" s="65">
        <f>0.1*((BP20-$BP$44)/$BP$46-(COUNTIF($BP$8:$BP$41,BP20)-1)/(100-ROW(BP20)))</f>
        <v>0.1</v>
      </c>
      <c r="BR20" s="66">
        <f>10000000*BM20/BM24+100000*BN20/BN24+100*BL20+10*BH20/BH24+1*BN20/BN24+BQ20</f>
        <v>0.1</v>
      </c>
      <c r="BS20" s="66" t="str">
        <f>IF(SUM(BE20:BG23)=12,O21,INDEX(T,74,lang))</f>
        <v>1C</v>
      </c>
      <c r="BT20" s="65">
        <f>SUMPRODUCT(($X$7:$X$42=BD20&amp;"_win")*($Z$7:$Z$42))+SUMPRODUCT(($Y$7:$Y$42=BD20&amp;"_win")*($Z$7:$Z$42))</f>
        <v>0</v>
      </c>
      <c r="BU20" s="65">
        <f>SUMPRODUCT(($X$7:$X$42=BD20&amp;"_draw")*($Z$7:$Z$42))+SUMPRODUCT(($Y$7:$Y$42=BD20&amp;"_draw")*($Z$7:$Z$42))</f>
        <v>0</v>
      </c>
      <c r="BV20" s="65">
        <f>SUMPRODUCT(($E$10:$E$45=BD20)*($Z$7:$Z$42)*($F$10:$F$45))+SUMPRODUCT(($H$10:$H$45=BD20)*($Z$7:$Z$42)*($G$10:$G$45))</f>
        <v>0</v>
      </c>
      <c r="BW20" s="65">
        <f>SUMPRODUCT(($E$10:$E$45=BD20)*($Z$7:$Z$42)*($G$10:$G$45))+SUMPRODUCT(($H$10:$H$45=BD20)*($Z$7:$Z$42)*($F$10:$F$45))</f>
        <v>0</v>
      </c>
      <c r="BX20" s="65">
        <f>BV20-BW20</f>
        <v>0</v>
      </c>
      <c r="BY20" s="66" t="str">
        <f>BD26</f>
        <v>France</v>
      </c>
      <c r="BZ20" s="66">
        <v>4</v>
      </c>
      <c r="CA20" s="66">
        <v>1</v>
      </c>
      <c r="CD20" s="65">
        <f>IFERROR(VLOOKUP("312",$AF$7:$AI$42,2,0),0) + IFERROR(VLOOKUP("312",$AJ$7:$AM$42,2,0),0)</f>
        <v>0</v>
      </c>
      <c r="CE20" s="65">
        <f>IFERROR(VLOOKUP("313",$AF$7:$AI$42,2,0),0) + IFERROR(VLOOKUP("313",$AJ$7:$AM$42,2,0),0)</f>
        <v>0</v>
      </c>
      <c r="CF20" s="65">
        <f>IFERROR(VLOOKUP("314",$AF$7:$AI$42,2,0),0) + IFERROR(VLOOKUP("314",$AJ$7:$AM$42,2,0),0)</f>
        <v>0</v>
      </c>
      <c r="CG20" s="66">
        <f>SUM(CC20:CF20)</f>
        <v>0</v>
      </c>
      <c r="CI20" s="65">
        <f>IFERROR(VLOOKUP("312",$AF$7:$AI$42,3,0),0) + IFERROR(VLOOKUP("312",$AJ$7:$AM$42,3,0),0)</f>
        <v>0</v>
      </c>
      <c r="CJ20" s="65">
        <f>IFERROR(VLOOKUP("313",$AF$7:$AI$42,3,0),0) + IFERROR(VLOOKUP("313",$AJ$7:$AM$42,3,0),0)</f>
        <v>0</v>
      </c>
      <c r="CK20" s="65">
        <f>IFERROR(VLOOKUP("314",$AF$7:$AI$42,3,0),0) + IFERROR(VLOOKUP("314",$AJ$7:$AM$42,3,0),0)</f>
        <v>0</v>
      </c>
      <c r="CL20" s="66">
        <f>SUM(CH20:CK20)</f>
        <v>0</v>
      </c>
      <c r="CM20" s="66">
        <f>RANK(CL20,CL20:CL23)</f>
        <v>1</v>
      </c>
      <c r="CO20" s="65">
        <f>IFERROR(VLOOKUP("312",$AF$7:$AI$42,4,0),0) + IFERROR(VLOOKUP("312",$AJ$7:$AM$42,4,0),0)</f>
        <v>0</v>
      </c>
      <c r="CP20" s="65">
        <f>IFERROR(VLOOKUP("313",$AF$7:$AI$42,4,0),0) + IFERROR(VLOOKUP("313",$AJ$7:$AM$42,4,0),0)</f>
        <v>0</v>
      </c>
      <c r="CQ20" s="65">
        <f>IFERROR(VLOOKUP("314",$AF$7:$AI$42,4,0),0) + IFERROR(VLOOKUP("314",$AJ$7:$AM$42,4,0),0)</f>
        <v>0</v>
      </c>
      <c r="CR20" s="66">
        <f>SUM(CN20:CQ20)</f>
        <v>0</v>
      </c>
      <c r="CT20" s="65">
        <f>IF(CD24=CG20,CD20,0)</f>
        <v>0</v>
      </c>
      <c r="CU20" s="65">
        <f>IF(CE24=CG20,CE20,0)</f>
        <v>0</v>
      </c>
      <c r="CV20" s="65">
        <f>IF(CF24=CG20,CF20,0)</f>
        <v>0</v>
      </c>
      <c r="CW20" s="66">
        <f>SUM(CS20:CV20)</f>
        <v>0</v>
      </c>
      <c r="CY20" s="65">
        <f>IF(CD24=CG20,CI20,0)</f>
        <v>0</v>
      </c>
      <c r="CZ20" s="65">
        <f>IF(CE24=CG20,CJ20,0)</f>
        <v>0</v>
      </c>
      <c r="DA20" s="65">
        <f>IF(CF24=CG20,CK20,0)</f>
        <v>0</v>
      </c>
      <c r="DB20" s="66">
        <f>SUM(CX20:DA20)</f>
        <v>0</v>
      </c>
      <c r="DC20" s="66">
        <f>RANK(DB20,DB20:DB23)</f>
        <v>1</v>
      </c>
      <c r="DE20" s="65">
        <f>IF(CD24=CG20,CO20,0)</f>
        <v>0</v>
      </c>
      <c r="DF20" s="65">
        <f>IF(CE24=CG20,CP20,0)</f>
        <v>0</v>
      </c>
      <c r="DG20" s="65">
        <f>IF(CF24=CG20,CQ20,0)</f>
        <v>0</v>
      </c>
      <c r="DH20" s="66">
        <f>SUM(DD20:DG20)</f>
        <v>0</v>
      </c>
      <c r="DI20" s="66">
        <f>CG20*10000+CW20*100+(5-DC20)+DH20/10</f>
        <v>4</v>
      </c>
      <c r="DJ20" s="66">
        <f>RANK(DI20,DI20:DI23)</f>
        <v>1</v>
      </c>
      <c r="DL20" s="65">
        <f>IF(DL24=DJ20,CD20,0)</f>
        <v>0</v>
      </c>
      <c r="DM20" s="65">
        <f>IF(DM24=DJ20,CE20,0)</f>
        <v>0</v>
      </c>
      <c r="DN20" s="65">
        <f>IF(DN24=DJ20,CF20,0)</f>
        <v>0</v>
      </c>
      <c r="DO20" s="66">
        <f>SUM(DK20:DN20)</f>
        <v>0</v>
      </c>
      <c r="DP20" s="66">
        <f>(5-DJ20)*10000+DO20*100+(5-CM20)+CR20/10+(5-DX20)/100+BQ20/10000</f>
        <v>40004.040010000004</v>
      </c>
      <c r="DQ20" s="66">
        <f>RANK(DP20,DP20:DP23)</f>
        <v>1</v>
      </c>
      <c r="DT20" s="65">
        <f>IFERROR(VLOOKUP("312",$AX$7:$AY$42,2,0),0) + IFERROR(VLOOKUP("312",$AZ$7:$BA$42,2,0),0)</f>
        <v>0</v>
      </c>
      <c r="DU20" s="65">
        <f>IFERROR(VLOOKUP("313",$AX$7:$AY$42,2,0),0) + IFERROR(VLOOKUP("313",$AZ$7:$BA$42,2,0),0)</f>
        <v>0</v>
      </c>
      <c r="DV20" s="65">
        <f>IFERROR(VLOOKUP("314",$AX$7:$AY$42,2,0),0) + IFERROR(VLOOKUP("314",$AZ$7:$BA$42,2,0),0)</f>
        <v>0</v>
      </c>
      <c r="DW20" s="66">
        <f>SUM(DS20:DV20)</f>
        <v>0</v>
      </c>
      <c r="DX20" s="66">
        <f>RANK(DW20,DW20:DW23)</f>
        <v>1</v>
      </c>
      <c r="DZ20" s="66" t="str">
        <f>BD20</f>
        <v>England</v>
      </c>
      <c r="EA20" s="66">
        <f>EI20*10000+EO20*100+ET20</f>
        <v>100</v>
      </c>
      <c r="EB20" s="65">
        <f>COUNTIF(EA20:EA23,EA20)</f>
        <v>4</v>
      </c>
      <c r="EC20" s="65">
        <f>COUNTIF(CG20:CG23,CG20)</f>
        <v>4</v>
      </c>
      <c r="ED20" s="66">
        <f>IF(AND(EB20&gt;=2,EC20=2),EA20,-EA20-0.4)</f>
        <v>-100.4</v>
      </c>
      <c r="EF20" s="65">
        <f>IFERROR(VLOOKUP("312",$AO$7:$AR$42,2,0),0) + IFERROR(VLOOKUP("312",$AS$7:$AV$42,2,0),0)</f>
        <v>0</v>
      </c>
      <c r="EG20" s="65">
        <f>IFERROR(VLOOKUP("313",$AO$7:$AR$42,2,0),0) + IFERROR(VLOOKUP("313",$AS$7:$AV$42,2,0),0)</f>
        <v>0</v>
      </c>
      <c r="EH20" s="65">
        <f>IFERROR(VLOOKUP("314",$AO$7:$AR$42,2,0),0) + IFERROR(VLOOKUP("314",$AS$7:$AV$42,2,0),0)</f>
        <v>0</v>
      </c>
      <c r="EI20" s="66">
        <f>SUM(EE20:EH20)</f>
        <v>0</v>
      </c>
      <c r="EK20" s="65">
        <f>IFERROR(VLOOKUP("312",$AO$7:$AR$42,3,0),0) + IFERROR(VLOOKUP("312",$AS$7:$AV$42,3,0),0)</f>
        <v>0</v>
      </c>
      <c r="EL20" s="65">
        <f>IFERROR(VLOOKUP("313",$AO$7:$AR$42,3,0),0) + IFERROR(VLOOKUP("313",$AS$7:$AV$42,3,0),0)</f>
        <v>0</v>
      </c>
      <c r="EM20" s="65">
        <f>IFERROR(VLOOKUP("314",$AO$7:$AR$42,3,0),0) + IFERROR(VLOOKUP("314",$AS$7:$AV$42,3,0),0)</f>
        <v>0</v>
      </c>
      <c r="EN20" s="66">
        <f>SUM(EJ20:EM20)</f>
        <v>0</v>
      </c>
      <c r="EO20" s="66">
        <f>RANK(EN20,EN20:EN23)</f>
        <v>1</v>
      </c>
      <c r="EQ20" s="65">
        <f>IFERROR(VLOOKUP("312",$AO$7:$AR$42,4,0),0) + IFERROR(VLOOKUP("312",$AS$7:$AV$42,4,0),0)</f>
        <v>0</v>
      </c>
      <c r="ER20" s="65">
        <f>IFERROR(VLOOKUP("313",$AO$7:$AR$42,4,0),0) + IFERROR(VLOOKUP("313",$AS$7:$AV$42,4,0),0)</f>
        <v>0</v>
      </c>
      <c r="ES20" s="65">
        <f>IFERROR(VLOOKUP("314",$AO$7:$AR$42,4,0),0) + IFERROR(VLOOKUP("314",$AS$7:$AV$42,4,0),0)</f>
        <v>0</v>
      </c>
      <c r="ET20" s="66">
        <f>SUM(EP20:ES20)</f>
        <v>0</v>
      </c>
    </row>
    <row r="21" spans="1:152">
      <c r="A21" s="46">
        <v>12</v>
      </c>
      <c r="B21" s="47" t="str">
        <f t="shared" si="27"/>
        <v>Tue</v>
      </c>
      <c r="C21" s="48" t="str">
        <f t="shared" si="28"/>
        <v>Jun 18, 2024</v>
      </c>
      <c r="D21" s="49">
        <f t="shared" si="29"/>
        <v>0.66666666666666663</v>
      </c>
      <c r="E21" s="50" t="str">
        <f>BD38</f>
        <v>Portugal</v>
      </c>
      <c r="F21" s="40"/>
      <c r="G21" s="41"/>
      <c r="H21" s="51" t="str">
        <f>BD40</f>
        <v>Czech Republic</v>
      </c>
      <c r="I21" s="172" t="str">
        <f>INDEX(T,112,lang)</f>
        <v>Leipzig</v>
      </c>
      <c r="J21" s="172"/>
      <c r="K21" s="172"/>
      <c r="L21" s="29"/>
      <c r="M21" s="29"/>
      <c r="O21" s="32" t="str">
        <f>VLOOKUP(1,BC20:BM23,2,0)</f>
        <v>England</v>
      </c>
      <c r="P21" s="33">
        <f>Q21+R21+S21</f>
        <v>0</v>
      </c>
      <c r="Q21" s="33">
        <f>VLOOKUP(1,BC20:BM23,3,0)</f>
        <v>0</v>
      </c>
      <c r="R21" s="33">
        <f>VLOOKUP(1,BC20:BM23,4,0)</f>
        <v>0</v>
      </c>
      <c r="S21" s="33">
        <f>VLOOKUP(1,BC20:BM23,5,0)</f>
        <v>0</v>
      </c>
      <c r="T21" s="33" t="str">
        <f>VLOOKUP(1,BC20:BM23,6,0) &amp; " - " &amp; VLOOKUP(1,BC20:BM23,7,0)</f>
        <v>0 - 0</v>
      </c>
      <c r="U21" s="34">
        <f>Q21*3+R21</f>
        <v>0</v>
      </c>
      <c r="W21" s="65">
        <f>DATE(2024,6,19)+TIME(8,0,0)+gmt_delta</f>
        <v>45462.666666666672</v>
      </c>
      <c r="X21" s="67" t="str">
        <f t="shared" si="0"/>
        <v/>
      </c>
      <c r="Y21" s="67" t="str">
        <f t="shared" si="1"/>
        <v/>
      </c>
      <c r="Z21" s="66">
        <f t="shared" si="2"/>
        <v>0</v>
      </c>
      <c r="AA21" s="65">
        <f t="shared" si="3"/>
        <v>0</v>
      </c>
      <c r="AB21" s="65">
        <f t="shared" si="4"/>
        <v>0</v>
      </c>
      <c r="AC21" s="65">
        <f t="shared" si="5"/>
        <v>1</v>
      </c>
      <c r="AD21" s="65">
        <f t="shared" si="6"/>
        <v>2</v>
      </c>
      <c r="AE21" s="65">
        <f t="shared" si="7"/>
        <v>3</v>
      </c>
      <c r="AF21" s="65" t="str">
        <f t="shared" si="8"/>
        <v>123</v>
      </c>
      <c r="AG21" s="65">
        <f t="shared" si="9"/>
        <v>0</v>
      </c>
      <c r="AH21" s="65">
        <f t="shared" si="10"/>
        <v>0</v>
      </c>
      <c r="AI21" s="65">
        <f t="shared" si="11"/>
        <v>0</v>
      </c>
      <c r="AJ21" s="65" t="str">
        <f t="shared" si="12"/>
        <v>132</v>
      </c>
      <c r="AK21" s="65">
        <f t="shared" si="13"/>
        <v>0</v>
      </c>
      <c r="AL21" s="65">
        <f t="shared" si="14"/>
        <v>0</v>
      </c>
      <c r="AM21" s="65">
        <f t="shared" si="15"/>
        <v>0</v>
      </c>
      <c r="AO21" s="65" t="str">
        <f t="shared" si="16"/>
        <v>123</v>
      </c>
      <c r="AP21" s="65">
        <f t="shared" si="17"/>
        <v>0</v>
      </c>
      <c r="AQ21" s="65">
        <f t="shared" si="18"/>
        <v>0</v>
      </c>
      <c r="AR21" s="65">
        <f t="shared" si="19"/>
        <v>0</v>
      </c>
      <c r="AS21" s="65" t="str">
        <f t="shared" si="20"/>
        <v>132</v>
      </c>
      <c r="AT21" s="65">
        <f t="shared" si="21"/>
        <v>0</v>
      </c>
      <c r="AU21" s="65">
        <f t="shared" si="22"/>
        <v>0</v>
      </c>
      <c r="AV21" s="65">
        <f t="shared" si="23"/>
        <v>0</v>
      </c>
      <c r="AX21" s="65" t="str">
        <f t="shared" si="24"/>
        <v>123</v>
      </c>
      <c r="AY21" s="65">
        <v>0</v>
      </c>
      <c r="AZ21" s="65" t="str">
        <f t="shared" si="25"/>
        <v>132</v>
      </c>
      <c r="BA21" s="65">
        <v>0</v>
      </c>
      <c r="BC21" s="65">
        <f>DQ21</f>
        <v>2</v>
      </c>
      <c r="BD21" s="66" t="str">
        <f>INDEX(T,44,lang)</f>
        <v>Denmark</v>
      </c>
      <c r="BE21" s="65">
        <f>COUNTIF($X$7:$Y$42,"=" &amp; BD21 &amp; "_win")</f>
        <v>0</v>
      </c>
      <c r="BF21" s="65">
        <f>COUNTIF($X$7:$Y$42,"=" &amp; BD21 &amp; "_draw")</f>
        <v>0</v>
      </c>
      <c r="BG21" s="65">
        <f>COUNTIF($X$7:$Y$42,"=" &amp; BD21 &amp; "_lose")</f>
        <v>0</v>
      </c>
      <c r="BH21" s="65">
        <f>SUMIF($E$10:$E$45,$BD21,$F$10:$F$45) + SUMIF($H$10:$H$45,$BD21,$G$10:$G$45)</f>
        <v>0</v>
      </c>
      <c r="BI21" s="65">
        <f>SUMIF($E$10:$E$45,$BD21,$G$10:$G$45) + SUMIF($H$10:$H$45,$BD21,$F$10:$F$45)</f>
        <v>0</v>
      </c>
      <c r="BJ21" s="65">
        <f>BM21*10000</f>
        <v>0</v>
      </c>
      <c r="BK21" s="65">
        <f>BH21-BI21</f>
        <v>0</v>
      </c>
      <c r="BL21" s="65">
        <f>(BK21-BK25)/BK24</f>
        <v>0</v>
      </c>
      <c r="BM21" s="65">
        <f>BE21*3+BF21</f>
        <v>0</v>
      </c>
      <c r="BN21" s="65">
        <f>BT21/BT24*10+BU21/BU24+BX21/BX24*0.1+BV21/BV24*0.01</f>
        <v>0</v>
      </c>
      <c r="BP21" s="65">
        <f>IF(VLOOKUP(BD21,db_fifarank,2,0)="",MIN(db_fifarank),VLOOKUP(BD21,db_fifarank,2,0))</f>
        <v>31.45</v>
      </c>
      <c r="BQ21" s="65">
        <f t="shared" ref="BQ21:BQ23" si="31">0.1*((BP21-$BP$44)/$BP$46-(COUNTIF($BP$8:$BP$41,BP21)-1)/(100-ROW(BP21)))</f>
        <v>2.4838024100363159E-2</v>
      </c>
      <c r="BR21" s="66">
        <f>10000000*BM21/BM24+100000*BN21/BN24+100*BL21+10*BH21/BH24+1*BN21/BN24+BQ21</f>
        <v>2.4838024100363159E-2</v>
      </c>
      <c r="BS21" s="66" t="str">
        <f>IF(SUM(BE20:BG23)=12,O22,INDEX(T,75,lang))</f>
        <v>2C</v>
      </c>
      <c r="BT21" s="65">
        <f>SUMPRODUCT(($X$7:$X$42=BD21&amp;"_win")*($Z$7:$Z$42))+SUMPRODUCT(($Y$7:$Y$42=BD21&amp;"_win")*($Z$7:$Z$42))</f>
        <v>0</v>
      </c>
      <c r="BU21" s="65">
        <f>SUMPRODUCT(($X$7:$X$42=BD21&amp;"_draw")*($Z$7:$Z$42))+SUMPRODUCT(($Y$7:$Y$42=BD21&amp;"_draw")*($Z$7:$Z$42))</f>
        <v>0</v>
      </c>
      <c r="BV21" s="65">
        <f>SUMPRODUCT(($E$10:$E$45=BD21)*($Z$7:$Z$42)*($F$10:$F$45))+SUMPRODUCT(($H$10:$H$45=BD21)*($Z$7:$Z$42)*($G$10:$G$45))</f>
        <v>0</v>
      </c>
      <c r="BW21" s="65">
        <f>SUMPRODUCT(($E$10:$E$45=BD21)*($Z$7:$Z$42)*($G$10:$G$45))+SUMPRODUCT(($H$10:$H$45=BD21)*($Z$7:$Z$42)*($F$10:$F$45))</f>
        <v>0</v>
      </c>
      <c r="BX21" s="65">
        <f>BV21-BW21</f>
        <v>0</v>
      </c>
      <c r="BY21" s="66" t="str">
        <f>BD27</f>
        <v>Netherlands</v>
      </c>
      <c r="BZ21" s="66">
        <v>4</v>
      </c>
      <c r="CA21" s="66">
        <v>2</v>
      </c>
      <c r="CC21" s="65">
        <f>IFERROR(VLOOKUP("321",$AF$7:$AI$42,2,0),0) + IFERROR(VLOOKUP("321",$AJ$7:$AM$42,2,0),0)</f>
        <v>0</v>
      </c>
      <c r="CE21" s="65">
        <f>IFERROR(VLOOKUP("323",$AF$7:$AI$42,2,0),0) + IFERROR(VLOOKUP("323",$AJ$7:$AM$42,2,0),0)</f>
        <v>0</v>
      </c>
      <c r="CF21" s="65">
        <f>IFERROR(VLOOKUP("324",$AF$7:$AI$42,2,0),0) + IFERROR(VLOOKUP("324",$AJ$7:$AM$42,2,0),0)</f>
        <v>0</v>
      </c>
      <c r="CG21" s="66">
        <f>SUM(CC21:CF21)</f>
        <v>0</v>
      </c>
      <c r="CH21" s="65">
        <f>IFERROR(VLOOKUP("321",$AF$7:$AI$42,3,0),0) + IFERROR(VLOOKUP("321",$AJ$7:$AM$42,3,0),0)</f>
        <v>0</v>
      </c>
      <c r="CJ21" s="65">
        <f>IFERROR(VLOOKUP("323",$AF$7:$AI$42,3,0),0) + IFERROR(VLOOKUP("323",$AJ$7:$AM$42,3,0),0)</f>
        <v>0</v>
      </c>
      <c r="CK21" s="65">
        <f>IFERROR(VLOOKUP("324",$AF$7:$AI$42,3,0),0) + IFERROR(VLOOKUP("324",$AJ$7:$AM$42,3,0),0)</f>
        <v>0</v>
      </c>
      <c r="CL21" s="66">
        <f>SUM(CH21:CK21)</f>
        <v>0</v>
      </c>
      <c r="CM21" s="66">
        <f>RANK(CL21,CL20:CL23)</f>
        <v>1</v>
      </c>
      <c r="CN21" s="65">
        <f>IFERROR(VLOOKUP("321",$AF$7:$AI$42,4,0),0) + IFERROR(VLOOKUP("321",$AJ$7:$AM$42,4,0),0)</f>
        <v>0</v>
      </c>
      <c r="CP21" s="65">
        <f>IFERROR(VLOOKUP("323",$AF$7:$AI$42,4,0),0) + IFERROR(VLOOKUP("323",$AJ$7:$AM$42,4,0),0)</f>
        <v>0</v>
      </c>
      <c r="CQ21" s="65">
        <f>IFERROR(VLOOKUP("324",$AF$7:$AI$42,4,0),0) + IFERROR(VLOOKUP("324",$AJ$7:$AM$42,4,0),0)</f>
        <v>0</v>
      </c>
      <c r="CR21" s="66">
        <f>SUM(CN21:CQ21)</f>
        <v>0</v>
      </c>
      <c r="CS21" s="65">
        <f>IF(CC24=CG21,CC21,0)</f>
        <v>0</v>
      </c>
      <c r="CU21" s="65">
        <f>IF(CE24=CG21,CE21,0)</f>
        <v>0</v>
      </c>
      <c r="CV21" s="65">
        <f>IF(CF24=CG21,CF21,0)</f>
        <v>0</v>
      </c>
      <c r="CW21" s="66">
        <f>SUM(CS21:CV21)</f>
        <v>0</v>
      </c>
      <c r="CX21" s="65">
        <f>IF(CC24=CG21,CH21,0)</f>
        <v>0</v>
      </c>
      <c r="CZ21" s="65">
        <f>IF(CE24=CG21,CJ21,0)</f>
        <v>0</v>
      </c>
      <c r="DA21" s="65">
        <f>IF(CF24=CG21,CK21,0)</f>
        <v>0</v>
      </c>
      <c r="DB21" s="66">
        <f>SUM(CX21:DA21)</f>
        <v>0</v>
      </c>
      <c r="DC21" s="66">
        <f>RANK(DB21,DB20:DB23)</f>
        <v>1</v>
      </c>
      <c r="DD21" s="65">
        <f>IF(CC24=CG21,CN21,0)</f>
        <v>0</v>
      </c>
      <c r="DF21" s="65">
        <f>IF(CE24=CG21,CP21,0)</f>
        <v>0</v>
      </c>
      <c r="DG21" s="65">
        <f>IF(CF24=CG21,CQ21,0)</f>
        <v>0</v>
      </c>
      <c r="DH21" s="66">
        <f>SUM(DD21:DG21)</f>
        <v>0</v>
      </c>
      <c r="DI21" s="66">
        <f>CG21*10000+CW21*100+(5-DC21)+DH21/10</f>
        <v>4</v>
      </c>
      <c r="DJ21" s="66">
        <f>RANK(DI21,DI20:DI23)</f>
        <v>1</v>
      </c>
      <c r="DK21" s="65">
        <f>IF(DK24=DJ21,CC21,0)</f>
        <v>0</v>
      </c>
      <c r="DM21" s="65">
        <f>IF(DM24=DJ21,CE21,0)</f>
        <v>0</v>
      </c>
      <c r="DN21" s="65">
        <f>IF(DN24=DJ21,CF21,0)</f>
        <v>0</v>
      </c>
      <c r="DO21" s="66">
        <f>SUM(DK21:DN21)</f>
        <v>0</v>
      </c>
      <c r="DP21" s="66">
        <f>(5-DJ21)*10000+DO21*100+(5-CM21)+CR21/10+(5-DX21)/100+BQ21/10000</f>
        <v>40004.040002483802</v>
      </c>
      <c r="DQ21" s="66">
        <f>RANK(DP21,DP20:DP23)</f>
        <v>2</v>
      </c>
      <c r="DS21" s="65">
        <f>IFERROR(VLOOKUP("321",$AX$7:$AY$42,2,0),0) + IFERROR(VLOOKUP("321",$AZ$7:$BA$42,2,0),0)</f>
        <v>0</v>
      </c>
      <c r="DU21" s="65">
        <f>IFERROR(VLOOKUP("323",$AX$7:$AY$42,2,0),0) + IFERROR(VLOOKUP("323",$AZ$7:$BA$42,2,0),0)</f>
        <v>0</v>
      </c>
      <c r="DV21" s="65">
        <f>IFERROR(VLOOKUP("324",$AX$7:$AY$42,2,0),0) + IFERROR(VLOOKUP("324",$AZ$7:$BA$42,2,0),0)</f>
        <v>0</v>
      </c>
      <c r="DW21" s="66">
        <f>SUM(DS21:DV21)</f>
        <v>0</v>
      </c>
      <c r="DX21" s="66">
        <f>RANK(DW21,DW20:DW23)</f>
        <v>1</v>
      </c>
      <c r="DZ21" s="66" t="str">
        <f>BD21</f>
        <v>Denmark</v>
      </c>
      <c r="EA21" s="66">
        <f>EI21*10000+EO21*100+ET21</f>
        <v>100</v>
      </c>
      <c r="EB21" s="65">
        <f>COUNTIF(EA20:EA23,EA21)</f>
        <v>4</v>
      </c>
      <c r="EC21" s="65">
        <f>COUNTIF(CG20:CG23,CG21)</f>
        <v>4</v>
      </c>
      <c r="ED21" s="66">
        <f>IF(AND(EB21&gt;=2,EC21=2),EA21,-EA21-0.3)</f>
        <v>-100.3</v>
      </c>
      <c r="EE21" s="65">
        <f>IFERROR(VLOOKUP("321",$AO$7:$AR$42,2,0),0) + IFERROR(VLOOKUP("321",$AS$7:$AV$42,2,0),0)</f>
        <v>0</v>
      </c>
      <c r="EG21" s="65">
        <f>IFERROR(VLOOKUP("323",$AO$7:$AR$42,2,0),0) + IFERROR(VLOOKUP("323",$AS$7:$AV$42,2,0),0)</f>
        <v>0</v>
      </c>
      <c r="EH21" s="65">
        <f>IFERROR(VLOOKUP("324",$AO$7:$AR$42,2,0),0) + IFERROR(VLOOKUP("324",$AS$7:$AV$42,2,0),0)</f>
        <v>0</v>
      </c>
      <c r="EI21" s="66">
        <f>SUM(EE21:EH21)</f>
        <v>0</v>
      </c>
      <c r="EJ21" s="65">
        <f>IFERROR(VLOOKUP("321",$AO$7:$AR$42,3,0),0) + IFERROR(VLOOKUP("321",$AS$7:$AV$42,3,0),0)</f>
        <v>0</v>
      </c>
      <c r="EL21" s="65">
        <f>IFERROR(VLOOKUP("323",$AO$7:$AR$42,3,0),0) + IFERROR(VLOOKUP("323",$AS$7:$AV$42,3,0),0)</f>
        <v>0</v>
      </c>
      <c r="EM21" s="65">
        <f>IFERROR(VLOOKUP("324",$AO$7:$AR$42,3,0),0) + IFERROR(VLOOKUP("324",$AS$7:$AV$42,3,0),0)</f>
        <v>0</v>
      </c>
      <c r="EN21" s="66">
        <f>SUM(EJ21:EM21)</f>
        <v>0</v>
      </c>
      <c r="EO21" s="66">
        <f>RANK(EN21,EN20:EN23)</f>
        <v>1</v>
      </c>
      <c r="EP21" s="65">
        <f>IFERROR(VLOOKUP("321",$AO$7:$AR$42,4,0),0) + IFERROR(VLOOKUP("321",$AS$7:$AV$42,4,0),0)</f>
        <v>0</v>
      </c>
      <c r="ER21" s="65">
        <f>IFERROR(VLOOKUP("323",$AO$7:$AR$42,4,0),0) + IFERROR(VLOOKUP("323",$AS$7:$AV$42,4,0),0)</f>
        <v>0</v>
      </c>
      <c r="ES21" s="65">
        <f>IFERROR(VLOOKUP("324",$AO$7:$AR$42,4,0),0) + IFERROR(VLOOKUP("324",$AS$7:$AV$42,4,0),0)</f>
        <v>0</v>
      </c>
      <c r="ET21" s="66">
        <f>SUM(EP21:ES21)</f>
        <v>0</v>
      </c>
    </row>
    <row r="22" spans="1:152">
      <c r="A22" s="46">
        <v>13</v>
      </c>
      <c r="B22" s="47" t="str">
        <f t="shared" si="27"/>
        <v>Wed</v>
      </c>
      <c r="C22" s="48" t="str">
        <f t="shared" si="28"/>
        <v>Jun 19, 2024</v>
      </c>
      <c r="D22" s="49">
        <f t="shared" si="29"/>
        <v>0.41666666666666669</v>
      </c>
      <c r="E22" s="50" t="str">
        <f>BD16</f>
        <v>Croatia</v>
      </c>
      <c r="F22" s="40"/>
      <c r="G22" s="41"/>
      <c r="H22" s="51" t="str">
        <f>BD17</f>
        <v>Albania</v>
      </c>
      <c r="I22" s="172" t="str">
        <f>INDEX(T,109,lang)</f>
        <v>Hamburg</v>
      </c>
      <c r="J22" s="172"/>
      <c r="K22" s="172"/>
      <c r="L22" s="57"/>
      <c r="M22" s="57"/>
      <c r="O22" s="43" t="str">
        <f>VLOOKUP(2,BC20:BM23,2,0)</f>
        <v>Denmark</v>
      </c>
      <c r="P22" s="44">
        <f>Q22+R22+S22</f>
        <v>0</v>
      </c>
      <c r="Q22" s="44">
        <f>VLOOKUP(2,BC20:BM23,3,0)</f>
        <v>0</v>
      </c>
      <c r="R22" s="44">
        <f>VLOOKUP(2,BC20:BM23,4,0)</f>
        <v>0</v>
      </c>
      <c r="S22" s="44">
        <f>VLOOKUP(2,BC20:BM23,5,0)</f>
        <v>0</v>
      </c>
      <c r="T22" s="44" t="str">
        <f>VLOOKUP(2,BC20:BM23,6,0) &amp; " - " &amp; VLOOKUP(2,BC20:BM23,7,0)</f>
        <v>0 - 0</v>
      </c>
      <c r="U22" s="45">
        <f>Q22*3+R22</f>
        <v>0</v>
      </c>
      <c r="W22" s="65">
        <f>DATE(2024,6,20)+TIME(2,0,0)+gmt_delta</f>
        <v>45463.416666666672</v>
      </c>
      <c r="X22" s="67" t="str">
        <f t="shared" si="0"/>
        <v/>
      </c>
      <c r="Y22" s="67" t="str">
        <f t="shared" si="1"/>
        <v/>
      </c>
      <c r="Z22" s="66">
        <f t="shared" si="2"/>
        <v>0</v>
      </c>
      <c r="AA22" s="65">
        <f t="shared" si="3"/>
        <v>0</v>
      </c>
      <c r="AB22" s="65">
        <f t="shared" si="4"/>
        <v>0</v>
      </c>
      <c r="AC22" s="65">
        <f t="shared" si="5"/>
        <v>3</v>
      </c>
      <c r="AD22" s="65">
        <f t="shared" si="6"/>
        <v>4</v>
      </c>
      <c r="AE22" s="65">
        <f t="shared" si="7"/>
        <v>3</v>
      </c>
      <c r="AF22" s="65" t="str">
        <f t="shared" si="8"/>
        <v>343</v>
      </c>
      <c r="AG22" s="65">
        <f t="shared" si="9"/>
        <v>0</v>
      </c>
      <c r="AH22" s="65">
        <f t="shared" si="10"/>
        <v>0</v>
      </c>
      <c r="AI22" s="65">
        <f t="shared" si="11"/>
        <v>0</v>
      </c>
      <c r="AJ22" s="65" t="str">
        <f t="shared" si="12"/>
        <v>334</v>
      </c>
      <c r="AK22" s="65">
        <f t="shared" si="13"/>
        <v>0</v>
      </c>
      <c r="AL22" s="65">
        <f t="shared" si="14"/>
        <v>0</v>
      </c>
      <c r="AM22" s="65">
        <f t="shared" si="15"/>
        <v>0</v>
      </c>
      <c r="AO22" s="65" t="str">
        <f t="shared" si="16"/>
        <v>343</v>
      </c>
      <c r="AP22" s="65">
        <f t="shared" si="17"/>
        <v>0</v>
      </c>
      <c r="AQ22" s="65">
        <f t="shared" si="18"/>
        <v>0</v>
      </c>
      <c r="AR22" s="65">
        <f t="shared" si="19"/>
        <v>0</v>
      </c>
      <c r="AS22" s="65" t="str">
        <f t="shared" si="20"/>
        <v>334</v>
      </c>
      <c r="AT22" s="65">
        <f t="shared" si="21"/>
        <v>0</v>
      </c>
      <c r="AU22" s="65">
        <f t="shared" si="22"/>
        <v>0</v>
      </c>
      <c r="AV22" s="65">
        <f t="shared" si="23"/>
        <v>0</v>
      </c>
      <c r="AX22" s="65" t="str">
        <f t="shared" si="24"/>
        <v>343</v>
      </c>
      <c r="AY22" s="65">
        <v>0</v>
      </c>
      <c r="AZ22" s="65" t="str">
        <f t="shared" si="25"/>
        <v>334</v>
      </c>
      <c r="BA22" s="65">
        <v>0</v>
      </c>
      <c r="BC22" s="65">
        <f>DQ22</f>
        <v>3</v>
      </c>
      <c r="BD22" s="66" t="str">
        <f>INDEX(T,63,lang)</f>
        <v>Serbia</v>
      </c>
      <c r="BE22" s="65">
        <f>COUNTIF($X$7:$Y$42,"=" &amp; BD22 &amp; "_win")</f>
        <v>0</v>
      </c>
      <c r="BF22" s="65">
        <f>COUNTIF($X$7:$Y$42,"=" &amp; BD22 &amp; "_draw")</f>
        <v>0</v>
      </c>
      <c r="BG22" s="65">
        <f>COUNTIF($X$7:$Y$42,"=" &amp; BD22 &amp; "_lose")</f>
        <v>0</v>
      </c>
      <c r="BH22" s="65">
        <f>SUMIF($E$10:$E$45,$BD22,$F$10:$F$45) + SUMIF($H$10:$H$45,$BD22,$G$10:$G$45)</f>
        <v>0</v>
      </c>
      <c r="BI22" s="65">
        <f>SUMIF($E$10:$E$45,$BD22,$G$10:$G$45) + SUMIF($H$10:$H$45,$BD22,$F$10:$F$45)</f>
        <v>0</v>
      </c>
      <c r="BJ22" s="65">
        <f>BM22*10000</f>
        <v>0</v>
      </c>
      <c r="BK22" s="65">
        <f>BH22-BI22</f>
        <v>0</v>
      </c>
      <c r="BL22" s="65">
        <f>(BK22-BK25)/BK24</f>
        <v>0</v>
      </c>
      <c r="BM22" s="65">
        <f>BE22*3+BF22</f>
        <v>0</v>
      </c>
      <c r="BN22" s="65">
        <f>BT22/BT24*10+BU22/BU24+BX22/BX24*0.1+BV22/BV24*0.01</f>
        <v>0</v>
      </c>
      <c r="BP22" s="65">
        <f>IF(VLOOKUP(BD22,db_fifarank,2,0)="",MIN(db_fifarank),VLOOKUP(BD22,db_fifarank,2,0))</f>
        <v>27.774999999999999</v>
      </c>
      <c r="BQ22" s="65">
        <f t="shared" si="31"/>
        <v>2.1046550016507098E-2</v>
      </c>
      <c r="BR22" s="66">
        <f>10000000*BM22/BM24+100000*BN22/BN24+100*BL22+10*BH22/BH24+1*BN22/BN24+BQ22</f>
        <v>2.1046550016507098E-2</v>
      </c>
      <c r="BS22" s="66" t="str">
        <f>IF(SUM(BE20:BG23)&gt;0,O23,"3C")</f>
        <v>3C</v>
      </c>
      <c r="BT22" s="65">
        <f>SUMPRODUCT(($X$7:$X$42=BD22&amp;"_win")*($Z$7:$Z$42))+SUMPRODUCT(($Y$7:$Y$42=BD22&amp;"_win")*($Z$7:$Z$42))</f>
        <v>0</v>
      </c>
      <c r="BU22" s="65">
        <f>SUMPRODUCT(($X$7:$X$42=BD22&amp;"_draw")*($Z$7:$Z$42))+SUMPRODUCT(($Y$7:$Y$42=BD22&amp;"_draw")*($Z$7:$Z$42))</f>
        <v>0</v>
      </c>
      <c r="BV22" s="65">
        <f>SUMPRODUCT(($E$10:$E$45=BD22)*($Z$7:$Z$42)*($F$10:$F$45))+SUMPRODUCT(($H$10:$H$45=BD22)*($Z$7:$Z$42)*($G$10:$G$45))</f>
        <v>0</v>
      </c>
      <c r="BW22" s="65">
        <f>SUMPRODUCT(($E$10:$E$45=BD22)*($Z$7:$Z$42)*($G$10:$G$45))+SUMPRODUCT(($H$10:$H$45=BD22)*($Z$7:$Z$42)*($F$10:$F$45))</f>
        <v>0</v>
      </c>
      <c r="BX22" s="65">
        <f>BV22-BW22</f>
        <v>0</v>
      </c>
      <c r="BY22" s="66" t="str">
        <f>BD28</f>
        <v>Austria</v>
      </c>
      <c r="BZ22" s="66">
        <v>4</v>
      </c>
      <c r="CA22" s="66">
        <v>3</v>
      </c>
      <c r="CC22" s="65">
        <f>IFERROR(VLOOKUP("331",$AF$7:$AI$42,2,0),0) + IFERROR(VLOOKUP("331",$AJ$7:$AM$42,2,0),0)</f>
        <v>0</v>
      </c>
      <c r="CD22" s="65">
        <f>IFERROR(VLOOKUP("332",$AF$7:$AI$42,2,0),0) + IFERROR(VLOOKUP("332",$AJ$7:$AM$42,2,0),0)</f>
        <v>0</v>
      </c>
      <c r="CF22" s="65">
        <f>IFERROR(VLOOKUP("334",$AF$7:$AI$42,2,0),0) + IFERROR(VLOOKUP("334",$AJ$7:$AM$42,2,0),0)</f>
        <v>0</v>
      </c>
      <c r="CG22" s="66">
        <f>SUM(CC22:CF22)</f>
        <v>0</v>
      </c>
      <c r="CH22" s="65">
        <f>IFERROR(VLOOKUP("331",$AF$7:$AI$42,3,0),0) + IFERROR(VLOOKUP("331",$AJ$7:$AM$42,3,0),0)</f>
        <v>0</v>
      </c>
      <c r="CI22" s="65">
        <f>IFERROR(VLOOKUP("332",$AF$7:$AI$42,3,0),0) + IFERROR(VLOOKUP("332",$AJ$7:$AM$42,3,0),0)</f>
        <v>0</v>
      </c>
      <c r="CK22" s="65">
        <f>IFERROR(VLOOKUP("334",$AF$7:$AI$42,3,0),0) + IFERROR(VLOOKUP("334",$AJ$7:$AM$42,3,0),0)</f>
        <v>0</v>
      </c>
      <c r="CL22" s="66">
        <f>SUM(CH22:CK22)</f>
        <v>0</v>
      </c>
      <c r="CM22" s="66">
        <f>RANK(CL22,CL20:CL23)</f>
        <v>1</v>
      </c>
      <c r="CN22" s="65">
        <f>IFERROR(VLOOKUP("331",$AF$7:$AI$42,4,0),0) + IFERROR(VLOOKUP("331",$AJ$7:$AM$42,4,0),0)</f>
        <v>0</v>
      </c>
      <c r="CO22" s="65">
        <f>IFERROR(VLOOKUP("332",$AF$7:$AI$42,4,0),0) + IFERROR(VLOOKUP("332",$AJ$7:$AM$42,4,0),0)</f>
        <v>0</v>
      </c>
      <c r="CQ22" s="65">
        <f>IFERROR(VLOOKUP("334",$AF$7:$AI$42,4,0),0) + IFERROR(VLOOKUP("334",$AJ$7:$AM$42,4,0),0)</f>
        <v>0</v>
      </c>
      <c r="CR22" s="66">
        <f>SUM(CN22:CQ22)</f>
        <v>0</v>
      </c>
      <c r="CS22" s="65">
        <f>IF(CC24=CG22,CC22,0)</f>
        <v>0</v>
      </c>
      <c r="CT22" s="65">
        <f>IF(CD24=CG22,CD22,0)</f>
        <v>0</v>
      </c>
      <c r="CV22" s="65">
        <f>IF(CF24=CG22,CF22,0)</f>
        <v>0</v>
      </c>
      <c r="CW22" s="66">
        <f>SUM(CS22:CV22)</f>
        <v>0</v>
      </c>
      <c r="CX22" s="65">
        <f>IF(CC24=CG22,CH22,0)</f>
        <v>0</v>
      </c>
      <c r="CY22" s="65">
        <f>IF(CD24=CG22,CI22,0)</f>
        <v>0</v>
      </c>
      <c r="DA22" s="65">
        <f>IF(CF24=CG22,CK22,0)</f>
        <v>0</v>
      </c>
      <c r="DB22" s="66">
        <f>SUM(CX22:DA22)</f>
        <v>0</v>
      </c>
      <c r="DC22" s="66">
        <f>RANK(DB22,DB20:DB23)</f>
        <v>1</v>
      </c>
      <c r="DD22" s="65">
        <f>IF(CC24=CG22,CN22,0)</f>
        <v>0</v>
      </c>
      <c r="DE22" s="65">
        <f>IF(CD24=CG22,CO22,0)</f>
        <v>0</v>
      </c>
      <c r="DG22" s="65">
        <f>IF(CF24=CG22,CQ22,0)</f>
        <v>0</v>
      </c>
      <c r="DH22" s="66">
        <f>SUM(DD22:DG22)</f>
        <v>0</v>
      </c>
      <c r="DI22" s="66">
        <f>CG22*10000+CW22*100+(5-DC22)+DH22/10</f>
        <v>4</v>
      </c>
      <c r="DJ22" s="66">
        <f>RANK(DI22,DI20:DI23)</f>
        <v>1</v>
      </c>
      <c r="DK22" s="65">
        <f>IF(DK24=DJ22,CC22,0)</f>
        <v>0</v>
      </c>
      <c r="DL22" s="65">
        <f>IF(DL24=DJ22,CD22,0)</f>
        <v>0</v>
      </c>
      <c r="DN22" s="65">
        <f>IF(DN24=DJ22,CF22,0)</f>
        <v>0</v>
      </c>
      <c r="DO22" s="66">
        <f>SUM(DK22:DN22)</f>
        <v>0</v>
      </c>
      <c r="DP22" s="66">
        <f>(5-DJ22)*10000+DO22*100+(5-CM22)+CR22/10+(5-DX22)/100+BQ22/10000</f>
        <v>40004.040002104659</v>
      </c>
      <c r="DQ22" s="66">
        <f>RANK(DP22,DP20:DP23)</f>
        <v>3</v>
      </c>
      <c r="DS22" s="65">
        <f>IFERROR(VLOOKUP("331",$AX$7:$AY$42,2,0),0) + IFERROR(VLOOKUP("331",$AZ$7:$BA$42,2,0),0)</f>
        <v>0</v>
      </c>
      <c r="DT22" s="65">
        <f>IFERROR(VLOOKUP("332",$AX$7:$AY$42,2,0),0) + IFERROR(VLOOKUP("332",$AZ$7:$BA$42,2,0),0)</f>
        <v>0</v>
      </c>
      <c r="DV22" s="65">
        <f>IFERROR(VLOOKUP("334",$AX$7:$AY$42,2,0),0) + IFERROR(VLOOKUP("334",$AZ$7:$BA$42,2,0),0)</f>
        <v>0</v>
      </c>
      <c r="DW22" s="66">
        <f>SUM(DS22:DV22)</f>
        <v>0</v>
      </c>
      <c r="DX22" s="66">
        <f>RANK(DW22,DW20:DW23)</f>
        <v>1</v>
      </c>
      <c r="DZ22" s="66" t="str">
        <f>BD22</f>
        <v>Serbia</v>
      </c>
      <c r="EA22" s="66">
        <f>EI22*10000+EO22*100+ET22</f>
        <v>100</v>
      </c>
      <c r="EB22" s="65">
        <f>COUNTIF(EA20:EA23,EA22)</f>
        <v>4</v>
      </c>
      <c r="EC22" s="65">
        <f>COUNTIF(CG20:CG23,CG22)</f>
        <v>4</v>
      </c>
      <c r="ED22" s="66">
        <f>IF(AND(EB22&gt;=2,EC22=2),EA22,-EA22-0.2)</f>
        <v>-100.2</v>
      </c>
      <c r="EE22" s="65">
        <f>IFERROR(VLOOKUP("331",$AO$7:$AR$42,2,0),0) + IFERROR(VLOOKUP("331",$AS$7:$AV$42,2,0),0)</f>
        <v>0</v>
      </c>
      <c r="EF22" s="65">
        <f>IFERROR(VLOOKUP("332",$AO$7:$AR$42,2,0),0) + IFERROR(VLOOKUP("332",$AS$7:$AV$42,2,0),0)</f>
        <v>0</v>
      </c>
      <c r="EH22" s="65">
        <f>IFERROR(VLOOKUP("334",$AO$7:$AR$42,2,0),0) + IFERROR(VLOOKUP("334",$AS$7:$AV$42,2,0),0)</f>
        <v>0</v>
      </c>
      <c r="EI22" s="66">
        <f>SUM(EE22:EH22)</f>
        <v>0</v>
      </c>
      <c r="EJ22" s="65">
        <f>IFERROR(VLOOKUP("331",$AO$7:$AR$42,3,0),0) + IFERROR(VLOOKUP("331",$AS$7:$AV$42,3,0),0)</f>
        <v>0</v>
      </c>
      <c r="EK22" s="65">
        <f>IFERROR(VLOOKUP("332",$AO$7:$AR$42,3,0),0) + IFERROR(VLOOKUP("332",$AS$7:$AV$42,3,0),0)</f>
        <v>0</v>
      </c>
      <c r="EM22" s="65">
        <f>IFERROR(VLOOKUP("334",$AO$7:$AR$42,3,0),0) + IFERROR(VLOOKUP("334",$AS$7:$AV$42,3,0),0)</f>
        <v>0</v>
      </c>
      <c r="EN22" s="66">
        <f>SUM(EJ22:EM22)</f>
        <v>0</v>
      </c>
      <c r="EO22" s="66">
        <f>RANK(EN22,EN20:EN23)</f>
        <v>1</v>
      </c>
      <c r="EP22" s="65">
        <f>IFERROR(VLOOKUP("331",$AO$7:$AR$42,4,0),0) + IFERROR(VLOOKUP("331",$AS$7:$AV$42,4,0),0)</f>
        <v>0</v>
      </c>
      <c r="EQ22" s="65">
        <f>IFERROR(VLOOKUP("332",$AO$7:$AR$42,4,0),0) + IFERROR(VLOOKUP("332",$AS$7:$AV$42,4,0),0)</f>
        <v>0</v>
      </c>
      <c r="ES22" s="65">
        <f>IFERROR(VLOOKUP("334",$AO$7:$AR$42,4,0),0) + IFERROR(VLOOKUP("334",$AS$7:$AV$42,4,0),0)</f>
        <v>0</v>
      </c>
      <c r="ET22" s="66">
        <f>SUM(EP22:ES22)</f>
        <v>0</v>
      </c>
      <c r="EV22" s="175"/>
    </row>
    <row r="23" spans="1:152">
      <c r="A23" s="46">
        <v>14</v>
      </c>
      <c r="B23" s="47" t="str">
        <f t="shared" si="27"/>
        <v>Wed</v>
      </c>
      <c r="C23" s="48" t="str">
        <f t="shared" si="28"/>
        <v>Jun 19, 2024</v>
      </c>
      <c r="D23" s="49">
        <f t="shared" si="29"/>
        <v>0.54166666666666663</v>
      </c>
      <c r="E23" s="50" t="str">
        <f>BD8</f>
        <v>Germany</v>
      </c>
      <c r="F23" s="40"/>
      <c r="G23" s="41"/>
      <c r="H23" s="51" t="str">
        <f>BD11</f>
        <v>Hungary</v>
      </c>
      <c r="I23" s="172" t="str">
        <f>INDEX(T,105,lang)</f>
        <v>Stuttgart</v>
      </c>
      <c r="J23" s="172"/>
      <c r="K23" s="172"/>
      <c r="L23" s="29"/>
      <c r="M23" s="29"/>
      <c r="O23" s="43" t="str">
        <f>VLOOKUP(3,BC20:BM23,2,0)</f>
        <v>Serbia</v>
      </c>
      <c r="P23" s="44">
        <f>Q23+R23+S23</f>
        <v>0</v>
      </c>
      <c r="Q23" s="44">
        <f>VLOOKUP(3,BC20:BM23,3,0)</f>
        <v>0</v>
      </c>
      <c r="R23" s="44">
        <f>VLOOKUP(3,BC20:BM23,4,0)</f>
        <v>0</v>
      </c>
      <c r="S23" s="44">
        <f>VLOOKUP(3,BC20:BM23,5,0)</f>
        <v>0</v>
      </c>
      <c r="T23" s="44" t="str">
        <f>VLOOKUP(3,BC20:BM23,6,0) &amp; " - " &amp; VLOOKUP(3,BC20:BM23,7,0)</f>
        <v>0 - 0</v>
      </c>
      <c r="U23" s="45">
        <f>Q23*3+R23</f>
        <v>0</v>
      </c>
      <c r="W23" s="65">
        <f>DATE(2024,6,20)+TIME(5,0,0)+gmt_delta</f>
        <v>45463.541666666672</v>
      </c>
      <c r="X23" s="67" t="str">
        <f t="shared" si="0"/>
        <v/>
      </c>
      <c r="Y23" s="67" t="str">
        <f t="shared" si="1"/>
        <v/>
      </c>
      <c r="Z23" s="66">
        <f t="shared" si="2"/>
        <v>0</v>
      </c>
      <c r="AA23" s="65">
        <f t="shared" si="3"/>
        <v>0</v>
      </c>
      <c r="AB23" s="65">
        <f t="shared" si="4"/>
        <v>0</v>
      </c>
      <c r="AC23" s="65">
        <f t="shared" si="5"/>
        <v>3</v>
      </c>
      <c r="AD23" s="65">
        <f t="shared" si="6"/>
        <v>2</v>
      </c>
      <c r="AE23" s="65">
        <f t="shared" si="7"/>
        <v>1</v>
      </c>
      <c r="AF23" s="65" t="str">
        <f t="shared" si="8"/>
        <v>321</v>
      </c>
      <c r="AG23" s="65">
        <f t="shared" si="9"/>
        <v>0</v>
      </c>
      <c r="AH23" s="65">
        <f t="shared" si="10"/>
        <v>0</v>
      </c>
      <c r="AI23" s="65">
        <f t="shared" si="11"/>
        <v>0</v>
      </c>
      <c r="AJ23" s="65" t="str">
        <f t="shared" si="12"/>
        <v>312</v>
      </c>
      <c r="AK23" s="65">
        <f t="shared" si="13"/>
        <v>0</v>
      </c>
      <c r="AL23" s="65">
        <f t="shared" si="14"/>
        <v>0</v>
      </c>
      <c r="AM23" s="65">
        <f t="shared" si="15"/>
        <v>0</v>
      </c>
      <c r="AO23" s="65" t="str">
        <f t="shared" si="16"/>
        <v>321</v>
      </c>
      <c r="AP23" s="65">
        <f t="shared" si="17"/>
        <v>0</v>
      </c>
      <c r="AQ23" s="65">
        <f t="shared" si="18"/>
        <v>0</v>
      </c>
      <c r="AR23" s="65">
        <f t="shared" si="19"/>
        <v>0</v>
      </c>
      <c r="AS23" s="65" t="str">
        <f t="shared" si="20"/>
        <v>312</v>
      </c>
      <c r="AT23" s="65">
        <f t="shared" si="21"/>
        <v>0</v>
      </c>
      <c r="AU23" s="65">
        <f t="shared" si="22"/>
        <v>0</v>
      </c>
      <c r="AV23" s="65">
        <f t="shared" si="23"/>
        <v>0</v>
      </c>
      <c r="AX23" s="65" t="str">
        <f t="shared" si="24"/>
        <v>321</v>
      </c>
      <c r="AY23" s="65">
        <v>0</v>
      </c>
      <c r="AZ23" s="65" t="str">
        <f t="shared" si="25"/>
        <v>312</v>
      </c>
      <c r="BA23" s="65">
        <v>0</v>
      </c>
      <c r="BC23" s="65">
        <f>DQ23</f>
        <v>4</v>
      </c>
      <c r="BD23" s="66" t="str">
        <f>INDEX(T,53,lang)</f>
        <v>Slovenia</v>
      </c>
      <c r="BE23" s="65">
        <f>COUNTIF($X$7:$Y$42,"=" &amp; BD23 &amp; "_win")</f>
        <v>0</v>
      </c>
      <c r="BF23" s="65">
        <f>COUNTIF($X$7:$Y$42,"=" &amp; BD23 &amp; "_draw")</f>
        <v>0</v>
      </c>
      <c r="BG23" s="65">
        <f>COUNTIF($X$7:$Y$42,"=" &amp; BD23 &amp; "_lose")</f>
        <v>0</v>
      </c>
      <c r="BH23" s="65">
        <f>SUMIF($E$10:$E$45,$BD23,$F$10:$F$45) + SUMIF($H$10:$H$45,$BD23,$G$10:$G$45)</f>
        <v>0</v>
      </c>
      <c r="BI23" s="65">
        <f>SUMIF($E$10:$E$45,$BD23,$G$10:$G$45) + SUMIF($H$10:$H$45,$BD23,$F$10:$F$45)</f>
        <v>0</v>
      </c>
      <c r="BJ23" s="65">
        <f>BM23*10000</f>
        <v>0</v>
      </c>
      <c r="BK23" s="65">
        <f>BH23-BI23</f>
        <v>0</v>
      </c>
      <c r="BL23" s="65">
        <f>(BK23-BK25)/BK24</f>
        <v>0</v>
      </c>
      <c r="BM23" s="65">
        <f>BE23*3+BF23</f>
        <v>0</v>
      </c>
      <c r="BN23" s="65">
        <f>BT23/BT24*10+BU23/BU24+BX23/BX24*0.1+BV23/BV24*0.01</f>
        <v>0</v>
      </c>
      <c r="BP23" s="65">
        <f>IF(VLOOKUP(BD23,db_fifarank,2,0)="",MIN(db_fifarank),VLOOKUP(BD23,db_fifarank,2,0))</f>
        <v>13.25</v>
      </c>
      <c r="BQ23" s="65">
        <f t="shared" si="31"/>
        <v>6.0612000660283929E-3</v>
      </c>
      <c r="BR23" s="66">
        <f>10000000*BM23/BM24+100000*BN23/BN24+100*BL23+10*BH23/BH24+1*BN23/BN24+BQ23</f>
        <v>6.0612000660283929E-3</v>
      </c>
      <c r="BT23" s="65">
        <f>SUMPRODUCT(($X$7:$X$42=BD23&amp;"_win")*($Z$7:$Z$42))+SUMPRODUCT(($Y$7:$Y$42=BD23&amp;"_win")*($Z$7:$Z$42))</f>
        <v>0</v>
      </c>
      <c r="BU23" s="65">
        <f>SUMPRODUCT(($X$7:$X$42=BD23&amp;"_draw")*($Z$7:$Z$42))+SUMPRODUCT(($Y$7:$Y$42=BD23&amp;"_draw")*($Z$7:$Z$42))</f>
        <v>0</v>
      </c>
      <c r="BV23" s="65">
        <f>SUMPRODUCT(($E$10:$E$45=BD23)*($Z$7:$Z$42)*($F$10:$F$45))+SUMPRODUCT(($H$10:$H$45=BD23)*($Z$7:$Z$42)*($G$10:$G$45))</f>
        <v>0</v>
      </c>
      <c r="BW23" s="65">
        <f>SUMPRODUCT(($E$10:$E$45=BD23)*($Z$7:$Z$42)*($G$10:$G$45))+SUMPRODUCT(($H$10:$H$45=BD23)*($Z$7:$Z$42)*($F$10:$F$45))</f>
        <v>0</v>
      </c>
      <c r="BX23" s="65">
        <f>BV23-BW23</f>
        <v>0</v>
      </c>
      <c r="BY23" s="66" t="str">
        <f>BD29</f>
        <v>Poland</v>
      </c>
      <c r="BZ23" s="66">
        <v>4</v>
      </c>
      <c r="CA23" s="66">
        <v>4</v>
      </c>
      <c r="CC23" s="65">
        <f>IFERROR(VLOOKUP("341",$AF$7:$AI$42,2,0),0) + IFERROR(VLOOKUP("341",$AJ$7:$AM$42,2,0),0)</f>
        <v>0</v>
      </c>
      <c r="CD23" s="65">
        <f>IFERROR(VLOOKUP("342",$AF$7:$AI$42,2,0),0) + IFERROR(VLOOKUP("342",$AJ$7:$AM$42,2,0),0)</f>
        <v>0</v>
      </c>
      <c r="CE23" s="65">
        <f>IFERROR(VLOOKUP("343",$AF$7:$AI$42,2,0),0) + IFERROR(VLOOKUP("343",$AJ$7:$AM$42,2,0),0)</f>
        <v>0</v>
      </c>
      <c r="CG23" s="66">
        <f>SUM(CC23:CF23)</f>
        <v>0</v>
      </c>
      <c r="CH23" s="65">
        <f>IFERROR(VLOOKUP("341",$AF$7:$AI$42,3,0),0) + IFERROR(VLOOKUP("341",$AJ$7:$AM$42,3,0),0)</f>
        <v>0</v>
      </c>
      <c r="CI23" s="65">
        <f>IFERROR(VLOOKUP("342",$AF$7:$AI$42,3,0),0) + IFERROR(VLOOKUP("342",$AJ$7:$AM$42,3,0),0)</f>
        <v>0</v>
      </c>
      <c r="CJ23" s="65">
        <f>IFERROR(VLOOKUP("343",$AF$7:$AI$42,3,0),0) + IFERROR(VLOOKUP("343",$AJ$7:$AM$42,3,0),0)</f>
        <v>0</v>
      </c>
      <c r="CL23" s="66">
        <f>SUM(CH23:CK23)</f>
        <v>0</v>
      </c>
      <c r="CM23" s="66">
        <f>RANK(CL23,CL20:CL23)</f>
        <v>1</v>
      </c>
      <c r="CN23" s="65">
        <f>IFERROR(VLOOKUP("341",$AF$7:$AI$42,4,0),0) + IFERROR(VLOOKUP("341",$AJ$7:$AM$42,4,0),0)</f>
        <v>0</v>
      </c>
      <c r="CO23" s="65">
        <f>IFERROR(VLOOKUP("342",$AF$7:$AI$42,4,0),0) + IFERROR(VLOOKUP("342",$AJ$7:$AM$42,4,0),0)</f>
        <v>0</v>
      </c>
      <c r="CP23" s="65">
        <f>IFERROR(VLOOKUP("343",$AF$7:$AI$42,4,0),0) + IFERROR(VLOOKUP("343",$AJ$7:$AM$42,4,0),0)</f>
        <v>0</v>
      </c>
      <c r="CR23" s="66">
        <f>SUM(CN23:CQ23)</f>
        <v>0</v>
      </c>
      <c r="CS23" s="65">
        <f>IF(CC24=CG23,CC23,0)</f>
        <v>0</v>
      </c>
      <c r="CT23" s="65">
        <f>IF(CD24=CG23,CD23,0)</f>
        <v>0</v>
      </c>
      <c r="CU23" s="65">
        <f>IF(CE24=CG23,CE23,0)</f>
        <v>0</v>
      </c>
      <c r="CW23" s="66">
        <f>SUM(CS23:CV23)</f>
        <v>0</v>
      </c>
      <c r="CX23" s="65">
        <f>IF(CC24=CG23,CH23,0)</f>
        <v>0</v>
      </c>
      <c r="CY23" s="65">
        <f>IF(CD24=CG23,CI23,0)</f>
        <v>0</v>
      </c>
      <c r="CZ23" s="65">
        <f>IF(CE24=CG23,CJ23,0)</f>
        <v>0</v>
      </c>
      <c r="DB23" s="66">
        <f>SUM(CX23:DA23)</f>
        <v>0</v>
      </c>
      <c r="DC23" s="66">
        <f>RANK(DB23,DB20:DB23)</f>
        <v>1</v>
      </c>
      <c r="DD23" s="65">
        <f>IF(CC24=CG23,CN23,0)</f>
        <v>0</v>
      </c>
      <c r="DE23" s="65">
        <f>IF(CD24=CG23,CO23,0)</f>
        <v>0</v>
      </c>
      <c r="DF23" s="65">
        <f>IF(CE24=CG23,CP23,0)</f>
        <v>0</v>
      </c>
      <c r="DH23" s="66">
        <f>SUM(DD23:DG23)</f>
        <v>0</v>
      </c>
      <c r="DI23" s="66">
        <f>CG23*10000+CW23*100+(5-DC23)+DH23/10</f>
        <v>4</v>
      </c>
      <c r="DJ23" s="66">
        <f>RANK(DI23,DI20:DI23)</f>
        <v>1</v>
      </c>
      <c r="DK23" s="65">
        <f>IF(DK24=DJ23,CC23,0)</f>
        <v>0</v>
      </c>
      <c r="DL23" s="65">
        <f>IF(DL24=DJ23,CD23,0)</f>
        <v>0</v>
      </c>
      <c r="DM23" s="65">
        <f>IF(DM24=DJ23,CE23,0)</f>
        <v>0</v>
      </c>
      <c r="DO23" s="66">
        <f>SUM(DK23:DN23)</f>
        <v>0</v>
      </c>
      <c r="DP23" s="66">
        <f>(5-DJ23)*10000+DO23*100+(5-CM23)+CR23/10+(5-DX23)/100+BQ23/10000</f>
        <v>40004.040000606117</v>
      </c>
      <c r="DQ23" s="66">
        <f>RANK(DP23,DP20:DP23)</f>
        <v>4</v>
      </c>
      <c r="DS23" s="65">
        <f>IFERROR(VLOOKUP("341",$AX$7:$AY$42,2,0),0) + IFERROR(VLOOKUP("341",$AZ$7:$BA$42,2,0),0)</f>
        <v>0</v>
      </c>
      <c r="DT23" s="65">
        <f>IFERROR(VLOOKUP("342",$AX$7:$AY$42,2,0),0) + IFERROR(VLOOKUP("342",$AZ$7:$BA$42,2,0),0)</f>
        <v>0</v>
      </c>
      <c r="DU23" s="65">
        <f>IFERROR(VLOOKUP("343",$AX$7:$AY$42,2,0),0) + IFERROR(VLOOKUP("343",$AZ$7:$BA$42,2,0),0)</f>
        <v>0</v>
      </c>
      <c r="DW23" s="66">
        <f>SUM(DS23:DV23)</f>
        <v>0</v>
      </c>
      <c r="DX23" s="66">
        <f>RANK(DW23,DW20:DW23)</f>
        <v>1</v>
      </c>
      <c r="DZ23" s="66" t="str">
        <f>BD23</f>
        <v>Slovenia</v>
      </c>
      <c r="EA23" s="66">
        <f>EI23*10000+EO23*100+ET23</f>
        <v>100</v>
      </c>
      <c r="EB23" s="65">
        <f>COUNTIF(EA20:EA23,EA23)</f>
        <v>4</v>
      </c>
      <c r="EC23" s="65">
        <f>COUNTIF(CG20:CG23,CG23)</f>
        <v>4</v>
      </c>
      <c r="ED23" s="66">
        <f>IF(AND(EB23&gt;=2,EC23=2),EA23,-EA23-0.1)</f>
        <v>-100.1</v>
      </c>
      <c r="EE23" s="65">
        <f>IFERROR(VLOOKUP("341",$AO$7:$AR$42,2,0),0) + IFERROR(VLOOKUP("341",$AS$7:$AV$42,2,0),0)</f>
        <v>0</v>
      </c>
      <c r="EF23" s="65">
        <f>IFERROR(VLOOKUP("342",$AO$7:$AR$42,2,0),0) + IFERROR(VLOOKUP("342",$AS$7:$AV$42,2,0),0)</f>
        <v>0</v>
      </c>
      <c r="EG23" s="65">
        <f>IFERROR(VLOOKUP("343",$AO$7:$AR$42,2,0),0) + IFERROR(VLOOKUP("343",$AS$7:$AV$42,2,0),0)</f>
        <v>0</v>
      </c>
      <c r="EI23" s="66">
        <f>SUM(EE23:EH23)</f>
        <v>0</v>
      </c>
      <c r="EJ23" s="65">
        <f>IFERROR(VLOOKUP("341",$AO$7:$AR$42,3,0),0) + IFERROR(VLOOKUP("341",$AS$7:$AV$42,3,0),0)</f>
        <v>0</v>
      </c>
      <c r="EK23" s="65">
        <f>IFERROR(VLOOKUP("342",$AO$7:$AR$42,3,0),0) + IFERROR(VLOOKUP("342",$AS$7:$AV$42,3,0),0)</f>
        <v>0</v>
      </c>
      <c r="EL23" s="65">
        <f>IFERROR(VLOOKUP("343",$AO$7:$AR$42,3,0),0) + IFERROR(VLOOKUP("343",$AS$7:$AV$42,3,0),0)</f>
        <v>0</v>
      </c>
      <c r="EN23" s="66">
        <f>SUM(EJ23:EM23)</f>
        <v>0</v>
      </c>
      <c r="EO23" s="66">
        <f>RANK(EN23,EN20:EN23)</f>
        <v>1</v>
      </c>
      <c r="EP23" s="65">
        <f>IFERROR(VLOOKUP("341",$AO$7:$AR$42,4,0),0) + IFERROR(VLOOKUP("341",$AS$7:$AV$42,4,0),0)</f>
        <v>0</v>
      </c>
      <c r="EQ23" s="65">
        <f>IFERROR(VLOOKUP("342",$AO$7:$AR$42,4,0),0) + IFERROR(VLOOKUP("342",$AS$7:$AV$42,4,0),0)</f>
        <v>0</v>
      </c>
      <c r="ER23" s="65">
        <f>IFERROR(VLOOKUP("343",$AO$7:$AR$42,4,0),0) + IFERROR(VLOOKUP("343",$AS$7:$AV$42,4,0),0)</f>
        <v>0</v>
      </c>
      <c r="ET23" s="66">
        <f>SUM(EP23:ES23)</f>
        <v>0</v>
      </c>
      <c r="EV23" s="175"/>
    </row>
    <row r="24" spans="1:152">
      <c r="A24" s="46">
        <v>15</v>
      </c>
      <c r="B24" s="47" t="str">
        <f t="shared" si="27"/>
        <v>Wed</v>
      </c>
      <c r="C24" s="48" t="str">
        <f t="shared" si="28"/>
        <v>Jun 19, 2024</v>
      </c>
      <c r="D24" s="49">
        <f t="shared" si="29"/>
        <v>0.66666666666666663</v>
      </c>
      <c r="E24" s="50" t="str">
        <f>BD9</f>
        <v>Scotland</v>
      </c>
      <c r="F24" s="40"/>
      <c r="G24" s="41"/>
      <c r="H24" s="51" t="str">
        <f>BD10</f>
        <v>Switzerland</v>
      </c>
      <c r="I24" s="172" t="str">
        <f>INDEX(T,104,lang)</f>
        <v>Cologne</v>
      </c>
      <c r="J24" s="172"/>
      <c r="K24" s="172"/>
      <c r="L24" s="29"/>
      <c r="M24" s="29"/>
      <c r="O24" s="54" t="str">
        <f>VLOOKUP(4,BC20:BM23,2,0)</f>
        <v>Slovenia</v>
      </c>
      <c r="P24" s="55">
        <f>Q24+R24+S24</f>
        <v>0</v>
      </c>
      <c r="Q24" s="55">
        <f>VLOOKUP(4,BC20:BM23,3,0)</f>
        <v>0</v>
      </c>
      <c r="R24" s="55">
        <f>VLOOKUP(4,BC20:BM23,4,0)</f>
        <v>0</v>
      </c>
      <c r="S24" s="55">
        <f>VLOOKUP(4,BC20:BM23,5,0)</f>
        <v>0</v>
      </c>
      <c r="T24" s="55" t="str">
        <f>VLOOKUP(4,BC20:BM23,6,0) &amp; " - " &amp; VLOOKUP(4,BC20:BM23,7,0)</f>
        <v>0 - 0</v>
      </c>
      <c r="U24" s="56">
        <f>Q24*3+R24</f>
        <v>0</v>
      </c>
      <c r="W24" s="65">
        <f>DATE(2024,6,20)+TIME(8,0,0)+gmt_delta</f>
        <v>45463.666666666672</v>
      </c>
      <c r="X24" s="67" t="str">
        <f t="shared" si="0"/>
        <v/>
      </c>
      <c r="Y24" s="67" t="str">
        <f t="shared" si="1"/>
        <v/>
      </c>
      <c r="Z24" s="66">
        <f t="shared" si="2"/>
        <v>0</v>
      </c>
      <c r="AA24" s="65">
        <f t="shared" si="3"/>
        <v>0</v>
      </c>
      <c r="AB24" s="65">
        <f t="shared" si="4"/>
        <v>0</v>
      </c>
      <c r="AC24" s="65">
        <f t="shared" si="5"/>
        <v>2</v>
      </c>
      <c r="AD24" s="65">
        <f t="shared" si="6"/>
        <v>1</v>
      </c>
      <c r="AE24" s="65">
        <f t="shared" si="7"/>
        <v>2</v>
      </c>
      <c r="AF24" s="65" t="str">
        <f t="shared" si="8"/>
        <v>212</v>
      </c>
      <c r="AG24" s="65">
        <f t="shared" si="9"/>
        <v>0</v>
      </c>
      <c r="AH24" s="65">
        <f t="shared" si="10"/>
        <v>0</v>
      </c>
      <c r="AI24" s="65">
        <f t="shared" si="11"/>
        <v>0</v>
      </c>
      <c r="AJ24" s="65" t="str">
        <f t="shared" si="12"/>
        <v>221</v>
      </c>
      <c r="AK24" s="65">
        <f t="shared" si="13"/>
        <v>0</v>
      </c>
      <c r="AL24" s="65">
        <f t="shared" si="14"/>
        <v>0</v>
      </c>
      <c r="AM24" s="65">
        <f t="shared" si="15"/>
        <v>0</v>
      </c>
      <c r="AO24" s="65" t="str">
        <f t="shared" si="16"/>
        <v>212</v>
      </c>
      <c r="AP24" s="65">
        <f t="shared" si="17"/>
        <v>0</v>
      </c>
      <c r="AQ24" s="65">
        <f t="shared" si="18"/>
        <v>0</v>
      </c>
      <c r="AR24" s="65">
        <f t="shared" si="19"/>
        <v>0</v>
      </c>
      <c r="AS24" s="65" t="str">
        <f t="shared" si="20"/>
        <v>221</v>
      </c>
      <c r="AT24" s="65">
        <f t="shared" si="21"/>
        <v>0</v>
      </c>
      <c r="AU24" s="65">
        <f t="shared" si="22"/>
        <v>0</v>
      </c>
      <c r="AV24" s="65">
        <f t="shared" si="23"/>
        <v>0</v>
      </c>
      <c r="AX24" s="65" t="str">
        <f t="shared" si="24"/>
        <v>212</v>
      </c>
      <c r="AY24" s="65">
        <v>0</v>
      </c>
      <c r="AZ24" s="65" t="str">
        <f t="shared" si="25"/>
        <v>221</v>
      </c>
      <c r="BA24" s="65">
        <v>0</v>
      </c>
      <c r="BE24" s="65">
        <f>MAX(BE20:BE23)-MIN(BE20:BE23)+1</f>
        <v>1</v>
      </c>
      <c r="BF24" s="65">
        <f>MAX(BF20:BF23)-MIN(BF20:BF23)+1</f>
        <v>1</v>
      </c>
      <c r="BG24" s="65">
        <f>MAX(BG20:BG23)-MIN(BG20:BG23)+1</f>
        <v>1</v>
      </c>
      <c r="BH24" s="65">
        <f>MAX(BH20:BH23)-MIN(BH20:BH23)+1</f>
        <v>1</v>
      </c>
      <c r="BI24" s="65">
        <f>MAX(BI20:BI23)-MIN(BI20:BI23)+1</f>
        <v>1</v>
      </c>
      <c r="BJ24" s="65">
        <f>MAX(BJ20:BJ23)-BJ25+1</f>
        <v>1</v>
      </c>
      <c r="BK24" s="65">
        <f>MAX(BK20:BK23)-BK25+1</f>
        <v>1</v>
      </c>
      <c r="BM24" s="65">
        <f>MAX(BM20:BM23)-MIN(BM20:BM23)+1</f>
        <v>1</v>
      </c>
      <c r="BN24" s="65">
        <f>MAX(BN20:BN23)-MIN(BN20:BN23)+1</f>
        <v>1</v>
      </c>
      <c r="BT24" s="65">
        <f>MAX(BT20:BT23)-MIN(BT20:BT23)+1</f>
        <v>1</v>
      </c>
      <c r="BU24" s="65">
        <f>MAX(BU20:BU23)-MIN(BU20:BU23)+1</f>
        <v>1</v>
      </c>
      <c r="BV24" s="65">
        <f>MAX(BV20:BV23)-MIN(BV20:BV23)+1</f>
        <v>1</v>
      </c>
      <c r="BW24" s="65">
        <f>MAX(BW20:BW23)-MIN(BW20:BW23)+1</f>
        <v>1</v>
      </c>
      <c r="BX24" s="65">
        <f>MAX(BX20:BX23)-MIN(BX20:BX23)+1</f>
        <v>1</v>
      </c>
      <c r="BY24" s="66" t="str">
        <f>BD32</f>
        <v>Belgium</v>
      </c>
      <c r="BZ24" s="66">
        <v>5</v>
      </c>
      <c r="CA24" s="66">
        <v>1</v>
      </c>
      <c r="CC24" s="65">
        <f>CG20</f>
        <v>0</v>
      </c>
      <c r="CD24" s="65">
        <f>CG21</f>
        <v>0</v>
      </c>
      <c r="CE24" s="65">
        <f>CG22</f>
        <v>0</v>
      </c>
      <c r="CF24" s="65">
        <f>CG23</f>
        <v>0</v>
      </c>
      <c r="DK24" s="65">
        <f>DJ20</f>
        <v>1</v>
      </c>
      <c r="DL24" s="65">
        <f>DJ21</f>
        <v>1</v>
      </c>
      <c r="DM24" s="65">
        <f>DJ22</f>
        <v>1</v>
      </c>
      <c r="DN24" s="65">
        <f>DJ23</f>
        <v>1</v>
      </c>
      <c r="DO24" s="66">
        <f>SUM(DK24:DN24)</f>
        <v>4</v>
      </c>
      <c r="DS24" s="65">
        <f>DW20</f>
        <v>0</v>
      </c>
      <c r="DT24" s="65">
        <f>DW21</f>
        <v>0</v>
      </c>
      <c r="DU24" s="65">
        <f>DW22</f>
        <v>0</v>
      </c>
      <c r="DV24" s="65">
        <f>DW23</f>
        <v>0</v>
      </c>
      <c r="EE24" s="65">
        <f>EI20</f>
        <v>0</v>
      </c>
      <c r="EF24" s="65">
        <f>EI21</f>
        <v>0</v>
      </c>
      <c r="EG24" s="65">
        <f>EI22</f>
        <v>0</v>
      </c>
      <c r="EH24" s="65">
        <f>EI23</f>
        <v>0</v>
      </c>
    </row>
    <row r="25" spans="1:152">
      <c r="A25" s="46">
        <v>16</v>
      </c>
      <c r="B25" s="47" t="str">
        <f t="shared" si="27"/>
        <v>Thu</v>
      </c>
      <c r="C25" s="48" t="str">
        <f t="shared" si="28"/>
        <v>Jun 20, 2024</v>
      </c>
      <c r="D25" s="49">
        <f t="shared" si="29"/>
        <v>0.41666666666666669</v>
      </c>
      <c r="E25" s="50" t="str">
        <f>BD23</f>
        <v>Slovenia</v>
      </c>
      <c r="F25" s="40"/>
      <c r="G25" s="41"/>
      <c r="H25" s="51" t="str">
        <f>BD22</f>
        <v>Serbia</v>
      </c>
      <c r="I25" s="172" t="str">
        <f>INDEX(T,103,lang)</f>
        <v>Munich</v>
      </c>
      <c r="J25" s="172"/>
      <c r="K25" s="172"/>
      <c r="L25" s="29"/>
      <c r="M25" s="29"/>
      <c r="W25" s="65">
        <f>DATE(2024,6,21)+TIME(2,0,0)+gmt_delta</f>
        <v>45464.416666666672</v>
      </c>
      <c r="X25" s="67" t="str">
        <f t="shared" si="0"/>
        <v/>
      </c>
      <c r="Y25" s="67" t="str">
        <f t="shared" si="1"/>
        <v/>
      </c>
      <c r="Z25" s="66">
        <f t="shared" si="2"/>
        <v>0</v>
      </c>
      <c r="AA25" s="65">
        <f t="shared" si="3"/>
        <v>0</v>
      </c>
      <c r="AB25" s="65">
        <f t="shared" si="4"/>
        <v>0</v>
      </c>
      <c r="AC25" s="65">
        <f t="shared" si="5"/>
        <v>5</v>
      </c>
      <c r="AD25" s="65">
        <f t="shared" si="6"/>
        <v>4</v>
      </c>
      <c r="AE25" s="65">
        <f t="shared" si="7"/>
        <v>2</v>
      </c>
      <c r="AF25" s="65" t="str">
        <f t="shared" si="8"/>
        <v>542</v>
      </c>
      <c r="AG25" s="65">
        <f t="shared" si="9"/>
        <v>0</v>
      </c>
      <c r="AH25" s="65">
        <f t="shared" si="10"/>
        <v>0</v>
      </c>
      <c r="AI25" s="65">
        <f t="shared" si="11"/>
        <v>0</v>
      </c>
      <c r="AJ25" s="65" t="str">
        <f t="shared" si="12"/>
        <v>524</v>
      </c>
      <c r="AK25" s="65">
        <f t="shared" si="13"/>
        <v>0</v>
      </c>
      <c r="AL25" s="65">
        <f t="shared" si="14"/>
        <v>0</v>
      </c>
      <c r="AM25" s="65">
        <f t="shared" si="15"/>
        <v>0</v>
      </c>
      <c r="AO25" s="65" t="str">
        <f t="shared" si="16"/>
        <v>542</v>
      </c>
      <c r="AP25" s="65">
        <f t="shared" si="17"/>
        <v>0</v>
      </c>
      <c r="AQ25" s="65">
        <f t="shared" si="18"/>
        <v>0</v>
      </c>
      <c r="AR25" s="65">
        <f t="shared" si="19"/>
        <v>0</v>
      </c>
      <c r="AS25" s="65" t="str">
        <f t="shared" si="20"/>
        <v>524</v>
      </c>
      <c r="AT25" s="65">
        <f t="shared" si="21"/>
        <v>0</v>
      </c>
      <c r="AU25" s="65">
        <f t="shared" si="22"/>
        <v>0</v>
      </c>
      <c r="AV25" s="65">
        <f t="shared" si="23"/>
        <v>0</v>
      </c>
      <c r="AX25" s="65" t="str">
        <f t="shared" si="24"/>
        <v>542</v>
      </c>
      <c r="AY25" s="65">
        <v>0</v>
      </c>
      <c r="AZ25" s="65" t="str">
        <f t="shared" si="25"/>
        <v>524</v>
      </c>
      <c r="BA25" s="65">
        <v>0</v>
      </c>
      <c r="BJ25" s="65">
        <f>MIN(BJ20:BJ23)</f>
        <v>0</v>
      </c>
      <c r="BK25" s="65">
        <f>MIN(BK20:BK23)</f>
        <v>0</v>
      </c>
      <c r="BY25" s="66" t="str">
        <f>BD33</f>
        <v>Ukraine</v>
      </c>
      <c r="BZ25" s="66">
        <v>5</v>
      </c>
      <c r="CA25" s="66">
        <v>2</v>
      </c>
    </row>
    <row r="26" spans="1:152">
      <c r="A26" s="46">
        <v>17</v>
      </c>
      <c r="B26" s="47" t="str">
        <f t="shared" si="27"/>
        <v>Thu</v>
      </c>
      <c r="C26" s="48" t="str">
        <f t="shared" si="28"/>
        <v>Jun 20, 2024</v>
      </c>
      <c r="D26" s="49">
        <f t="shared" si="29"/>
        <v>0.54166666666666663</v>
      </c>
      <c r="E26" s="50" t="str">
        <f>BD21</f>
        <v>Denmark</v>
      </c>
      <c r="F26" s="40"/>
      <c r="G26" s="41"/>
      <c r="H26" s="51" t="str">
        <f>BD20</f>
        <v>England</v>
      </c>
      <c r="I26" s="172" t="str">
        <f>INDEX(T,106,lang)</f>
        <v>Frankfurt</v>
      </c>
      <c r="J26" s="172"/>
      <c r="K26" s="172"/>
      <c r="L26" s="29"/>
      <c r="M26" s="29"/>
      <c r="O26" s="30" t="str">
        <f>INDEX(T,9,lang) &amp; " " &amp; "D"</f>
        <v>Group D</v>
      </c>
      <c r="P26" s="31" t="str">
        <f>INDEX(T,10,lang)</f>
        <v>PL</v>
      </c>
      <c r="Q26" s="31" t="str">
        <f>INDEX(T,11,lang)</f>
        <v>W</v>
      </c>
      <c r="R26" s="31" t="str">
        <f>INDEX(T,12,lang)</f>
        <v>DRAW</v>
      </c>
      <c r="S26" s="31" t="str">
        <f>INDEX(T,13,lang)</f>
        <v>L</v>
      </c>
      <c r="T26" s="31" t="str">
        <f>INDEX(T,14,lang)</f>
        <v>GF - GA</v>
      </c>
      <c r="U26" s="31" t="str">
        <f>INDEX(T,15,lang)</f>
        <v>PNT</v>
      </c>
      <c r="W26" s="65">
        <f>DATE(2024,6,21)+TIME(5,0,0)+gmt_delta</f>
        <v>45464.541666666672</v>
      </c>
      <c r="X26" s="67" t="str">
        <f t="shared" si="0"/>
        <v/>
      </c>
      <c r="Y26" s="67" t="str">
        <f t="shared" si="1"/>
        <v/>
      </c>
      <c r="Z26" s="66">
        <f t="shared" si="2"/>
        <v>0</v>
      </c>
      <c r="AA26" s="65">
        <f t="shared" si="3"/>
        <v>0</v>
      </c>
      <c r="AB26" s="65">
        <f t="shared" si="4"/>
        <v>0</v>
      </c>
      <c r="AC26" s="65">
        <f t="shared" si="5"/>
        <v>4</v>
      </c>
      <c r="AD26" s="65">
        <f t="shared" si="6"/>
        <v>4</v>
      </c>
      <c r="AE26" s="65">
        <f t="shared" si="7"/>
        <v>3</v>
      </c>
      <c r="AF26" s="65" t="str">
        <f t="shared" si="8"/>
        <v>443</v>
      </c>
      <c r="AG26" s="65">
        <f t="shared" si="9"/>
        <v>0</v>
      </c>
      <c r="AH26" s="65">
        <f t="shared" si="10"/>
        <v>0</v>
      </c>
      <c r="AI26" s="65">
        <f t="shared" si="11"/>
        <v>0</v>
      </c>
      <c r="AJ26" s="65" t="str">
        <f t="shared" si="12"/>
        <v>434</v>
      </c>
      <c r="AK26" s="65">
        <f t="shared" si="13"/>
        <v>0</v>
      </c>
      <c r="AL26" s="65">
        <f t="shared" si="14"/>
        <v>0</v>
      </c>
      <c r="AM26" s="65">
        <f t="shared" si="15"/>
        <v>0</v>
      </c>
      <c r="AO26" s="65" t="str">
        <f t="shared" si="16"/>
        <v>443</v>
      </c>
      <c r="AP26" s="65">
        <f t="shared" si="17"/>
        <v>0</v>
      </c>
      <c r="AQ26" s="65">
        <f t="shared" si="18"/>
        <v>0</v>
      </c>
      <c r="AR26" s="65">
        <f t="shared" si="19"/>
        <v>0</v>
      </c>
      <c r="AS26" s="65" t="str">
        <f t="shared" si="20"/>
        <v>434</v>
      </c>
      <c r="AT26" s="65">
        <f t="shared" si="21"/>
        <v>0</v>
      </c>
      <c r="AU26" s="65">
        <f t="shared" si="22"/>
        <v>0</v>
      </c>
      <c r="AV26" s="65">
        <f t="shared" si="23"/>
        <v>0</v>
      </c>
      <c r="AX26" s="65" t="str">
        <f t="shared" si="24"/>
        <v>443</v>
      </c>
      <c r="AY26" s="65">
        <v>0</v>
      </c>
      <c r="AZ26" s="65" t="str">
        <f t="shared" si="25"/>
        <v>434</v>
      </c>
      <c r="BA26" s="65">
        <v>0</v>
      </c>
      <c r="BC26" s="65">
        <f>DQ26</f>
        <v>1</v>
      </c>
      <c r="BD26" s="66" t="str">
        <f>INDEX(T,62,lang)</f>
        <v>France</v>
      </c>
      <c r="BE26" s="65">
        <f>COUNTIF($X$7:$Y$42,"=" &amp; BD26 &amp; "_win")</f>
        <v>0</v>
      </c>
      <c r="BF26" s="65">
        <f>COUNTIF($X$7:$Y$42,"=" &amp; BD26 &amp; "_draw")</f>
        <v>0</v>
      </c>
      <c r="BG26" s="65">
        <f>COUNTIF($X$7:$Y$42,"=" &amp; BD26 &amp; "_lose")</f>
        <v>0</v>
      </c>
      <c r="BH26" s="65">
        <f>SUMIF($E$10:$E$45,$BD26,$F$10:$F$45) + SUMIF($H$10:$H$45,$BD26,$G$10:$G$45)</f>
        <v>0</v>
      </c>
      <c r="BI26" s="65">
        <f>SUMIF($E$10:$E$45,$BD26,$G$10:$G$45) + SUMIF($H$10:$H$45,$BD26,$F$10:$F$45)</f>
        <v>0</v>
      </c>
      <c r="BJ26" s="65">
        <f>BM26*10000</f>
        <v>0</v>
      </c>
      <c r="BK26" s="65">
        <f>BH26-BI26</f>
        <v>0</v>
      </c>
      <c r="BL26" s="65">
        <f>(BK26-BK31)/BK30</f>
        <v>0</v>
      </c>
      <c r="BM26" s="65">
        <f>BE26*3+BF26</f>
        <v>0</v>
      </c>
      <c r="BN26" s="65">
        <f>BT26/BT30*10+BU26/BU30+BX26/BX30*0.1+BV26/BV30*0.01</f>
        <v>0</v>
      </c>
      <c r="BP26" s="65">
        <f>IF(VLOOKUP(BD26,db_fifarank,2,0)="",MIN(db_fifarank),VLOOKUP(BD26,db_fifarank,2,0))</f>
        <v>66.664000000000001</v>
      </c>
      <c r="BQ26" s="65">
        <f>0.1*((BP26-$BP$44)/$BP$46-(COUNTIF($BP$8:$BP$41,BP26)-1)/(100-ROW(BP26)))</f>
        <v>6.1168083525916156E-2</v>
      </c>
      <c r="BR26" s="66">
        <f>10000000*BM26/BM30+100000*BN26/BN30+100*BL26+10*BH26/BH30+1*BN26/BN30+BQ26</f>
        <v>6.1168083525916156E-2</v>
      </c>
      <c r="BS26" s="66" t="str">
        <f>IF(SUM(BE26:BG29)=12,O27,INDEX(T,76,lang))</f>
        <v>1D</v>
      </c>
      <c r="BT26" s="65">
        <f>SUMPRODUCT(($X$7:$X$42=BD26&amp;"_win")*($Z$7:$Z$42))+SUMPRODUCT(($Y$7:$Y$42=BD26&amp;"_win")*($Z$7:$Z$42))</f>
        <v>0</v>
      </c>
      <c r="BU26" s="65">
        <f>SUMPRODUCT(($X$7:$X$42=BD26&amp;"_draw")*($Z$7:$Z$42))+SUMPRODUCT(($Y$7:$Y$42=BD26&amp;"_draw")*($Z$7:$Z$42))</f>
        <v>0</v>
      </c>
      <c r="BV26" s="65">
        <f>SUMPRODUCT(($E$10:$E$45=BD26)*($Z$7:$Z$42)*($F$10:$F$45))+SUMPRODUCT(($H$10:$H$45=BD26)*($Z$7:$Z$42)*($G$10:$G$45))</f>
        <v>0</v>
      </c>
      <c r="BW26" s="65">
        <f>SUMPRODUCT(($E$10:$E$45=BD26)*($Z$7:$Z$42)*($G$10:$G$45))+SUMPRODUCT(($H$10:$H$45=BD26)*($Z$7:$Z$42)*($F$10:$F$45))</f>
        <v>0</v>
      </c>
      <c r="BX26" s="65">
        <f>BV26-BW26</f>
        <v>0</v>
      </c>
      <c r="BY26" s="66" t="str">
        <f>BD34</f>
        <v>Romania</v>
      </c>
      <c r="BZ26" s="66">
        <v>5</v>
      </c>
      <c r="CA26" s="66">
        <v>3</v>
      </c>
      <c r="CD26" s="65">
        <f>IFERROR(VLOOKUP("412",$AF$7:$AI$42,2,0),0) + IFERROR(VLOOKUP("412",$AJ$7:$AM$42,2,0),0)</f>
        <v>0</v>
      </c>
      <c r="CE26" s="65">
        <f>IFERROR(VLOOKUP("413",$AF$7:$AI$42,2,0),0) + IFERROR(VLOOKUP("413",$AJ$7:$AM$42,2,0),0)</f>
        <v>0</v>
      </c>
      <c r="CF26" s="65">
        <f>IFERROR(VLOOKUP("414",$AF$7:$AI$42,2,0),0) + IFERROR(VLOOKUP("414",$AJ$7:$AM$42,2,0),0)</f>
        <v>0</v>
      </c>
      <c r="CG26" s="66">
        <f>SUM(CC26:CF26)</f>
        <v>0</v>
      </c>
      <c r="CI26" s="65">
        <f>IFERROR(VLOOKUP("412",$AF$7:$AI$42,3,0),0) + IFERROR(VLOOKUP("412",$AJ$7:$AM$42,3,0),0)</f>
        <v>0</v>
      </c>
      <c r="CJ26" s="65">
        <f>IFERROR(VLOOKUP("413",$AF$7:$AI$42,3,0),0) + IFERROR(VLOOKUP("413",$AJ$7:$AM$42,3,0),0)</f>
        <v>0</v>
      </c>
      <c r="CK26" s="65">
        <f>IFERROR(VLOOKUP("414",$AF$7:$AI$42,3,0),0) + IFERROR(VLOOKUP("414",$AJ$7:$AM$42,3,0),0)</f>
        <v>0</v>
      </c>
      <c r="CL26" s="66">
        <f>SUM(CH26:CK26)</f>
        <v>0</v>
      </c>
      <c r="CM26" s="66">
        <f>RANK(CL26,CL26:CL29)</f>
        <v>1</v>
      </c>
      <c r="CO26" s="65">
        <f>IFERROR(VLOOKUP("412",$AF$7:$AI$42,4,0),0) + IFERROR(VLOOKUP("412",$AJ$7:$AM$42,4,0),0)</f>
        <v>0</v>
      </c>
      <c r="CP26" s="65">
        <f>IFERROR(VLOOKUP("413",$AF$7:$AI$42,4,0),0) + IFERROR(VLOOKUP("413",$AJ$7:$AM$42,4,0),0)</f>
        <v>0</v>
      </c>
      <c r="CQ26" s="65">
        <f>IFERROR(VLOOKUP("414",$AF$7:$AI$42,4,0),0) + IFERROR(VLOOKUP("414",$AJ$7:$AM$42,4,0),0)</f>
        <v>0</v>
      </c>
      <c r="CR26" s="66">
        <f>SUM(CN26:CQ26)</f>
        <v>0</v>
      </c>
      <c r="CT26" s="65">
        <f>IF(CD30=CG26,CD26,0)</f>
        <v>0</v>
      </c>
      <c r="CU26" s="65">
        <f>IF(CE30=CG26,CE26,0)</f>
        <v>0</v>
      </c>
      <c r="CV26" s="65">
        <f>IF(CF30=CG26,CF26,0)</f>
        <v>0</v>
      </c>
      <c r="CW26" s="66">
        <f>SUM(CS26:CV26)</f>
        <v>0</v>
      </c>
      <c r="CY26" s="65">
        <f>IF(CD30=CG26,CI26,0)</f>
        <v>0</v>
      </c>
      <c r="CZ26" s="65">
        <f>IF(CE30=CG26,CJ26,0)</f>
        <v>0</v>
      </c>
      <c r="DA26" s="65">
        <f>IF(CF30=CG26,CK26,0)</f>
        <v>0</v>
      </c>
      <c r="DB26" s="66">
        <f>SUM(CX26:DA26)</f>
        <v>0</v>
      </c>
      <c r="DC26" s="66">
        <f>RANK(DB26,DB26:DB29)</f>
        <v>1</v>
      </c>
      <c r="DE26" s="65">
        <f>IF(CD30=CG26,CO26,0)</f>
        <v>0</v>
      </c>
      <c r="DF26" s="65">
        <f>IF(CE30=CG26,CP26,0)</f>
        <v>0</v>
      </c>
      <c r="DG26" s="65">
        <f>IF(CF30=CG26,CQ26,0)</f>
        <v>0</v>
      </c>
      <c r="DH26" s="66">
        <f>SUM(DD26:DG26)</f>
        <v>0</v>
      </c>
      <c r="DI26" s="66">
        <f>CG26*10000+CW26*100+(5-DC26)+DH26/10</f>
        <v>4</v>
      </c>
      <c r="DJ26" s="66">
        <f>RANK(DI26,DI26:DI29)</f>
        <v>1</v>
      </c>
      <c r="DL26" s="65">
        <f>IF(DL30=DJ26,CD26,0)</f>
        <v>0</v>
      </c>
      <c r="DM26" s="65">
        <f>IF(DM30=DJ26,CE26,0)</f>
        <v>0</v>
      </c>
      <c r="DN26" s="65">
        <f>IF(DN30=DJ26,CF26,0)</f>
        <v>0</v>
      </c>
      <c r="DO26" s="66">
        <f>SUM(DK26:DN26)</f>
        <v>0</v>
      </c>
      <c r="DP26" s="66">
        <f>(5-DJ26)*10000+DO26*100+(5-CM26)+CR26/10+(5-DX26)/100+BQ26/10000</f>
        <v>40004.040006116811</v>
      </c>
      <c r="DQ26" s="66">
        <f>RANK(DP26,DP26:DP29)</f>
        <v>1</v>
      </c>
      <c r="DT26" s="65">
        <f>IFERROR(VLOOKUP("412",$AX$7:$AY$42,2,0),0) + IFERROR(VLOOKUP("412",$AZ$7:$BA$42,2,0),0)</f>
        <v>0</v>
      </c>
      <c r="DU26" s="65">
        <f>IFERROR(VLOOKUP("413",$AX$7:$AY$42,2,0),0) + IFERROR(VLOOKUP("413",$AZ$7:$BA$42,2,0),0)</f>
        <v>0</v>
      </c>
      <c r="DV26" s="65">
        <f>IFERROR(VLOOKUP("414",$AX$7:$AY$42,2,0),0) + IFERROR(VLOOKUP("414",$AZ$7:$BA$42,2,0),0)</f>
        <v>0</v>
      </c>
      <c r="DW26" s="66">
        <f>SUM(DS26:DV26)</f>
        <v>0</v>
      </c>
      <c r="DX26" s="66">
        <f>RANK(DW26,DW26:DW29)</f>
        <v>1</v>
      </c>
      <c r="DZ26" s="66" t="str">
        <f>BD26</f>
        <v>France</v>
      </c>
      <c r="EA26" s="66">
        <f>EI26*10000+EO26*100+ET26</f>
        <v>100</v>
      </c>
      <c r="EB26" s="65">
        <f>COUNTIF(EA26:EA29,EA26)</f>
        <v>4</v>
      </c>
      <c r="EC26" s="65">
        <f>COUNTIF(CG26:CG29,CG26)</f>
        <v>4</v>
      </c>
      <c r="ED26" s="66">
        <f>IF(AND(EB26&gt;=2,EC26=2),EA26,-EA26-0.4)</f>
        <v>-100.4</v>
      </c>
      <c r="EF26" s="65">
        <f>IFERROR(VLOOKUP("412",$AO$7:$AR$42,2,0),0) + IFERROR(VLOOKUP("412",$AS$7:$AV$42,2,0),0)</f>
        <v>0</v>
      </c>
      <c r="EG26" s="65">
        <f>IFERROR(VLOOKUP("413",$AO$7:$AR$42,2,0),0) + IFERROR(VLOOKUP("413",$AS$7:$AV$42,2,0),0)</f>
        <v>0</v>
      </c>
      <c r="EH26" s="65">
        <f>IFERROR(VLOOKUP("414",$AO$7:$AR$42,2,0),0) + IFERROR(VLOOKUP("414",$AS$7:$AV$42,2,0),0)</f>
        <v>0</v>
      </c>
      <c r="EI26" s="66">
        <f>SUM(EE26:EH26)</f>
        <v>0</v>
      </c>
      <c r="EK26" s="65">
        <f>IFERROR(VLOOKUP("412",$AO$7:$AR$42,3,0),0) + IFERROR(VLOOKUP("412",$AS$7:$AV$42,3,0),0)</f>
        <v>0</v>
      </c>
      <c r="EL26" s="65">
        <f>IFERROR(VLOOKUP("413",$AO$7:$AR$42,3,0),0) + IFERROR(VLOOKUP("413",$AS$7:$AV$42,3,0),0)</f>
        <v>0</v>
      </c>
      <c r="EM26" s="65">
        <f>IFERROR(VLOOKUP("414",$AO$7:$AR$42,3,0),0) + IFERROR(VLOOKUP("414",$AS$7:$AV$42,3,0),0)</f>
        <v>0</v>
      </c>
      <c r="EN26" s="66">
        <f>SUM(EJ26:EM26)</f>
        <v>0</v>
      </c>
      <c r="EO26" s="66">
        <f>RANK(EN26,EN26:EN29)</f>
        <v>1</v>
      </c>
      <c r="EQ26" s="65">
        <f>IFERROR(VLOOKUP("412",$AO$7:$AR$42,4,0),0) + IFERROR(VLOOKUP("412",$AS$7:$AV$42,4,0),0)</f>
        <v>0</v>
      </c>
      <c r="ER26" s="65">
        <f>IFERROR(VLOOKUP("413",$AO$7:$AR$42,4,0),0) + IFERROR(VLOOKUP("413",$AS$7:$AV$42,4,0),0)</f>
        <v>0</v>
      </c>
      <c r="ES26" s="65">
        <f>IFERROR(VLOOKUP("414",$AO$7:$AR$42,4,0),0) + IFERROR(VLOOKUP("414",$AS$7:$AV$42,4,0),0)</f>
        <v>0</v>
      </c>
      <c r="ET26" s="66">
        <f>SUM(EP26:ES26)</f>
        <v>0</v>
      </c>
      <c r="EV26" s="175"/>
    </row>
    <row r="27" spans="1:152">
      <c r="A27" s="46">
        <v>18</v>
      </c>
      <c r="B27" s="47" t="str">
        <f t="shared" si="27"/>
        <v>Thu</v>
      </c>
      <c r="C27" s="48" t="str">
        <f t="shared" si="28"/>
        <v>Jun 20, 2024</v>
      </c>
      <c r="D27" s="49">
        <f t="shared" si="29"/>
        <v>0.66666666666666663</v>
      </c>
      <c r="E27" s="50" t="str">
        <f>BD14</f>
        <v>Spain</v>
      </c>
      <c r="F27" s="40"/>
      <c r="G27" s="41"/>
      <c r="H27" s="51" t="str">
        <f>BD15</f>
        <v>Italy</v>
      </c>
      <c r="I27" s="172" t="str">
        <f>INDEX(T,110,lang)</f>
        <v>Gelsenkirchen</v>
      </c>
      <c r="J27" s="172"/>
      <c r="K27" s="172"/>
      <c r="L27" s="29"/>
      <c r="M27" s="29"/>
      <c r="O27" s="32" t="str">
        <f>VLOOKUP(1,BC26:BM29,2,0)</f>
        <v>France</v>
      </c>
      <c r="P27" s="33">
        <f>Q27+R27+S27</f>
        <v>0</v>
      </c>
      <c r="Q27" s="33">
        <f>VLOOKUP(1,BC26:BM29,3,0)</f>
        <v>0</v>
      </c>
      <c r="R27" s="33">
        <f>VLOOKUP(1,BC26:BM29,4,0)</f>
        <v>0</v>
      </c>
      <c r="S27" s="33">
        <f>VLOOKUP(1,BC26:BM29,5,0)</f>
        <v>0</v>
      </c>
      <c r="T27" s="33" t="str">
        <f>VLOOKUP(1,BC26:BM29,6,0) &amp; " - " &amp; VLOOKUP(1,BC26:BM29,7,0)</f>
        <v>0 - 0</v>
      </c>
      <c r="U27" s="34">
        <f>Q27*3+R27</f>
        <v>0</v>
      </c>
      <c r="W27" s="65">
        <f>DATE(2024,6,21)+TIME(8,0,0)+gmt_delta</f>
        <v>45464.666666666672</v>
      </c>
      <c r="X27" s="67" t="str">
        <f t="shared" si="0"/>
        <v/>
      </c>
      <c r="Y27" s="67" t="str">
        <f t="shared" si="1"/>
        <v/>
      </c>
      <c r="Z27" s="66">
        <f t="shared" si="2"/>
        <v>0</v>
      </c>
      <c r="AA27" s="65">
        <f t="shared" si="3"/>
        <v>0</v>
      </c>
      <c r="AB27" s="65">
        <f t="shared" si="4"/>
        <v>0</v>
      </c>
      <c r="AC27" s="65">
        <f t="shared" si="5"/>
        <v>4</v>
      </c>
      <c r="AD27" s="65">
        <f t="shared" si="6"/>
        <v>2</v>
      </c>
      <c r="AE27" s="65">
        <f t="shared" si="7"/>
        <v>1</v>
      </c>
      <c r="AF27" s="65" t="str">
        <f t="shared" si="8"/>
        <v>421</v>
      </c>
      <c r="AG27" s="65">
        <f t="shared" si="9"/>
        <v>0</v>
      </c>
      <c r="AH27" s="65">
        <f t="shared" si="10"/>
        <v>0</v>
      </c>
      <c r="AI27" s="65">
        <f t="shared" si="11"/>
        <v>0</v>
      </c>
      <c r="AJ27" s="65" t="str">
        <f t="shared" si="12"/>
        <v>412</v>
      </c>
      <c r="AK27" s="65">
        <f t="shared" si="13"/>
        <v>0</v>
      </c>
      <c r="AL27" s="65">
        <f t="shared" si="14"/>
        <v>0</v>
      </c>
      <c r="AM27" s="65">
        <f t="shared" si="15"/>
        <v>0</v>
      </c>
      <c r="AO27" s="65" t="str">
        <f t="shared" si="16"/>
        <v>421</v>
      </c>
      <c r="AP27" s="65">
        <f t="shared" si="17"/>
        <v>0</v>
      </c>
      <c r="AQ27" s="65">
        <f t="shared" si="18"/>
        <v>0</v>
      </c>
      <c r="AR27" s="65">
        <f t="shared" si="19"/>
        <v>0</v>
      </c>
      <c r="AS27" s="65" t="str">
        <f t="shared" si="20"/>
        <v>412</v>
      </c>
      <c r="AT27" s="65">
        <f t="shared" si="21"/>
        <v>0</v>
      </c>
      <c r="AU27" s="65">
        <f t="shared" si="22"/>
        <v>0</v>
      </c>
      <c r="AV27" s="65">
        <f t="shared" si="23"/>
        <v>0</v>
      </c>
      <c r="AX27" s="65" t="str">
        <f t="shared" si="24"/>
        <v>421</v>
      </c>
      <c r="AY27" s="65">
        <v>0</v>
      </c>
      <c r="AZ27" s="65" t="str">
        <f t="shared" si="25"/>
        <v>412</v>
      </c>
      <c r="BA27" s="65">
        <v>0</v>
      </c>
      <c r="BC27" s="65">
        <f>DQ27</f>
        <v>2</v>
      </c>
      <c r="BD27" s="66" t="str">
        <f>INDEX(T,48,lang)</f>
        <v>Netherlands</v>
      </c>
      <c r="BE27" s="65">
        <f>COUNTIF($X$7:$Y$42,"=" &amp; BD27 &amp; "_win")</f>
        <v>0</v>
      </c>
      <c r="BF27" s="65">
        <f>COUNTIF($X$7:$Y$42,"=" &amp; BD27 &amp; "_draw")</f>
        <v>0</v>
      </c>
      <c r="BG27" s="65">
        <f>COUNTIF($X$7:$Y$42,"=" &amp; BD27 &amp; "_lose")</f>
        <v>0</v>
      </c>
      <c r="BH27" s="65">
        <f>SUMIF($E$10:$E$45,$BD27,$F$10:$F$45) + SUMIF($H$10:$H$45,$BD27,$G$10:$G$45)</f>
        <v>0</v>
      </c>
      <c r="BI27" s="65">
        <f>SUMIF($E$10:$E$45,$BD27,$G$10:$G$45) + SUMIF($H$10:$H$45,$BD27,$F$10:$F$45)</f>
        <v>0</v>
      </c>
      <c r="BJ27" s="65">
        <f>BM27*10000</f>
        <v>0</v>
      </c>
      <c r="BK27" s="65">
        <f>BH27-BI27</f>
        <v>0</v>
      </c>
      <c r="BL27" s="65">
        <f>(BK27-BK31)/BK30</f>
        <v>0</v>
      </c>
      <c r="BM27" s="65">
        <f>BE27*3+BF27</f>
        <v>0</v>
      </c>
      <c r="BN27" s="65">
        <f>BT27/BT30*10+BU27/BU30+BX27/BX30*0.1+BV27/BV30*0.01</f>
        <v>0</v>
      </c>
      <c r="BP27" s="65">
        <f>IF(VLOOKUP(BD27,db_fifarank,2,0)="",MIN(db_fifarank),VLOOKUP(BD27,db_fifarank,2,0))</f>
        <v>61.3</v>
      </c>
      <c r="BQ27" s="65">
        <f t="shared" ref="BQ27:BQ29" si="32">0.1*((BP27-$BP$44)/$BP$46-(COUNTIF($BP$8:$BP$41,BP27)-1)/(100-ROW(BP27)))</f>
        <v>5.5634078903928685E-2</v>
      </c>
      <c r="BR27" s="66">
        <f>10000000*BM27/BM30+100000*BN27/BN30+100*BL27+10*BH27/BH30+1*BN27/BN30+BQ27</f>
        <v>5.5634078903928685E-2</v>
      </c>
      <c r="BS27" s="66" t="str">
        <f>IF(SUM(BE26:BG29)=12,O28,INDEX(T,77,lang))</f>
        <v>2D</v>
      </c>
      <c r="BT27" s="65">
        <f>SUMPRODUCT(($X$7:$X$42=BD27&amp;"_win")*($Z$7:$Z$42))+SUMPRODUCT(($Y$7:$Y$42=BD27&amp;"_win")*($Z$7:$Z$42))</f>
        <v>0</v>
      </c>
      <c r="BU27" s="65">
        <f>SUMPRODUCT(($X$7:$X$42=BD27&amp;"_draw")*($Z$7:$Z$42))+SUMPRODUCT(($Y$7:$Y$42=BD27&amp;"_draw")*($Z$7:$Z$42))</f>
        <v>0</v>
      </c>
      <c r="BV27" s="65">
        <f>SUMPRODUCT(($E$10:$E$45=BD27)*($Z$7:$Z$42)*($F$10:$F$45))+SUMPRODUCT(($H$10:$H$45=BD27)*($Z$7:$Z$42)*($G$10:$G$45))</f>
        <v>0</v>
      </c>
      <c r="BW27" s="65">
        <f>SUMPRODUCT(($E$10:$E$45=BD27)*($Z$7:$Z$42)*($G$10:$G$45))+SUMPRODUCT(($H$10:$H$45=BD27)*($Z$7:$Z$42)*($F$10:$F$45))</f>
        <v>0</v>
      </c>
      <c r="BX27" s="65">
        <f>BV27-BW27</f>
        <v>0</v>
      </c>
      <c r="BY27" s="66" t="str">
        <f>BD35</f>
        <v>Slovakia</v>
      </c>
      <c r="BZ27" s="66">
        <v>5</v>
      </c>
      <c r="CA27" s="66">
        <v>4</v>
      </c>
      <c r="CC27" s="65">
        <f>IFERROR(VLOOKUP("421",$AF$7:$AI$42,2,0),0) + IFERROR(VLOOKUP("421",$AJ$7:$AM$42,2,0),0)</f>
        <v>0</v>
      </c>
      <c r="CE27" s="65">
        <f>IFERROR(VLOOKUP("423",$AF$7:$AI$42,2,0),0) + IFERROR(VLOOKUP("423",$AJ$7:$AM$42,2,0),0)</f>
        <v>0</v>
      </c>
      <c r="CF27" s="65">
        <f>IFERROR(VLOOKUP("424",$AF$7:$AI$42,2,0),0) + IFERROR(VLOOKUP("424",$AJ$7:$AM$42,2,0),0)</f>
        <v>0</v>
      </c>
      <c r="CG27" s="66">
        <f>SUM(CC27:CF27)</f>
        <v>0</v>
      </c>
      <c r="CH27" s="65">
        <f>IFERROR(VLOOKUP("421",$AF$7:$AI$42,3,0),0) + IFERROR(VLOOKUP("421",$AJ$7:$AM$42,3,0),0)</f>
        <v>0</v>
      </c>
      <c r="CJ27" s="65">
        <f>IFERROR(VLOOKUP("423",$AF$7:$AI$42,3,0),0) + IFERROR(VLOOKUP("423",$AJ$7:$AM$42,3,0),0)</f>
        <v>0</v>
      </c>
      <c r="CK27" s="65">
        <f>IFERROR(VLOOKUP("424",$AF$7:$AI$42,3,0),0) + IFERROR(VLOOKUP("424",$AJ$7:$AM$42,3,0),0)</f>
        <v>0</v>
      </c>
      <c r="CL27" s="66">
        <f>SUM(CH27:CK27)</f>
        <v>0</v>
      </c>
      <c r="CM27" s="66">
        <f>RANK(CL27,CL26:CL29)</f>
        <v>1</v>
      </c>
      <c r="CN27" s="65">
        <f>IFERROR(VLOOKUP("421",$AF$7:$AI$42,4,0),0) + IFERROR(VLOOKUP("421",$AJ$7:$AM$42,4,0),0)</f>
        <v>0</v>
      </c>
      <c r="CP27" s="65">
        <f>IFERROR(VLOOKUP("423",$AF$7:$AI$42,4,0),0) + IFERROR(VLOOKUP("423",$AJ$7:$AM$42,4,0),0)</f>
        <v>0</v>
      </c>
      <c r="CQ27" s="65">
        <f>IFERROR(VLOOKUP("424",$AF$7:$AI$42,4,0),0) + IFERROR(VLOOKUP("424",$AJ$7:$AM$42,4,0),0)</f>
        <v>0</v>
      </c>
      <c r="CR27" s="66">
        <f>SUM(CN27:CQ27)</f>
        <v>0</v>
      </c>
      <c r="CS27" s="65">
        <f>IF(CC30=CG27,CC27,0)</f>
        <v>0</v>
      </c>
      <c r="CU27" s="65">
        <f>IF(CE30=CG27,CE27,0)</f>
        <v>0</v>
      </c>
      <c r="CV27" s="65">
        <f>IF(CF30=CG27,CF27,0)</f>
        <v>0</v>
      </c>
      <c r="CW27" s="66">
        <f>SUM(CS27:CV27)</f>
        <v>0</v>
      </c>
      <c r="CX27" s="65">
        <f>IF(CC30=CG27,CH27,0)</f>
        <v>0</v>
      </c>
      <c r="CZ27" s="65">
        <f>IF(CE30=CG27,CJ27,0)</f>
        <v>0</v>
      </c>
      <c r="DA27" s="65">
        <f>IF(CF30=CG27,CK27,0)</f>
        <v>0</v>
      </c>
      <c r="DB27" s="66">
        <f>SUM(CX27:DA27)</f>
        <v>0</v>
      </c>
      <c r="DC27" s="66">
        <f>RANK(DB27,DB26:DB29)</f>
        <v>1</v>
      </c>
      <c r="DD27" s="65">
        <f>IF(CC30=CG27,CN27,0)</f>
        <v>0</v>
      </c>
      <c r="DF27" s="65">
        <f>IF(CE30=CG27,CP27,0)</f>
        <v>0</v>
      </c>
      <c r="DG27" s="65">
        <f>IF(CF30=CG27,CQ27,0)</f>
        <v>0</v>
      </c>
      <c r="DH27" s="66">
        <f>SUM(DD27:DG27)</f>
        <v>0</v>
      </c>
      <c r="DI27" s="66">
        <f>CG27*10000+CW27*100+(5-DC27)+DH27/10</f>
        <v>4</v>
      </c>
      <c r="DJ27" s="66">
        <f>RANK(DI27,DI26:DI29)</f>
        <v>1</v>
      </c>
      <c r="DK27" s="65">
        <f>IF(DK30=DJ27,CC27,0)</f>
        <v>0</v>
      </c>
      <c r="DM27" s="65">
        <f>IF(DM30=DJ27,CE27,0)</f>
        <v>0</v>
      </c>
      <c r="DN27" s="65">
        <f>IF(DN30=DJ27,CF27,0)</f>
        <v>0</v>
      </c>
      <c r="DO27" s="66">
        <f>SUM(DK27:DN27)</f>
        <v>0</v>
      </c>
      <c r="DP27" s="66">
        <f>(5-DJ27)*10000+DO27*100+(5-CM27)+CR27/10+(5-DX27)/100+BQ27/10000</f>
        <v>40004.040005563409</v>
      </c>
      <c r="DQ27" s="66">
        <f>RANK(DP27,DP26:DP29)</f>
        <v>2</v>
      </c>
      <c r="DS27" s="65">
        <f>IFERROR(VLOOKUP("421",$AX$7:$AY$42,2,0),0) + IFERROR(VLOOKUP("421",$AZ$7:$BA$42,2,0),0)</f>
        <v>0</v>
      </c>
      <c r="DU27" s="65">
        <f>IFERROR(VLOOKUP("423",$AX$7:$AY$42,2,0),0) + IFERROR(VLOOKUP("423",$AZ$7:$BA$42,2,0),0)</f>
        <v>0</v>
      </c>
      <c r="DV27" s="65">
        <f>IFERROR(VLOOKUP("424",$AX$7:$AY$42,2,0),0) + IFERROR(VLOOKUP("424",$AZ$7:$BA$42,2,0),0)</f>
        <v>0</v>
      </c>
      <c r="DW27" s="66">
        <f>SUM(DS27:DV27)</f>
        <v>0</v>
      </c>
      <c r="DX27" s="66">
        <f>RANK(DW27,DW26:DW29)</f>
        <v>1</v>
      </c>
      <c r="DZ27" s="66" t="str">
        <f>BD27</f>
        <v>Netherlands</v>
      </c>
      <c r="EA27" s="66">
        <f>EI27*10000+EO27*100+ET27</f>
        <v>100</v>
      </c>
      <c r="EB27" s="65">
        <f>COUNTIF(EA26:EA29,EA27)</f>
        <v>4</v>
      </c>
      <c r="EC27" s="65">
        <f>COUNTIF(CG26:CG29,CG27)</f>
        <v>4</v>
      </c>
      <c r="ED27" s="66">
        <f>IF(AND(EB27&gt;=2,EC27=2),EA27,-EA27-0.3)</f>
        <v>-100.3</v>
      </c>
      <c r="EE27" s="65">
        <f>IFERROR(VLOOKUP("421",$AO$7:$AR$42,2,0),0) + IFERROR(VLOOKUP("421",$AS$7:$AV$42,2,0),0)</f>
        <v>0</v>
      </c>
      <c r="EG27" s="65">
        <f>IFERROR(VLOOKUP("423",$AO$7:$AR$42,2,0),0) + IFERROR(VLOOKUP("423",$AS$7:$AV$42,2,0),0)</f>
        <v>0</v>
      </c>
      <c r="EH27" s="65">
        <f>IFERROR(VLOOKUP("424",$AO$7:$AR$42,2,0),0) + IFERROR(VLOOKUP("424",$AS$7:$AV$42,2,0),0)</f>
        <v>0</v>
      </c>
      <c r="EI27" s="66">
        <f>SUM(EE27:EH27)</f>
        <v>0</v>
      </c>
      <c r="EJ27" s="65">
        <f>IFERROR(VLOOKUP("421",$AO$7:$AR$42,3,0),0) + IFERROR(VLOOKUP("421",$AS$7:$AV$42,3,0),0)</f>
        <v>0</v>
      </c>
      <c r="EL27" s="65">
        <f>IFERROR(VLOOKUP("423",$AO$7:$AR$42,3,0),0) + IFERROR(VLOOKUP("423",$AS$7:$AV$42,3,0),0)</f>
        <v>0</v>
      </c>
      <c r="EM27" s="65">
        <f>IFERROR(VLOOKUP("424",$AO$7:$AR$42,3,0),0) + IFERROR(VLOOKUP("424",$AS$7:$AV$42,3,0),0)</f>
        <v>0</v>
      </c>
      <c r="EN27" s="66">
        <f>SUM(EJ27:EM27)</f>
        <v>0</v>
      </c>
      <c r="EO27" s="66">
        <f>RANK(EN27,EN26:EN29)</f>
        <v>1</v>
      </c>
      <c r="EP27" s="65">
        <f>IFERROR(VLOOKUP("421",$AO$7:$AR$42,4,0),0) + IFERROR(VLOOKUP("421",$AS$7:$AV$42,4,0),0)</f>
        <v>0</v>
      </c>
      <c r="ER27" s="65">
        <f>IFERROR(VLOOKUP("423",$AO$7:$AR$42,4,0),0) + IFERROR(VLOOKUP("423",$AS$7:$AV$42,4,0),0)</f>
        <v>0</v>
      </c>
      <c r="ES27" s="65">
        <f>IFERROR(VLOOKUP("424",$AO$7:$AR$42,4,0),0) + IFERROR(VLOOKUP("424",$AS$7:$AV$42,4,0),0)</f>
        <v>0</v>
      </c>
      <c r="ET27" s="66">
        <f>SUM(EP27:ES27)</f>
        <v>0</v>
      </c>
      <c r="EV27" s="175"/>
    </row>
    <row r="28" spans="1:152">
      <c r="A28" s="46">
        <v>19</v>
      </c>
      <c r="B28" s="47" t="str">
        <f t="shared" si="27"/>
        <v>Fri</v>
      </c>
      <c r="C28" s="48" t="str">
        <f t="shared" si="28"/>
        <v>Jun 21, 2024</v>
      </c>
      <c r="D28" s="49">
        <f t="shared" si="29"/>
        <v>0.41666666666666669</v>
      </c>
      <c r="E28" s="50" t="str">
        <f>BD35</f>
        <v>Slovakia</v>
      </c>
      <c r="F28" s="40"/>
      <c r="G28" s="41"/>
      <c r="H28" s="51" t="str">
        <f>BD33</f>
        <v>Ukraine</v>
      </c>
      <c r="I28" s="172" t="str">
        <f>INDEX(T,111,lang)</f>
        <v>Düsseldorf</v>
      </c>
      <c r="J28" s="172"/>
      <c r="K28" s="172"/>
      <c r="L28" s="29"/>
      <c r="M28" s="29"/>
      <c r="O28" s="43" t="str">
        <f>VLOOKUP(2,BC26:BM29,2,0)</f>
        <v>Netherlands</v>
      </c>
      <c r="P28" s="44">
        <f>Q28+R28+S28</f>
        <v>0</v>
      </c>
      <c r="Q28" s="44">
        <f>VLOOKUP(2,BC26:BM29,3,0)</f>
        <v>0</v>
      </c>
      <c r="R28" s="44">
        <f>VLOOKUP(2,BC26:BM29,4,0)</f>
        <v>0</v>
      </c>
      <c r="S28" s="44">
        <f>VLOOKUP(2,BC26:BM29,5,0)</f>
        <v>0</v>
      </c>
      <c r="T28" s="44" t="str">
        <f>VLOOKUP(2,BC26:BM29,6,0) &amp; " - " &amp; VLOOKUP(2,BC26:BM29,7,0)</f>
        <v>0 - 0</v>
      </c>
      <c r="U28" s="45">
        <f>Q28*3+R28</f>
        <v>0</v>
      </c>
      <c r="W28" s="65">
        <f>DATE(2024,6,22)+TIME(2,0,0)+gmt_delta</f>
        <v>45465.416666666672</v>
      </c>
      <c r="X28" s="67" t="str">
        <f t="shared" si="0"/>
        <v/>
      </c>
      <c r="Y28" s="67" t="str">
        <f t="shared" si="1"/>
        <v/>
      </c>
      <c r="Z28" s="66">
        <f t="shared" si="2"/>
        <v>0</v>
      </c>
      <c r="AA28" s="65">
        <f t="shared" si="3"/>
        <v>0</v>
      </c>
      <c r="AB28" s="65">
        <f t="shared" si="4"/>
        <v>0</v>
      </c>
      <c r="AC28" s="65">
        <f t="shared" si="5"/>
        <v>6</v>
      </c>
      <c r="AD28" s="65">
        <f t="shared" si="6"/>
        <v>4</v>
      </c>
      <c r="AE28" s="65">
        <f t="shared" si="7"/>
        <v>3</v>
      </c>
      <c r="AF28" s="65" t="str">
        <f t="shared" si="8"/>
        <v>643</v>
      </c>
      <c r="AG28" s="65">
        <f t="shared" si="9"/>
        <v>0</v>
      </c>
      <c r="AH28" s="65">
        <f t="shared" si="10"/>
        <v>0</v>
      </c>
      <c r="AI28" s="65">
        <f t="shared" si="11"/>
        <v>0</v>
      </c>
      <c r="AJ28" s="65" t="str">
        <f t="shared" si="12"/>
        <v>634</v>
      </c>
      <c r="AK28" s="65">
        <f t="shared" si="13"/>
        <v>0</v>
      </c>
      <c r="AL28" s="65">
        <f t="shared" si="14"/>
        <v>0</v>
      </c>
      <c r="AM28" s="65">
        <f t="shared" si="15"/>
        <v>0</v>
      </c>
      <c r="AO28" s="65" t="str">
        <f t="shared" si="16"/>
        <v>643</v>
      </c>
      <c r="AP28" s="65">
        <f t="shared" si="17"/>
        <v>0</v>
      </c>
      <c r="AQ28" s="65">
        <f t="shared" si="18"/>
        <v>0</v>
      </c>
      <c r="AR28" s="65">
        <f t="shared" si="19"/>
        <v>0</v>
      </c>
      <c r="AS28" s="65" t="str">
        <f t="shared" si="20"/>
        <v>634</v>
      </c>
      <c r="AT28" s="65">
        <f t="shared" si="21"/>
        <v>0</v>
      </c>
      <c r="AU28" s="65">
        <f t="shared" si="22"/>
        <v>0</v>
      </c>
      <c r="AV28" s="65">
        <f t="shared" si="23"/>
        <v>0</v>
      </c>
      <c r="AX28" s="65" t="str">
        <f t="shared" si="24"/>
        <v>643</v>
      </c>
      <c r="AY28" s="65">
        <v>0</v>
      </c>
      <c r="AZ28" s="65" t="str">
        <f t="shared" si="25"/>
        <v>634</v>
      </c>
      <c r="BA28" s="65">
        <v>0</v>
      </c>
      <c r="BC28" s="65">
        <f>DQ28</f>
        <v>3</v>
      </c>
      <c r="BD28" s="66" t="str">
        <f>INDEX(T,61,lang)</f>
        <v>Austria</v>
      </c>
      <c r="BE28" s="65">
        <f>COUNTIF($X$7:$Y$42,"=" &amp; BD28 &amp; "_win")</f>
        <v>0</v>
      </c>
      <c r="BF28" s="65">
        <f>COUNTIF($X$7:$Y$42,"=" &amp; BD28 &amp; "_draw")</f>
        <v>0</v>
      </c>
      <c r="BG28" s="65">
        <f>COUNTIF($X$7:$Y$42,"=" &amp; BD28 &amp; "_lose")</f>
        <v>0</v>
      </c>
      <c r="BH28" s="65">
        <f>SUMIF($E$10:$E$45,$BD28,$F$10:$F$45) + SUMIF($H$10:$H$45,$BD28,$G$10:$G$45)</f>
        <v>0</v>
      </c>
      <c r="BI28" s="65">
        <f>SUMIF($E$10:$E$45,$BD28,$G$10:$G$45) + SUMIF($H$10:$H$45,$BD28,$F$10:$F$45)</f>
        <v>0</v>
      </c>
      <c r="BJ28" s="65">
        <f>BM28*10000</f>
        <v>0</v>
      </c>
      <c r="BK28" s="65">
        <f>BH28-BI28</f>
        <v>0</v>
      </c>
      <c r="BL28" s="65">
        <f>(BK28-BK31)/BK30</f>
        <v>0</v>
      </c>
      <c r="BM28" s="65">
        <f>BE28*3+BF28</f>
        <v>0</v>
      </c>
      <c r="BN28" s="65">
        <f>BT28/BT30*10+BU28/BU30+BX28/BX30*0.1+BV28/BV30*0.01</f>
        <v>0</v>
      </c>
      <c r="BP28" s="65">
        <f>IF(VLOOKUP(BD28,db_fifarank,2,0)="",MIN(db_fifarank),VLOOKUP(BD28,db_fifarank,2,0))</f>
        <v>32.6</v>
      </c>
      <c r="BQ28" s="65">
        <f t="shared" si="32"/>
        <v>2.6024471772862337E-2</v>
      </c>
      <c r="BR28" s="66">
        <f>10000000*BM28/BM30+100000*BN28/BN30+100*BL28+10*BH28/BH30+1*BN28/BN30+BQ28</f>
        <v>2.6024471772862337E-2</v>
      </c>
      <c r="BS28" s="66" t="str">
        <f>IF(SUM(BE26:BG29)&gt;0,O29,"3D")</f>
        <v>3D</v>
      </c>
      <c r="BT28" s="65">
        <f>SUMPRODUCT(($X$7:$X$42=BD28&amp;"_win")*($Z$7:$Z$42))+SUMPRODUCT(($Y$7:$Y$42=BD28&amp;"_win")*($Z$7:$Z$42))</f>
        <v>0</v>
      </c>
      <c r="BU28" s="65">
        <f>SUMPRODUCT(($X$7:$X$42=BD28&amp;"_draw")*($Z$7:$Z$42))+SUMPRODUCT(($Y$7:$Y$42=BD28&amp;"_draw")*($Z$7:$Z$42))</f>
        <v>0</v>
      </c>
      <c r="BV28" s="65">
        <f>SUMPRODUCT(($E$10:$E$45=BD28)*($Z$7:$Z$42)*($F$10:$F$45))+SUMPRODUCT(($H$10:$H$45=BD28)*($Z$7:$Z$42)*($G$10:$G$45))</f>
        <v>0</v>
      </c>
      <c r="BW28" s="65">
        <f>SUMPRODUCT(($E$10:$E$45=BD28)*($Z$7:$Z$42)*($G$10:$G$45))+SUMPRODUCT(($H$10:$H$45=BD28)*($Z$7:$Z$42)*($F$10:$F$45))</f>
        <v>0</v>
      </c>
      <c r="BX28" s="65">
        <f>BV28-BW28</f>
        <v>0</v>
      </c>
      <c r="BY28" s="66" t="str">
        <f>BD38</f>
        <v>Portugal</v>
      </c>
      <c r="BZ28" s="66">
        <v>6</v>
      </c>
      <c r="CA28" s="66">
        <v>1</v>
      </c>
      <c r="CC28" s="65">
        <f>IFERROR(VLOOKUP("431",$AF$7:$AI$42,2,0),0) + IFERROR(VLOOKUP("431",$AJ$7:$AM$42,2,0),0)</f>
        <v>0</v>
      </c>
      <c r="CD28" s="65">
        <f>IFERROR(VLOOKUP("432",$AF$7:$AI$42,2,0),0) + IFERROR(VLOOKUP("432",$AJ$7:$AM$42,2,0),0)</f>
        <v>0</v>
      </c>
      <c r="CF28" s="65">
        <f>IFERROR(VLOOKUP("434",$AF$7:$AI$42,2,0),0) + IFERROR(VLOOKUP("434",$AJ$7:$AM$42,2,0),0)</f>
        <v>0</v>
      </c>
      <c r="CG28" s="66">
        <f>SUM(CC28:CF28)</f>
        <v>0</v>
      </c>
      <c r="CH28" s="65">
        <f>IFERROR(VLOOKUP("431",$AF$7:$AI$42,3,0),0) + IFERROR(VLOOKUP("431",$AJ$7:$AM$42,3,0),0)</f>
        <v>0</v>
      </c>
      <c r="CI28" s="65">
        <f>IFERROR(VLOOKUP("432",$AF$7:$AI$42,3,0),0) + IFERROR(VLOOKUP("432",$AJ$7:$AM$42,3,0),0)</f>
        <v>0</v>
      </c>
      <c r="CK28" s="65">
        <f>IFERROR(VLOOKUP("434",$AF$7:$AI$42,3,0),0) + IFERROR(VLOOKUP("434",$AJ$7:$AM$42,3,0),0)</f>
        <v>0</v>
      </c>
      <c r="CL28" s="66">
        <f>SUM(CH28:CK28)</f>
        <v>0</v>
      </c>
      <c r="CM28" s="66">
        <f>RANK(CL28,CL26:CL29)</f>
        <v>1</v>
      </c>
      <c r="CN28" s="65">
        <f>IFERROR(VLOOKUP("431",$AF$7:$AI$42,4,0),0) + IFERROR(VLOOKUP("431",$AJ$7:$AM$42,4,0),0)</f>
        <v>0</v>
      </c>
      <c r="CO28" s="65">
        <f>IFERROR(VLOOKUP("432",$AF$7:$AI$42,4,0),0) + IFERROR(VLOOKUP("432",$AJ$7:$AM$42,4,0),0)</f>
        <v>0</v>
      </c>
      <c r="CQ28" s="65">
        <f>IFERROR(VLOOKUP("434",$AF$7:$AI$42,4,0),0) + IFERROR(VLOOKUP("434",$AJ$7:$AM$42,4,0),0)</f>
        <v>0</v>
      </c>
      <c r="CR28" s="66">
        <f>SUM(CN28:CQ28)</f>
        <v>0</v>
      </c>
      <c r="CS28" s="65">
        <f>IF(CC30=CG28,CC28,0)</f>
        <v>0</v>
      </c>
      <c r="CT28" s="65">
        <f>IF(CD30=CG28,CD28,0)</f>
        <v>0</v>
      </c>
      <c r="CV28" s="65">
        <f>IF(CF30=CG28,CF28,0)</f>
        <v>0</v>
      </c>
      <c r="CW28" s="66">
        <f>SUM(CS28:CV28)</f>
        <v>0</v>
      </c>
      <c r="CX28" s="65">
        <f>IF(CC30=CG28,CH28,0)</f>
        <v>0</v>
      </c>
      <c r="CY28" s="65">
        <f>IF(CD30=CG28,CI28,0)</f>
        <v>0</v>
      </c>
      <c r="DA28" s="65">
        <f>IF(CF30=CG28,CK28,0)</f>
        <v>0</v>
      </c>
      <c r="DB28" s="66">
        <f>SUM(CX28:DA28)</f>
        <v>0</v>
      </c>
      <c r="DC28" s="66">
        <f>RANK(DB28,DB26:DB29)</f>
        <v>1</v>
      </c>
      <c r="DD28" s="65">
        <f>IF(CC30=CG28,CN28,0)</f>
        <v>0</v>
      </c>
      <c r="DE28" s="65">
        <f>IF(CD30=CG28,CO28,0)</f>
        <v>0</v>
      </c>
      <c r="DG28" s="65">
        <f>IF(CF30=CG28,CQ28,0)</f>
        <v>0</v>
      </c>
      <c r="DH28" s="66">
        <f>SUM(DD28:DG28)</f>
        <v>0</v>
      </c>
      <c r="DI28" s="66">
        <f>CG28*10000+CW28*100+(5-DC28)+DH28/10</f>
        <v>4</v>
      </c>
      <c r="DJ28" s="66">
        <f>RANK(DI28,DI26:DI29)</f>
        <v>1</v>
      </c>
      <c r="DK28" s="65">
        <f>IF(DK30=DJ28,CC28,0)</f>
        <v>0</v>
      </c>
      <c r="DL28" s="65">
        <f>IF(DL30=DJ28,CD28,0)</f>
        <v>0</v>
      </c>
      <c r="DN28" s="65">
        <f>IF(DN30=DJ28,CF28,0)</f>
        <v>0</v>
      </c>
      <c r="DO28" s="66">
        <f>SUM(DK28:DN28)</f>
        <v>0</v>
      </c>
      <c r="DP28" s="66">
        <f>(5-DJ28)*10000+DO28*100+(5-CM28)+CR28/10+(5-DX28)/100+BQ28/10000</f>
        <v>40004.040002602451</v>
      </c>
      <c r="DQ28" s="66">
        <f>RANK(DP28,DP26:DP29)</f>
        <v>3</v>
      </c>
      <c r="DS28" s="65">
        <f>IFERROR(VLOOKUP("431",$AX$7:$AY$42,2,0),0) + IFERROR(VLOOKUP("431",$AZ$7:$BA$42,2,0),0)</f>
        <v>0</v>
      </c>
      <c r="DT28" s="65">
        <f>IFERROR(VLOOKUP("432",$AX$7:$AY$42,2,0),0) + IFERROR(VLOOKUP("432",$AZ$7:$BA$42,2,0),0)</f>
        <v>0</v>
      </c>
      <c r="DV28" s="65">
        <f>IFERROR(VLOOKUP("434",$AX$7:$AY$42,2,0),0) + IFERROR(VLOOKUP("434",$AZ$7:$BA$42,2,0),0)</f>
        <v>0</v>
      </c>
      <c r="DW28" s="66">
        <f>SUM(DS28:DV28)</f>
        <v>0</v>
      </c>
      <c r="DX28" s="66">
        <f>RANK(DW28,DW26:DW29)</f>
        <v>1</v>
      </c>
      <c r="DZ28" s="66" t="str">
        <f>BD28</f>
        <v>Austria</v>
      </c>
      <c r="EA28" s="66">
        <f>EI28*10000+EO28*100+ET28</f>
        <v>100</v>
      </c>
      <c r="EB28" s="65">
        <f>COUNTIF(EA26:EA29,EA28)</f>
        <v>4</v>
      </c>
      <c r="EC28" s="65">
        <f>COUNTIF(CG26:CG29,CG28)</f>
        <v>4</v>
      </c>
      <c r="ED28" s="66">
        <f>IF(AND(EB28&gt;=2,EC28=2),EA28,-EA28-0.2)</f>
        <v>-100.2</v>
      </c>
      <c r="EE28" s="65">
        <f>IFERROR(VLOOKUP("431",$AO$7:$AR$42,2,0),0) + IFERROR(VLOOKUP("431",$AS$7:$AV$42,2,0),0)</f>
        <v>0</v>
      </c>
      <c r="EF28" s="65">
        <f>IFERROR(VLOOKUP("432",$AO$7:$AR$42,2,0),0) + IFERROR(VLOOKUP("432",$AS$7:$AV$42,2,0),0)</f>
        <v>0</v>
      </c>
      <c r="EH28" s="65">
        <f>IFERROR(VLOOKUP("434",$AO$7:$AR$42,2,0),0) + IFERROR(VLOOKUP("434",$AS$7:$AV$42,2,0),0)</f>
        <v>0</v>
      </c>
      <c r="EI28" s="66">
        <f>SUM(EE28:EH28)</f>
        <v>0</v>
      </c>
      <c r="EJ28" s="65">
        <f>IFERROR(VLOOKUP("431",$AO$7:$AR$42,3,0),0) + IFERROR(VLOOKUP("431",$AS$7:$AV$42,3,0),0)</f>
        <v>0</v>
      </c>
      <c r="EK28" s="65">
        <f>IFERROR(VLOOKUP("432",$AO$7:$AR$42,3,0),0) + IFERROR(VLOOKUP("432",$AS$7:$AV$42,3,0),0)</f>
        <v>0</v>
      </c>
      <c r="EM28" s="65">
        <f>IFERROR(VLOOKUP("434",$AO$7:$AR$42,3,0),0) + IFERROR(VLOOKUP("434",$AS$7:$AV$42,3,0),0)</f>
        <v>0</v>
      </c>
      <c r="EN28" s="66">
        <f>SUM(EJ28:EM28)</f>
        <v>0</v>
      </c>
      <c r="EO28" s="66">
        <f>RANK(EN28,EN26:EN29)</f>
        <v>1</v>
      </c>
      <c r="EP28" s="65">
        <f>IFERROR(VLOOKUP("431",$AO$7:$AR$42,4,0),0) + IFERROR(VLOOKUP("431",$AS$7:$AV$42,4,0),0)</f>
        <v>0</v>
      </c>
      <c r="EQ28" s="65">
        <f>IFERROR(VLOOKUP("432",$AO$7:$AR$42,4,0),0) + IFERROR(VLOOKUP("432",$AS$7:$AV$42,4,0),0)</f>
        <v>0</v>
      </c>
      <c r="ES28" s="65">
        <f>IFERROR(VLOOKUP("434",$AO$7:$AR$42,4,0),0) + IFERROR(VLOOKUP("434",$AS$7:$AV$42,4,0),0)</f>
        <v>0</v>
      </c>
      <c r="ET28" s="66">
        <f>SUM(EP28:ES28)</f>
        <v>0</v>
      </c>
    </row>
    <row r="29" spans="1:152" ht="12.75" customHeight="1">
      <c r="A29" s="46">
        <v>20</v>
      </c>
      <c r="B29" s="47" t="str">
        <f t="shared" si="27"/>
        <v>Fri</v>
      </c>
      <c r="C29" s="48" t="str">
        <f t="shared" si="28"/>
        <v>Jun 21, 2024</v>
      </c>
      <c r="D29" s="49">
        <f t="shared" si="29"/>
        <v>0.54166666666666663</v>
      </c>
      <c r="E29" s="50" t="str">
        <f>BD29</f>
        <v>Poland</v>
      </c>
      <c r="F29" s="40"/>
      <c r="G29" s="41"/>
      <c r="H29" s="51" t="str">
        <f>BD28</f>
        <v>Austria</v>
      </c>
      <c r="I29" s="172" t="str">
        <f>INDEX(T,107,lang)</f>
        <v>Berlin</v>
      </c>
      <c r="J29" s="172"/>
      <c r="K29" s="172"/>
      <c r="L29" s="29"/>
      <c r="M29" s="29"/>
      <c r="O29" s="43" t="str">
        <f>VLOOKUP(3,BC26:BM29,2,0)</f>
        <v>Austria</v>
      </c>
      <c r="P29" s="44">
        <f>Q29+R29+S29</f>
        <v>0</v>
      </c>
      <c r="Q29" s="44">
        <f>VLOOKUP(3,BC26:BM29,3,0)</f>
        <v>0</v>
      </c>
      <c r="R29" s="44">
        <f>VLOOKUP(3,BC26:BM29,4,0)</f>
        <v>0</v>
      </c>
      <c r="S29" s="44">
        <f>VLOOKUP(3,BC26:BM29,5,0)</f>
        <v>0</v>
      </c>
      <c r="T29" s="44" t="str">
        <f>VLOOKUP(3,BC26:BM29,6,0) &amp; " - " &amp; VLOOKUP(3,BC26:BM29,7,0)</f>
        <v>0 - 0</v>
      </c>
      <c r="U29" s="45">
        <f>Q29*3+R29</f>
        <v>0</v>
      </c>
      <c r="W29" s="65">
        <f>DATE(2024,6,22)+TIME(5,0,0)+gmt_delta</f>
        <v>45465.541666666672</v>
      </c>
      <c r="X29" s="67" t="str">
        <f t="shared" si="0"/>
        <v/>
      </c>
      <c r="Y29" s="67" t="str">
        <f t="shared" si="1"/>
        <v/>
      </c>
      <c r="Z29" s="66">
        <f t="shared" si="2"/>
        <v>0</v>
      </c>
      <c r="AA29" s="65">
        <f t="shared" si="3"/>
        <v>0</v>
      </c>
      <c r="AB29" s="65">
        <f t="shared" si="4"/>
        <v>0</v>
      </c>
      <c r="AC29" s="65">
        <f t="shared" si="5"/>
        <v>6</v>
      </c>
      <c r="AD29" s="65">
        <f t="shared" si="6"/>
        <v>2</v>
      </c>
      <c r="AE29" s="65">
        <f t="shared" si="7"/>
        <v>1</v>
      </c>
      <c r="AF29" s="65" t="str">
        <f t="shared" si="8"/>
        <v>621</v>
      </c>
      <c r="AG29" s="65">
        <f t="shared" si="9"/>
        <v>0</v>
      </c>
      <c r="AH29" s="65">
        <f t="shared" si="10"/>
        <v>0</v>
      </c>
      <c r="AI29" s="65">
        <f t="shared" si="11"/>
        <v>0</v>
      </c>
      <c r="AJ29" s="65" t="str">
        <f t="shared" si="12"/>
        <v>612</v>
      </c>
      <c r="AK29" s="65">
        <f t="shared" si="13"/>
        <v>0</v>
      </c>
      <c r="AL29" s="65">
        <f t="shared" si="14"/>
        <v>0</v>
      </c>
      <c r="AM29" s="65">
        <f t="shared" si="15"/>
        <v>0</v>
      </c>
      <c r="AO29" s="65" t="str">
        <f t="shared" si="16"/>
        <v>621</v>
      </c>
      <c r="AP29" s="65">
        <f t="shared" si="17"/>
        <v>0</v>
      </c>
      <c r="AQ29" s="65">
        <f t="shared" si="18"/>
        <v>0</v>
      </c>
      <c r="AR29" s="65">
        <f t="shared" si="19"/>
        <v>0</v>
      </c>
      <c r="AS29" s="65" t="str">
        <f t="shared" si="20"/>
        <v>612</v>
      </c>
      <c r="AT29" s="65">
        <f t="shared" si="21"/>
        <v>0</v>
      </c>
      <c r="AU29" s="65">
        <f t="shared" si="22"/>
        <v>0</v>
      </c>
      <c r="AV29" s="65">
        <f t="shared" si="23"/>
        <v>0</v>
      </c>
      <c r="AX29" s="65" t="str">
        <f t="shared" si="24"/>
        <v>621</v>
      </c>
      <c r="AY29" s="65">
        <v>0</v>
      </c>
      <c r="AZ29" s="65" t="str">
        <f t="shared" si="25"/>
        <v>612</v>
      </c>
      <c r="BA29" s="65">
        <v>0</v>
      </c>
      <c r="BC29" s="65">
        <f>DQ29</f>
        <v>4</v>
      </c>
      <c r="BD29" s="66" t="str">
        <f>INDEX(T,64,lang)</f>
        <v>Poland</v>
      </c>
      <c r="BE29" s="65">
        <f>COUNTIF($X$7:$Y$42,"=" &amp; BD29 &amp; "_win")</f>
        <v>0</v>
      </c>
      <c r="BF29" s="65">
        <f>COUNTIF($X$7:$Y$42,"=" &amp; BD29 &amp; "_draw")</f>
        <v>0</v>
      </c>
      <c r="BG29" s="65">
        <f>COUNTIF($X$7:$Y$42,"=" &amp; BD29 &amp; "_lose")</f>
        <v>0</v>
      </c>
      <c r="BH29" s="65">
        <f>SUMIF($E$10:$E$45,$BD29,$F$10:$F$45) + SUMIF($H$10:$H$45,$BD29,$G$10:$G$45)</f>
        <v>0</v>
      </c>
      <c r="BI29" s="65">
        <f>SUMIF($E$10:$E$45,$BD29,$G$10:$G$45) + SUMIF($H$10:$H$45,$BD29,$F$10:$F$45)</f>
        <v>0</v>
      </c>
      <c r="BJ29" s="65">
        <f>BM29*10000</f>
        <v>0</v>
      </c>
      <c r="BK29" s="65">
        <f>BH29-BI29</f>
        <v>0</v>
      </c>
      <c r="BL29" s="65">
        <f>(BK29-BK31)/BK30</f>
        <v>0</v>
      </c>
      <c r="BM29" s="65">
        <f>BE29*3+BF29</f>
        <v>0</v>
      </c>
      <c r="BN29" s="65">
        <f>BT29/BT30*10+BU29/BU30+BX29/BX30*0.1+BV29/BV30*0.01</f>
        <v>0</v>
      </c>
      <c r="BP29" s="65">
        <f>IF(VLOOKUP(BD29,db_fifarank,2,0)="",MIN(db_fifarank),VLOOKUP(BD29,db_fifarank,2,0))</f>
        <v>25.375</v>
      </c>
      <c r="BQ29" s="65">
        <f t="shared" si="32"/>
        <v>1.8570485308682737E-2</v>
      </c>
      <c r="BR29" s="66">
        <f>10000000*BM29/BM30+100000*BN29/BN30+100*BL29+10*BH29/BH30+1*BN29/BN30+BQ29</f>
        <v>1.8570485308682737E-2</v>
      </c>
      <c r="BT29" s="65">
        <f>SUMPRODUCT(($X$7:$X$42=BD29&amp;"_win")*($Z$7:$Z$42))+SUMPRODUCT(($Y$7:$Y$42=BD29&amp;"_win")*($Z$7:$Z$42))</f>
        <v>0</v>
      </c>
      <c r="BU29" s="65">
        <f>SUMPRODUCT(($X$7:$X$42=BD29&amp;"_draw")*($Z$7:$Z$42))+SUMPRODUCT(($Y$7:$Y$42=BD29&amp;"_draw")*($Z$7:$Z$42))</f>
        <v>0</v>
      </c>
      <c r="BV29" s="65">
        <f>SUMPRODUCT(($E$10:$E$45=BD29)*($Z$7:$Z$42)*($F$10:$F$45))+SUMPRODUCT(($H$10:$H$45=BD29)*($Z$7:$Z$42)*($G$10:$G$45))</f>
        <v>0</v>
      </c>
      <c r="BW29" s="65">
        <f>SUMPRODUCT(($E$10:$E$45=BD29)*($Z$7:$Z$42)*($G$10:$G$45))+SUMPRODUCT(($H$10:$H$45=BD29)*($Z$7:$Z$42)*($F$10:$F$45))</f>
        <v>0</v>
      </c>
      <c r="BX29" s="65">
        <f>BV29-BW29</f>
        <v>0</v>
      </c>
      <c r="BY29" s="66" t="str">
        <f>BD39</f>
        <v>Turkey</v>
      </c>
      <c r="BZ29" s="66">
        <v>6</v>
      </c>
      <c r="CA29" s="66">
        <v>2</v>
      </c>
      <c r="CC29" s="65">
        <f>IFERROR(VLOOKUP("441",$AF$7:$AI$42,2,0),0) + IFERROR(VLOOKUP("441",$AJ$7:$AM$42,2,0),0)</f>
        <v>0</v>
      </c>
      <c r="CD29" s="65">
        <f>IFERROR(VLOOKUP("442",$AF$7:$AI$42,2,0),0) + IFERROR(VLOOKUP("442",$AJ$7:$AM$42,2,0),0)</f>
        <v>0</v>
      </c>
      <c r="CE29" s="65">
        <f>IFERROR(VLOOKUP("443",$AF$7:$AI$42,2,0),0) + IFERROR(VLOOKUP("443",$AJ$7:$AM$42,2,0),0)</f>
        <v>0</v>
      </c>
      <c r="CG29" s="66">
        <f>SUM(CC29:CF29)</f>
        <v>0</v>
      </c>
      <c r="CH29" s="65">
        <f>IFERROR(VLOOKUP("441",$AF$7:$AI$42,3,0),0) + IFERROR(VLOOKUP("441",$AJ$7:$AM$42,3,0),0)</f>
        <v>0</v>
      </c>
      <c r="CI29" s="65">
        <f>IFERROR(VLOOKUP("442",$AF$7:$AI$42,3,0),0) + IFERROR(VLOOKUP("442",$AJ$7:$AM$42,3,0),0)</f>
        <v>0</v>
      </c>
      <c r="CJ29" s="65">
        <f>IFERROR(VLOOKUP("443",$AF$7:$AI$42,3,0),0) + IFERROR(VLOOKUP("443",$AJ$7:$AM$42,3,0),0)</f>
        <v>0</v>
      </c>
      <c r="CL29" s="66">
        <f>SUM(CH29:CK29)</f>
        <v>0</v>
      </c>
      <c r="CM29" s="66">
        <f>RANK(CL29,CL26:CL29)</f>
        <v>1</v>
      </c>
      <c r="CN29" s="65">
        <f>IFERROR(VLOOKUP("441",$AF$7:$AI$42,4,0),0) + IFERROR(VLOOKUP("441",$AJ$7:$AM$42,4,0),0)</f>
        <v>0</v>
      </c>
      <c r="CO29" s="65">
        <f>IFERROR(VLOOKUP("442",$AF$7:$AI$42,4,0),0) + IFERROR(VLOOKUP("442",$AJ$7:$AM$42,4,0),0)</f>
        <v>0</v>
      </c>
      <c r="CP29" s="65">
        <f>IFERROR(VLOOKUP("443",$AF$7:$AI$42,4,0),0) + IFERROR(VLOOKUP("443",$AJ$7:$AM$42,4,0),0)</f>
        <v>0</v>
      </c>
      <c r="CR29" s="66">
        <f>SUM(CN29:CQ29)</f>
        <v>0</v>
      </c>
      <c r="CS29" s="65">
        <f>IF(CC30=CG29,CC29,0)</f>
        <v>0</v>
      </c>
      <c r="CT29" s="65">
        <f>IF(CD30=CG29,CD29,0)</f>
        <v>0</v>
      </c>
      <c r="CU29" s="65">
        <f>IF(CE30=CG29,CE29,0)</f>
        <v>0</v>
      </c>
      <c r="CW29" s="66">
        <f>SUM(CS29:CV29)</f>
        <v>0</v>
      </c>
      <c r="CX29" s="65">
        <f>IF(CC30=CG29,CH29,0)</f>
        <v>0</v>
      </c>
      <c r="CY29" s="65">
        <f>IF(CD30=CG29,CI29,0)</f>
        <v>0</v>
      </c>
      <c r="CZ29" s="65">
        <f>IF(CE30=CG29,CJ29,0)</f>
        <v>0</v>
      </c>
      <c r="DB29" s="66">
        <f>SUM(CX29:DA29)</f>
        <v>0</v>
      </c>
      <c r="DC29" s="66">
        <f>RANK(DB29,DB26:DB29)</f>
        <v>1</v>
      </c>
      <c r="DD29" s="65">
        <f>IF(CC30=CG29,CN29,0)</f>
        <v>0</v>
      </c>
      <c r="DE29" s="65">
        <f>IF(CD30=CG29,CO29,0)</f>
        <v>0</v>
      </c>
      <c r="DF29" s="65">
        <f>IF(CE30=CG29,CP29,0)</f>
        <v>0</v>
      </c>
      <c r="DH29" s="66">
        <f>SUM(DD29:DG29)</f>
        <v>0</v>
      </c>
      <c r="DI29" s="66">
        <f>CG29*10000+CW29*100+(5-DC29)+DH29/10</f>
        <v>4</v>
      </c>
      <c r="DJ29" s="66">
        <f>RANK(DI29,DI26:DI29)</f>
        <v>1</v>
      </c>
      <c r="DK29" s="65">
        <f>IF(DK30=DJ29,CC29,0)</f>
        <v>0</v>
      </c>
      <c r="DL29" s="65">
        <f>IF(DL30=DJ29,CD29,0)</f>
        <v>0</v>
      </c>
      <c r="DM29" s="65">
        <f>IF(DM30=DJ29,CE29,0)</f>
        <v>0</v>
      </c>
      <c r="DO29" s="66">
        <f>SUM(DK29:DN29)</f>
        <v>0</v>
      </c>
      <c r="DP29" s="66">
        <f>(5-DJ29)*10000+DO29*100+(5-CM29)+CR29/10+(5-DX29)/100+BQ29/10000</f>
        <v>40004.040001857051</v>
      </c>
      <c r="DQ29" s="66">
        <f>RANK(DP29,DP26:DP29)</f>
        <v>4</v>
      </c>
      <c r="DS29" s="65">
        <f>IFERROR(VLOOKUP("441",$AX$7:$AY$42,2,0),0) + IFERROR(VLOOKUP("441",$AZ$7:$BA$42,2,0),0)</f>
        <v>0</v>
      </c>
      <c r="DT29" s="65">
        <f>IFERROR(VLOOKUP("442",$AX$7:$AY$42,2,0),0) + IFERROR(VLOOKUP("442",$AZ$7:$BA$42,2,0),0)</f>
        <v>0</v>
      </c>
      <c r="DU29" s="65">
        <f>IFERROR(VLOOKUP("443",$AX$7:$AY$42,2,0),0) + IFERROR(VLOOKUP("443",$AZ$7:$BA$42,2,0),0)</f>
        <v>0</v>
      </c>
      <c r="DW29" s="66">
        <f>SUM(DS29:DV29)</f>
        <v>0</v>
      </c>
      <c r="DX29" s="66">
        <f>RANK(DW29,DW26:DW29)</f>
        <v>1</v>
      </c>
      <c r="DZ29" s="66" t="str">
        <f>BD29</f>
        <v>Poland</v>
      </c>
      <c r="EA29" s="66">
        <f>EI29*10000+EO29*100+ET29</f>
        <v>100</v>
      </c>
      <c r="EB29" s="65">
        <f>COUNTIF(EA26:EA29,EA29)</f>
        <v>4</v>
      </c>
      <c r="EC29" s="65">
        <f>COUNTIF(CG26:CG29,CG29)</f>
        <v>4</v>
      </c>
      <c r="ED29" s="66">
        <f>IF(AND(EB29&gt;=2,EC29=2),EA29,-EA29-0.1)</f>
        <v>-100.1</v>
      </c>
      <c r="EE29" s="65">
        <f>IFERROR(VLOOKUP("441",$AO$7:$AR$42,2,0),0) + IFERROR(VLOOKUP("441",$AS$7:$AV$42,2,0),0)</f>
        <v>0</v>
      </c>
      <c r="EF29" s="65">
        <f>IFERROR(VLOOKUP("442",$AO$7:$AR$42,2,0),0) + IFERROR(VLOOKUP("442",$AS$7:$AV$42,2,0),0)</f>
        <v>0</v>
      </c>
      <c r="EG29" s="65">
        <f>IFERROR(VLOOKUP("443",$AO$7:$AR$42,2,0),0) + IFERROR(VLOOKUP("443",$AS$7:$AV$42,2,0),0)</f>
        <v>0</v>
      </c>
      <c r="EI29" s="66">
        <f>SUM(EE29:EH29)</f>
        <v>0</v>
      </c>
      <c r="EJ29" s="65">
        <f>IFERROR(VLOOKUP("441",$AO$7:$AR$42,3,0),0) + IFERROR(VLOOKUP("441",$AS$7:$AV$42,3,0),0)</f>
        <v>0</v>
      </c>
      <c r="EK29" s="65">
        <f>IFERROR(VLOOKUP("442",$AO$7:$AR$42,3,0),0) + IFERROR(VLOOKUP("442",$AS$7:$AV$42,3,0),0)</f>
        <v>0</v>
      </c>
      <c r="EL29" s="65">
        <f>IFERROR(VLOOKUP("443",$AO$7:$AR$42,3,0),0) + IFERROR(VLOOKUP("443",$AS$7:$AV$42,3,0),0)</f>
        <v>0</v>
      </c>
      <c r="EN29" s="66">
        <f>SUM(EJ29:EM29)</f>
        <v>0</v>
      </c>
      <c r="EO29" s="66">
        <f>RANK(EN29,EN26:EN29)</f>
        <v>1</v>
      </c>
      <c r="EP29" s="65">
        <f>IFERROR(VLOOKUP("441",$AO$7:$AR$42,4,0),0) + IFERROR(VLOOKUP("441",$AS$7:$AV$42,4,0),0)</f>
        <v>0</v>
      </c>
      <c r="EQ29" s="65">
        <f>IFERROR(VLOOKUP("442",$AO$7:$AR$42,4,0),0) + IFERROR(VLOOKUP("442",$AS$7:$AV$42,4,0),0)</f>
        <v>0</v>
      </c>
      <c r="ER29" s="65">
        <f>IFERROR(VLOOKUP("443",$AO$7:$AR$42,4,0),0) + IFERROR(VLOOKUP("443",$AS$7:$AV$42,4,0),0)</f>
        <v>0</v>
      </c>
      <c r="ET29" s="66">
        <f>SUM(EP29:ES29)</f>
        <v>0</v>
      </c>
    </row>
    <row r="30" spans="1:152" ht="12.75" customHeight="1">
      <c r="A30" s="46">
        <v>21</v>
      </c>
      <c r="B30" s="47" t="str">
        <f t="shared" si="27"/>
        <v>Fri</v>
      </c>
      <c r="C30" s="48" t="str">
        <f t="shared" si="28"/>
        <v>Jun 21, 2024</v>
      </c>
      <c r="D30" s="49">
        <f t="shared" si="29"/>
        <v>0.66666666666666663</v>
      </c>
      <c r="E30" s="50" t="str">
        <f>BD27</f>
        <v>Netherlands</v>
      </c>
      <c r="F30" s="40"/>
      <c r="G30" s="41"/>
      <c r="H30" s="51" t="str">
        <f>BD26</f>
        <v>France</v>
      </c>
      <c r="I30" s="172" t="str">
        <f>INDEX(T,112,lang)</f>
        <v>Leipzig</v>
      </c>
      <c r="J30" s="172"/>
      <c r="K30" s="172"/>
      <c r="L30" s="57"/>
      <c r="M30" s="57"/>
      <c r="O30" s="54" t="str">
        <f>VLOOKUP(4,BC26:BM29,2,0)</f>
        <v>Poland</v>
      </c>
      <c r="P30" s="55">
        <f>Q30+R30+S30</f>
        <v>0</v>
      </c>
      <c r="Q30" s="55">
        <f>VLOOKUP(4,BC26:BM29,3,0)</f>
        <v>0</v>
      </c>
      <c r="R30" s="55">
        <f>VLOOKUP(4,BC26:BM29,4,0)</f>
        <v>0</v>
      </c>
      <c r="S30" s="55">
        <f>VLOOKUP(4,BC26:BM29,5,0)</f>
        <v>0</v>
      </c>
      <c r="T30" s="55" t="str">
        <f>VLOOKUP(4,BC26:BM29,6,0) &amp; " - " &amp; VLOOKUP(4,BC26:BM29,7,0)</f>
        <v>0 - 0</v>
      </c>
      <c r="U30" s="56">
        <f>Q30*3+R30</f>
        <v>0</v>
      </c>
      <c r="W30" s="65">
        <f>DATE(2024,6,22)+TIME(8,0,0)+gmt_delta</f>
        <v>45465.666666666672</v>
      </c>
      <c r="X30" s="67" t="str">
        <f t="shared" si="0"/>
        <v/>
      </c>
      <c r="Y30" s="67" t="str">
        <f t="shared" si="1"/>
        <v/>
      </c>
      <c r="Z30" s="66">
        <f t="shared" si="2"/>
        <v>0</v>
      </c>
      <c r="AA30" s="65">
        <f t="shared" si="3"/>
        <v>0</v>
      </c>
      <c r="AB30" s="65">
        <f t="shared" si="4"/>
        <v>0</v>
      </c>
      <c r="AC30" s="65">
        <f t="shared" si="5"/>
        <v>5</v>
      </c>
      <c r="AD30" s="65">
        <f t="shared" si="6"/>
        <v>1</v>
      </c>
      <c r="AE30" s="65">
        <f t="shared" si="7"/>
        <v>3</v>
      </c>
      <c r="AF30" s="65" t="str">
        <f t="shared" si="8"/>
        <v>513</v>
      </c>
      <c r="AG30" s="65">
        <f t="shared" si="9"/>
        <v>0</v>
      </c>
      <c r="AH30" s="65">
        <f t="shared" si="10"/>
        <v>0</v>
      </c>
      <c r="AI30" s="65">
        <f t="shared" si="11"/>
        <v>0</v>
      </c>
      <c r="AJ30" s="65" t="str">
        <f t="shared" si="12"/>
        <v>531</v>
      </c>
      <c r="AK30" s="65">
        <f t="shared" si="13"/>
        <v>0</v>
      </c>
      <c r="AL30" s="65">
        <f t="shared" si="14"/>
        <v>0</v>
      </c>
      <c r="AM30" s="65">
        <f t="shared" si="15"/>
        <v>0</v>
      </c>
      <c r="AO30" s="65" t="str">
        <f t="shared" si="16"/>
        <v>513</v>
      </c>
      <c r="AP30" s="65">
        <f t="shared" si="17"/>
        <v>0</v>
      </c>
      <c r="AQ30" s="65">
        <f t="shared" si="18"/>
        <v>0</v>
      </c>
      <c r="AR30" s="65">
        <f t="shared" si="19"/>
        <v>0</v>
      </c>
      <c r="AS30" s="65" t="str">
        <f t="shared" si="20"/>
        <v>531</v>
      </c>
      <c r="AT30" s="65">
        <f t="shared" si="21"/>
        <v>0</v>
      </c>
      <c r="AU30" s="65">
        <f t="shared" si="22"/>
        <v>0</v>
      </c>
      <c r="AV30" s="65">
        <f t="shared" si="23"/>
        <v>0</v>
      </c>
      <c r="AW30" s="65">
        <f>COUNT(F10:G33)</f>
        <v>0</v>
      </c>
      <c r="AX30" s="65" t="str">
        <f t="shared" si="24"/>
        <v>513</v>
      </c>
      <c r="AY30" s="65">
        <v>0</v>
      </c>
      <c r="AZ30" s="65" t="str">
        <f t="shared" si="25"/>
        <v>531</v>
      </c>
      <c r="BA30" s="65">
        <v>0</v>
      </c>
      <c r="BE30" s="65">
        <f>MAX(BE26:BE29)-MIN(BE26:BE29)+1</f>
        <v>1</v>
      </c>
      <c r="BF30" s="65">
        <f>MAX(BF26:BF29)-MIN(BF26:BF29)+1</f>
        <v>1</v>
      </c>
      <c r="BG30" s="65">
        <f>MAX(BG26:BG29)-MIN(BG26:BG29)+1</f>
        <v>1</v>
      </c>
      <c r="BH30" s="65">
        <f>MAX(BH26:BH29)-MIN(BH26:BH29)+1</f>
        <v>1</v>
      </c>
      <c r="BI30" s="65">
        <f>MAX(BI26:BI29)-MIN(BI26:BI29)+1</f>
        <v>1</v>
      </c>
      <c r="BJ30" s="65">
        <f>MAX(BJ26:BJ29)-BJ31+1</f>
        <v>1</v>
      </c>
      <c r="BK30" s="65">
        <f>MAX(BK26:BK29)-BK31+1</f>
        <v>1</v>
      </c>
      <c r="BM30" s="65">
        <f>MAX(BM26:BM29)-MIN(BM26:BM29)+1</f>
        <v>1</v>
      </c>
      <c r="BN30" s="65">
        <f>MAX(BN26:BN29)-MIN(BN26:BN29)+1</f>
        <v>1</v>
      </c>
      <c r="BT30" s="65">
        <f>MAX(BT26:BT29)-MIN(BT26:BT29)+1</f>
        <v>1</v>
      </c>
      <c r="BU30" s="65">
        <f>MAX(BU26:BU29)-MIN(BU26:BU29)+1</f>
        <v>1</v>
      </c>
      <c r="BV30" s="65">
        <f>MAX(BV26:BV29)-MIN(BV26:BV29)+1</f>
        <v>1</v>
      </c>
      <c r="BW30" s="65">
        <f>MAX(BW26:BW29)-MIN(BW26:BW29)+1</f>
        <v>1</v>
      </c>
      <c r="BX30" s="65">
        <f>MAX(BX26:BX29)-MIN(BX26:BX29)+1</f>
        <v>1</v>
      </c>
      <c r="BY30" s="66" t="str">
        <f>BD40</f>
        <v>Czech Republic</v>
      </c>
      <c r="BZ30" s="66">
        <v>6</v>
      </c>
      <c r="CA30" s="66">
        <v>3</v>
      </c>
      <c r="CC30" s="65">
        <f>CG26</f>
        <v>0</v>
      </c>
      <c r="CD30" s="65">
        <f>CG27</f>
        <v>0</v>
      </c>
      <c r="CE30" s="65">
        <f>CG28</f>
        <v>0</v>
      </c>
      <c r="CF30" s="65">
        <f>CG29</f>
        <v>0</v>
      </c>
      <c r="DK30" s="65">
        <f>DJ26</f>
        <v>1</v>
      </c>
      <c r="DL30" s="65">
        <f>DJ27</f>
        <v>1</v>
      </c>
      <c r="DM30" s="65">
        <f>DJ28</f>
        <v>1</v>
      </c>
      <c r="DN30" s="65">
        <f>DJ29</f>
        <v>1</v>
      </c>
      <c r="DO30" s="66">
        <f>SUM(DK30:DN30)</f>
        <v>4</v>
      </c>
      <c r="DS30" s="65">
        <f>DW26</f>
        <v>0</v>
      </c>
      <c r="DT30" s="65">
        <f>DW27</f>
        <v>0</v>
      </c>
      <c r="DU30" s="65">
        <f>DW28</f>
        <v>0</v>
      </c>
      <c r="DV30" s="65">
        <f>DW29</f>
        <v>0</v>
      </c>
      <c r="EE30" s="65">
        <f>EI26</f>
        <v>0</v>
      </c>
      <c r="EF30" s="65">
        <f>EI27</f>
        <v>0</v>
      </c>
      <c r="EG30" s="65">
        <f>EI28</f>
        <v>0</v>
      </c>
      <c r="EH30" s="65">
        <f>EI29</f>
        <v>0</v>
      </c>
      <c r="EV30" s="175"/>
    </row>
    <row r="31" spans="1:152" ht="12.75" customHeight="1">
      <c r="A31" s="46">
        <v>22</v>
      </c>
      <c r="B31" s="47" t="str">
        <f t="shared" si="27"/>
        <v>Sat</v>
      </c>
      <c r="C31" s="48" t="str">
        <f t="shared" si="28"/>
        <v>Jun 22, 2024</v>
      </c>
      <c r="D31" s="49">
        <f t="shared" si="29"/>
        <v>0.41666666666666669</v>
      </c>
      <c r="E31" s="50" t="str">
        <f>BD41</f>
        <v>Georgia</v>
      </c>
      <c r="F31" s="40"/>
      <c r="G31" s="41"/>
      <c r="H31" s="51" t="str">
        <f>BD40</f>
        <v>Czech Republic</v>
      </c>
      <c r="I31" s="172" t="str">
        <f>INDEX(T,109,lang)</f>
        <v>Hamburg</v>
      </c>
      <c r="J31" s="172"/>
      <c r="K31" s="172"/>
      <c r="L31" s="29"/>
      <c r="M31" s="29"/>
      <c r="W31" s="65">
        <f>DATE(2024,6,23)+TIME(8,0,0)+gmt_delta</f>
        <v>45466.666666666672</v>
      </c>
      <c r="X31" s="67" t="str">
        <f t="shared" si="0"/>
        <v/>
      </c>
      <c r="Y31" s="67" t="str">
        <f t="shared" si="1"/>
        <v/>
      </c>
      <c r="Z31" s="66">
        <f t="shared" si="2"/>
        <v>0</v>
      </c>
      <c r="AA31" s="65">
        <f t="shared" si="3"/>
        <v>0</v>
      </c>
      <c r="AB31" s="65">
        <f t="shared" si="4"/>
        <v>0</v>
      </c>
      <c r="AC31" s="65">
        <f t="shared" si="5"/>
        <v>1</v>
      </c>
      <c r="AD31" s="65">
        <f t="shared" si="6"/>
        <v>3</v>
      </c>
      <c r="AE31" s="65">
        <f t="shared" si="7"/>
        <v>1</v>
      </c>
      <c r="AF31" s="65" t="str">
        <f t="shared" si="8"/>
        <v>131</v>
      </c>
      <c r="AG31" s="65">
        <f t="shared" si="9"/>
        <v>0</v>
      </c>
      <c r="AH31" s="65">
        <f t="shared" si="10"/>
        <v>0</v>
      </c>
      <c r="AI31" s="65">
        <f t="shared" si="11"/>
        <v>0</v>
      </c>
      <c r="AJ31" s="65" t="str">
        <f t="shared" si="12"/>
        <v>113</v>
      </c>
      <c r="AK31" s="65">
        <f t="shared" si="13"/>
        <v>0</v>
      </c>
      <c r="AL31" s="65">
        <f t="shared" si="14"/>
        <v>0</v>
      </c>
      <c r="AM31" s="65">
        <f t="shared" si="15"/>
        <v>0</v>
      </c>
      <c r="AO31" s="65" t="str">
        <f t="shared" ref="AO31:AO42" si="33">AF31</f>
        <v>131</v>
      </c>
      <c r="AP31" s="65">
        <v>0</v>
      </c>
      <c r="AQ31" s="65">
        <v>0</v>
      </c>
      <c r="AR31" s="65">
        <v>0</v>
      </c>
      <c r="AS31" s="65" t="str">
        <f t="shared" ref="AS31:AS42" si="34">AJ31</f>
        <v>113</v>
      </c>
      <c r="AT31" s="65">
        <v>0</v>
      </c>
      <c r="AU31" s="65">
        <v>0</v>
      </c>
      <c r="AV31" s="65">
        <v>0</v>
      </c>
      <c r="AW31" s="65">
        <f t="shared" ref="AW31:AW42" si="35">IF(VLOOKUP(E34,DZ:ED,5,0)=VLOOKUP(H34,DZ:ED,5,0),1,0)*IF($AW$30=48,1,0)*IF(OR(F34="",G34=""),0,F34=G34)</f>
        <v>0</v>
      </c>
      <c r="AX31" s="65" t="str">
        <f t="shared" si="24"/>
        <v>131</v>
      </c>
      <c r="AY31" s="65">
        <f t="shared" ref="AY31:AY42" si="36">AW31*IF(OR(F34="",G34="",L34="",M34=""),0,IF(F34=G34,L34-M34,0))</f>
        <v>0</v>
      </c>
      <c r="AZ31" s="65" t="str">
        <f t="shared" si="25"/>
        <v>113</v>
      </c>
      <c r="BA31" s="65">
        <f t="shared" ref="BA31:BA42" si="37">-AY31</f>
        <v>0</v>
      </c>
      <c r="BJ31" s="65">
        <f>MIN(BJ26:BJ29)</f>
        <v>0</v>
      </c>
      <c r="BK31" s="65">
        <f>MIN(BK26:BK29)</f>
        <v>0</v>
      </c>
      <c r="BY31" s="66" t="str">
        <f>BD41</f>
        <v>Georgia</v>
      </c>
      <c r="BZ31" s="66">
        <v>6</v>
      </c>
      <c r="CA31" s="66">
        <v>4</v>
      </c>
      <c r="EV31" s="175"/>
    </row>
    <row r="32" spans="1:152" ht="12.75" customHeight="1">
      <c r="A32" s="46">
        <v>23</v>
      </c>
      <c r="B32" s="47" t="str">
        <f t="shared" si="27"/>
        <v>Sat</v>
      </c>
      <c r="C32" s="48" t="str">
        <f t="shared" si="28"/>
        <v>Jun 22, 2024</v>
      </c>
      <c r="D32" s="49">
        <f t="shared" si="29"/>
        <v>0.54166666666666663</v>
      </c>
      <c r="E32" s="50" t="str">
        <f>BD39</f>
        <v>Turkey</v>
      </c>
      <c r="F32" s="40"/>
      <c r="G32" s="41"/>
      <c r="H32" s="51" t="str">
        <f>BD38</f>
        <v>Portugal</v>
      </c>
      <c r="I32" s="172" t="str">
        <f>INDEX(T,108,lang)</f>
        <v>Dortmund</v>
      </c>
      <c r="J32" s="172"/>
      <c r="K32" s="172"/>
      <c r="L32" s="29"/>
      <c r="M32" s="29"/>
      <c r="O32" s="30" t="str">
        <f>INDEX(T,9,lang) &amp; " " &amp; "E"</f>
        <v>Group E</v>
      </c>
      <c r="P32" s="31" t="str">
        <f>INDEX(T,10,lang)</f>
        <v>PL</v>
      </c>
      <c r="Q32" s="31" t="str">
        <f>INDEX(T,11,lang)</f>
        <v>W</v>
      </c>
      <c r="R32" s="31" t="str">
        <f>INDEX(T,12,lang)</f>
        <v>DRAW</v>
      </c>
      <c r="S32" s="31" t="str">
        <f>INDEX(T,13,lang)</f>
        <v>L</v>
      </c>
      <c r="T32" s="31" t="str">
        <f>INDEX(T,14,lang)</f>
        <v>GF - GA</v>
      </c>
      <c r="U32" s="31" t="str">
        <f>INDEX(T,15,lang)</f>
        <v>PNT</v>
      </c>
      <c r="W32" s="65">
        <f>DATE(2024,6,23)+TIME(8,0,0)+gmt_delta</f>
        <v>45466.666666666672</v>
      </c>
      <c r="X32" s="67" t="str">
        <f t="shared" si="0"/>
        <v/>
      </c>
      <c r="Y32" s="67" t="str">
        <f t="shared" si="1"/>
        <v/>
      </c>
      <c r="Z32" s="66">
        <f t="shared" si="2"/>
        <v>0</v>
      </c>
      <c r="AA32" s="65">
        <f t="shared" si="3"/>
        <v>0</v>
      </c>
      <c r="AB32" s="65">
        <f t="shared" si="4"/>
        <v>0</v>
      </c>
      <c r="AC32" s="65">
        <f t="shared" si="5"/>
        <v>1</v>
      </c>
      <c r="AD32" s="65">
        <f t="shared" si="6"/>
        <v>2</v>
      </c>
      <c r="AE32" s="65">
        <f t="shared" si="7"/>
        <v>4</v>
      </c>
      <c r="AF32" s="65" t="str">
        <f t="shared" si="8"/>
        <v>124</v>
      </c>
      <c r="AG32" s="65">
        <f t="shared" si="9"/>
        <v>0</v>
      </c>
      <c r="AH32" s="65">
        <f t="shared" si="10"/>
        <v>0</v>
      </c>
      <c r="AI32" s="65">
        <f t="shared" si="11"/>
        <v>0</v>
      </c>
      <c r="AJ32" s="65" t="str">
        <f t="shared" si="12"/>
        <v>142</v>
      </c>
      <c r="AK32" s="65">
        <f t="shared" si="13"/>
        <v>0</v>
      </c>
      <c r="AL32" s="65">
        <f t="shared" si="14"/>
        <v>0</v>
      </c>
      <c r="AM32" s="65">
        <f t="shared" si="15"/>
        <v>0</v>
      </c>
      <c r="AO32" s="65" t="str">
        <f t="shared" si="33"/>
        <v>124</v>
      </c>
      <c r="AP32" s="65">
        <v>0</v>
      </c>
      <c r="AQ32" s="65">
        <v>0</v>
      </c>
      <c r="AR32" s="65">
        <v>0</v>
      </c>
      <c r="AS32" s="65" t="str">
        <f t="shared" si="34"/>
        <v>142</v>
      </c>
      <c r="AT32" s="65">
        <v>0</v>
      </c>
      <c r="AU32" s="65">
        <v>0</v>
      </c>
      <c r="AV32" s="65">
        <v>0</v>
      </c>
      <c r="AW32" s="65">
        <f t="shared" si="35"/>
        <v>0</v>
      </c>
      <c r="AX32" s="65" t="str">
        <f t="shared" si="24"/>
        <v>124</v>
      </c>
      <c r="AY32" s="65">
        <f t="shared" si="36"/>
        <v>0</v>
      </c>
      <c r="AZ32" s="65" t="str">
        <f t="shared" si="25"/>
        <v>142</v>
      </c>
      <c r="BA32" s="65">
        <f t="shared" si="37"/>
        <v>0</v>
      </c>
      <c r="BC32" s="65">
        <f>DQ32</f>
        <v>1</v>
      </c>
      <c r="BD32" s="66" t="str">
        <f>INDEX(T,67,lang)</f>
        <v>Belgium</v>
      </c>
      <c r="BE32" s="65">
        <f>COUNTIF($X$7:$Y$42,"=" &amp; BD32 &amp; "_win")</f>
        <v>0</v>
      </c>
      <c r="BF32" s="65">
        <f>COUNTIF($X$7:$Y$42,"=" &amp; BD32 &amp; "_draw")</f>
        <v>0</v>
      </c>
      <c r="BG32" s="65">
        <f>COUNTIF($X$7:$Y$42,"=" &amp; BD32 &amp; "_lose")</f>
        <v>0</v>
      </c>
      <c r="BH32" s="65">
        <f>SUMIF($E$10:$E$45,$BD32,$F$10:$F$45) + SUMIF($H$10:$H$45,$BD32,$G$10:$G$45)</f>
        <v>0</v>
      </c>
      <c r="BI32" s="65">
        <f>SUMIF($E$10:$E$45,$BD32,$G$10:$G$45) + SUMIF($H$10:$H$45,$BD32,$F$10:$F$45)</f>
        <v>0</v>
      </c>
      <c r="BJ32" s="65">
        <f>BM32*10000</f>
        <v>0</v>
      </c>
      <c r="BK32" s="65">
        <f>BH32-BI32</f>
        <v>0</v>
      </c>
      <c r="BL32" s="65">
        <f>(BK32-BK37)/BK36</f>
        <v>0</v>
      </c>
      <c r="BM32" s="65">
        <f>BE32*3+BF32</f>
        <v>0</v>
      </c>
      <c r="BN32" s="65">
        <f>BT32/BT36*10+BU32/BU36+BX32/BX36*0.1+BV32/BV36*0.01</f>
        <v>0</v>
      </c>
      <c r="BP32" s="65">
        <f>IF(VLOOKUP(BD32,db_fifarank,2,0)="",MIN(db_fifarank),VLOOKUP(BD32,db_fifarank,2,0))</f>
        <v>48.6</v>
      </c>
      <c r="BQ32" s="65">
        <f>0.1*((BP32-$BP$44)/$BP$46-(COUNTIF($BP$8:$BP$41,BP32)-1)/(100-ROW(BP32)))</f>
        <v>4.2531569825024762E-2</v>
      </c>
      <c r="BR32" s="66">
        <f>10000000*BM32/BM36+100000*BN32/BN36+100*BL32+10*BH32/BH36+1*BN32/BN36+BQ32</f>
        <v>4.2531569825024762E-2</v>
      </c>
      <c r="BS32" s="66" t="str">
        <f>IF(SUM(BE32:BG35)=12,O33,INDEX(T,78,lang))</f>
        <v>1E</v>
      </c>
      <c r="BT32" s="65">
        <f>SUMPRODUCT(($X$7:$X$42=BD32&amp;"_win")*($Z$7:$Z$42))+SUMPRODUCT(($Y$7:$Y$42=BD32&amp;"_win")*($Z$7:$Z$42))</f>
        <v>0</v>
      </c>
      <c r="BU32" s="65">
        <f>SUMPRODUCT(($X$7:$X$42=BD32&amp;"_draw")*($Z$7:$Z$42))+SUMPRODUCT(($Y$7:$Y$42=BD32&amp;"_draw")*($Z$7:$Z$42))</f>
        <v>0</v>
      </c>
      <c r="BV32" s="65">
        <f>SUMPRODUCT(($E$10:$E$45=BD32)*($Z$7:$Z$42)*($F$10:$F$45))+SUMPRODUCT(($H$10:$H$45=BD32)*($Z$7:$Z$42)*($G$10:$G$45))</f>
        <v>0</v>
      </c>
      <c r="BW32" s="65">
        <f>SUMPRODUCT(($E$10:$E$45=BD32)*($Z$7:$Z$42)*($G$10:$G$45))+SUMPRODUCT(($H$10:$H$45=BD32)*($Z$7:$Z$42)*($F$10:$F$45))</f>
        <v>0</v>
      </c>
      <c r="BX32" s="65">
        <f>BV32-BW32</f>
        <v>0</v>
      </c>
      <c r="CD32" s="65">
        <f>IFERROR(VLOOKUP("512",$AF$7:$AI$42,2,0),0) + IFERROR(VLOOKUP("512",$AJ$7:$AM$42,2,0),0)</f>
        <v>0</v>
      </c>
      <c r="CE32" s="65">
        <f>IFERROR(VLOOKUP("513",$AF$7:$AI$42,2,0),0) + IFERROR(VLOOKUP("513",$AJ$7:$AM$42,2,0),0)</f>
        <v>0</v>
      </c>
      <c r="CF32" s="65">
        <f>IFERROR(VLOOKUP("514",$AF$7:$AI$42,2,0),0) + IFERROR(VLOOKUP("514",$AJ$7:$AM$42,2,0),0)</f>
        <v>0</v>
      </c>
      <c r="CG32" s="66">
        <f>SUM(CC32:CF32)</f>
        <v>0</v>
      </c>
      <c r="CI32" s="65">
        <f>IFERROR(VLOOKUP("512",$AF$7:$AI$42,3,0),0) + IFERROR(VLOOKUP("512",$AJ$7:$AM$42,3,0),0)</f>
        <v>0</v>
      </c>
      <c r="CJ32" s="65">
        <f>IFERROR(VLOOKUP("513",$AF$7:$AI$42,3,0),0) + IFERROR(VLOOKUP("513",$AJ$7:$AM$42,3,0),0)</f>
        <v>0</v>
      </c>
      <c r="CK32" s="65">
        <f>IFERROR(VLOOKUP("514",$AF$7:$AI$42,3,0),0) + IFERROR(VLOOKUP("514",$AJ$7:$AM$42,3,0),0)</f>
        <v>0</v>
      </c>
      <c r="CL32" s="66">
        <f>SUM(CH32:CK32)</f>
        <v>0</v>
      </c>
      <c r="CM32" s="66">
        <f>RANK(CL32,CL32:CL35)</f>
        <v>1</v>
      </c>
      <c r="CO32" s="65">
        <f>IFERROR(VLOOKUP("512",$AF$7:$AI$42,4,0),0) + IFERROR(VLOOKUP("512",$AJ$7:$AM$42,4,0),0)</f>
        <v>0</v>
      </c>
      <c r="CP32" s="65">
        <f>IFERROR(VLOOKUP("513",$AF$7:$AI$42,4,0),0) + IFERROR(VLOOKUP("513",$AJ$7:$AM$42,4,0),0)</f>
        <v>0</v>
      </c>
      <c r="CQ32" s="65">
        <f>IFERROR(VLOOKUP("514",$AF$7:$AI$42,4,0),0) + IFERROR(VLOOKUP("514",$AJ$7:$AM$42,4,0),0)</f>
        <v>0</v>
      </c>
      <c r="CR32" s="66">
        <f>SUM(CN32:CQ32)</f>
        <v>0</v>
      </c>
      <c r="CT32" s="65">
        <f>IF(CD36=CG32,CD32,0)</f>
        <v>0</v>
      </c>
      <c r="CU32" s="65">
        <f>IF(CE36=CG32,CE32,0)</f>
        <v>0</v>
      </c>
      <c r="CV32" s="65">
        <f>IF(CF36=CG32,CF32,0)</f>
        <v>0</v>
      </c>
      <c r="CW32" s="66">
        <f>SUM(CS32:CV32)</f>
        <v>0</v>
      </c>
      <c r="CY32" s="65">
        <f>IF(CD36=CG32,CI32,0)</f>
        <v>0</v>
      </c>
      <c r="CZ32" s="65">
        <f>IF(CE36=CG32,CJ32,0)</f>
        <v>0</v>
      </c>
      <c r="DA32" s="65">
        <f>IF(CF36=CG32,CK32,0)</f>
        <v>0</v>
      </c>
      <c r="DB32" s="66">
        <f>SUM(CX32:DA32)</f>
        <v>0</v>
      </c>
      <c r="DC32" s="66">
        <f>RANK(DB32,DB32:DB35)</f>
        <v>1</v>
      </c>
      <c r="DE32" s="65">
        <f>IF(CD36=CG32,CO32,0)</f>
        <v>0</v>
      </c>
      <c r="DF32" s="65">
        <f>IF(CE36=CG32,CP32,0)</f>
        <v>0</v>
      </c>
      <c r="DG32" s="65">
        <f>IF(CF36=CG32,CQ32,0)</f>
        <v>0</v>
      </c>
      <c r="DH32" s="66">
        <f>SUM(DD32:DG32)</f>
        <v>0</v>
      </c>
      <c r="DI32" s="66">
        <f>CG32*10000+CW32*100+(5-DC32)+DH32/10</f>
        <v>4</v>
      </c>
      <c r="DJ32" s="66">
        <f>RANK(DI32,DI32:DI35)</f>
        <v>1</v>
      </c>
      <c r="DL32" s="65">
        <f>IF(DL36=DJ32,CD32,0)</f>
        <v>0</v>
      </c>
      <c r="DM32" s="65">
        <f>IF(DM36=DJ32,CE32,0)</f>
        <v>0</v>
      </c>
      <c r="DN32" s="65">
        <f>IF(DN36=DJ32,CF32,0)</f>
        <v>0</v>
      </c>
      <c r="DO32" s="66">
        <f>SUM(DK32:DN32)</f>
        <v>0</v>
      </c>
      <c r="DP32" s="66">
        <f>(5-DJ32)*10000+DO32*100+(5-CM32)+CR32/10+(5-DX32)/100+BQ32/10000</f>
        <v>40004.040004253155</v>
      </c>
      <c r="DQ32" s="66">
        <f>RANK(DP32,DP32:DP35)</f>
        <v>1</v>
      </c>
      <c r="DT32" s="65">
        <f>IFERROR(VLOOKUP("512",$AX$7:$AY$42,2,0),0) + IFERROR(VLOOKUP("512",$AZ$7:$BA$42,2,0),0)</f>
        <v>0</v>
      </c>
      <c r="DU32" s="65">
        <f>IFERROR(VLOOKUP("513",$AX$7:$AY$42,2,0),0) + IFERROR(VLOOKUP("513",$AZ$7:$BA$42,2,0),0)</f>
        <v>0</v>
      </c>
      <c r="DV32" s="65">
        <f>IFERROR(VLOOKUP("514",$AX$7:$AY$42,2,0),0) + IFERROR(VLOOKUP("514",$AZ$7:$BA$42,2,0),0)</f>
        <v>0</v>
      </c>
      <c r="DW32" s="66">
        <f>SUM(DS32:DV32)</f>
        <v>0</v>
      </c>
      <c r="DX32" s="66">
        <f>RANK(DW32,DW32:DW35)</f>
        <v>1</v>
      </c>
      <c r="DZ32" s="66" t="str">
        <f>BD32</f>
        <v>Belgium</v>
      </c>
      <c r="EA32" s="66">
        <f>EI32*10000+EO32*100+ET32</f>
        <v>100</v>
      </c>
      <c r="EB32" s="65">
        <f>COUNTIF(EA32:EA35,EA32)</f>
        <v>4</v>
      </c>
      <c r="EC32" s="65">
        <f>COUNTIF(CG32:CG35,CG32)</f>
        <v>4</v>
      </c>
      <c r="ED32" s="66">
        <f>IF(AND(EB32&gt;=2,EC32=2),EA32,-EA32-0.4)</f>
        <v>-100.4</v>
      </c>
      <c r="EF32" s="65">
        <f>IFERROR(VLOOKUP("512",$AO$7:$AR$42,2,0),0) + IFERROR(VLOOKUP("512",$AS$7:$AV$42,2,0),0)</f>
        <v>0</v>
      </c>
      <c r="EG32" s="65">
        <f>IFERROR(VLOOKUP("513",$AO$7:$AR$42,2,0),0) + IFERROR(VLOOKUP("513",$AS$7:$AV$42,2,0),0)</f>
        <v>0</v>
      </c>
      <c r="EH32" s="65">
        <f>IFERROR(VLOOKUP("514",$AO$7:$AR$42,2,0),0) + IFERROR(VLOOKUP("514",$AS$7:$AV$42,2,0),0)</f>
        <v>0</v>
      </c>
      <c r="EI32" s="66">
        <f>SUM(EE32:EH32)</f>
        <v>0</v>
      </c>
      <c r="EK32" s="65">
        <f>IFERROR(VLOOKUP("512",$AO$7:$AR$42,3,0),0) + IFERROR(VLOOKUP("512",$AS$7:$AV$42,3,0),0)</f>
        <v>0</v>
      </c>
      <c r="EL32" s="65">
        <f>IFERROR(VLOOKUP("513",$AO$7:$AR$42,3,0),0) + IFERROR(VLOOKUP("513",$AS$7:$AV$42,3,0),0)</f>
        <v>0</v>
      </c>
      <c r="EM32" s="65">
        <f>IFERROR(VLOOKUP("514",$AO$7:$AR$42,3,0),0) + IFERROR(VLOOKUP("514",$AS$7:$AV$42,3,0),0)</f>
        <v>0</v>
      </c>
      <c r="EN32" s="66">
        <f>SUM(EJ32:EM32)</f>
        <v>0</v>
      </c>
      <c r="EO32" s="66">
        <f>RANK(EN32,EN32:EN35)</f>
        <v>1</v>
      </c>
      <c r="EQ32" s="65">
        <f>IFERROR(VLOOKUP("512",$AO$7:$AR$42,4,0),0) + IFERROR(VLOOKUP("512",$AS$7:$AV$42,4,0),0)</f>
        <v>0</v>
      </c>
      <c r="ER32" s="65">
        <f>IFERROR(VLOOKUP("513",$AO$7:$AR$42,4,0),0) + IFERROR(VLOOKUP("513",$AS$7:$AV$42,4,0),0)</f>
        <v>0</v>
      </c>
      <c r="ES32" s="65">
        <f>IFERROR(VLOOKUP("514",$AO$7:$AR$42,4,0),0) + IFERROR(VLOOKUP("514",$AS$7:$AV$42,4,0),0)</f>
        <v>0</v>
      </c>
      <c r="ET32" s="66">
        <f>SUM(EP32:ES32)</f>
        <v>0</v>
      </c>
    </row>
    <row r="33" spans="1:152">
      <c r="A33" s="46">
        <v>24</v>
      </c>
      <c r="B33" s="47" t="str">
        <f t="shared" si="27"/>
        <v>Sat</v>
      </c>
      <c r="C33" s="48" t="str">
        <f t="shared" si="28"/>
        <v>Jun 22, 2024</v>
      </c>
      <c r="D33" s="49">
        <f t="shared" si="29"/>
        <v>0.66666666666666663</v>
      </c>
      <c r="E33" s="50" t="str">
        <f>BD32</f>
        <v>Belgium</v>
      </c>
      <c r="F33" s="40"/>
      <c r="G33" s="41"/>
      <c r="H33" s="51" t="str">
        <f>BD34</f>
        <v>Romania</v>
      </c>
      <c r="I33" s="172" t="str">
        <f>INDEX(T,104,lang)</f>
        <v>Cologne</v>
      </c>
      <c r="J33" s="172"/>
      <c r="K33" s="172"/>
      <c r="L33" s="29"/>
      <c r="M33" s="29"/>
      <c r="O33" s="32" t="str">
        <f>VLOOKUP(1,BC32:BM35,2,0)</f>
        <v>Belgium</v>
      </c>
      <c r="P33" s="33">
        <f>Q33+R33+S33</f>
        <v>0</v>
      </c>
      <c r="Q33" s="33">
        <f>VLOOKUP(1,BC32:BM35,3,0)</f>
        <v>0</v>
      </c>
      <c r="R33" s="33">
        <f>VLOOKUP(1,BC32:BM35,4,0)</f>
        <v>0</v>
      </c>
      <c r="S33" s="33">
        <f>VLOOKUP(1,BC32:BM35,5,0)</f>
        <v>0</v>
      </c>
      <c r="T33" s="33" t="str">
        <f>VLOOKUP(1,BC32:BM35,6,0) &amp; " - " &amp; VLOOKUP(1,BC32:BM35,7,0)</f>
        <v>0 - 0</v>
      </c>
      <c r="U33" s="34">
        <f>Q33*3+R33</f>
        <v>0</v>
      </c>
      <c r="W33" s="65">
        <f>DATE(2024,6,24)+TIME(8,0,0)+gmt_delta</f>
        <v>45467.666666666672</v>
      </c>
      <c r="X33" s="67" t="str">
        <f t="shared" si="0"/>
        <v/>
      </c>
      <c r="Y33" s="67" t="str">
        <f t="shared" si="1"/>
        <v/>
      </c>
      <c r="Z33" s="66">
        <f t="shared" si="2"/>
        <v>0</v>
      </c>
      <c r="AA33" s="65">
        <f t="shared" si="3"/>
        <v>0</v>
      </c>
      <c r="AB33" s="65">
        <f t="shared" si="4"/>
        <v>0</v>
      </c>
      <c r="AC33" s="65">
        <f t="shared" si="5"/>
        <v>2</v>
      </c>
      <c r="AD33" s="65">
        <f t="shared" si="6"/>
        <v>4</v>
      </c>
      <c r="AE33" s="65">
        <f t="shared" si="7"/>
        <v>1</v>
      </c>
      <c r="AF33" s="65" t="str">
        <f t="shared" si="8"/>
        <v>241</v>
      </c>
      <c r="AG33" s="65">
        <f t="shared" si="9"/>
        <v>0</v>
      </c>
      <c r="AH33" s="65">
        <f t="shared" si="10"/>
        <v>0</v>
      </c>
      <c r="AI33" s="65">
        <f t="shared" si="11"/>
        <v>0</v>
      </c>
      <c r="AJ33" s="65" t="str">
        <f t="shared" si="12"/>
        <v>214</v>
      </c>
      <c r="AK33" s="65">
        <f t="shared" si="13"/>
        <v>0</v>
      </c>
      <c r="AL33" s="65">
        <f t="shared" si="14"/>
        <v>0</v>
      </c>
      <c r="AM33" s="65">
        <f t="shared" si="15"/>
        <v>0</v>
      </c>
      <c r="AO33" s="65" t="str">
        <f t="shared" si="33"/>
        <v>241</v>
      </c>
      <c r="AP33" s="65">
        <v>0</v>
      </c>
      <c r="AQ33" s="65">
        <v>0</v>
      </c>
      <c r="AR33" s="65">
        <v>0</v>
      </c>
      <c r="AS33" s="65" t="str">
        <f t="shared" si="34"/>
        <v>214</v>
      </c>
      <c r="AT33" s="65">
        <v>0</v>
      </c>
      <c r="AU33" s="65">
        <v>0</v>
      </c>
      <c r="AV33" s="65">
        <v>0</v>
      </c>
      <c r="AW33" s="65">
        <f t="shared" si="35"/>
        <v>0</v>
      </c>
      <c r="AX33" s="65" t="str">
        <f t="shared" si="24"/>
        <v>241</v>
      </c>
      <c r="AY33" s="65">
        <f t="shared" si="36"/>
        <v>0</v>
      </c>
      <c r="AZ33" s="65" t="str">
        <f t="shared" si="25"/>
        <v>214</v>
      </c>
      <c r="BA33" s="65">
        <f t="shared" si="37"/>
        <v>0</v>
      </c>
      <c r="BC33" s="65">
        <f>DQ33</f>
        <v>2</v>
      </c>
      <c r="BD33" s="66" t="str">
        <f>INDEX(T,45,lang)</f>
        <v>Ukraine</v>
      </c>
      <c r="BE33" s="65">
        <f>COUNTIF($X$7:$Y$42,"=" &amp; BD33 &amp; "_win")</f>
        <v>0</v>
      </c>
      <c r="BF33" s="65">
        <f>COUNTIF($X$7:$Y$42,"=" &amp; BD33 &amp; "_draw")</f>
        <v>0</v>
      </c>
      <c r="BG33" s="65">
        <f>COUNTIF($X$7:$Y$42,"=" &amp; BD33 &amp; "_lose")</f>
        <v>0</v>
      </c>
      <c r="BH33" s="65">
        <f>SUMIF($E$10:$E$45,$BD33,$F$10:$F$45) + SUMIF($H$10:$H$45,$BD33,$G$10:$G$45)</f>
        <v>0</v>
      </c>
      <c r="BI33" s="65">
        <f>SUMIF($E$10:$E$45,$BD33,$G$10:$G$45) + SUMIF($H$10:$H$45,$BD33,$F$10:$F$45)</f>
        <v>0</v>
      </c>
      <c r="BJ33" s="65">
        <f>BM33*10000</f>
        <v>0</v>
      </c>
      <c r="BK33" s="65">
        <f>BH33-BI33</f>
        <v>0</v>
      </c>
      <c r="BL33" s="65">
        <f>(BK33-BK37)/BK36</f>
        <v>0</v>
      </c>
      <c r="BM33" s="65">
        <f>BE33*3+BF33</f>
        <v>0</v>
      </c>
      <c r="BN33" s="65">
        <f>BT33/BT36*10+BU33/BU36+BX33/BX36*0.1+BV33/BV36*0.01</f>
        <v>0</v>
      </c>
      <c r="BP33" s="65">
        <f>IF(VLOOKUP(BD33,db_fifarank,2,0)="",MIN(db_fifarank),VLOOKUP(BD33,db_fifarank,2,0))</f>
        <v>28</v>
      </c>
      <c r="BQ33" s="65">
        <f t="shared" ref="BQ33:BQ35" si="38">0.1*((BP33-$BP$44)/$BP$46-(COUNTIF($BP$8:$BP$41,BP33)-1)/(100-ROW(BP33)))</f>
        <v>2.1278681082865635E-2</v>
      </c>
      <c r="BR33" s="66">
        <f>10000000*BM33/BM36+100000*BN33/BN36+100*BL33+10*BH33/BH36+1*BN33/BN36+BQ33</f>
        <v>2.1278681082865635E-2</v>
      </c>
      <c r="BS33" s="66" t="str">
        <f>IF(SUM(BE32:BG35)=12,O34,INDEX(T,79,lang))</f>
        <v>2E</v>
      </c>
      <c r="BT33" s="65">
        <f>SUMPRODUCT(($X$7:$X$42=BD33&amp;"_win")*($Z$7:$Z$42))+SUMPRODUCT(($Y$7:$Y$42=BD33&amp;"_win")*($Z$7:$Z$42))</f>
        <v>0</v>
      </c>
      <c r="BU33" s="65">
        <f>SUMPRODUCT(($X$7:$X$42=BD33&amp;"_draw")*($Z$7:$Z$42))+SUMPRODUCT(($Y$7:$Y$42=BD33&amp;"_draw")*($Z$7:$Z$42))</f>
        <v>0</v>
      </c>
      <c r="BV33" s="65">
        <f>SUMPRODUCT(($E$10:$E$45=BD33)*($Z$7:$Z$42)*($F$10:$F$45))+SUMPRODUCT(($H$10:$H$45=BD33)*($Z$7:$Z$42)*($G$10:$G$45))</f>
        <v>0</v>
      </c>
      <c r="BW33" s="65">
        <f>SUMPRODUCT(($E$10:$E$45=BD33)*($Z$7:$Z$42)*($G$10:$G$45))+SUMPRODUCT(($H$10:$H$45=BD33)*($Z$7:$Z$42)*($F$10:$F$45))</f>
        <v>0</v>
      </c>
      <c r="BX33" s="65">
        <f>BV33-BW33</f>
        <v>0</v>
      </c>
      <c r="CC33" s="65">
        <f>IFERROR(VLOOKUP("521",$AF$7:$AI$42,2,0),0) + IFERROR(VLOOKUP("521",$AJ$7:$AM$42,2,0),0)</f>
        <v>0</v>
      </c>
      <c r="CE33" s="65">
        <f>IFERROR(VLOOKUP("523",$AF$7:$AI$42,2,0),0) + IFERROR(VLOOKUP("523",$AJ$7:$AM$42,2,0),0)</f>
        <v>0</v>
      </c>
      <c r="CF33" s="65">
        <f>IFERROR(VLOOKUP("524",$AF$7:$AI$42,2,0),0) + IFERROR(VLOOKUP("524",$AJ$7:$AM$42,2,0),0)</f>
        <v>0</v>
      </c>
      <c r="CG33" s="66">
        <f>SUM(CC33:CF33)</f>
        <v>0</v>
      </c>
      <c r="CH33" s="65">
        <f>IFERROR(VLOOKUP("521",$AF$7:$AI$42,3,0),0) + IFERROR(VLOOKUP("521",$AJ$7:$AM$42,3,0),0)</f>
        <v>0</v>
      </c>
      <c r="CJ33" s="65">
        <f>IFERROR(VLOOKUP("523",$AF$7:$AI$42,3,0),0) + IFERROR(VLOOKUP("523",$AJ$7:$AM$42,3,0),0)</f>
        <v>0</v>
      </c>
      <c r="CK33" s="65">
        <f>IFERROR(VLOOKUP("524",$AF$7:$AI$42,3,0),0) + IFERROR(VLOOKUP("524",$AJ$7:$AM$42,3,0),0)</f>
        <v>0</v>
      </c>
      <c r="CL33" s="66">
        <f>SUM(CH33:CK33)</f>
        <v>0</v>
      </c>
      <c r="CM33" s="66">
        <f>RANK(CL33,CL32:CL35)</f>
        <v>1</v>
      </c>
      <c r="CN33" s="65">
        <f>IFERROR(VLOOKUP("521",$AF$7:$AI$42,4,0),0) + IFERROR(VLOOKUP("521",$AJ$7:$AM$42,4,0),0)</f>
        <v>0</v>
      </c>
      <c r="CP33" s="65">
        <f>IFERROR(VLOOKUP("523",$AF$7:$AI$42,4,0),0) + IFERROR(VLOOKUP("523",$AJ$7:$AM$42,4,0),0)</f>
        <v>0</v>
      </c>
      <c r="CQ33" s="65">
        <f>IFERROR(VLOOKUP("524",$AF$7:$AI$42,4,0),0) + IFERROR(VLOOKUP("524",$AJ$7:$AM$42,4,0),0)</f>
        <v>0</v>
      </c>
      <c r="CR33" s="66">
        <f>SUM(CN33:CQ33)</f>
        <v>0</v>
      </c>
      <c r="CS33" s="65">
        <f>IF(CC36=CG33,CC33,0)</f>
        <v>0</v>
      </c>
      <c r="CU33" s="65">
        <f>IF(CE36=CG33,CE33,0)</f>
        <v>0</v>
      </c>
      <c r="CV33" s="65">
        <f>IF(CF36=CG33,CF33,0)</f>
        <v>0</v>
      </c>
      <c r="CW33" s="66">
        <f>SUM(CS33:CV33)</f>
        <v>0</v>
      </c>
      <c r="CX33" s="65">
        <f>IF(CC36=CG33,CH33,0)</f>
        <v>0</v>
      </c>
      <c r="CZ33" s="65">
        <f>IF(CE36=CG33,CJ33,0)</f>
        <v>0</v>
      </c>
      <c r="DA33" s="65">
        <f>IF(CF36=CG33,CK33,0)</f>
        <v>0</v>
      </c>
      <c r="DB33" s="66">
        <f>SUM(CX33:DA33)</f>
        <v>0</v>
      </c>
      <c r="DC33" s="66">
        <f>RANK(DB33,DB32:DB35)</f>
        <v>1</v>
      </c>
      <c r="DD33" s="65">
        <f>IF(CC36=CG33,CN33,0)</f>
        <v>0</v>
      </c>
      <c r="DF33" s="65">
        <f>IF(CE36=CG33,CP33,0)</f>
        <v>0</v>
      </c>
      <c r="DG33" s="65">
        <f>IF(CF36=CG33,CQ33,0)</f>
        <v>0</v>
      </c>
      <c r="DH33" s="66">
        <f>SUM(DD33:DG33)</f>
        <v>0</v>
      </c>
      <c r="DI33" s="66">
        <f>CG33*10000+CW33*100+(5-DC33)+DH33/10</f>
        <v>4</v>
      </c>
      <c r="DJ33" s="66">
        <f>RANK(DI33,DI32:DI35)</f>
        <v>1</v>
      </c>
      <c r="DK33" s="65">
        <f>IF(DK36=DJ33,CC33,0)</f>
        <v>0</v>
      </c>
      <c r="DM33" s="65">
        <f>IF(DM36=DJ33,CE33,0)</f>
        <v>0</v>
      </c>
      <c r="DN33" s="65">
        <f>IF(DN36=DJ33,CF33,0)</f>
        <v>0</v>
      </c>
      <c r="DO33" s="66">
        <f>SUM(DK33:DN33)</f>
        <v>0</v>
      </c>
      <c r="DP33" s="66">
        <f>(5-DJ33)*10000+DO33*100+(5-CM33)+CR33/10+(5-DX33)/100+BQ33/10000</f>
        <v>40004.040002127869</v>
      </c>
      <c r="DQ33" s="66">
        <f>RANK(DP33,DP32:DP35)</f>
        <v>2</v>
      </c>
      <c r="DS33" s="65">
        <f>IFERROR(VLOOKUP("521",$AX$7:$AY$42,2,0),0) + IFERROR(VLOOKUP("521",$AZ$7:$BA$42,2,0),0)</f>
        <v>0</v>
      </c>
      <c r="DU33" s="65">
        <f>IFERROR(VLOOKUP("523",$AX$7:$AY$42,2,0),0) + IFERROR(VLOOKUP("523",$AZ$7:$BA$42,2,0),0)</f>
        <v>0</v>
      </c>
      <c r="DV33" s="65">
        <f>IFERROR(VLOOKUP("524",$AX$7:$AY$42,2,0),0) + IFERROR(VLOOKUP("524",$AZ$7:$BA$42,2,0),0)</f>
        <v>0</v>
      </c>
      <c r="DW33" s="66">
        <f>SUM(DS33:DV33)</f>
        <v>0</v>
      </c>
      <c r="DX33" s="66">
        <f>RANK(DW33,DW32:DW35)</f>
        <v>1</v>
      </c>
      <c r="DZ33" s="66" t="str">
        <f>BD33</f>
        <v>Ukraine</v>
      </c>
      <c r="EA33" s="66">
        <f>EI33*10000+EO33*100+ET33</f>
        <v>100</v>
      </c>
      <c r="EB33" s="65">
        <f>COUNTIF(EA32:EA35,EA33)</f>
        <v>4</v>
      </c>
      <c r="EC33" s="65">
        <f>COUNTIF(CG32:CG35,CG33)</f>
        <v>4</v>
      </c>
      <c r="ED33" s="66">
        <f>IF(AND(EB33&gt;=2,EC33=2),EA33,-EA33-0.3)</f>
        <v>-100.3</v>
      </c>
      <c r="EE33" s="65">
        <f>IFERROR(VLOOKUP("521",$AO$7:$AR$42,2,0),0) + IFERROR(VLOOKUP("521",$AS$7:$AV$42,2,0),0)</f>
        <v>0</v>
      </c>
      <c r="EG33" s="65">
        <f>IFERROR(VLOOKUP("523",$AO$7:$AR$42,2,0),0) + IFERROR(VLOOKUP("523",$AS$7:$AV$42,2,0),0)</f>
        <v>0</v>
      </c>
      <c r="EH33" s="65">
        <f>IFERROR(VLOOKUP("524",$AO$7:$AR$42,2,0),0) + IFERROR(VLOOKUP("524",$AS$7:$AV$42,2,0),0)</f>
        <v>0</v>
      </c>
      <c r="EI33" s="66">
        <f>SUM(EE33:EH33)</f>
        <v>0</v>
      </c>
      <c r="EJ33" s="65">
        <f>IFERROR(VLOOKUP("521",$AO$7:$AR$42,3,0),0) + IFERROR(VLOOKUP("521",$AS$7:$AV$42,3,0),0)</f>
        <v>0</v>
      </c>
      <c r="EL33" s="65">
        <f>IFERROR(VLOOKUP("523",$AO$7:$AR$42,3,0),0) + IFERROR(VLOOKUP("523",$AS$7:$AV$42,3,0),0)</f>
        <v>0</v>
      </c>
      <c r="EM33" s="65">
        <f>IFERROR(VLOOKUP("524",$AO$7:$AR$42,3,0),0) + IFERROR(VLOOKUP("524",$AS$7:$AV$42,3,0),0)</f>
        <v>0</v>
      </c>
      <c r="EN33" s="66">
        <f>SUM(EJ33:EM33)</f>
        <v>0</v>
      </c>
      <c r="EO33" s="66">
        <f>RANK(EN33,EN32:EN35)</f>
        <v>1</v>
      </c>
      <c r="EP33" s="65">
        <f>IFERROR(VLOOKUP("521",$AO$7:$AR$42,4,0),0) + IFERROR(VLOOKUP("521",$AS$7:$AV$42,4,0),0)</f>
        <v>0</v>
      </c>
      <c r="ER33" s="65">
        <f>IFERROR(VLOOKUP("523",$AO$7:$AR$42,4,0),0) + IFERROR(VLOOKUP("523",$AS$7:$AV$42,4,0),0)</f>
        <v>0</v>
      </c>
      <c r="ES33" s="65">
        <f>IFERROR(VLOOKUP("524",$AO$7:$AR$42,4,0),0) + IFERROR(VLOOKUP("524",$AS$7:$AV$42,4,0),0)</f>
        <v>0</v>
      </c>
      <c r="ET33" s="66">
        <f>SUM(EP33:ES33)</f>
        <v>0</v>
      </c>
    </row>
    <row r="34" spans="1:152">
      <c r="A34" s="46">
        <v>25</v>
      </c>
      <c r="B34" s="47" t="str">
        <f t="shared" si="27"/>
        <v>Sun</v>
      </c>
      <c r="C34" s="48" t="str">
        <f t="shared" si="28"/>
        <v>Jun 23, 2024</v>
      </c>
      <c r="D34" s="49">
        <f t="shared" si="29"/>
        <v>0.66666666666666663</v>
      </c>
      <c r="E34" s="50" t="str">
        <f>BD10</f>
        <v>Switzerland</v>
      </c>
      <c r="F34" s="40"/>
      <c r="G34" s="41"/>
      <c r="H34" s="51" t="str">
        <f>BD8</f>
        <v>Germany</v>
      </c>
      <c r="I34" s="172" t="str">
        <f>INDEX(T,106,lang)</f>
        <v>Frankfurt</v>
      </c>
      <c r="J34" s="172"/>
      <c r="K34" s="172"/>
      <c r="L34" s="71"/>
      <c r="M34" s="72"/>
      <c r="O34" s="43" t="str">
        <f>VLOOKUP(2,BC32:BM35,2,0)</f>
        <v>Ukraine</v>
      </c>
      <c r="P34" s="44">
        <f>Q34+R34+S34</f>
        <v>0</v>
      </c>
      <c r="Q34" s="44">
        <f>VLOOKUP(2,BC32:BM35,3,0)</f>
        <v>0</v>
      </c>
      <c r="R34" s="44">
        <f>VLOOKUP(2,BC32:BM35,4,0)</f>
        <v>0</v>
      </c>
      <c r="S34" s="44">
        <f>VLOOKUP(2,BC32:BM35,5,0)</f>
        <v>0</v>
      </c>
      <c r="T34" s="44" t="str">
        <f>VLOOKUP(2,BC32:BM35,6,0) &amp; " - " &amp; VLOOKUP(2,BC32:BM35,7,0)</f>
        <v>0 - 0</v>
      </c>
      <c r="U34" s="45">
        <f>Q34*3+R34</f>
        <v>0</v>
      </c>
      <c r="W34" s="65">
        <f>DATE(2024,6,24)+TIME(8,0,0)+gmt_delta</f>
        <v>45467.666666666672</v>
      </c>
      <c r="X34" s="67" t="str">
        <f t="shared" si="0"/>
        <v/>
      </c>
      <c r="Y34" s="67" t="str">
        <f t="shared" si="1"/>
        <v/>
      </c>
      <c r="Z34" s="66">
        <f t="shared" si="2"/>
        <v>0</v>
      </c>
      <c r="AA34" s="65">
        <f t="shared" si="3"/>
        <v>0</v>
      </c>
      <c r="AB34" s="65">
        <f t="shared" si="4"/>
        <v>0</v>
      </c>
      <c r="AC34" s="65">
        <f t="shared" si="5"/>
        <v>2</v>
      </c>
      <c r="AD34" s="65">
        <f t="shared" si="6"/>
        <v>3</v>
      </c>
      <c r="AE34" s="65">
        <f t="shared" si="7"/>
        <v>2</v>
      </c>
      <c r="AF34" s="65" t="str">
        <f t="shared" si="8"/>
        <v>232</v>
      </c>
      <c r="AG34" s="65">
        <f t="shared" si="9"/>
        <v>0</v>
      </c>
      <c r="AH34" s="65">
        <f t="shared" si="10"/>
        <v>0</v>
      </c>
      <c r="AI34" s="65">
        <f t="shared" si="11"/>
        <v>0</v>
      </c>
      <c r="AJ34" s="65" t="str">
        <f t="shared" si="12"/>
        <v>223</v>
      </c>
      <c r="AK34" s="65">
        <f t="shared" si="13"/>
        <v>0</v>
      </c>
      <c r="AL34" s="65">
        <f t="shared" si="14"/>
        <v>0</v>
      </c>
      <c r="AM34" s="65">
        <f t="shared" si="15"/>
        <v>0</v>
      </c>
      <c r="AO34" s="65" t="str">
        <f t="shared" si="33"/>
        <v>232</v>
      </c>
      <c r="AP34" s="65">
        <v>0</v>
      </c>
      <c r="AQ34" s="65">
        <v>0</v>
      </c>
      <c r="AR34" s="65">
        <v>0</v>
      </c>
      <c r="AS34" s="65" t="str">
        <f t="shared" si="34"/>
        <v>223</v>
      </c>
      <c r="AT34" s="65">
        <v>0</v>
      </c>
      <c r="AU34" s="65">
        <v>0</v>
      </c>
      <c r="AV34" s="65">
        <v>0</v>
      </c>
      <c r="AW34" s="65">
        <f t="shared" si="35"/>
        <v>0</v>
      </c>
      <c r="AX34" s="65" t="str">
        <f t="shared" si="24"/>
        <v>232</v>
      </c>
      <c r="AY34" s="65">
        <f t="shared" si="36"/>
        <v>0</v>
      </c>
      <c r="AZ34" s="65" t="str">
        <f t="shared" si="25"/>
        <v>223</v>
      </c>
      <c r="BA34" s="65">
        <f t="shared" si="37"/>
        <v>0</v>
      </c>
      <c r="BC34" s="65">
        <f>DQ34</f>
        <v>3</v>
      </c>
      <c r="BD34" s="66" t="str">
        <f>INDEX(T,39,lang)</f>
        <v>Romania</v>
      </c>
      <c r="BE34" s="65">
        <f>COUNTIF($X$7:$Y$42,"=" &amp; BD34 &amp; "_win")</f>
        <v>0</v>
      </c>
      <c r="BF34" s="65">
        <f>COUNTIF($X$7:$Y$42,"=" &amp; BD34 &amp; "_draw")</f>
        <v>0</v>
      </c>
      <c r="BG34" s="65">
        <f>COUNTIF($X$7:$Y$42,"=" &amp; BD34 &amp; "_lose")</f>
        <v>0</v>
      </c>
      <c r="BH34" s="65">
        <f>SUMIF($E$10:$E$45,$BD34,$F$10:$F$45) + SUMIF($H$10:$H$45,$BD34,$G$10:$G$45)</f>
        <v>0</v>
      </c>
      <c r="BI34" s="65">
        <f>SUMIF($E$10:$E$45,$BD34,$G$10:$G$45) + SUMIF($H$10:$H$45,$BD34,$F$10:$F$45)</f>
        <v>0</v>
      </c>
      <c r="BJ34" s="65">
        <f>BM34*10000</f>
        <v>0</v>
      </c>
      <c r="BK34" s="65">
        <f>BH34-BI34</f>
        <v>0</v>
      </c>
      <c r="BL34" s="65">
        <f>(BK34-BK37)/BK36</f>
        <v>0</v>
      </c>
      <c r="BM34" s="65">
        <f>BE34*3+BF34</f>
        <v>0</v>
      </c>
      <c r="BN34" s="65">
        <f>BT34/BT36*10+BU34/BU36+BX34/BX36*0.1+BV34/BV36*0.01</f>
        <v>0</v>
      </c>
      <c r="BP34" s="65">
        <f>IF(VLOOKUP(BD34,db_fifarank,2,0)="",MIN(db_fifarank),VLOOKUP(BD34,db_fifarank,2,0))</f>
        <v>21.375</v>
      </c>
      <c r="BQ34" s="65">
        <f t="shared" si="38"/>
        <v>1.4443710795642127E-2</v>
      </c>
      <c r="BR34" s="66">
        <f>10000000*BM34/BM36+100000*BN34/BN36+100*BL34+10*BH34/BH36+1*BN34/BN36+BQ34</f>
        <v>1.4443710795642127E-2</v>
      </c>
      <c r="BS34" s="66" t="str">
        <f>IF(SUM(BE32:BG35)&gt;0,O35,"3E")</f>
        <v>3E</v>
      </c>
      <c r="BT34" s="65">
        <f>SUMPRODUCT(($X$7:$X$42=BD34&amp;"_win")*($Z$7:$Z$42))+SUMPRODUCT(($Y$7:$Y$42=BD34&amp;"_win")*($Z$7:$Z$42))</f>
        <v>0</v>
      </c>
      <c r="BU34" s="65">
        <f>SUMPRODUCT(($X$7:$X$42=BD34&amp;"_draw")*($Z$7:$Z$42))+SUMPRODUCT(($Y$7:$Y$42=BD34&amp;"_draw")*($Z$7:$Z$42))</f>
        <v>0</v>
      </c>
      <c r="BV34" s="65">
        <f>SUMPRODUCT(($E$10:$E$45=BD34)*($Z$7:$Z$42)*($F$10:$F$45))+SUMPRODUCT(($H$10:$H$45=BD34)*($Z$7:$Z$42)*($G$10:$G$45))</f>
        <v>0</v>
      </c>
      <c r="BW34" s="65">
        <f>SUMPRODUCT(($E$10:$E$45=BD34)*($Z$7:$Z$42)*($G$10:$G$45))+SUMPRODUCT(($H$10:$H$45=BD34)*($Z$7:$Z$42)*($F$10:$F$45))</f>
        <v>0</v>
      </c>
      <c r="BX34" s="65">
        <f>BV34-BW34</f>
        <v>0</v>
      </c>
      <c r="CC34" s="65">
        <f>IFERROR(VLOOKUP("531",$AF$7:$AI$42,2,0),0) + IFERROR(VLOOKUP("531",$AJ$7:$AM$42,2,0),0)</f>
        <v>0</v>
      </c>
      <c r="CD34" s="65">
        <f>IFERROR(VLOOKUP("532",$AF$7:$AI$42,2,0),0) + IFERROR(VLOOKUP("532",$AJ$7:$AM$42,2,0),0)</f>
        <v>0</v>
      </c>
      <c r="CF34" s="65">
        <f>IFERROR(VLOOKUP("534",$AF$7:$AI$42,2,0),0) + IFERROR(VLOOKUP("534",$AJ$7:$AM$42,2,0),0)</f>
        <v>0</v>
      </c>
      <c r="CG34" s="66">
        <f>SUM(CC34:CF34)</f>
        <v>0</v>
      </c>
      <c r="CH34" s="65">
        <f>IFERROR(VLOOKUP("531",$AF$7:$AI$42,3,0),0) + IFERROR(VLOOKUP("531",$AJ$7:$AM$42,3,0),0)</f>
        <v>0</v>
      </c>
      <c r="CI34" s="65">
        <f>IFERROR(VLOOKUP("532",$AF$7:$AI$42,3,0),0) + IFERROR(VLOOKUP("532",$AJ$7:$AM$42,3,0),0)</f>
        <v>0</v>
      </c>
      <c r="CK34" s="65">
        <f>IFERROR(VLOOKUP("534",$AF$7:$AI$42,3,0),0) + IFERROR(VLOOKUP("534",$AJ$7:$AM$42,3,0),0)</f>
        <v>0</v>
      </c>
      <c r="CL34" s="66">
        <f>SUM(CH34:CK34)</f>
        <v>0</v>
      </c>
      <c r="CM34" s="66">
        <f>RANK(CL34,CL32:CL35)</f>
        <v>1</v>
      </c>
      <c r="CN34" s="65">
        <f>IFERROR(VLOOKUP("531",$AF$7:$AI$42,4,0),0) + IFERROR(VLOOKUP("531",$AJ$7:$AM$42,4,0),0)</f>
        <v>0</v>
      </c>
      <c r="CO34" s="65">
        <f>IFERROR(VLOOKUP("532",$AF$7:$AI$42,4,0),0) + IFERROR(VLOOKUP("532",$AJ$7:$AM$42,4,0),0)</f>
        <v>0</v>
      </c>
      <c r="CQ34" s="65">
        <f>IFERROR(VLOOKUP("534",$AF$7:$AI$42,4,0),0) + IFERROR(VLOOKUP("534",$AJ$7:$AM$42,4,0),0)</f>
        <v>0</v>
      </c>
      <c r="CR34" s="66">
        <f>SUM(CN34:CQ34)</f>
        <v>0</v>
      </c>
      <c r="CS34" s="65">
        <f>IF(CC36=CG34,CC34,0)</f>
        <v>0</v>
      </c>
      <c r="CT34" s="65">
        <f>IF(CD36=CG34,CD34,0)</f>
        <v>0</v>
      </c>
      <c r="CV34" s="65">
        <f>IF(CF36=CG34,CF34,0)</f>
        <v>0</v>
      </c>
      <c r="CW34" s="66">
        <f>SUM(CS34:CV34)</f>
        <v>0</v>
      </c>
      <c r="CX34" s="65">
        <f>IF(CC36=CG34,CH34,0)</f>
        <v>0</v>
      </c>
      <c r="CY34" s="65">
        <f>IF(CD36=CG34,CI34,0)</f>
        <v>0</v>
      </c>
      <c r="DA34" s="65">
        <f>IF(CF36=CG34,CK34,0)</f>
        <v>0</v>
      </c>
      <c r="DB34" s="66">
        <f>SUM(CX34:DA34)</f>
        <v>0</v>
      </c>
      <c r="DC34" s="66">
        <f>RANK(DB34,DB32:DB35)</f>
        <v>1</v>
      </c>
      <c r="DD34" s="65">
        <f>IF(CC36=CG34,CN34,0)</f>
        <v>0</v>
      </c>
      <c r="DE34" s="65">
        <f>IF(CD36=CG34,CO34,0)</f>
        <v>0</v>
      </c>
      <c r="DG34" s="65">
        <f>IF(CF36=CG34,CQ34,0)</f>
        <v>0</v>
      </c>
      <c r="DH34" s="66">
        <f>SUM(DD34:DG34)</f>
        <v>0</v>
      </c>
      <c r="DI34" s="66">
        <f>CG34*10000+CW34*100+(5-DC34)+DH34/10</f>
        <v>4</v>
      </c>
      <c r="DJ34" s="66">
        <f>RANK(DI34,DI32:DI35)</f>
        <v>1</v>
      </c>
      <c r="DK34" s="65">
        <f>IF(DK36=DJ34,CC34,0)</f>
        <v>0</v>
      </c>
      <c r="DL34" s="65">
        <f>IF(DL36=DJ34,CD34,0)</f>
        <v>0</v>
      </c>
      <c r="DN34" s="65">
        <f>IF(DN36=DJ34,CF34,0)</f>
        <v>0</v>
      </c>
      <c r="DO34" s="66">
        <f>SUM(DK34:DN34)</f>
        <v>0</v>
      </c>
      <c r="DP34" s="66">
        <f>(5-DJ34)*10000+DO34*100+(5-CM34)+CR34/10+(5-DX34)/100+BQ34/10000</f>
        <v>40004.040001444373</v>
      </c>
      <c r="DQ34" s="66">
        <f>RANK(DP34,DP32:DP35)</f>
        <v>3</v>
      </c>
      <c r="DS34" s="65">
        <f>IFERROR(VLOOKUP("531",$AX$7:$AY$42,2,0),0) + IFERROR(VLOOKUP("531",$AZ$7:$BA$42,2,0),0)</f>
        <v>0</v>
      </c>
      <c r="DT34" s="65">
        <f>IFERROR(VLOOKUP("532",$AX$7:$AY$42,2,0),0) + IFERROR(VLOOKUP("532",$AZ$7:$BA$42,2,0),0)</f>
        <v>0</v>
      </c>
      <c r="DV34" s="65">
        <f>IFERROR(VLOOKUP("534",$AX$7:$AY$42,2,0),0) + IFERROR(VLOOKUP("534",$AZ$7:$BA$42,2,0),0)</f>
        <v>0</v>
      </c>
      <c r="DW34" s="66">
        <f>SUM(DS34:DV34)</f>
        <v>0</v>
      </c>
      <c r="DX34" s="66">
        <f>RANK(DW34,DW32:DW35)</f>
        <v>1</v>
      </c>
      <c r="DZ34" s="66" t="str">
        <f>BD34</f>
        <v>Romania</v>
      </c>
      <c r="EA34" s="66">
        <f>EI34*10000+EO34*100+ET34</f>
        <v>100</v>
      </c>
      <c r="EB34" s="65">
        <f>COUNTIF(EA32:EA35,EA34)</f>
        <v>4</v>
      </c>
      <c r="EC34" s="65">
        <f>COUNTIF(CG32:CG35,CG34)</f>
        <v>4</v>
      </c>
      <c r="ED34" s="66">
        <f>IF(AND(EB34&gt;=2,EC34=2),EA34,-EA34-0.2)</f>
        <v>-100.2</v>
      </c>
      <c r="EE34" s="65">
        <f>IFERROR(VLOOKUP("531",$AO$7:$AR$42,2,0),0) + IFERROR(VLOOKUP("531",$AS$7:$AV$42,2,0),0)</f>
        <v>0</v>
      </c>
      <c r="EF34" s="65">
        <f>IFERROR(VLOOKUP("532",$AO$7:$AR$42,2,0),0) + IFERROR(VLOOKUP("532",$AS$7:$AV$42,2,0),0)</f>
        <v>0</v>
      </c>
      <c r="EH34" s="65">
        <f>IFERROR(VLOOKUP("534",$AO$7:$AR$42,2,0),0) + IFERROR(VLOOKUP("534",$AS$7:$AV$42,2,0),0)</f>
        <v>0</v>
      </c>
      <c r="EI34" s="66">
        <f>SUM(EE34:EH34)</f>
        <v>0</v>
      </c>
      <c r="EJ34" s="65">
        <f>IFERROR(VLOOKUP("531",$AO$7:$AR$42,3,0),0) + IFERROR(VLOOKUP("531",$AS$7:$AV$42,3,0),0)</f>
        <v>0</v>
      </c>
      <c r="EK34" s="65">
        <f>IFERROR(VLOOKUP("532",$AO$7:$AR$42,3,0),0) + IFERROR(VLOOKUP("532",$AS$7:$AV$42,3,0),0)</f>
        <v>0</v>
      </c>
      <c r="EM34" s="65">
        <f>IFERROR(VLOOKUP("534",$AO$7:$AR$42,3,0),0) + IFERROR(VLOOKUP("534",$AS$7:$AV$42,3,0),0)</f>
        <v>0</v>
      </c>
      <c r="EN34" s="66">
        <f>SUM(EJ34:EM34)</f>
        <v>0</v>
      </c>
      <c r="EO34" s="66">
        <f>RANK(EN34,EN32:EN35)</f>
        <v>1</v>
      </c>
      <c r="EP34" s="65">
        <f>IFERROR(VLOOKUP("531",$AO$7:$AR$42,4,0),0) + IFERROR(VLOOKUP("531",$AS$7:$AV$42,4,0),0)</f>
        <v>0</v>
      </c>
      <c r="EQ34" s="65">
        <f>IFERROR(VLOOKUP("532",$AO$7:$AR$42,4,0),0) + IFERROR(VLOOKUP("532",$AS$7:$AV$42,4,0),0)</f>
        <v>0</v>
      </c>
      <c r="ES34" s="65">
        <f>IFERROR(VLOOKUP("534",$AO$7:$AR$42,4,0),0) + IFERROR(VLOOKUP("534",$AS$7:$AV$42,4,0),0)</f>
        <v>0</v>
      </c>
      <c r="ET34" s="66">
        <f>SUM(EP34:ES34)</f>
        <v>0</v>
      </c>
      <c r="EV34" s="175"/>
    </row>
    <row r="35" spans="1:152">
      <c r="A35" s="46">
        <v>26</v>
      </c>
      <c r="B35" s="47" t="str">
        <f t="shared" si="27"/>
        <v>Sun</v>
      </c>
      <c r="C35" s="48" t="str">
        <f t="shared" si="28"/>
        <v>Jun 23, 2024</v>
      </c>
      <c r="D35" s="49">
        <f t="shared" si="29"/>
        <v>0.66666666666666663</v>
      </c>
      <c r="E35" s="50" t="str">
        <f>BD9</f>
        <v>Scotland</v>
      </c>
      <c r="F35" s="40"/>
      <c r="G35" s="41"/>
      <c r="H35" s="51" t="str">
        <f>BD11</f>
        <v>Hungary</v>
      </c>
      <c r="I35" s="172" t="str">
        <f>INDEX(T,105,lang)</f>
        <v>Stuttgart</v>
      </c>
      <c r="J35" s="172"/>
      <c r="K35" s="172"/>
      <c r="L35" s="73"/>
      <c r="M35" s="74"/>
      <c r="O35" s="43" t="str">
        <f>VLOOKUP(3,BC32:BM35,2,0)</f>
        <v>Romania</v>
      </c>
      <c r="P35" s="44">
        <f>Q35+R35+S35</f>
        <v>0</v>
      </c>
      <c r="Q35" s="44">
        <f>VLOOKUP(3,BC32:BM35,3,0)</f>
        <v>0</v>
      </c>
      <c r="R35" s="44">
        <f>VLOOKUP(3,BC32:BM35,4,0)</f>
        <v>0</v>
      </c>
      <c r="S35" s="44">
        <f>VLOOKUP(3,BC32:BM35,5,0)</f>
        <v>0</v>
      </c>
      <c r="T35" s="44" t="str">
        <f>VLOOKUP(3,BC32:BM35,6,0) &amp; " - " &amp; VLOOKUP(3,BC32:BM35,7,0)</f>
        <v>0 - 0</v>
      </c>
      <c r="U35" s="45">
        <f>Q35*3+R35</f>
        <v>0</v>
      </c>
      <c r="W35" s="65">
        <f>DATE(2024,6,25)+TIME(5,0,0)+gmt_delta</f>
        <v>45468.541666666672</v>
      </c>
      <c r="X35" s="67" t="str">
        <f t="shared" si="0"/>
        <v/>
      </c>
      <c r="Y35" s="67" t="str">
        <f t="shared" si="1"/>
        <v/>
      </c>
      <c r="Z35" s="66">
        <f t="shared" si="2"/>
        <v>0</v>
      </c>
      <c r="AA35" s="65">
        <f t="shared" si="3"/>
        <v>0</v>
      </c>
      <c r="AB35" s="65">
        <f t="shared" si="4"/>
        <v>0</v>
      </c>
      <c r="AC35" s="65">
        <f t="shared" si="5"/>
        <v>4</v>
      </c>
      <c r="AD35" s="65">
        <f t="shared" si="6"/>
        <v>2</v>
      </c>
      <c r="AE35" s="65">
        <f t="shared" si="7"/>
        <v>3</v>
      </c>
      <c r="AF35" s="65" t="str">
        <f t="shared" si="8"/>
        <v>423</v>
      </c>
      <c r="AG35" s="65">
        <f t="shared" si="9"/>
        <v>0</v>
      </c>
      <c r="AH35" s="65">
        <f t="shared" si="10"/>
        <v>0</v>
      </c>
      <c r="AI35" s="65">
        <f t="shared" si="11"/>
        <v>0</v>
      </c>
      <c r="AJ35" s="65" t="str">
        <f t="shared" si="12"/>
        <v>432</v>
      </c>
      <c r="AK35" s="65">
        <f t="shared" si="13"/>
        <v>0</v>
      </c>
      <c r="AL35" s="65">
        <f t="shared" si="14"/>
        <v>0</v>
      </c>
      <c r="AM35" s="65">
        <f t="shared" si="15"/>
        <v>0</v>
      </c>
      <c r="AO35" s="65" t="str">
        <f t="shared" si="33"/>
        <v>423</v>
      </c>
      <c r="AP35" s="65">
        <v>0</v>
      </c>
      <c r="AQ35" s="65">
        <v>0</v>
      </c>
      <c r="AR35" s="65">
        <v>0</v>
      </c>
      <c r="AS35" s="65" t="str">
        <f t="shared" si="34"/>
        <v>432</v>
      </c>
      <c r="AT35" s="65">
        <v>0</v>
      </c>
      <c r="AU35" s="65">
        <v>0</v>
      </c>
      <c r="AV35" s="65">
        <v>0</v>
      </c>
      <c r="AW35" s="65">
        <f t="shared" si="35"/>
        <v>0</v>
      </c>
      <c r="AX35" s="65" t="str">
        <f t="shared" si="24"/>
        <v>423</v>
      </c>
      <c r="AY35" s="65">
        <f t="shared" si="36"/>
        <v>0</v>
      </c>
      <c r="AZ35" s="65" t="str">
        <f t="shared" si="25"/>
        <v>432</v>
      </c>
      <c r="BA35" s="65">
        <f t="shared" si="37"/>
        <v>0</v>
      </c>
      <c r="BC35" s="65">
        <f>DQ35</f>
        <v>4</v>
      </c>
      <c r="BD35" s="66" t="str">
        <f>INDEX(T,51,lang)</f>
        <v>Slovakia</v>
      </c>
      <c r="BE35" s="65">
        <f>COUNTIF($X$7:$Y$42,"=" &amp; BD35 &amp; "_win")</f>
        <v>0</v>
      </c>
      <c r="BF35" s="65">
        <f>COUNTIF($X$7:$Y$42,"=" &amp; BD35 &amp; "_draw")</f>
        <v>0</v>
      </c>
      <c r="BG35" s="65">
        <f>COUNTIF($X$7:$Y$42,"=" &amp; BD35 &amp; "_lose")</f>
        <v>0</v>
      </c>
      <c r="BH35" s="65">
        <f>SUMIF($E$10:$E$45,$BD35,$F$10:$F$45) + SUMIF($H$10:$H$45,$BD35,$G$10:$G$45)</f>
        <v>0</v>
      </c>
      <c r="BI35" s="65">
        <f>SUMIF($E$10:$E$45,$BD35,$G$10:$G$45) + SUMIF($H$10:$H$45,$BD35,$F$10:$F$45)</f>
        <v>0</v>
      </c>
      <c r="BJ35" s="65">
        <f>BM35*10000</f>
        <v>0</v>
      </c>
      <c r="BK35" s="65">
        <f>BH35-BI35</f>
        <v>0</v>
      </c>
      <c r="BL35" s="65">
        <f>(BK35-BK37)/BK36</f>
        <v>0</v>
      </c>
      <c r="BM35" s="65">
        <f>BE35*3+BF35</f>
        <v>0</v>
      </c>
      <c r="BN35" s="65">
        <f>BT35/BT36*10+BU35/BU36+BX35/BX36*0.1+BV35/BV36*0.01</f>
        <v>0</v>
      </c>
      <c r="BP35" s="65">
        <f>IF(VLOOKUP(BD35,db_fifarank,2,0)="",MIN(db_fifarank),VLOOKUP(BD35,db_fifarank,2,0))</f>
        <v>19.625</v>
      </c>
      <c r="BQ35" s="65">
        <f t="shared" si="38"/>
        <v>1.263824694618686E-2</v>
      </c>
      <c r="BR35" s="66">
        <f>10000000*BM35/BM36+100000*BN35/BN36+100*BL35+10*BH35/BH36+1*BN35/BN36+BQ35</f>
        <v>1.263824694618686E-2</v>
      </c>
      <c r="BT35" s="65">
        <f>SUMPRODUCT(($X$7:$X$42=BD35&amp;"_win")*($Z$7:$Z$42))+SUMPRODUCT(($Y$7:$Y$42=BD35&amp;"_win")*($Z$7:$Z$42))</f>
        <v>0</v>
      </c>
      <c r="BU35" s="65">
        <f>SUMPRODUCT(($X$7:$X$42=BD35&amp;"_draw")*($Z$7:$Z$42))+SUMPRODUCT(($Y$7:$Y$42=BD35&amp;"_draw")*($Z$7:$Z$42))</f>
        <v>0</v>
      </c>
      <c r="BV35" s="65">
        <f>SUMPRODUCT(($E$10:$E$45=BD35)*($Z$7:$Z$42)*($F$10:$F$45))+SUMPRODUCT(($H$10:$H$45=BD35)*($Z$7:$Z$42)*($G$10:$G$45))</f>
        <v>0</v>
      </c>
      <c r="BW35" s="65">
        <f>SUMPRODUCT(($E$10:$E$45=BD35)*($Z$7:$Z$42)*($G$10:$G$45))+SUMPRODUCT(($H$10:$H$45=BD35)*($Z$7:$Z$42)*($F$10:$F$45))</f>
        <v>0</v>
      </c>
      <c r="BX35" s="65">
        <f>BV35-BW35</f>
        <v>0</v>
      </c>
      <c r="CC35" s="65">
        <f>IFERROR(VLOOKUP("541",$AF$7:$AI$42,2,0),0) + IFERROR(VLOOKUP("541",$AJ$7:$AM$42,2,0),0)</f>
        <v>0</v>
      </c>
      <c r="CD35" s="65">
        <f>IFERROR(VLOOKUP("542",$AF$7:$AI$42,2,0),0) + IFERROR(VLOOKUP("542",$AJ$7:$AM$42,2,0),0)</f>
        <v>0</v>
      </c>
      <c r="CE35" s="65">
        <f>IFERROR(VLOOKUP("543",$AF$7:$AI$42,2,0),0) + IFERROR(VLOOKUP("543",$AJ$7:$AM$42,2,0),0)</f>
        <v>0</v>
      </c>
      <c r="CG35" s="66">
        <f>SUM(CC35:CF35)</f>
        <v>0</v>
      </c>
      <c r="CH35" s="65">
        <f>IFERROR(VLOOKUP("541",$AF$7:$AI$42,3,0),0) + IFERROR(VLOOKUP("541",$AJ$7:$AM$42,3,0),0)</f>
        <v>0</v>
      </c>
      <c r="CI35" s="65">
        <f>IFERROR(VLOOKUP("542",$AF$7:$AI$42,3,0),0) + IFERROR(VLOOKUP("542",$AJ$7:$AM$42,3,0),0)</f>
        <v>0</v>
      </c>
      <c r="CJ35" s="65">
        <f>IFERROR(VLOOKUP("543",$AF$7:$AI$42,3,0),0) + IFERROR(VLOOKUP("543",$AJ$7:$AM$42,3,0),0)</f>
        <v>0</v>
      </c>
      <c r="CL35" s="66">
        <f>SUM(CH35:CK35)</f>
        <v>0</v>
      </c>
      <c r="CM35" s="66">
        <f>RANK(CL35,CL32:CL35)</f>
        <v>1</v>
      </c>
      <c r="CN35" s="65">
        <f>IFERROR(VLOOKUP("541",$AF$7:$AI$42,4,0),0) + IFERROR(VLOOKUP("541",$AJ$7:$AM$42,4,0),0)</f>
        <v>0</v>
      </c>
      <c r="CO35" s="65">
        <f>IFERROR(VLOOKUP("542",$AF$7:$AI$42,4,0),0) + IFERROR(VLOOKUP("542",$AJ$7:$AM$42,4,0),0)</f>
        <v>0</v>
      </c>
      <c r="CP35" s="65">
        <f>IFERROR(VLOOKUP("543",$AF$7:$AI$42,4,0),0) + IFERROR(VLOOKUP("543",$AJ$7:$AM$42,4,0),0)</f>
        <v>0</v>
      </c>
      <c r="CR35" s="66">
        <f>SUM(CN35:CQ35)</f>
        <v>0</v>
      </c>
      <c r="CS35" s="65">
        <f>IF(CC36=CG35,CC35,0)</f>
        <v>0</v>
      </c>
      <c r="CT35" s="65">
        <f>IF(CD36=CG35,CD35,0)</f>
        <v>0</v>
      </c>
      <c r="CU35" s="65">
        <f>IF(CE36=CG35,CE35,0)</f>
        <v>0</v>
      </c>
      <c r="CW35" s="66">
        <f>SUM(CS35:CV35)</f>
        <v>0</v>
      </c>
      <c r="CX35" s="65">
        <f>IF(CC36=CG35,CH35,0)</f>
        <v>0</v>
      </c>
      <c r="CY35" s="65">
        <f>IF(CD36=CG35,CI35,0)</f>
        <v>0</v>
      </c>
      <c r="CZ35" s="65">
        <f>IF(CE36=CG35,CJ35,0)</f>
        <v>0</v>
      </c>
      <c r="DB35" s="66">
        <f>SUM(CX35:DA35)</f>
        <v>0</v>
      </c>
      <c r="DC35" s="66">
        <f>RANK(DB35,DB32:DB35)</f>
        <v>1</v>
      </c>
      <c r="DD35" s="65">
        <f>IF(CC36=CG35,CN35,0)</f>
        <v>0</v>
      </c>
      <c r="DE35" s="65">
        <f>IF(CD36=CG35,CO35,0)</f>
        <v>0</v>
      </c>
      <c r="DF35" s="65">
        <f>IF(CE36=CG35,CP35,0)</f>
        <v>0</v>
      </c>
      <c r="DH35" s="66">
        <f>SUM(DD35:DG35)</f>
        <v>0</v>
      </c>
      <c r="DI35" s="66">
        <f>CG35*10000+CW35*100+(5-DC35)+DH35/10</f>
        <v>4</v>
      </c>
      <c r="DJ35" s="66">
        <f>RANK(DI35,DI32:DI35)</f>
        <v>1</v>
      </c>
      <c r="DK35" s="65">
        <f>IF(DK36=DJ35,CC35,0)</f>
        <v>0</v>
      </c>
      <c r="DL35" s="65">
        <f>IF(DL36=DJ35,CD35,0)</f>
        <v>0</v>
      </c>
      <c r="DM35" s="65">
        <f>IF(DM36=DJ35,CE35,0)</f>
        <v>0</v>
      </c>
      <c r="DO35" s="66">
        <f>SUM(DK35:DN35)</f>
        <v>0</v>
      </c>
      <c r="DP35" s="66">
        <f>(5-DJ35)*10000+DO35*100+(5-CM35)+CR35/10+(5-DX35)/100+BQ35/10000</f>
        <v>40004.040001263827</v>
      </c>
      <c r="DQ35" s="66">
        <f>RANK(DP35,DP32:DP35)</f>
        <v>4</v>
      </c>
      <c r="DS35" s="65">
        <f>IFERROR(VLOOKUP("541",$AX$7:$AY$42,2,0),0) + IFERROR(VLOOKUP("541",$AZ$7:$BA$42,2,0),0)</f>
        <v>0</v>
      </c>
      <c r="DT35" s="65">
        <f>IFERROR(VLOOKUP("542",$AX$7:$AY$42,2,0),0) + IFERROR(VLOOKUP("542",$AZ$7:$BA$42,2,0),0)</f>
        <v>0</v>
      </c>
      <c r="DU35" s="65">
        <f>IFERROR(VLOOKUP("543",$AX$7:$AY$42,2,0),0) + IFERROR(VLOOKUP("543",$AZ$7:$BA$42,2,0),0)</f>
        <v>0</v>
      </c>
      <c r="DW35" s="66">
        <f>SUM(DS35:DV35)</f>
        <v>0</v>
      </c>
      <c r="DX35" s="66">
        <f>RANK(DW35,DW32:DW35)</f>
        <v>1</v>
      </c>
      <c r="DZ35" s="66" t="str">
        <f>BD35</f>
        <v>Slovakia</v>
      </c>
      <c r="EA35" s="66">
        <f>EI35*10000+EO35*100+ET35</f>
        <v>100</v>
      </c>
      <c r="EB35" s="65">
        <f>COUNTIF(EA32:EA35,EA35)</f>
        <v>4</v>
      </c>
      <c r="EC35" s="65">
        <f>COUNTIF(CG32:CG35,CG35)</f>
        <v>4</v>
      </c>
      <c r="ED35" s="66">
        <f>IF(AND(EB35&gt;=2,EC35=2),EA35,-EA35-0.1)</f>
        <v>-100.1</v>
      </c>
      <c r="EE35" s="65">
        <f>IFERROR(VLOOKUP("541",$AO$7:$AR$42,2,0),0) + IFERROR(VLOOKUP("541",$AS$7:$AV$42,2,0),0)</f>
        <v>0</v>
      </c>
      <c r="EF35" s="65">
        <f>IFERROR(VLOOKUP("542",$AO$7:$AR$42,2,0),0) + IFERROR(VLOOKUP("542",$AS$7:$AV$42,2,0),0)</f>
        <v>0</v>
      </c>
      <c r="EG35" s="65">
        <f>IFERROR(VLOOKUP("543",$AO$7:$AR$42,2,0),0) + IFERROR(VLOOKUP("543",$AS$7:$AV$42,2,0),0)</f>
        <v>0</v>
      </c>
      <c r="EI35" s="66">
        <f>SUM(EE35:EH35)</f>
        <v>0</v>
      </c>
      <c r="EJ35" s="65">
        <f>IFERROR(VLOOKUP("541",$AO$7:$AR$42,3,0),0) + IFERROR(VLOOKUP("541",$AS$7:$AV$42,3,0),0)</f>
        <v>0</v>
      </c>
      <c r="EK35" s="65">
        <f>IFERROR(VLOOKUP("542",$AO$7:$AR$42,3,0),0) + IFERROR(VLOOKUP("542",$AS$7:$AV$42,3,0),0)</f>
        <v>0</v>
      </c>
      <c r="EL35" s="65">
        <f>IFERROR(VLOOKUP("543",$AO$7:$AR$42,3,0),0) + IFERROR(VLOOKUP("543",$AS$7:$AV$42,3,0),0)</f>
        <v>0</v>
      </c>
      <c r="EN35" s="66">
        <f>SUM(EJ35:EM35)</f>
        <v>0</v>
      </c>
      <c r="EO35" s="66">
        <f>RANK(EN35,EN32:EN35)</f>
        <v>1</v>
      </c>
      <c r="EP35" s="65">
        <f>IFERROR(VLOOKUP("541",$AO$7:$AR$42,4,0),0) + IFERROR(VLOOKUP("541",$AS$7:$AV$42,4,0),0)</f>
        <v>0</v>
      </c>
      <c r="EQ35" s="65">
        <f>IFERROR(VLOOKUP("542",$AO$7:$AR$42,4,0),0) + IFERROR(VLOOKUP("542",$AS$7:$AV$42,4,0),0)</f>
        <v>0</v>
      </c>
      <c r="ER35" s="65">
        <f>IFERROR(VLOOKUP("543",$AO$7:$AR$42,4,0),0) + IFERROR(VLOOKUP("543",$AS$7:$AV$42,4,0),0)</f>
        <v>0</v>
      </c>
      <c r="ET35" s="66">
        <f>SUM(EP35:ES35)</f>
        <v>0</v>
      </c>
      <c r="EV35" s="175"/>
    </row>
    <row r="36" spans="1:152">
      <c r="A36" s="46">
        <v>27</v>
      </c>
      <c r="B36" s="47" t="str">
        <f t="shared" si="27"/>
        <v>Mon</v>
      </c>
      <c r="C36" s="48" t="str">
        <f t="shared" si="28"/>
        <v>Jun 24, 2024</v>
      </c>
      <c r="D36" s="49">
        <f t="shared" si="29"/>
        <v>0.66666666666666663</v>
      </c>
      <c r="E36" s="50" t="str">
        <f>BD17</f>
        <v>Albania</v>
      </c>
      <c r="F36" s="40"/>
      <c r="G36" s="41"/>
      <c r="H36" s="51" t="str">
        <f>BD14</f>
        <v>Spain</v>
      </c>
      <c r="I36" s="172" t="str">
        <f>INDEX(T,111,lang)</f>
        <v>Düsseldorf</v>
      </c>
      <c r="J36" s="172"/>
      <c r="K36" s="172"/>
      <c r="L36" s="73"/>
      <c r="M36" s="74"/>
      <c r="O36" s="54" t="str">
        <f>VLOOKUP(4,BC32:BM35,2,0)</f>
        <v>Slovakia</v>
      </c>
      <c r="P36" s="55">
        <f>Q36+R36+S36</f>
        <v>0</v>
      </c>
      <c r="Q36" s="55">
        <f>VLOOKUP(4,BC32:BM35,3,0)</f>
        <v>0</v>
      </c>
      <c r="R36" s="55">
        <f>VLOOKUP(4,BC32:BM35,4,0)</f>
        <v>0</v>
      </c>
      <c r="S36" s="55">
        <f>VLOOKUP(4,BC32:BM35,5,0)</f>
        <v>0</v>
      </c>
      <c r="T36" s="55" t="str">
        <f>VLOOKUP(4,BC32:BM35,6,0) &amp; " - " &amp; VLOOKUP(4,BC32:BM35,7,0)</f>
        <v>0 - 0</v>
      </c>
      <c r="U36" s="56">
        <f>Q36*3+R36</f>
        <v>0</v>
      </c>
      <c r="W36" s="65">
        <f>DATE(2024,6,25)+TIME(5,0,0)+gmt_delta</f>
        <v>45468.541666666672</v>
      </c>
      <c r="X36" s="67" t="str">
        <f t="shared" si="0"/>
        <v/>
      </c>
      <c r="Y36" s="67" t="str">
        <f t="shared" si="1"/>
        <v/>
      </c>
      <c r="Z36" s="66">
        <f t="shared" si="2"/>
        <v>0</v>
      </c>
      <c r="AA36" s="65">
        <f t="shared" si="3"/>
        <v>0</v>
      </c>
      <c r="AB36" s="65">
        <f t="shared" si="4"/>
        <v>0</v>
      </c>
      <c r="AC36" s="65">
        <f t="shared" si="5"/>
        <v>4</v>
      </c>
      <c r="AD36" s="65">
        <f t="shared" si="6"/>
        <v>1</v>
      </c>
      <c r="AE36" s="65">
        <f t="shared" si="7"/>
        <v>4</v>
      </c>
      <c r="AF36" s="65" t="str">
        <f t="shared" si="8"/>
        <v>414</v>
      </c>
      <c r="AG36" s="65">
        <f t="shared" si="9"/>
        <v>0</v>
      </c>
      <c r="AH36" s="65">
        <f t="shared" si="10"/>
        <v>0</v>
      </c>
      <c r="AI36" s="65">
        <f t="shared" si="11"/>
        <v>0</v>
      </c>
      <c r="AJ36" s="65" t="str">
        <f t="shared" si="12"/>
        <v>441</v>
      </c>
      <c r="AK36" s="65">
        <f t="shared" si="13"/>
        <v>0</v>
      </c>
      <c r="AL36" s="65">
        <f t="shared" si="14"/>
        <v>0</v>
      </c>
      <c r="AM36" s="65">
        <f t="shared" si="15"/>
        <v>0</v>
      </c>
      <c r="AO36" s="65" t="str">
        <f t="shared" si="33"/>
        <v>414</v>
      </c>
      <c r="AP36" s="65">
        <v>0</v>
      </c>
      <c r="AQ36" s="65">
        <v>0</v>
      </c>
      <c r="AR36" s="65">
        <v>0</v>
      </c>
      <c r="AS36" s="65" t="str">
        <f t="shared" si="34"/>
        <v>441</v>
      </c>
      <c r="AT36" s="65">
        <v>0</v>
      </c>
      <c r="AU36" s="65">
        <v>0</v>
      </c>
      <c r="AV36" s="65">
        <v>0</v>
      </c>
      <c r="AW36" s="65">
        <f t="shared" si="35"/>
        <v>0</v>
      </c>
      <c r="AX36" s="65" t="str">
        <f t="shared" si="24"/>
        <v>414</v>
      </c>
      <c r="AY36" s="65">
        <f t="shared" si="36"/>
        <v>0</v>
      </c>
      <c r="AZ36" s="65" t="str">
        <f t="shared" si="25"/>
        <v>441</v>
      </c>
      <c r="BA36" s="65">
        <f t="shared" si="37"/>
        <v>0</v>
      </c>
      <c r="BE36" s="65">
        <f>MAX(BE32:BE35)-MIN(BE32:BE35)+1</f>
        <v>1</v>
      </c>
      <c r="BF36" s="65">
        <f>MAX(BF32:BF35)-MIN(BF32:BF35)+1</f>
        <v>1</v>
      </c>
      <c r="BG36" s="65">
        <f>MAX(BG32:BG35)-MIN(BG32:BG35)+1</f>
        <v>1</v>
      </c>
      <c r="BH36" s="65">
        <f>MAX(BH32:BH35)-MIN(BH32:BH35)+1</f>
        <v>1</v>
      </c>
      <c r="BI36" s="65">
        <f>MAX(BI32:BI35)-MIN(BI32:BI35)+1</f>
        <v>1</v>
      </c>
      <c r="BJ36" s="65">
        <f>MAX(BJ32:BJ35)-BJ37+1</f>
        <v>1</v>
      </c>
      <c r="BK36" s="65">
        <f>MAX(BK32:BK35)-BK37+1</f>
        <v>1</v>
      </c>
      <c r="BM36" s="65">
        <f>MAX(BM32:BM35)-MIN(BM32:BM35)+1</f>
        <v>1</v>
      </c>
      <c r="BN36" s="65">
        <f>MAX(BN32:BN35)-MIN(BN32:BN35)+1</f>
        <v>1</v>
      </c>
      <c r="BT36" s="65">
        <f>MAX(BT32:BT35)-MIN(BT32:BT35)+1</f>
        <v>1</v>
      </c>
      <c r="BU36" s="65">
        <f>MAX(BU32:BU35)-MIN(BU32:BU35)+1</f>
        <v>1</v>
      </c>
      <c r="BV36" s="65">
        <f>MAX(BV32:BV35)-MIN(BV32:BV35)+1</f>
        <v>1</v>
      </c>
      <c r="BW36" s="65">
        <f>MAX(BW32:BW35)-MIN(BW32:BW35)+1</f>
        <v>1</v>
      </c>
      <c r="BX36" s="65">
        <f>MAX(BX32:BX35)-MIN(BX32:BX35)+1</f>
        <v>1</v>
      </c>
      <c r="CC36" s="65">
        <f>CG32</f>
        <v>0</v>
      </c>
      <c r="CD36" s="65">
        <f>CG33</f>
        <v>0</v>
      </c>
      <c r="CE36" s="65">
        <f>CG34</f>
        <v>0</v>
      </c>
      <c r="CF36" s="65">
        <f>CG35</f>
        <v>0</v>
      </c>
      <c r="DK36" s="65">
        <f>DJ32</f>
        <v>1</v>
      </c>
      <c r="DL36" s="65">
        <f>DJ33</f>
        <v>1</v>
      </c>
      <c r="DM36" s="65">
        <f>DJ34</f>
        <v>1</v>
      </c>
      <c r="DN36" s="65">
        <f>DJ35</f>
        <v>1</v>
      </c>
      <c r="DO36" s="66">
        <f>SUM(DK36:DN36)</f>
        <v>4</v>
      </c>
      <c r="DS36" s="65">
        <f>DW32</f>
        <v>0</v>
      </c>
      <c r="DT36" s="65">
        <f>DW33</f>
        <v>0</v>
      </c>
      <c r="DU36" s="65">
        <f>DW34</f>
        <v>0</v>
      </c>
      <c r="DV36" s="65">
        <f>DW35</f>
        <v>0</v>
      </c>
      <c r="EE36" s="65">
        <f>EI32</f>
        <v>0</v>
      </c>
      <c r="EF36" s="65">
        <f>EI33</f>
        <v>0</v>
      </c>
      <c r="EG36" s="65">
        <f>EI34</f>
        <v>0</v>
      </c>
      <c r="EH36" s="65">
        <f>EI35</f>
        <v>0</v>
      </c>
    </row>
    <row r="37" spans="1:152">
      <c r="A37" s="46">
        <v>28</v>
      </c>
      <c r="B37" s="47" t="str">
        <f t="shared" si="27"/>
        <v>Mon</v>
      </c>
      <c r="C37" s="48" t="str">
        <f t="shared" si="28"/>
        <v>Jun 24, 2024</v>
      </c>
      <c r="D37" s="49">
        <f t="shared" si="29"/>
        <v>0.66666666666666663</v>
      </c>
      <c r="E37" s="50" t="str">
        <f>BD16</f>
        <v>Croatia</v>
      </c>
      <c r="F37" s="40"/>
      <c r="G37" s="41"/>
      <c r="H37" s="51" t="str">
        <f>BD15</f>
        <v>Italy</v>
      </c>
      <c r="I37" s="172" t="str">
        <f>INDEX(T,112,lang)</f>
        <v>Leipzig</v>
      </c>
      <c r="J37" s="172"/>
      <c r="K37" s="172"/>
      <c r="L37" s="73"/>
      <c r="M37" s="74"/>
      <c r="W37" s="65">
        <f>DATE(2024,6,25)+TIME(8,0,0)+gmt_delta</f>
        <v>45468.666666666672</v>
      </c>
      <c r="X37" s="67" t="str">
        <f t="shared" si="0"/>
        <v/>
      </c>
      <c r="Y37" s="67" t="str">
        <f t="shared" si="1"/>
        <v/>
      </c>
      <c r="Z37" s="66">
        <f t="shared" si="2"/>
        <v>0</v>
      </c>
      <c r="AA37" s="65">
        <f t="shared" si="3"/>
        <v>0</v>
      </c>
      <c r="AB37" s="65">
        <f t="shared" si="4"/>
        <v>0</v>
      </c>
      <c r="AC37" s="65">
        <f t="shared" si="5"/>
        <v>3</v>
      </c>
      <c r="AD37" s="65">
        <f t="shared" si="6"/>
        <v>1</v>
      </c>
      <c r="AE37" s="65">
        <f t="shared" si="7"/>
        <v>4</v>
      </c>
      <c r="AF37" s="65" t="str">
        <f t="shared" si="8"/>
        <v>314</v>
      </c>
      <c r="AG37" s="65">
        <f t="shared" si="9"/>
        <v>0</v>
      </c>
      <c r="AH37" s="65">
        <f t="shared" si="10"/>
        <v>0</v>
      </c>
      <c r="AI37" s="65">
        <f t="shared" si="11"/>
        <v>0</v>
      </c>
      <c r="AJ37" s="65" t="str">
        <f t="shared" si="12"/>
        <v>341</v>
      </c>
      <c r="AK37" s="65">
        <f t="shared" si="13"/>
        <v>0</v>
      </c>
      <c r="AL37" s="65">
        <f t="shared" si="14"/>
        <v>0</v>
      </c>
      <c r="AM37" s="65">
        <f t="shared" si="15"/>
        <v>0</v>
      </c>
      <c r="AO37" s="65" t="str">
        <f t="shared" si="33"/>
        <v>314</v>
      </c>
      <c r="AP37" s="65">
        <v>0</v>
      </c>
      <c r="AQ37" s="65">
        <v>0</v>
      </c>
      <c r="AR37" s="65">
        <v>0</v>
      </c>
      <c r="AS37" s="65" t="str">
        <f t="shared" si="34"/>
        <v>341</v>
      </c>
      <c r="AT37" s="65">
        <v>0</v>
      </c>
      <c r="AU37" s="65">
        <v>0</v>
      </c>
      <c r="AV37" s="65">
        <v>0</v>
      </c>
      <c r="AW37" s="65">
        <f t="shared" si="35"/>
        <v>0</v>
      </c>
      <c r="AX37" s="65" t="str">
        <f t="shared" si="24"/>
        <v>314</v>
      </c>
      <c r="AY37" s="65">
        <f t="shared" si="36"/>
        <v>0</v>
      </c>
      <c r="AZ37" s="65" t="str">
        <f t="shared" si="25"/>
        <v>341</v>
      </c>
      <c r="BA37" s="65">
        <f t="shared" si="37"/>
        <v>0</v>
      </c>
      <c r="BJ37" s="65">
        <f>MIN(BJ32:BJ35)</f>
        <v>0</v>
      </c>
      <c r="BK37" s="65">
        <f>MIN(BK32:BK35)</f>
        <v>0</v>
      </c>
    </row>
    <row r="38" spans="1:152">
      <c r="A38" s="46">
        <v>29</v>
      </c>
      <c r="B38" s="47" t="str">
        <f t="shared" si="27"/>
        <v>Tue</v>
      </c>
      <c r="C38" s="48" t="str">
        <f t="shared" si="28"/>
        <v>Jun 25, 2024</v>
      </c>
      <c r="D38" s="49">
        <f t="shared" si="29"/>
        <v>0.54166666666666663</v>
      </c>
      <c r="E38" s="50" t="str">
        <f>BD27</f>
        <v>Netherlands</v>
      </c>
      <c r="F38" s="40"/>
      <c r="G38" s="41"/>
      <c r="H38" s="51" t="str">
        <f>BD28</f>
        <v>Austria</v>
      </c>
      <c r="I38" s="172" t="str">
        <f>INDEX(T,107,lang)</f>
        <v>Berlin</v>
      </c>
      <c r="J38" s="172"/>
      <c r="K38" s="172"/>
      <c r="L38" s="73"/>
      <c r="M38" s="74"/>
      <c r="O38" s="30" t="str">
        <f>INDEX(T,9,lang) &amp; " " &amp; "F"</f>
        <v>Group F</v>
      </c>
      <c r="P38" s="31" t="str">
        <f>INDEX(T,10,lang)</f>
        <v>PL</v>
      </c>
      <c r="Q38" s="31" t="str">
        <f>INDEX(T,11,lang)</f>
        <v>W</v>
      </c>
      <c r="R38" s="31" t="str">
        <f>INDEX(T,12,lang)</f>
        <v>DRAW</v>
      </c>
      <c r="S38" s="31" t="str">
        <f>INDEX(T,13,lang)</f>
        <v>L</v>
      </c>
      <c r="T38" s="31" t="str">
        <f>INDEX(T,14,lang)</f>
        <v>GF - GA</v>
      </c>
      <c r="U38" s="31" t="str">
        <f>INDEX(T,15,lang)</f>
        <v>PNT</v>
      </c>
      <c r="W38" s="65">
        <f>DATE(2024,6,25)+TIME(8,0,0)+gmt_delta</f>
        <v>45468.666666666672</v>
      </c>
      <c r="X38" s="67" t="str">
        <f t="shared" si="0"/>
        <v/>
      </c>
      <c r="Y38" s="67" t="str">
        <f t="shared" si="1"/>
        <v/>
      </c>
      <c r="Z38" s="66">
        <f t="shared" si="2"/>
        <v>0</v>
      </c>
      <c r="AA38" s="65">
        <f t="shared" si="3"/>
        <v>0</v>
      </c>
      <c r="AB38" s="65">
        <f t="shared" si="4"/>
        <v>0</v>
      </c>
      <c r="AC38" s="65">
        <f t="shared" si="5"/>
        <v>3</v>
      </c>
      <c r="AD38" s="65">
        <f t="shared" si="6"/>
        <v>2</v>
      </c>
      <c r="AE38" s="65">
        <f t="shared" si="7"/>
        <v>3</v>
      </c>
      <c r="AF38" s="65" t="str">
        <f t="shared" si="8"/>
        <v>323</v>
      </c>
      <c r="AG38" s="65">
        <f t="shared" si="9"/>
        <v>0</v>
      </c>
      <c r="AH38" s="65">
        <f t="shared" si="10"/>
        <v>0</v>
      </c>
      <c r="AI38" s="65">
        <f t="shared" si="11"/>
        <v>0</v>
      </c>
      <c r="AJ38" s="65" t="str">
        <f t="shared" si="12"/>
        <v>332</v>
      </c>
      <c r="AK38" s="65">
        <f t="shared" si="13"/>
        <v>0</v>
      </c>
      <c r="AL38" s="65">
        <f t="shared" si="14"/>
        <v>0</v>
      </c>
      <c r="AM38" s="65">
        <f t="shared" si="15"/>
        <v>0</v>
      </c>
      <c r="AO38" s="65" t="str">
        <f t="shared" si="33"/>
        <v>323</v>
      </c>
      <c r="AP38" s="65">
        <v>0</v>
      </c>
      <c r="AQ38" s="65">
        <v>0</v>
      </c>
      <c r="AR38" s="65">
        <v>0</v>
      </c>
      <c r="AS38" s="65" t="str">
        <f t="shared" si="34"/>
        <v>332</v>
      </c>
      <c r="AT38" s="65">
        <v>0</v>
      </c>
      <c r="AU38" s="65">
        <v>0</v>
      </c>
      <c r="AV38" s="65">
        <v>0</v>
      </c>
      <c r="AW38" s="65">
        <f t="shared" si="35"/>
        <v>0</v>
      </c>
      <c r="AX38" s="65" t="str">
        <f t="shared" si="24"/>
        <v>323</v>
      </c>
      <c r="AY38" s="65">
        <f t="shared" si="36"/>
        <v>0</v>
      </c>
      <c r="AZ38" s="65" t="str">
        <f t="shared" si="25"/>
        <v>332</v>
      </c>
      <c r="BA38" s="65">
        <f t="shared" si="37"/>
        <v>0</v>
      </c>
      <c r="BC38" s="65">
        <f>DQ38</f>
        <v>1</v>
      </c>
      <c r="BD38" s="66" t="str">
        <f>INDEX(T,42,lang)</f>
        <v>Portugal</v>
      </c>
      <c r="BE38" s="65">
        <f>COUNTIF($X$7:$Y$42,"=" &amp; BD38 &amp; "_win")</f>
        <v>0</v>
      </c>
      <c r="BF38" s="65">
        <f>COUNTIF($X$7:$Y$42,"=" &amp; BD38 &amp; "_draw")</f>
        <v>0</v>
      </c>
      <c r="BG38" s="65">
        <f>COUNTIF($X$7:$Y$42,"=" &amp; BD38 &amp; "_lose")</f>
        <v>0</v>
      </c>
      <c r="BH38" s="65">
        <f>SUMIF($E$10:$E$45,$BD38,$F$10:$F$45) + SUMIF($H$10:$H$45,$BD38,$G$10:$G$45)</f>
        <v>0</v>
      </c>
      <c r="BI38" s="65">
        <f>SUMIF($E$10:$E$45,$BD38,$G$10:$G$45) + SUMIF($H$10:$H$45,$BD38,$F$10:$F$45)</f>
        <v>0</v>
      </c>
      <c r="BJ38" s="65">
        <f>BM38*10000</f>
        <v>0</v>
      </c>
      <c r="BK38" s="65">
        <f>BH38-BI38</f>
        <v>0</v>
      </c>
      <c r="BL38" s="65">
        <f>(BK38-BK43)/BK42</f>
        <v>0</v>
      </c>
      <c r="BM38" s="65">
        <f>BE38*3+BF38</f>
        <v>0</v>
      </c>
      <c r="BN38" s="65">
        <f>BT38/BT42*10+BU38/BU42+BX38/BX42*0.1+BV38/BV42*0.01</f>
        <v>0</v>
      </c>
      <c r="BP38" s="65">
        <f>IF(VLOOKUP(BD38,db_fifarank,2,0)="",MIN(db_fifarank),VLOOKUP(BD38,db_fifarank,2,0))</f>
        <v>56.316000000000003</v>
      </c>
      <c r="BQ38" s="65">
        <f>0.1*((BP38-$BP$44)/$BP$46-(COUNTIF($BP$8:$BP$41,BP38)-1)/(100-ROW(BP38)))</f>
        <v>5.04921178606801E-2</v>
      </c>
      <c r="BR38" s="66">
        <f>10000000*BM38/BM42+100000*BN38/BN42+100*BL38+10*BH38/BH42+1*BN38/BN42+BQ38</f>
        <v>5.04921178606801E-2</v>
      </c>
      <c r="BS38" s="66" t="str">
        <f>IF(SUM(BE38:BG41)=12,O39,INDEX(T,80,lang))</f>
        <v>1F</v>
      </c>
      <c r="BT38" s="65">
        <f>SUMPRODUCT(($X$7:$X$42=BD38&amp;"_win")*($Z$7:$Z$42))+SUMPRODUCT(($Y$7:$Y$42=BD38&amp;"_win")*($Z$7:$Z$42))</f>
        <v>0</v>
      </c>
      <c r="BU38" s="65">
        <f>SUMPRODUCT(($X$7:$X$42=BD38&amp;"_draw")*($Z$7:$Z$42))+SUMPRODUCT(($Y$7:$Y$42=BD38&amp;"_draw")*($Z$7:$Z$42))</f>
        <v>0</v>
      </c>
      <c r="BV38" s="65">
        <f>SUMPRODUCT(($E$10:$E$45=BD38)*($Z$7:$Z$42)*($F$10:$F$45))+SUMPRODUCT(($H$10:$H$45=BD38)*($Z$7:$Z$42)*($G$10:$G$45))</f>
        <v>0</v>
      </c>
      <c r="BW38" s="65">
        <f>SUMPRODUCT(($E$10:$E$45=BD38)*($Z$7:$Z$42)*($G$10:$G$45))+SUMPRODUCT(($H$10:$H$45=BD38)*($Z$7:$Z$42)*($F$10:$F$45))</f>
        <v>0</v>
      </c>
      <c r="BX38" s="65">
        <f>BV38-BW38</f>
        <v>0</v>
      </c>
      <c r="CD38" s="65">
        <f>IFERROR(VLOOKUP("612",$AF$7:$AI$42,2,0),0) + IFERROR(VLOOKUP("612",$AJ$7:$AM$42,2,0),0)</f>
        <v>0</v>
      </c>
      <c r="CE38" s="65">
        <f>IFERROR(VLOOKUP("613",$AF$7:$AI$42,2,0),0) + IFERROR(VLOOKUP("613",$AJ$7:$AM$42,2,0),0)</f>
        <v>0</v>
      </c>
      <c r="CF38" s="65">
        <f>IFERROR(VLOOKUP("614",$AF$7:$AI$42,2,0),0) + IFERROR(VLOOKUP("614",$AJ$7:$AM$42,2,0),0)</f>
        <v>0</v>
      </c>
      <c r="CG38" s="66">
        <f>SUM(CC38:CF38)</f>
        <v>0</v>
      </c>
      <c r="CI38" s="65">
        <f>IFERROR(VLOOKUP("612",$AF$7:$AI$42,3,0),0) + IFERROR(VLOOKUP("612",$AJ$7:$AM$42,3,0),0)</f>
        <v>0</v>
      </c>
      <c r="CJ38" s="65">
        <f>IFERROR(VLOOKUP("613",$AF$7:$AI$42,3,0),0) + IFERROR(VLOOKUP("613",$AJ$7:$AM$42,3,0),0)</f>
        <v>0</v>
      </c>
      <c r="CK38" s="65">
        <f>IFERROR(VLOOKUP("614",$AF$7:$AI$42,3,0),0) + IFERROR(VLOOKUP("614",$AJ$7:$AM$42,3,0),0)</f>
        <v>0</v>
      </c>
      <c r="CL38" s="66">
        <f>SUM(CH38:CK38)</f>
        <v>0</v>
      </c>
      <c r="CM38" s="66">
        <f>RANK(CL38,CL38:CL41)</f>
        <v>1</v>
      </c>
      <c r="CO38" s="65">
        <f>IFERROR(VLOOKUP("612",$AF$7:$AI$42,4,0),0) + IFERROR(VLOOKUP("612",$AJ$7:$AM$42,4,0),0)</f>
        <v>0</v>
      </c>
      <c r="CP38" s="65">
        <f>IFERROR(VLOOKUP("613",$AF$7:$AI$42,4,0),0) + IFERROR(VLOOKUP("613",$AJ$7:$AM$42,4,0),0)</f>
        <v>0</v>
      </c>
      <c r="CQ38" s="65">
        <f>IFERROR(VLOOKUP("614",$AF$7:$AI$42,4,0),0) + IFERROR(VLOOKUP("614",$AJ$7:$AM$42,4,0),0)</f>
        <v>0</v>
      </c>
      <c r="CR38" s="66">
        <f>SUM(CN38:CQ38)</f>
        <v>0</v>
      </c>
      <c r="CT38" s="65">
        <f>IF(CD42=CG38,CD38,0)</f>
        <v>0</v>
      </c>
      <c r="CU38" s="65">
        <f>IF(CE42=CG38,CE38,0)</f>
        <v>0</v>
      </c>
      <c r="CV38" s="65">
        <f>IF(CF42=CG38,CF38,0)</f>
        <v>0</v>
      </c>
      <c r="CW38" s="66">
        <f>SUM(CS38:CV38)</f>
        <v>0</v>
      </c>
      <c r="CY38" s="65">
        <f>IF(CD42=CG38,CI38,0)</f>
        <v>0</v>
      </c>
      <c r="CZ38" s="65">
        <f>IF(CE42=CG38,CJ38,0)</f>
        <v>0</v>
      </c>
      <c r="DA38" s="65">
        <f>IF(CF42=CG38,CK38,0)</f>
        <v>0</v>
      </c>
      <c r="DB38" s="66">
        <f>SUM(CX38:DA38)</f>
        <v>0</v>
      </c>
      <c r="DC38" s="66">
        <f>RANK(DB38,DB38:DB41)</f>
        <v>1</v>
      </c>
      <c r="DE38" s="65">
        <f>IF(CD42=CG38,CO38,0)</f>
        <v>0</v>
      </c>
      <c r="DF38" s="65">
        <f>IF(CE42=CG38,CP38,0)</f>
        <v>0</v>
      </c>
      <c r="DG38" s="65">
        <f>IF(CF42=CG38,CQ38,0)</f>
        <v>0</v>
      </c>
      <c r="DH38" s="66">
        <f>SUM(DD38:DG38)</f>
        <v>0</v>
      </c>
      <c r="DI38" s="66">
        <f>CG38*10000+CW38*100+(5-DC38)+DH38/10</f>
        <v>4</v>
      </c>
      <c r="DJ38" s="66">
        <f>RANK(DI38,DI38:DI41)</f>
        <v>1</v>
      </c>
      <c r="DL38" s="65">
        <f>IF(DL42=DJ38,CD38,0)</f>
        <v>0</v>
      </c>
      <c r="DM38" s="65">
        <f>IF(DM42=DJ38,CE38,0)</f>
        <v>0</v>
      </c>
      <c r="DN38" s="65">
        <f>IF(DN42=DJ38,CF38,0)</f>
        <v>0</v>
      </c>
      <c r="DO38" s="66">
        <f>SUM(DK38:DN38)</f>
        <v>0</v>
      </c>
      <c r="DP38" s="66">
        <f>(5-DJ38)*10000+DO38*100+(5-CM38)+CR38/10+(5-DX38)/100+BQ38/10000</f>
        <v>40004.04000504921</v>
      </c>
      <c r="DQ38" s="66">
        <f>RANK(DP38,DP38:DP41)</f>
        <v>1</v>
      </c>
      <c r="DT38" s="65">
        <f>IFERROR(VLOOKUP("612",$AX$7:$AY$42,2,0),0) + IFERROR(VLOOKUP("612",$AZ$7:$BA$42,2,0),0)</f>
        <v>0</v>
      </c>
      <c r="DU38" s="65">
        <f>IFERROR(VLOOKUP("613",$AX$7:$AY$42,2,0),0) + IFERROR(VLOOKUP("613",$AZ$7:$BA$42,2,0),0)</f>
        <v>0</v>
      </c>
      <c r="DV38" s="65">
        <f>IFERROR(VLOOKUP("614",$AX$7:$AY$42,2,0),0) + IFERROR(VLOOKUP("614",$AZ$7:$BA$42,2,0),0)</f>
        <v>0</v>
      </c>
      <c r="DW38" s="66">
        <f>SUM(DS38:DV38)</f>
        <v>0</v>
      </c>
      <c r="DX38" s="66">
        <f>RANK(DW38,DW38:DW41)</f>
        <v>1</v>
      </c>
      <c r="DZ38" s="66" t="str">
        <f>BD38</f>
        <v>Portugal</v>
      </c>
      <c r="EA38" s="66">
        <f>EI38*10000+EO38*100+ET38</f>
        <v>100</v>
      </c>
      <c r="EB38" s="65">
        <f>COUNTIF(EA38:EA41,EA38)</f>
        <v>4</v>
      </c>
      <c r="EC38" s="65">
        <f>COUNTIF(CG38:CG41,CG38)</f>
        <v>4</v>
      </c>
      <c r="ED38" s="66">
        <f>IF(AND(EB38&gt;=2,EC38=2),EA38,-EA38-0.4)</f>
        <v>-100.4</v>
      </c>
      <c r="EF38" s="65">
        <f>IFERROR(VLOOKUP("612",$AO$7:$AR$42,2,0),0) + IFERROR(VLOOKUP("612",$AS$7:$AV$42,2,0),0)</f>
        <v>0</v>
      </c>
      <c r="EG38" s="65">
        <f>IFERROR(VLOOKUP("613",$AO$7:$AR$42,2,0),0) + IFERROR(VLOOKUP("613",$AS$7:$AV$42,2,0),0)</f>
        <v>0</v>
      </c>
      <c r="EH38" s="65">
        <f>IFERROR(VLOOKUP("614",$AO$7:$AR$42,2,0),0) + IFERROR(VLOOKUP("614",$AS$7:$AV$42,2,0),0)</f>
        <v>0</v>
      </c>
      <c r="EI38" s="66">
        <f>SUM(EE38:EH38)</f>
        <v>0</v>
      </c>
      <c r="EK38" s="65">
        <f>IFERROR(VLOOKUP("612",$AO$7:$AR$42,3,0),0) + IFERROR(VLOOKUP("612",$AS$7:$AV$42,3,0),0)</f>
        <v>0</v>
      </c>
      <c r="EL38" s="65">
        <f>IFERROR(VLOOKUP("613",$AO$7:$AR$42,3,0),0) + IFERROR(VLOOKUP("613",$AS$7:$AV$42,3,0),0)</f>
        <v>0</v>
      </c>
      <c r="EM38" s="65">
        <f>IFERROR(VLOOKUP("614",$AO$7:$AR$42,3,0),0) + IFERROR(VLOOKUP("614",$AS$7:$AV$42,3,0),0)</f>
        <v>0</v>
      </c>
      <c r="EN38" s="66">
        <f>SUM(EJ38:EM38)</f>
        <v>0</v>
      </c>
      <c r="EO38" s="66">
        <f>RANK(EN38,EN38:EN41)</f>
        <v>1</v>
      </c>
      <c r="EQ38" s="65">
        <f>IFERROR(VLOOKUP("612",$AO$7:$AR$42,4,0),0) + IFERROR(VLOOKUP("612",$AS$7:$AV$42,4,0),0)</f>
        <v>0</v>
      </c>
      <c r="ER38" s="65">
        <f>IFERROR(VLOOKUP("613",$AO$7:$AR$42,4,0),0) + IFERROR(VLOOKUP("613",$AS$7:$AV$42,4,0),0)</f>
        <v>0</v>
      </c>
      <c r="ES38" s="65">
        <f>IFERROR(VLOOKUP("614",$AO$7:$AR$42,4,0),0) + IFERROR(VLOOKUP("614",$AS$7:$AV$42,4,0),0)</f>
        <v>0</v>
      </c>
      <c r="ET38" s="66">
        <f>SUM(EP38:ES38)</f>
        <v>0</v>
      </c>
      <c r="EV38" s="175"/>
    </row>
    <row r="39" spans="1:152">
      <c r="A39" s="46">
        <v>30</v>
      </c>
      <c r="B39" s="47" t="str">
        <f t="shared" si="27"/>
        <v>Tue</v>
      </c>
      <c r="C39" s="48" t="str">
        <f t="shared" si="28"/>
        <v>Jun 25, 2024</v>
      </c>
      <c r="D39" s="49">
        <f t="shared" si="29"/>
        <v>0.54166666666666663</v>
      </c>
      <c r="E39" s="50" t="str">
        <f>BD26</f>
        <v>France</v>
      </c>
      <c r="F39" s="40"/>
      <c r="G39" s="41"/>
      <c r="H39" s="51" t="str">
        <f>BD29</f>
        <v>Poland</v>
      </c>
      <c r="I39" s="172" t="str">
        <f>INDEX(T,108,lang)</f>
        <v>Dortmund</v>
      </c>
      <c r="J39" s="172"/>
      <c r="K39" s="172"/>
      <c r="L39" s="73"/>
      <c r="M39" s="74"/>
      <c r="O39" s="32" t="str">
        <f>VLOOKUP(1,BC38:BM41,2,0)</f>
        <v>Portugal</v>
      </c>
      <c r="P39" s="33">
        <f>Q39+R39+S39</f>
        <v>0</v>
      </c>
      <c r="Q39" s="33">
        <f>VLOOKUP(1,BC38:BM41,3,0)</f>
        <v>0</v>
      </c>
      <c r="R39" s="33">
        <f>VLOOKUP(1,BC38:BM41,4,0)</f>
        <v>0</v>
      </c>
      <c r="S39" s="33">
        <f>VLOOKUP(1,BC38:BM41,5,0)</f>
        <v>0</v>
      </c>
      <c r="T39" s="33" t="str">
        <f>VLOOKUP(1,BC38:BM41,6,0) &amp; " - " &amp; VLOOKUP(1,BC38:BM41,7,0)</f>
        <v>0 - 0</v>
      </c>
      <c r="U39" s="34">
        <f>Q39*3+R39</f>
        <v>0</v>
      </c>
      <c r="W39" s="65">
        <f>DATE(2024,6,26)+TIME(5,0,0)+gmt_delta</f>
        <v>45469.541666666672</v>
      </c>
      <c r="X39" s="67" t="str">
        <f t="shared" si="0"/>
        <v/>
      </c>
      <c r="Y39" s="67" t="str">
        <f t="shared" si="1"/>
        <v/>
      </c>
      <c r="Z39" s="66">
        <f t="shared" si="2"/>
        <v>0</v>
      </c>
      <c r="AA39" s="65">
        <f t="shared" si="3"/>
        <v>0</v>
      </c>
      <c r="AB39" s="65">
        <f t="shared" si="4"/>
        <v>0</v>
      </c>
      <c r="AC39" s="65">
        <f t="shared" si="5"/>
        <v>5</v>
      </c>
      <c r="AD39" s="65">
        <f t="shared" si="6"/>
        <v>4</v>
      </c>
      <c r="AE39" s="65">
        <f t="shared" si="7"/>
        <v>3</v>
      </c>
      <c r="AF39" s="65" t="str">
        <f t="shared" si="8"/>
        <v>543</v>
      </c>
      <c r="AG39" s="65">
        <f t="shared" si="9"/>
        <v>0</v>
      </c>
      <c r="AH39" s="65">
        <f t="shared" si="10"/>
        <v>0</v>
      </c>
      <c r="AI39" s="65">
        <f t="shared" si="11"/>
        <v>0</v>
      </c>
      <c r="AJ39" s="65" t="str">
        <f t="shared" si="12"/>
        <v>534</v>
      </c>
      <c r="AK39" s="65">
        <f t="shared" si="13"/>
        <v>0</v>
      </c>
      <c r="AL39" s="65">
        <f t="shared" si="14"/>
        <v>0</v>
      </c>
      <c r="AM39" s="65">
        <f t="shared" si="15"/>
        <v>0</v>
      </c>
      <c r="AO39" s="65" t="str">
        <f t="shared" si="33"/>
        <v>543</v>
      </c>
      <c r="AP39" s="65">
        <v>0</v>
      </c>
      <c r="AQ39" s="65">
        <v>0</v>
      </c>
      <c r="AR39" s="65">
        <v>0</v>
      </c>
      <c r="AS39" s="65" t="str">
        <f t="shared" si="34"/>
        <v>534</v>
      </c>
      <c r="AT39" s="65">
        <v>0</v>
      </c>
      <c r="AU39" s="65">
        <v>0</v>
      </c>
      <c r="AV39" s="65">
        <v>0</v>
      </c>
      <c r="AW39" s="65">
        <f t="shared" si="35"/>
        <v>0</v>
      </c>
      <c r="AX39" s="65" t="str">
        <f t="shared" si="24"/>
        <v>543</v>
      </c>
      <c r="AY39" s="65">
        <f t="shared" si="36"/>
        <v>0</v>
      </c>
      <c r="AZ39" s="65" t="str">
        <f t="shared" si="25"/>
        <v>534</v>
      </c>
      <c r="BA39" s="65">
        <f t="shared" si="37"/>
        <v>0</v>
      </c>
      <c r="BC39" s="65">
        <f>DQ39</f>
        <v>2</v>
      </c>
      <c r="BD39" s="66" t="str">
        <f>INDEX(T,46,lang)</f>
        <v>Turkey</v>
      </c>
      <c r="BE39" s="65">
        <f>COUNTIF($X$7:$Y$42,"=" &amp; BD39 &amp; "_win")</f>
        <v>0</v>
      </c>
      <c r="BF39" s="65">
        <f>COUNTIF($X$7:$Y$42,"=" &amp; BD39 &amp; "_draw")</f>
        <v>0</v>
      </c>
      <c r="BG39" s="65">
        <f>COUNTIF($X$7:$Y$42,"=" &amp; BD39 &amp; "_lose")</f>
        <v>0</v>
      </c>
      <c r="BH39" s="65">
        <f>SUMIF($E$10:$E$45,$BD39,$F$10:$F$45) + SUMIF($H$10:$H$45,$BD39,$G$10:$G$45)</f>
        <v>0</v>
      </c>
      <c r="BI39" s="65">
        <f>SUMIF($E$10:$E$45,$BD39,$G$10:$G$45) + SUMIF($H$10:$H$45,$BD39,$F$10:$F$45)</f>
        <v>0</v>
      </c>
      <c r="BJ39" s="65">
        <f>BM39*10000</f>
        <v>0</v>
      </c>
      <c r="BK39" s="65">
        <f>BH39-BI39</f>
        <v>0</v>
      </c>
      <c r="BL39" s="65">
        <f>(BK39-BK43)/BK42</f>
        <v>0</v>
      </c>
      <c r="BM39" s="65">
        <f>BE39*3+BF39</f>
        <v>0</v>
      </c>
      <c r="BN39" s="65">
        <f>BT39/BT42*10+BU39/BU42+BX39/BX42*0.1+BV39/BV42*0.01</f>
        <v>0</v>
      </c>
      <c r="BP39" s="65">
        <f>IF(VLOOKUP(BD39,db_fifarank,2,0)="",MIN(db_fifarank),VLOOKUP(BD39,db_fifarank,2,0))</f>
        <v>38.6</v>
      </c>
      <c r="BQ39" s="65">
        <f t="shared" ref="BQ39:BQ41" si="39">0.1*((BP39-$BP$44)/$BP$46-(COUNTIF($BP$8:$BP$41,BP39)-1)/(100-ROW(BP39)))</f>
        <v>3.2214633542423245E-2</v>
      </c>
      <c r="BR39" s="66">
        <f>10000000*BM39/BM42+100000*BN39/BN42+100*BL39+10*BH39/BH42+1*BN39/BN42+BQ39</f>
        <v>3.2214633542423245E-2</v>
      </c>
      <c r="BS39" s="66" t="str">
        <f>IF(SUM(BE38:BG41)=12,O40,INDEX(T,81,lang))</f>
        <v>2F</v>
      </c>
      <c r="BT39" s="65">
        <f>SUMPRODUCT(($X$7:$X$42=BD39&amp;"_win")*($Z$7:$Z$42))+SUMPRODUCT(($Y$7:$Y$42=BD39&amp;"_win")*($Z$7:$Z$42))</f>
        <v>0</v>
      </c>
      <c r="BU39" s="65">
        <f>SUMPRODUCT(($X$7:$X$42=BD39&amp;"_draw")*($Z$7:$Z$42))+SUMPRODUCT(($Y$7:$Y$42=BD39&amp;"_draw")*($Z$7:$Z$42))</f>
        <v>0</v>
      </c>
      <c r="BV39" s="65">
        <f>SUMPRODUCT(($E$10:$E$45=BD39)*($Z$7:$Z$42)*($F$10:$F$45))+SUMPRODUCT(($H$10:$H$45=BD39)*($Z$7:$Z$42)*($G$10:$G$45))</f>
        <v>0</v>
      </c>
      <c r="BW39" s="65">
        <f>SUMPRODUCT(($E$10:$E$45=BD39)*($Z$7:$Z$42)*($G$10:$G$45))+SUMPRODUCT(($H$10:$H$45=BD39)*($Z$7:$Z$42)*($F$10:$F$45))</f>
        <v>0</v>
      </c>
      <c r="BX39" s="65">
        <f>BV39-BW39</f>
        <v>0</v>
      </c>
      <c r="CC39" s="65">
        <f>IFERROR(VLOOKUP("621",$AF$7:$AI$42,2,0),0) + IFERROR(VLOOKUP("621",$AJ$7:$AM$42,2,0),0)</f>
        <v>0</v>
      </c>
      <c r="CE39" s="65">
        <f>IFERROR(VLOOKUP("623",$AF$7:$AI$42,2,0),0) + IFERROR(VLOOKUP("623",$AJ$7:$AM$42,2,0),0)</f>
        <v>0</v>
      </c>
      <c r="CF39" s="65">
        <f>IFERROR(VLOOKUP("624",$AF$7:$AI$42,2,0),0) + IFERROR(VLOOKUP("624",$AJ$7:$AM$42,2,0),0)</f>
        <v>0</v>
      </c>
      <c r="CG39" s="66">
        <f>SUM(CC39:CF39)</f>
        <v>0</v>
      </c>
      <c r="CH39" s="65">
        <f>IFERROR(VLOOKUP("621",$AF$7:$AI$42,3,0),0) + IFERROR(VLOOKUP("621",$AJ$7:$AM$42,3,0),0)</f>
        <v>0</v>
      </c>
      <c r="CJ39" s="65">
        <f>IFERROR(VLOOKUP("623",$AF$7:$AI$42,3,0),0) + IFERROR(VLOOKUP("623",$AJ$7:$AM$42,3,0),0)</f>
        <v>0</v>
      </c>
      <c r="CK39" s="65">
        <f>IFERROR(VLOOKUP("624",$AF$7:$AI$42,3,0),0) + IFERROR(VLOOKUP("624",$AJ$7:$AM$42,3,0),0)</f>
        <v>0</v>
      </c>
      <c r="CL39" s="66">
        <f>SUM(CH39:CK39)</f>
        <v>0</v>
      </c>
      <c r="CM39" s="66">
        <f>RANK(CL39,CL38:CL41)</f>
        <v>1</v>
      </c>
      <c r="CN39" s="65">
        <f>IFERROR(VLOOKUP("621",$AF$7:$AI$42,4,0),0) + IFERROR(VLOOKUP("621",$AJ$7:$AM$42,4,0),0)</f>
        <v>0</v>
      </c>
      <c r="CP39" s="65">
        <f>IFERROR(VLOOKUP("623",$AF$7:$AI$42,4,0),0) + IFERROR(VLOOKUP("623",$AJ$7:$AM$42,4,0),0)</f>
        <v>0</v>
      </c>
      <c r="CQ39" s="65">
        <f>IFERROR(VLOOKUP("624",$AF$7:$AI$42,4,0),0) + IFERROR(VLOOKUP("624",$AJ$7:$AM$42,4,0),0)</f>
        <v>0</v>
      </c>
      <c r="CR39" s="66">
        <f>SUM(CN39:CQ39)</f>
        <v>0</v>
      </c>
      <c r="CS39" s="65">
        <f>IF(CC42=CG39,CC39,0)</f>
        <v>0</v>
      </c>
      <c r="CU39" s="65">
        <f>IF(CE42=CG39,CE39,0)</f>
        <v>0</v>
      </c>
      <c r="CV39" s="65">
        <f>IF(CF42=CG39,CF39,0)</f>
        <v>0</v>
      </c>
      <c r="CW39" s="66">
        <f>SUM(CS39:CV39)</f>
        <v>0</v>
      </c>
      <c r="CX39" s="65">
        <f>IF(CC42=CG39,CH39,0)</f>
        <v>0</v>
      </c>
      <c r="CZ39" s="65">
        <f>IF(CE42=CG39,CJ39,0)</f>
        <v>0</v>
      </c>
      <c r="DA39" s="65">
        <f>IF(CF42=CG39,CK39,0)</f>
        <v>0</v>
      </c>
      <c r="DB39" s="66">
        <f>SUM(CX39:DA39)</f>
        <v>0</v>
      </c>
      <c r="DC39" s="66">
        <f>RANK(DB39,DB38:DB41)</f>
        <v>1</v>
      </c>
      <c r="DD39" s="65">
        <f>IF(CC42=CG39,CN39,0)</f>
        <v>0</v>
      </c>
      <c r="DF39" s="65">
        <f>IF(CE42=CG39,CP39,0)</f>
        <v>0</v>
      </c>
      <c r="DG39" s="65">
        <f>IF(CF42=CG39,CQ39,0)</f>
        <v>0</v>
      </c>
      <c r="DH39" s="66">
        <f>SUM(DD39:DG39)</f>
        <v>0</v>
      </c>
      <c r="DI39" s="66">
        <f>CG39*10000+CW39*100+(5-DC39)+DH39/10</f>
        <v>4</v>
      </c>
      <c r="DJ39" s="66">
        <f>RANK(DI39,DI38:DI41)</f>
        <v>1</v>
      </c>
      <c r="DK39" s="65">
        <f>IF(DK42=DJ39,CC39,0)</f>
        <v>0</v>
      </c>
      <c r="DM39" s="65">
        <f>IF(DM42=DJ39,CE39,0)</f>
        <v>0</v>
      </c>
      <c r="DN39" s="65">
        <f>IF(DN42=DJ39,CF39,0)</f>
        <v>0</v>
      </c>
      <c r="DO39" s="66">
        <f>SUM(DK39:DN39)</f>
        <v>0</v>
      </c>
      <c r="DP39" s="66">
        <f>(5-DJ39)*10000+DO39*100+(5-CM39)+CR39/10+(5-DX39)/100+BQ39/10000</f>
        <v>40004.040003221467</v>
      </c>
      <c r="DQ39" s="66">
        <f>RANK(DP39,DP38:DP41)</f>
        <v>2</v>
      </c>
      <c r="DS39" s="65">
        <f>IFERROR(VLOOKUP("621",$AX$7:$AY$42,2,0),0) + IFERROR(VLOOKUP("621",$AZ$7:$BA$42,2,0),0)</f>
        <v>0</v>
      </c>
      <c r="DU39" s="65">
        <f>IFERROR(VLOOKUP("623",$AX$7:$AY$42,2,0),0) + IFERROR(VLOOKUP("623",$AZ$7:$BA$42,2,0),0)</f>
        <v>0</v>
      </c>
      <c r="DV39" s="65">
        <f>IFERROR(VLOOKUP("624",$AX$7:$AY$42,2,0),0) + IFERROR(VLOOKUP("624",$AZ$7:$BA$42,2,0),0)</f>
        <v>0</v>
      </c>
      <c r="DW39" s="66">
        <f>SUM(DS39:DV39)</f>
        <v>0</v>
      </c>
      <c r="DX39" s="66">
        <f>RANK(DW39,DW38:DW41)</f>
        <v>1</v>
      </c>
      <c r="DZ39" s="66" t="str">
        <f>BD39</f>
        <v>Turkey</v>
      </c>
      <c r="EA39" s="66">
        <f>EI39*10000+EO39*100+ET39</f>
        <v>100</v>
      </c>
      <c r="EB39" s="65">
        <f>COUNTIF(EA38:EA41,EA39)</f>
        <v>4</v>
      </c>
      <c r="EC39" s="65">
        <f>COUNTIF(CG38:CG41,CG39)</f>
        <v>4</v>
      </c>
      <c r="ED39" s="66">
        <f>IF(AND(EB39&gt;=2,EC39=2),EA39,-EA39-0.3)</f>
        <v>-100.3</v>
      </c>
      <c r="EE39" s="65">
        <f>IFERROR(VLOOKUP("621",$AO$7:$AR$42,2,0),0) + IFERROR(VLOOKUP("621",$AS$7:$AV$42,2,0),0)</f>
        <v>0</v>
      </c>
      <c r="EG39" s="65">
        <f>IFERROR(VLOOKUP("623",$AO$7:$AR$42,2,0),0) + IFERROR(VLOOKUP("623",$AS$7:$AV$42,2,0),0)</f>
        <v>0</v>
      </c>
      <c r="EH39" s="65">
        <f>IFERROR(VLOOKUP("624",$AO$7:$AR$42,2,0),0) + IFERROR(VLOOKUP("624",$AS$7:$AV$42,2,0),0)</f>
        <v>0</v>
      </c>
      <c r="EI39" s="66">
        <f>SUM(EE39:EH39)</f>
        <v>0</v>
      </c>
      <c r="EJ39" s="65">
        <f>IFERROR(VLOOKUP("621",$AO$7:$AR$42,3,0),0) + IFERROR(VLOOKUP("621",$AS$7:$AV$42,3,0),0)</f>
        <v>0</v>
      </c>
      <c r="EL39" s="65">
        <f>IFERROR(VLOOKUP("623",$AO$7:$AR$42,3,0),0) + IFERROR(VLOOKUP("623",$AS$7:$AV$42,3,0),0)</f>
        <v>0</v>
      </c>
      <c r="EM39" s="65">
        <f>IFERROR(VLOOKUP("624",$AO$7:$AR$42,3,0),0) + IFERROR(VLOOKUP("624",$AS$7:$AV$42,3,0),0)</f>
        <v>0</v>
      </c>
      <c r="EN39" s="66">
        <f>SUM(EJ39:EM39)</f>
        <v>0</v>
      </c>
      <c r="EO39" s="66">
        <f>RANK(EN39,EN38:EN41)</f>
        <v>1</v>
      </c>
      <c r="EP39" s="65">
        <f>IFERROR(VLOOKUP("621",$AO$7:$AR$42,4,0),0) + IFERROR(VLOOKUP("621",$AS$7:$AV$42,4,0),0)</f>
        <v>0</v>
      </c>
      <c r="ER39" s="65">
        <f>IFERROR(VLOOKUP("623",$AO$7:$AR$42,4,0),0) + IFERROR(VLOOKUP("623",$AS$7:$AV$42,4,0),0)</f>
        <v>0</v>
      </c>
      <c r="ES39" s="65">
        <f>IFERROR(VLOOKUP("624",$AO$7:$AR$42,4,0),0) + IFERROR(VLOOKUP("624",$AS$7:$AV$42,4,0),0)</f>
        <v>0</v>
      </c>
      <c r="ET39" s="66">
        <f>SUM(EP39:ES39)</f>
        <v>0</v>
      </c>
      <c r="EV39" s="175"/>
    </row>
    <row r="40" spans="1:152">
      <c r="A40" s="46">
        <v>31</v>
      </c>
      <c r="B40" s="47" t="str">
        <f t="shared" si="27"/>
        <v>Tue</v>
      </c>
      <c r="C40" s="48" t="str">
        <f t="shared" si="28"/>
        <v>Jun 25, 2024</v>
      </c>
      <c r="D40" s="49">
        <f t="shared" si="29"/>
        <v>0.66666666666666663</v>
      </c>
      <c r="E40" s="50" t="str">
        <f>BD20</f>
        <v>England</v>
      </c>
      <c r="F40" s="40"/>
      <c r="G40" s="41"/>
      <c r="H40" s="51" t="str">
        <f>BD23</f>
        <v>Slovenia</v>
      </c>
      <c r="I40" s="172" t="str">
        <f>INDEX(T,104,lang)</f>
        <v>Cologne</v>
      </c>
      <c r="J40" s="172"/>
      <c r="K40" s="172"/>
      <c r="L40" s="73"/>
      <c r="M40" s="74"/>
      <c r="O40" s="43" t="str">
        <f>VLOOKUP(2,BC38:BM41,2,0)</f>
        <v>Turkey</v>
      </c>
      <c r="P40" s="44">
        <f>Q40+R40+S40</f>
        <v>0</v>
      </c>
      <c r="Q40" s="44">
        <f>VLOOKUP(2,BC38:BM41,3,0)</f>
        <v>0</v>
      </c>
      <c r="R40" s="44">
        <f>VLOOKUP(2,BC38:BM41,4,0)</f>
        <v>0</v>
      </c>
      <c r="S40" s="44">
        <f>VLOOKUP(2,BC38:BM41,5,0)</f>
        <v>0</v>
      </c>
      <c r="T40" s="44" t="str">
        <f>VLOOKUP(2,BC38:BM41,6,0) &amp; " - " &amp; VLOOKUP(2,BC38:BM41,7,0)</f>
        <v>0 - 0</v>
      </c>
      <c r="U40" s="45">
        <f>Q40*3+R40</f>
        <v>0</v>
      </c>
      <c r="W40" s="65">
        <f>DATE(2024,6,26)+TIME(5,0,0)+gmt_delta</f>
        <v>45469.541666666672</v>
      </c>
      <c r="X40" s="67" t="str">
        <f t="shared" si="0"/>
        <v/>
      </c>
      <c r="Y40" s="67" t="str">
        <f t="shared" si="1"/>
        <v/>
      </c>
      <c r="Z40" s="66">
        <f t="shared" si="2"/>
        <v>0</v>
      </c>
      <c r="AA40" s="65">
        <f t="shared" si="3"/>
        <v>0</v>
      </c>
      <c r="AB40" s="65">
        <f t="shared" si="4"/>
        <v>0</v>
      </c>
      <c r="AC40" s="65">
        <f t="shared" si="5"/>
        <v>5</v>
      </c>
      <c r="AD40" s="65">
        <f t="shared" si="6"/>
        <v>2</v>
      </c>
      <c r="AE40" s="65">
        <f t="shared" si="7"/>
        <v>1</v>
      </c>
      <c r="AF40" s="65" t="str">
        <f t="shared" si="8"/>
        <v>521</v>
      </c>
      <c r="AG40" s="65">
        <f t="shared" si="9"/>
        <v>0</v>
      </c>
      <c r="AH40" s="65">
        <f t="shared" si="10"/>
        <v>0</v>
      </c>
      <c r="AI40" s="65">
        <f t="shared" si="11"/>
        <v>0</v>
      </c>
      <c r="AJ40" s="65" t="str">
        <f t="shared" si="12"/>
        <v>512</v>
      </c>
      <c r="AK40" s="65">
        <f t="shared" si="13"/>
        <v>0</v>
      </c>
      <c r="AL40" s="65">
        <f t="shared" si="14"/>
        <v>0</v>
      </c>
      <c r="AM40" s="65">
        <f t="shared" si="15"/>
        <v>0</v>
      </c>
      <c r="AO40" s="65" t="str">
        <f t="shared" si="33"/>
        <v>521</v>
      </c>
      <c r="AP40" s="65">
        <v>0</v>
      </c>
      <c r="AQ40" s="65">
        <v>0</v>
      </c>
      <c r="AR40" s="65">
        <v>0</v>
      </c>
      <c r="AS40" s="65" t="str">
        <f t="shared" si="34"/>
        <v>512</v>
      </c>
      <c r="AT40" s="65">
        <v>0</v>
      </c>
      <c r="AU40" s="65">
        <v>0</v>
      </c>
      <c r="AV40" s="65">
        <v>0</v>
      </c>
      <c r="AW40" s="65">
        <f t="shared" si="35"/>
        <v>0</v>
      </c>
      <c r="AX40" s="65" t="str">
        <f t="shared" si="24"/>
        <v>521</v>
      </c>
      <c r="AY40" s="65">
        <f t="shared" si="36"/>
        <v>0</v>
      </c>
      <c r="AZ40" s="65" t="str">
        <f t="shared" si="25"/>
        <v>512</v>
      </c>
      <c r="BA40" s="65">
        <f t="shared" si="37"/>
        <v>0</v>
      </c>
      <c r="BC40" s="65">
        <f>DQ40</f>
        <v>3</v>
      </c>
      <c r="BD40" s="66" t="str">
        <f>INDEX(T,58,lang)</f>
        <v>Czech Republic</v>
      </c>
      <c r="BE40" s="65">
        <f>COUNTIF($X$7:$Y$42,"=" &amp; BD40 &amp; "_win")</f>
        <v>0</v>
      </c>
      <c r="BF40" s="65">
        <f>COUNTIF($X$7:$Y$42,"=" &amp; BD40 &amp; "_draw")</f>
        <v>0</v>
      </c>
      <c r="BG40" s="65">
        <f>COUNTIF($X$7:$Y$42,"=" &amp; BD40 &amp; "_lose")</f>
        <v>0</v>
      </c>
      <c r="BH40" s="65">
        <f>SUMIF($E$10:$E$45,$BD40,$F$10:$F$45) + SUMIF($H$10:$H$45,$BD40,$G$10:$G$45)</f>
        <v>0</v>
      </c>
      <c r="BI40" s="65">
        <f>SUMIF($E$10:$E$45,$BD40,$G$10:$G$45) + SUMIF($H$10:$H$45,$BD40,$F$10:$F$45)</f>
        <v>0</v>
      </c>
      <c r="BJ40" s="65">
        <f>BM40*10000</f>
        <v>0</v>
      </c>
      <c r="BK40" s="65">
        <f>BH40-BI40</f>
        <v>0</v>
      </c>
      <c r="BL40" s="65">
        <f>(BK40-BK43)/BK42</f>
        <v>0</v>
      </c>
      <c r="BM40" s="65">
        <f>BE40*3+BF40</f>
        <v>0</v>
      </c>
      <c r="BN40" s="65">
        <f>BT40/BT42*10+BU40/BU42+BX40/BX42*0.1+BV40/BV42*0.01</f>
        <v>0</v>
      </c>
      <c r="BP40" s="65">
        <f>IF(VLOOKUP(BD40,db_fifarank,2,0)="",MIN(db_fifarank),VLOOKUP(BD40,db_fifarank,2,0))</f>
        <v>36.049999999999997</v>
      </c>
      <c r="BQ40" s="65">
        <f t="shared" si="39"/>
        <v>2.7917148123693187E-2</v>
      </c>
      <c r="BR40" s="66">
        <f>10000000*BM40/BM42+100000*BN40/BN42+100*BL40+10*BH40/BH42+1*BN40/BN42+BQ40</f>
        <v>2.7917148123693187E-2</v>
      </c>
      <c r="BS40" s="66" t="str">
        <f>IF(SUM(BE38:BG41)&gt;0,O41,"3F")</f>
        <v>3F</v>
      </c>
      <c r="BT40" s="65">
        <f>SUMPRODUCT(($X$7:$X$42=BD40&amp;"_win")*($Z$7:$Z$42))+SUMPRODUCT(($Y$7:$Y$42=BD40&amp;"_win")*($Z$7:$Z$42))</f>
        <v>0</v>
      </c>
      <c r="BU40" s="65">
        <f>SUMPRODUCT(($X$7:$X$42=BD40&amp;"_draw")*($Z$7:$Z$42))+SUMPRODUCT(($Y$7:$Y$42=BD40&amp;"_draw")*($Z$7:$Z$42))</f>
        <v>0</v>
      </c>
      <c r="BV40" s="65">
        <f>SUMPRODUCT(($E$10:$E$45=BD40)*($Z$7:$Z$42)*($F$10:$F$45))+SUMPRODUCT(($H$10:$H$45=BD40)*($Z$7:$Z$42)*($G$10:$G$45))</f>
        <v>0</v>
      </c>
      <c r="BW40" s="65">
        <f>SUMPRODUCT(($E$10:$E$45=BD40)*($Z$7:$Z$42)*($G$10:$G$45))+SUMPRODUCT(($H$10:$H$45=BD40)*($Z$7:$Z$42)*($F$10:$F$45))</f>
        <v>0</v>
      </c>
      <c r="BX40" s="65">
        <f>BV40-BW40</f>
        <v>0</v>
      </c>
      <c r="CC40" s="65">
        <f>IFERROR(VLOOKUP("631",$AF$7:$AI$42,2,0),0) + IFERROR(VLOOKUP("631",$AJ$7:$AM$42,2,0),0)</f>
        <v>0</v>
      </c>
      <c r="CD40" s="65">
        <f>IFERROR(VLOOKUP("632",$AF$7:$AI$42,2,0),0) + IFERROR(VLOOKUP("632",$AJ$7:$AM$42,2,0),0)</f>
        <v>0</v>
      </c>
      <c r="CF40" s="65">
        <f>IFERROR(VLOOKUP("634",$AF$7:$AI$42,2,0),0) + IFERROR(VLOOKUP("634",$AJ$7:$AM$42,2,0),0)</f>
        <v>0</v>
      </c>
      <c r="CG40" s="66">
        <f>SUM(CC40:CF40)</f>
        <v>0</v>
      </c>
      <c r="CH40" s="65">
        <f>IFERROR(VLOOKUP("631",$AF$7:$AI$42,3,0),0) + IFERROR(VLOOKUP("631",$AJ$7:$AM$42,3,0),0)</f>
        <v>0</v>
      </c>
      <c r="CI40" s="65">
        <f>IFERROR(VLOOKUP("632",$AF$7:$AI$42,3,0),0) + IFERROR(VLOOKUP("632",$AJ$7:$AM$42,3,0),0)</f>
        <v>0</v>
      </c>
      <c r="CK40" s="65">
        <f>IFERROR(VLOOKUP("634",$AF$7:$AI$42,3,0),0) + IFERROR(VLOOKUP("634",$AJ$7:$AM$42,3,0),0)</f>
        <v>0</v>
      </c>
      <c r="CL40" s="66">
        <f>SUM(CH40:CK40)</f>
        <v>0</v>
      </c>
      <c r="CM40" s="66">
        <f>RANK(CL40,CL38:CL41)</f>
        <v>1</v>
      </c>
      <c r="CN40" s="65">
        <f>IFERROR(VLOOKUP("631",$AF$7:$AI$42,4,0),0) + IFERROR(VLOOKUP("631",$AJ$7:$AM$42,4,0),0)</f>
        <v>0</v>
      </c>
      <c r="CO40" s="65">
        <f>IFERROR(VLOOKUP("632",$AF$7:$AI$42,4,0),0) + IFERROR(VLOOKUP("632",$AJ$7:$AM$42,4,0),0)</f>
        <v>0</v>
      </c>
      <c r="CQ40" s="65">
        <f>IFERROR(VLOOKUP("634",$AF$7:$AI$42,4,0),0) + IFERROR(VLOOKUP("634",$AJ$7:$AM$42,4,0),0)</f>
        <v>0</v>
      </c>
      <c r="CR40" s="66">
        <f>SUM(CN40:CQ40)</f>
        <v>0</v>
      </c>
      <c r="CS40" s="65">
        <f>IF(CC42=CG40,CC40,0)</f>
        <v>0</v>
      </c>
      <c r="CT40" s="65">
        <f>IF(CD42=CG40,CD40,0)</f>
        <v>0</v>
      </c>
      <c r="CV40" s="65">
        <f>IF(CF42=CG40,CF40,0)</f>
        <v>0</v>
      </c>
      <c r="CW40" s="66">
        <f>SUM(CS40:CV40)</f>
        <v>0</v>
      </c>
      <c r="CX40" s="65">
        <f>IF(CC42=CG40,CH40,0)</f>
        <v>0</v>
      </c>
      <c r="CY40" s="65">
        <f>IF(CD42=CG40,CI40,0)</f>
        <v>0</v>
      </c>
      <c r="DA40" s="65">
        <f>IF(CF42=CG40,CK40,0)</f>
        <v>0</v>
      </c>
      <c r="DB40" s="66">
        <f>SUM(CX40:DA40)</f>
        <v>0</v>
      </c>
      <c r="DC40" s="66">
        <f>RANK(DB40,DB38:DB41)</f>
        <v>1</v>
      </c>
      <c r="DD40" s="65">
        <f>IF(CC42=CG40,CN40,0)</f>
        <v>0</v>
      </c>
      <c r="DE40" s="65">
        <f>IF(CD42=CG40,CO40,0)</f>
        <v>0</v>
      </c>
      <c r="DG40" s="65">
        <f>IF(CF42=CG40,CQ40,0)</f>
        <v>0</v>
      </c>
      <c r="DH40" s="66">
        <f>SUM(DD40:DG40)</f>
        <v>0</v>
      </c>
      <c r="DI40" s="66">
        <f>CG40*10000+CW40*100+(5-DC40)+DH40/10</f>
        <v>4</v>
      </c>
      <c r="DJ40" s="66">
        <f>RANK(DI40,DI38:DI41)</f>
        <v>1</v>
      </c>
      <c r="DK40" s="65">
        <f>IF(DK42=DJ40,CC40,0)</f>
        <v>0</v>
      </c>
      <c r="DL40" s="65">
        <f>IF(DL42=DJ40,CD40,0)</f>
        <v>0</v>
      </c>
      <c r="DN40" s="65">
        <f>IF(DN42=DJ40,CF40,0)</f>
        <v>0</v>
      </c>
      <c r="DO40" s="66">
        <f>SUM(DK40:DN40)</f>
        <v>0</v>
      </c>
      <c r="DP40" s="66">
        <f>(5-DJ40)*10000+DO40*100+(5-CM40)+CR40/10+(5-DX40)/100+BQ40/10000</f>
        <v>40004.040002791713</v>
      </c>
      <c r="DQ40" s="66">
        <f>RANK(DP40,DP38:DP41)</f>
        <v>3</v>
      </c>
      <c r="DS40" s="65">
        <f>IFERROR(VLOOKUP("631",$AX$7:$AY$42,2,0),0) + IFERROR(VLOOKUP("631",$AZ$7:$BA$42,2,0),0)</f>
        <v>0</v>
      </c>
      <c r="DT40" s="65">
        <f>IFERROR(VLOOKUP("632",$AX$7:$AY$42,2,0),0) + IFERROR(VLOOKUP("632",$AZ$7:$BA$42,2,0),0)</f>
        <v>0</v>
      </c>
      <c r="DV40" s="65">
        <f>IFERROR(VLOOKUP("634",$AX$7:$AY$42,2,0),0) + IFERROR(VLOOKUP("634",$AZ$7:$BA$42,2,0),0)</f>
        <v>0</v>
      </c>
      <c r="DW40" s="66">
        <f>SUM(DS40:DV40)</f>
        <v>0</v>
      </c>
      <c r="DX40" s="66">
        <f>RANK(DW40,DW38:DW41)</f>
        <v>1</v>
      </c>
      <c r="DZ40" s="66" t="str">
        <f>BD40</f>
        <v>Czech Republic</v>
      </c>
      <c r="EA40" s="66">
        <f>EI40*10000+EO40*100+ET40</f>
        <v>100</v>
      </c>
      <c r="EB40" s="65">
        <f>COUNTIF(EA38:EA41,EA40)</f>
        <v>4</v>
      </c>
      <c r="EC40" s="65">
        <f>COUNTIF(CG38:CG41,CG40)</f>
        <v>4</v>
      </c>
      <c r="ED40" s="66">
        <f>IF(AND(EB40&gt;=2,EC40=2),EA40,-EA40-0.2)</f>
        <v>-100.2</v>
      </c>
      <c r="EE40" s="65">
        <f>IFERROR(VLOOKUP("631",$AO$7:$AR$42,2,0),0) + IFERROR(VLOOKUP("631",$AS$7:$AV$42,2,0),0)</f>
        <v>0</v>
      </c>
      <c r="EF40" s="65">
        <f>IFERROR(VLOOKUP("632",$AO$7:$AR$42,2,0),0) + IFERROR(VLOOKUP("632",$AS$7:$AV$42,2,0),0)</f>
        <v>0</v>
      </c>
      <c r="EH40" s="65">
        <f>IFERROR(VLOOKUP("634",$AO$7:$AR$42,2,0),0) + IFERROR(VLOOKUP("634",$AS$7:$AV$42,2,0),0)</f>
        <v>0</v>
      </c>
      <c r="EI40" s="66">
        <f>SUM(EE40:EH40)</f>
        <v>0</v>
      </c>
      <c r="EJ40" s="65">
        <f>IFERROR(VLOOKUP("631",$AO$7:$AR$42,3,0),0) + IFERROR(VLOOKUP("631",$AS$7:$AV$42,3,0),0)</f>
        <v>0</v>
      </c>
      <c r="EK40" s="65">
        <f>IFERROR(VLOOKUP("632",$AO$7:$AR$42,3,0),0) + IFERROR(VLOOKUP("632",$AS$7:$AV$42,3,0),0)</f>
        <v>0</v>
      </c>
      <c r="EM40" s="65">
        <f>IFERROR(VLOOKUP("634",$AO$7:$AR$42,3,0),0) + IFERROR(VLOOKUP("634",$AS$7:$AV$42,3,0),0)</f>
        <v>0</v>
      </c>
      <c r="EN40" s="66">
        <f>SUM(EJ40:EM40)</f>
        <v>0</v>
      </c>
      <c r="EO40" s="66">
        <f>RANK(EN40,EN38:EN41)</f>
        <v>1</v>
      </c>
      <c r="EP40" s="65">
        <f>IFERROR(VLOOKUP("631",$AO$7:$AR$42,4,0),0) + IFERROR(VLOOKUP("631",$AS$7:$AV$42,4,0),0)</f>
        <v>0</v>
      </c>
      <c r="EQ40" s="65">
        <f>IFERROR(VLOOKUP("632",$AO$7:$AR$42,4,0),0) + IFERROR(VLOOKUP("632",$AS$7:$AV$42,4,0),0)</f>
        <v>0</v>
      </c>
      <c r="ES40" s="65">
        <f>IFERROR(VLOOKUP("634",$AO$7:$AR$42,4,0),0) + IFERROR(VLOOKUP("634",$AS$7:$AV$42,4,0),0)</f>
        <v>0</v>
      </c>
      <c r="ET40" s="66">
        <f>SUM(EP40:ES40)</f>
        <v>0</v>
      </c>
      <c r="EV40" s="165"/>
    </row>
    <row r="41" spans="1:152" ht="12.75" customHeight="1">
      <c r="A41" s="46">
        <v>32</v>
      </c>
      <c r="B41" s="47" t="str">
        <f t="shared" si="27"/>
        <v>Tue</v>
      </c>
      <c r="C41" s="48" t="str">
        <f t="shared" si="28"/>
        <v>Jun 25, 2024</v>
      </c>
      <c r="D41" s="49">
        <f t="shared" si="29"/>
        <v>0.66666666666666663</v>
      </c>
      <c r="E41" s="50" t="str">
        <f>BD21</f>
        <v>Denmark</v>
      </c>
      <c r="F41" s="40"/>
      <c r="G41" s="41"/>
      <c r="H41" s="51" t="str">
        <f>BD22</f>
        <v>Serbia</v>
      </c>
      <c r="I41" s="172" t="str">
        <f>INDEX(T,103,lang)</f>
        <v>Munich</v>
      </c>
      <c r="J41" s="172"/>
      <c r="K41" s="172"/>
      <c r="L41" s="73"/>
      <c r="M41" s="74"/>
      <c r="O41" s="43" t="str">
        <f>VLOOKUP(3,BC38:BM41,2,0)</f>
        <v>Czech Republic</v>
      </c>
      <c r="P41" s="44">
        <f>Q41+R41+S41</f>
        <v>0</v>
      </c>
      <c r="Q41" s="44">
        <f>VLOOKUP(3,BC38:BM41,3,0)</f>
        <v>0</v>
      </c>
      <c r="R41" s="44">
        <f>VLOOKUP(3,BC38:BM41,4,0)</f>
        <v>0</v>
      </c>
      <c r="S41" s="44">
        <f>VLOOKUP(3,BC38:BM41,5,0)</f>
        <v>0</v>
      </c>
      <c r="T41" s="44" t="str">
        <f>VLOOKUP(3,BC38:BM41,6,0) &amp; " - " &amp; VLOOKUP(3,BC38:BM41,7,0)</f>
        <v>0 - 0</v>
      </c>
      <c r="U41" s="45">
        <f>Q41*3+R41</f>
        <v>0</v>
      </c>
      <c r="W41" s="65">
        <f>DATE(2024,6,26)+TIME(8,0,0)+gmt_delta</f>
        <v>45469.666666666672</v>
      </c>
      <c r="X41" s="67" t="str">
        <f t="shared" si="0"/>
        <v/>
      </c>
      <c r="Y41" s="67" t="str">
        <f t="shared" si="1"/>
        <v/>
      </c>
      <c r="Z41" s="66">
        <f t="shared" si="2"/>
        <v>0</v>
      </c>
      <c r="AA41" s="65">
        <f t="shared" si="3"/>
        <v>0</v>
      </c>
      <c r="AB41" s="65">
        <f t="shared" si="4"/>
        <v>0</v>
      </c>
      <c r="AC41" s="65">
        <f t="shared" si="5"/>
        <v>6</v>
      </c>
      <c r="AD41" s="65">
        <f t="shared" si="6"/>
        <v>4</v>
      </c>
      <c r="AE41" s="65">
        <f t="shared" si="7"/>
        <v>1</v>
      </c>
      <c r="AF41" s="65" t="str">
        <f t="shared" si="8"/>
        <v>641</v>
      </c>
      <c r="AG41" s="65">
        <f t="shared" si="9"/>
        <v>0</v>
      </c>
      <c r="AH41" s="65">
        <f t="shared" si="10"/>
        <v>0</v>
      </c>
      <c r="AI41" s="65">
        <f t="shared" si="11"/>
        <v>0</v>
      </c>
      <c r="AJ41" s="65" t="str">
        <f t="shared" si="12"/>
        <v>614</v>
      </c>
      <c r="AK41" s="65">
        <f t="shared" si="13"/>
        <v>0</v>
      </c>
      <c r="AL41" s="65">
        <f t="shared" si="14"/>
        <v>0</v>
      </c>
      <c r="AM41" s="65">
        <f t="shared" si="15"/>
        <v>0</v>
      </c>
      <c r="AO41" s="65" t="str">
        <f t="shared" si="33"/>
        <v>641</v>
      </c>
      <c r="AP41" s="65">
        <v>0</v>
      </c>
      <c r="AQ41" s="65">
        <v>0</v>
      </c>
      <c r="AR41" s="65">
        <v>0</v>
      </c>
      <c r="AS41" s="65" t="str">
        <f t="shared" si="34"/>
        <v>614</v>
      </c>
      <c r="AT41" s="65">
        <v>0</v>
      </c>
      <c r="AU41" s="65">
        <v>0</v>
      </c>
      <c r="AV41" s="65">
        <v>0</v>
      </c>
      <c r="AW41" s="65">
        <f t="shared" si="35"/>
        <v>0</v>
      </c>
      <c r="AX41" s="65" t="str">
        <f t="shared" si="24"/>
        <v>641</v>
      </c>
      <c r="AY41" s="65">
        <f t="shared" si="36"/>
        <v>0</v>
      </c>
      <c r="AZ41" s="65" t="str">
        <f t="shared" si="25"/>
        <v>614</v>
      </c>
      <c r="BA41" s="65">
        <f t="shared" si="37"/>
        <v>0</v>
      </c>
      <c r="BC41" s="65">
        <f>DQ41</f>
        <v>4</v>
      </c>
      <c r="BD41" s="66" t="str">
        <f>INDEX(T,65,lang)</f>
        <v>Georgia</v>
      </c>
      <c r="BE41" s="65">
        <f>COUNTIF($X$7:$Y$42,"=" &amp; BD41 &amp; "_win")</f>
        <v>0</v>
      </c>
      <c r="BF41" s="65">
        <f>COUNTIF($X$7:$Y$42,"=" &amp; BD41 &amp; "_draw")</f>
        <v>0</v>
      </c>
      <c r="BG41" s="65">
        <f>COUNTIF($X$7:$Y$42,"=" &amp; BD41 &amp; "_lose")</f>
        <v>0</v>
      </c>
      <c r="BH41" s="65">
        <f>SUMIF($E$10:$E$45,$BD41,$F$10:$F$45) + SUMIF($H$10:$H$45,$BD41,$G$10:$G$45)</f>
        <v>0</v>
      </c>
      <c r="BI41" s="65">
        <f>SUMIF($E$10:$E$45,$BD41,$G$10:$G$45) + SUMIF($H$10:$H$45,$BD41,$F$10:$F$45)</f>
        <v>0</v>
      </c>
      <c r="BJ41" s="65">
        <f>BM41*10000</f>
        <v>0</v>
      </c>
      <c r="BK41" s="65">
        <f>BH41-BI41</f>
        <v>0</v>
      </c>
      <c r="BL41" s="65">
        <f>(BK41-BK43)/BK42</f>
        <v>0</v>
      </c>
      <c r="BM41" s="65">
        <f>BE41*3+BF41</f>
        <v>0</v>
      </c>
      <c r="BN41" s="65">
        <f>BT41/BT42*10+BU41/BU42+BX41/BX42*0.1+BV41/BV42*0.01</f>
        <v>0</v>
      </c>
      <c r="BP41" s="65">
        <f>IF(VLOOKUP(BD41,db_fifarank,2,0)="",MIN(db_fifarank),VLOOKUP(BD41,db_fifarank,2,0))</f>
        <v>7.625</v>
      </c>
      <c r="BQ41" s="65">
        <f t="shared" si="39"/>
        <v>2.57923407065038E-4</v>
      </c>
      <c r="BR41" s="66">
        <f>10000000*BM41/BM42+100000*BN41/BN42+100*BL41+10*BH41/BH42+1*BN41/BN42+BQ41</f>
        <v>2.57923407065038E-4</v>
      </c>
      <c r="BT41" s="65">
        <f>SUMPRODUCT(($X$7:$X$42=BD41&amp;"_win")*($Z$7:$Z$42))+SUMPRODUCT(($Y$7:$Y$42=BD41&amp;"_win")*($Z$7:$Z$42))</f>
        <v>0</v>
      </c>
      <c r="BU41" s="65">
        <f>SUMPRODUCT(($X$7:$X$42=BD41&amp;"_draw")*($Z$7:$Z$42))+SUMPRODUCT(($Y$7:$Y$42=BD41&amp;"_draw")*($Z$7:$Z$42))</f>
        <v>0</v>
      </c>
      <c r="BV41" s="65">
        <f>SUMPRODUCT(($E$10:$E$45=BD41)*($Z$7:$Z$42)*($F$10:$F$45))+SUMPRODUCT(($H$10:$H$45=BD41)*($Z$7:$Z$42)*($G$10:$G$45))</f>
        <v>0</v>
      </c>
      <c r="BW41" s="65">
        <f>SUMPRODUCT(($E$10:$E$45=BD41)*($Z$7:$Z$42)*($G$10:$G$45))+SUMPRODUCT(($H$10:$H$45=BD41)*($Z$7:$Z$42)*($F$10:$F$45))</f>
        <v>0</v>
      </c>
      <c r="BX41" s="65">
        <f>BV41-BW41</f>
        <v>0</v>
      </c>
      <c r="CC41" s="65">
        <f>IFERROR(VLOOKUP("641",$AF$7:$AI$42,2,0),0) + IFERROR(VLOOKUP("641",$AJ$7:$AM$42,2,0),0)</f>
        <v>0</v>
      </c>
      <c r="CD41" s="65">
        <f>IFERROR(VLOOKUP("642",$AF$7:$AI$42,2,0),0) + IFERROR(VLOOKUP("642",$AJ$7:$AM$42,2,0),0)</f>
        <v>0</v>
      </c>
      <c r="CE41" s="65">
        <f>IFERROR(VLOOKUP("643",$AF$7:$AI$42,2,0),0) + IFERROR(VLOOKUP("643",$AJ$7:$AM$42,2,0),0)</f>
        <v>0</v>
      </c>
      <c r="CG41" s="66">
        <f>SUM(CC41:CF41)</f>
        <v>0</v>
      </c>
      <c r="CH41" s="65">
        <f>IFERROR(VLOOKUP("641",$AF$7:$AI$42,3,0),0) + IFERROR(VLOOKUP("641",$AJ$7:$AM$42,3,0),0)</f>
        <v>0</v>
      </c>
      <c r="CI41" s="65">
        <f>IFERROR(VLOOKUP("642",$AF$7:$AI$42,3,0),0) + IFERROR(VLOOKUP("642",$AJ$7:$AM$42,3,0),0)</f>
        <v>0</v>
      </c>
      <c r="CJ41" s="65">
        <f>IFERROR(VLOOKUP("643",$AF$7:$AI$42,3,0),0) + IFERROR(VLOOKUP("643",$AJ$7:$AM$42,3,0),0)</f>
        <v>0</v>
      </c>
      <c r="CL41" s="66">
        <f>SUM(CH41:CK41)</f>
        <v>0</v>
      </c>
      <c r="CM41" s="66">
        <f>RANK(CL41,CL38:CL41)</f>
        <v>1</v>
      </c>
      <c r="CN41" s="65">
        <f>IFERROR(VLOOKUP("641",$AF$7:$AI$42,4,0),0) + IFERROR(VLOOKUP("641",$AJ$7:$AM$42,4,0),0)</f>
        <v>0</v>
      </c>
      <c r="CO41" s="65">
        <f>IFERROR(VLOOKUP("642",$AF$7:$AI$42,4,0),0) + IFERROR(VLOOKUP("642",$AJ$7:$AM$42,4,0),0)</f>
        <v>0</v>
      </c>
      <c r="CP41" s="65">
        <f>IFERROR(VLOOKUP("643",$AF$7:$AI$42,4,0),0) + IFERROR(VLOOKUP("643",$AJ$7:$AM$42,4,0),0)</f>
        <v>0</v>
      </c>
      <c r="CR41" s="66">
        <f>SUM(CN41:CQ41)</f>
        <v>0</v>
      </c>
      <c r="CS41" s="65">
        <f>IF(CC42=CG41,CC41,0)</f>
        <v>0</v>
      </c>
      <c r="CT41" s="65">
        <f>IF(CD42=CG41,CD41,0)</f>
        <v>0</v>
      </c>
      <c r="CU41" s="65">
        <f>IF(CE42=CG41,CE41,0)</f>
        <v>0</v>
      </c>
      <c r="CW41" s="66">
        <f>SUM(CS41:CV41)</f>
        <v>0</v>
      </c>
      <c r="CX41" s="65">
        <f>IF(CC42=CG41,CH41,0)</f>
        <v>0</v>
      </c>
      <c r="CY41" s="65">
        <f>IF(CD42=CG41,CI41,0)</f>
        <v>0</v>
      </c>
      <c r="CZ41" s="65">
        <f>IF(CE42=CG41,CJ41,0)</f>
        <v>0</v>
      </c>
      <c r="DB41" s="66">
        <f>SUM(CX41:DA41)</f>
        <v>0</v>
      </c>
      <c r="DC41" s="66">
        <f>RANK(DB41,DB38:DB41)</f>
        <v>1</v>
      </c>
      <c r="DD41" s="65">
        <f>IF(CC42=CG41,CN41,0)</f>
        <v>0</v>
      </c>
      <c r="DE41" s="65">
        <f>IF(CD42=CG41,CO41,0)</f>
        <v>0</v>
      </c>
      <c r="DF41" s="65">
        <f>IF(CE42=CG41,CP41,0)</f>
        <v>0</v>
      </c>
      <c r="DH41" s="66">
        <f>SUM(DD41:DG41)</f>
        <v>0</v>
      </c>
      <c r="DI41" s="66">
        <f>CG41*10000+CW41*100+(5-DC41)+DH41/10</f>
        <v>4</v>
      </c>
      <c r="DJ41" s="66">
        <f>RANK(DI41,DI38:DI41)</f>
        <v>1</v>
      </c>
      <c r="DK41" s="65">
        <f>IF(DK42=DJ41,CC41,0)</f>
        <v>0</v>
      </c>
      <c r="DL41" s="65">
        <f>IF(DL42=DJ41,CD41,0)</f>
        <v>0</v>
      </c>
      <c r="DM41" s="65">
        <f>IF(DM42=DJ41,CE41,0)</f>
        <v>0</v>
      </c>
      <c r="DO41" s="66">
        <f>SUM(DK41:DN41)</f>
        <v>0</v>
      </c>
      <c r="DP41" s="66">
        <f>(5-DJ41)*10000+DO41*100+(5-CM41)+CR41/10+(5-DX41)/100+BQ41/10000</f>
        <v>40004.040000025794</v>
      </c>
      <c r="DQ41" s="66">
        <f>RANK(DP41,DP38:DP41)</f>
        <v>4</v>
      </c>
      <c r="DS41" s="65">
        <f>IFERROR(VLOOKUP("641",$AX$7:$AY$42,2,0),0) + IFERROR(VLOOKUP("641",$AZ$7:$BA$42,2,0),0)</f>
        <v>0</v>
      </c>
      <c r="DT41" s="65">
        <f>IFERROR(VLOOKUP("642",$AX$7:$AY$42,2,0),0) + IFERROR(VLOOKUP("642",$AZ$7:$BA$42,2,0),0)</f>
        <v>0</v>
      </c>
      <c r="DU41" s="65">
        <f>IFERROR(VLOOKUP("643",$AX$7:$AY$42,2,0),0) + IFERROR(VLOOKUP("643",$AZ$7:$BA$42,2,0),0)</f>
        <v>0</v>
      </c>
      <c r="DW41" s="66">
        <f>SUM(DS41:DV41)</f>
        <v>0</v>
      </c>
      <c r="DX41" s="66">
        <f>RANK(DW41,DW38:DW41)</f>
        <v>1</v>
      </c>
      <c r="DZ41" s="66" t="str">
        <f>BD41</f>
        <v>Georgia</v>
      </c>
      <c r="EA41" s="66">
        <f>EI41*10000+EO41*100+ET41</f>
        <v>100</v>
      </c>
      <c r="EB41" s="65">
        <f>COUNTIF(EA38:EA41,EA41)</f>
        <v>4</v>
      </c>
      <c r="EC41" s="65">
        <f>COUNTIF(CG38:CG41,CG41)</f>
        <v>4</v>
      </c>
      <c r="ED41" s="66">
        <f>IF(AND(EB41&gt;=2,EC41=2),EA41,-EA41-0.1)</f>
        <v>-100.1</v>
      </c>
      <c r="EE41" s="65">
        <f>IFERROR(VLOOKUP("641",$AO$7:$AR$42,2,0),0) + IFERROR(VLOOKUP("641",$AS$7:$AV$42,2,0),0)</f>
        <v>0</v>
      </c>
      <c r="EF41" s="65">
        <f>IFERROR(VLOOKUP("642",$AO$7:$AR$42,2,0),0) + IFERROR(VLOOKUP("642",$AS$7:$AV$42,2,0),0)</f>
        <v>0</v>
      </c>
      <c r="EG41" s="65">
        <f>IFERROR(VLOOKUP("643",$AO$7:$AR$42,2,0),0) + IFERROR(VLOOKUP("643",$AS$7:$AV$42,2,0),0)</f>
        <v>0</v>
      </c>
      <c r="EI41" s="66">
        <f>SUM(EE41:EH41)</f>
        <v>0</v>
      </c>
      <c r="EJ41" s="65">
        <f>IFERROR(VLOOKUP("641",$AO$7:$AR$42,3,0),0) + IFERROR(VLOOKUP("641",$AS$7:$AV$42,3,0),0)</f>
        <v>0</v>
      </c>
      <c r="EK41" s="65">
        <f>IFERROR(VLOOKUP("642",$AO$7:$AR$42,3,0),0) + IFERROR(VLOOKUP("642",$AS$7:$AV$42,3,0),0)</f>
        <v>0</v>
      </c>
      <c r="EL41" s="65">
        <f>IFERROR(VLOOKUP("643",$AO$7:$AR$42,3,0),0) + IFERROR(VLOOKUP("643",$AS$7:$AV$42,3,0),0)</f>
        <v>0</v>
      </c>
      <c r="EN41" s="66">
        <f>SUM(EJ41:EM41)</f>
        <v>0</v>
      </c>
      <c r="EO41" s="66">
        <f>RANK(EN41,EN38:EN41)</f>
        <v>1</v>
      </c>
      <c r="EP41" s="65">
        <f>IFERROR(VLOOKUP("641",$AO$7:$AR$42,4,0),0) + IFERROR(VLOOKUP("641",$AS$7:$AV$42,4,0),0)</f>
        <v>0</v>
      </c>
      <c r="EQ41" s="65">
        <f>IFERROR(VLOOKUP("642",$AO$7:$AR$42,4,0),0) + IFERROR(VLOOKUP("642",$AS$7:$AV$42,4,0),0)</f>
        <v>0</v>
      </c>
      <c r="ER41" s="65">
        <f>IFERROR(VLOOKUP("643",$AO$7:$AR$42,4,0),0) + IFERROR(VLOOKUP("643",$AS$7:$AV$42,4,0),0)</f>
        <v>0</v>
      </c>
      <c r="ET41" s="66">
        <f>SUM(EP41:ES41)</f>
        <v>0</v>
      </c>
    </row>
    <row r="42" spans="1:152" ht="12.75" customHeight="1">
      <c r="A42" s="46">
        <v>33</v>
      </c>
      <c r="B42" s="47" t="str">
        <f t="shared" si="27"/>
        <v>Wed</v>
      </c>
      <c r="C42" s="48" t="str">
        <f t="shared" si="28"/>
        <v>Jun 26, 2024</v>
      </c>
      <c r="D42" s="49">
        <f t="shared" si="29"/>
        <v>0.54166666666666663</v>
      </c>
      <c r="E42" s="50" t="str">
        <f>BD35</f>
        <v>Slovakia</v>
      </c>
      <c r="F42" s="40"/>
      <c r="G42" s="41"/>
      <c r="H42" s="51" t="str">
        <f>BD34</f>
        <v>Romania</v>
      </c>
      <c r="I42" s="172" t="str">
        <f>INDEX(T,106,lang)</f>
        <v>Frankfurt</v>
      </c>
      <c r="J42" s="172"/>
      <c r="K42" s="172"/>
      <c r="L42" s="73"/>
      <c r="M42" s="74"/>
      <c r="O42" s="54" t="str">
        <f>VLOOKUP(4,BC38:BM41,2,0)</f>
        <v>Georgia</v>
      </c>
      <c r="P42" s="55">
        <f>Q42+R42+S42</f>
        <v>0</v>
      </c>
      <c r="Q42" s="55">
        <f>VLOOKUP(4,BC38:BM41,3,0)</f>
        <v>0</v>
      </c>
      <c r="R42" s="55">
        <f>VLOOKUP(4,BC38:BM41,4,0)</f>
        <v>0</v>
      </c>
      <c r="S42" s="55">
        <f>VLOOKUP(4,BC38:BM41,5,0)</f>
        <v>0</v>
      </c>
      <c r="T42" s="55" t="str">
        <f>VLOOKUP(4,BC38:BM41,6,0) &amp; " - " &amp; VLOOKUP(4,BC38:BM41,7,0)</f>
        <v>0 - 0</v>
      </c>
      <c r="U42" s="56">
        <f>Q42*3+R42</f>
        <v>0</v>
      </c>
      <c r="W42" s="65">
        <f>DATE(2024,6,26)+TIME(8,0,0)+gmt_delta</f>
        <v>45469.666666666672</v>
      </c>
      <c r="X42" s="67" t="str">
        <f t="shared" si="0"/>
        <v/>
      </c>
      <c r="Y42" s="67" t="str">
        <f t="shared" si="1"/>
        <v/>
      </c>
      <c r="Z42" s="66">
        <f t="shared" si="2"/>
        <v>0</v>
      </c>
      <c r="AA42" s="65">
        <f t="shared" si="3"/>
        <v>0</v>
      </c>
      <c r="AB42" s="65">
        <f t="shared" si="4"/>
        <v>0</v>
      </c>
      <c r="AC42" s="65">
        <f t="shared" si="5"/>
        <v>6</v>
      </c>
      <c r="AD42" s="65">
        <f t="shared" si="6"/>
        <v>3</v>
      </c>
      <c r="AE42" s="65">
        <f t="shared" si="7"/>
        <v>2</v>
      </c>
      <c r="AF42" s="65" t="str">
        <f t="shared" si="8"/>
        <v>632</v>
      </c>
      <c r="AG42" s="65">
        <f t="shared" si="9"/>
        <v>0</v>
      </c>
      <c r="AH42" s="65">
        <f t="shared" si="10"/>
        <v>0</v>
      </c>
      <c r="AI42" s="65">
        <f t="shared" si="11"/>
        <v>0</v>
      </c>
      <c r="AJ42" s="65" t="str">
        <f t="shared" si="12"/>
        <v>623</v>
      </c>
      <c r="AK42" s="65">
        <f t="shared" si="13"/>
        <v>0</v>
      </c>
      <c r="AL42" s="65">
        <f t="shared" si="14"/>
        <v>0</v>
      </c>
      <c r="AM42" s="65">
        <f t="shared" si="15"/>
        <v>0</v>
      </c>
      <c r="AO42" s="65" t="str">
        <f t="shared" si="33"/>
        <v>632</v>
      </c>
      <c r="AP42" s="65">
        <v>0</v>
      </c>
      <c r="AQ42" s="65">
        <v>0</v>
      </c>
      <c r="AR42" s="65">
        <v>0</v>
      </c>
      <c r="AS42" s="65" t="str">
        <f t="shared" si="34"/>
        <v>623</v>
      </c>
      <c r="AT42" s="65">
        <v>0</v>
      </c>
      <c r="AU42" s="65">
        <v>0</v>
      </c>
      <c r="AV42" s="65">
        <v>0</v>
      </c>
      <c r="AW42" s="65">
        <f t="shared" si="35"/>
        <v>0</v>
      </c>
      <c r="AX42" s="65" t="str">
        <f t="shared" si="24"/>
        <v>632</v>
      </c>
      <c r="AY42" s="65">
        <f t="shared" si="36"/>
        <v>0</v>
      </c>
      <c r="AZ42" s="65" t="str">
        <f t="shared" si="25"/>
        <v>623</v>
      </c>
      <c r="BA42" s="65">
        <f t="shared" si="37"/>
        <v>0</v>
      </c>
      <c r="BE42" s="65">
        <f>MAX(BE38:BE41)-MIN(BE38:BE41)+1</f>
        <v>1</v>
      </c>
      <c r="BF42" s="65">
        <f>MAX(BF38:BF41)-MIN(BF38:BF41)+1</f>
        <v>1</v>
      </c>
      <c r="BG42" s="65">
        <f>MAX(BG38:BG41)-MIN(BG38:BG41)+1</f>
        <v>1</v>
      </c>
      <c r="BH42" s="65">
        <f>MAX(BH38:BH41)-MIN(BH38:BH41)+1</f>
        <v>1</v>
      </c>
      <c r="BI42" s="65">
        <f>MAX(BI38:BI41)-MIN(BI38:BI41)+1</f>
        <v>1</v>
      </c>
      <c r="BJ42" s="65">
        <f>MAX(BJ38:BJ41)-BJ43+1</f>
        <v>1</v>
      </c>
      <c r="BK42" s="65">
        <f>MAX(BK38:BK41)-BK43+1</f>
        <v>1</v>
      </c>
      <c r="BM42" s="65">
        <f>MAX(BM38:BM41)-MIN(BM38:BM41)+1</f>
        <v>1</v>
      </c>
      <c r="BN42" s="65">
        <f>MAX(BN38:BN41)-MIN(BN38:BN41)+1</f>
        <v>1</v>
      </c>
      <c r="BT42" s="65">
        <f>MAX(BT38:BT41)-MIN(BT38:BT41)+1</f>
        <v>1</v>
      </c>
      <c r="BU42" s="65">
        <f>MAX(BU38:BU41)-MIN(BU38:BU41)+1</f>
        <v>1</v>
      </c>
      <c r="BV42" s="65">
        <f>MAX(BV38:BV41)-MIN(BV38:BV41)+1</f>
        <v>1</v>
      </c>
      <c r="BW42" s="65">
        <f>MAX(BW38:BW41)-MIN(BW38:BW41)+1</f>
        <v>1</v>
      </c>
      <c r="BX42" s="65">
        <f>MAX(BX38:BX41)-MIN(BX38:BX41)+1</f>
        <v>1</v>
      </c>
      <c r="CC42" s="65">
        <f>CG38</f>
        <v>0</v>
      </c>
      <c r="CD42" s="65">
        <f>CG39</f>
        <v>0</v>
      </c>
      <c r="CE42" s="65">
        <f>CG40</f>
        <v>0</v>
      </c>
      <c r="CF42" s="65">
        <f>CG41</f>
        <v>0</v>
      </c>
      <c r="DK42" s="65">
        <f>DJ38</f>
        <v>1</v>
      </c>
      <c r="DL42" s="65">
        <f>DJ39</f>
        <v>1</v>
      </c>
      <c r="DM42" s="65">
        <f>DJ40</f>
        <v>1</v>
      </c>
      <c r="DN42" s="65">
        <f>DJ41</f>
        <v>1</v>
      </c>
      <c r="DO42" s="66">
        <f>SUM(DK42:DN42)</f>
        <v>4</v>
      </c>
      <c r="DS42" s="65">
        <f>DW38</f>
        <v>0</v>
      </c>
      <c r="DT42" s="65">
        <f>DW39</f>
        <v>0</v>
      </c>
      <c r="DU42" s="65">
        <f>DW40</f>
        <v>0</v>
      </c>
      <c r="DV42" s="65">
        <f>DW41</f>
        <v>0</v>
      </c>
      <c r="EE42" s="65">
        <f>EI38</f>
        <v>0</v>
      </c>
      <c r="EF42" s="65">
        <f>EI39</f>
        <v>0</v>
      </c>
      <c r="EG42" s="65">
        <f>EI40</f>
        <v>0</v>
      </c>
      <c r="EH42" s="65">
        <f>EI41</f>
        <v>0</v>
      </c>
    </row>
    <row r="43" spans="1:152">
      <c r="A43" s="46">
        <v>34</v>
      </c>
      <c r="B43" s="47" t="str">
        <f t="shared" si="27"/>
        <v>Wed</v>
      </c>
      <c r="C43" s="48" t="str">
        <f t="shared" si="28"/>
        <v>Jun 26, 2024</v>
      </c>
      <c r="D43" s="49">
        <f t="shared" si="29"/>
        <v>0.54166666666666663</v>
      </c>
      <c r="E43" s="50" t="str">
        <f>BD33</f>
        <v>Ukraine</v>
      </c>
      <c r="F43" s="40"/>
      <c r="G43" s="41"/>
      <c r="H43" s="51" t="str">
        <f>BD32</f>
        <v>Belgium</v>
      </c>
      <c r="I43" s="172" t="str">
        <f>INDEX(T,105,lang)</f>
        <v>Stuttgart</v>
      </c>
      <c r="J43" s="172"/>
      <c r="K43" s="172"/>
      <c r="L43" s="73"/>
      <c r="M43" s="74"/>
      <c r="BJ43" s="65">
        <f>MIN(BJ38:BJ41)</f>
        <v>0</v>
      </c>
      <c r="BK43" s="65">
        <f>MIN(BK38:BK41)</f>
        <v>0</v>
      </c>
    </row>
    <row r="44" spans="1:152">
      <c r="A44" s="46">
        <v>35</v>
      </c>
      <c r="B44" s="47" t="str">
        <f t="shared" si="27"/>
        <v>Wed</v>
      </c>
      <c r="C44" s="48" t="str">
        <f t="shared" si="28"/>
        <v>Jun 26, 2024</v>
      </c>
      <c r="D44" s="49">
        <f t="shared" si="29"/>
        <v>0.66666666666666663</v>
      </c>
      <c r="E44" s="50" t="str">
        <f>BD41</f>
        <v>Georgia</v>
      </c>
      <c r="F44" s="40"/>
      <c r="G44" s="41"/>
      <c r="H44" s="51" t="str">
        <f>BD38</f>
        <v>Portugal</v>
      </c>
      <c r="I44" s="172" t="str">
        <f>INDEX(T,110,lang)</f>
        <v>Gelsenkirchen</v>
      </c>
      <c r="J44" s="172"/>
      <c r="K44" s="172"/>
      <c r="L44" s="73"/>
      <c r="M44" s="74"/>
      <c r="O44" s="166"/>
      <c r="P44" s="166"/>
      <c r="Q44" s="166"/>
      <c r="R44" s="166"/>
      <c r="S44" s="166"/>
      <c r="T44" s="166"/>
      <c r="U44" s="166"/>
      <c r="AW44" s="66" t="str">
        <f>IF(AX44&lt;5,"A","")</f>
        <v>A</v>
      </c>
      <c r="BB44" s="66" t="str">
        <f>IF(BC44&lt;5,"A","")</f>
        <v>A</v>
      </c>
      <c r="BC44" s="65">
        <f t="shared" ref="BC44:BC49" si="40">COUNTIF($BR$44:$BR$49,CONCATENATE("&gt;=",BR44))</f>
        <v>1</v>
      </c>
      <c r="BD44" s="66" t="str">
        <f>BS10</f>
        <v>3A</v>
      </c>
      <c r="BE44" s="65">
        <f>IFERROR(VLOOKUP($BD44,$BD$8:$BI$41,2,0),0)</f>
        <v>0</v>
      </c>
      <c r="BF44" s="65">
        <f t="shared" ref="BF44:BF49" si="41">IFERROR(VLOOKUP($BD44,$BD$8:$BI$41,3,0),0)</f>
        <v>0</v>
      </c>
      <c r="BG44" s="65">
        <f t="shared" ref="BG44:BG49" si="42">IFERROR(VLOOKUP($BD44,$BD$8:$BI$41,4,0),0)</f>
        <v>0</v>
      </c>
      <c r="BH44" s="65">
        <f t="shared" ref="BH44:BH49" si="43">IFERROR(VLOOKUP($BD44,$BD$8:$BI$41,5,0),0)</f>
        <v>0</v>
      </c>
      <c r="BI44" s="65">
        <f t="shared" ref="BI44:BI49" si="44">IFERROR(VLOOKUP($BD44,$BD$8:$BI$41,6,0),0)</f>
        <v>0</v>
      </c>
      <c r="BK44" s="65">
        <f t="shared" ref="BK44:BK49" si="45">BH44-BI44</f>
        <v>0</v>
      </c>
      <c r="BL44" s="65">
        <f>(BK44-BK51)/BK50</f>
        <v>0</v>
      </c>
      <c r="BM44" s="65">
        <f t="shared" ref="BM44:BM49" si="46">BE44*3+BF44</f>
        <v>0</v>
      </c>
      <c r="BP44" s="65">
        <f>MIN(BP8:BP41)</f>
        <v>7.375</v>
      </c>
      <c r="BQ44" s="65">
        <f>IFERROR(VLOOKUP(BD44,db_fifarank,2,0)/2000000,6)</f>
        <v>6</v>
      </c>
      <c r="BR44" s="66">
        <f>BM44/$BM$50*10000+BL44*1000+BH44/$BH$50*100+BE44/$BE$50*10+BQ44</f>
        <v>6</v>
      </c>
    </row>
    <row r="45" spans="1:152">
      <c r="A45" s="58">
        <v>36</v>
      </c>
      <c r="B45" s="59" t="str">
        <f t="shared" si="27"/>
        <v>Wed</v>
      </c>
      <c r="C45" s="60" t="str">
        <f t="shared" si="28"/>
        <v>Jun 26, 2024</v>
      </c>
      <c r="D45" s="61">
        <f t="shared" si="29"/>
        <v>0.66666666666666663</v>
      </c>
      <c r="E45" s="62" t="str">
        <f>BD40</f>
        <v>Czech Republic</v>
      </c>
      <c r="F45" s="52"/>
      <c r="G45" s="53"/>
      <c r="H45" s="63" t="str">
        <f>BD39</f>
        <v>Turkey</v>
      </c>
      <c r="I45" s="173" t="str">
        <f>INDEX(T,109,lang)</f>
        <v>Hamburg</v>
      </c>
      <c r="J45" s="173"/>
      <c r="K45" s="173"/>
      <c r="L45" s="75"/>
      <c r="M45" s="76"/>
      <c r="O45" s="167"/>
      <c r="P45" s="168"/>
      <c r="Q45" s="168"/>
      <c r="R45" s="168"/>
      <c r="S45" s="168"/>
      <c r="T45" s="168"/>
      <c r="U45" s="168"/>
      <c r="AW45" s="66" t="str">
        <f>IF(AX45&lt;5,"B","")</f>
        <v>B</v>
      </c>
      <c r="BB45" s="66" t="str">
        <f>IF(BC45&lt;5,"B","")</f>
        <v>B</v>
      </c>
      <c r="BC45" s="65">
        <f t="shared" si="40"/>
        <v>2</v>
      </c>
      <c r="BD45" s="66" t="str">
        <f>BS16</f>
        <v>3B</v>
      </c>
      <c r="BE45" s="65">
        <f>IFERROR(VLOOKUP(BD45,$BD$8:$BI$41,2,0),0)</f>
        <v>0</v>
      </c>
      <c r="BF45" s="65">
        <f t="shared" si="41"/>
        <v>0</v>
      </c>
      <c r="BG45" s="65">
        <f t="shared" si="42"/>
        <v>0</v>
      </c>
      <c r="BH45" s="65">
        <f t="shared" si="43"/>
        <v>0</v>
      </c>
      <c r="BI45" s="65">
        <f t="shared" si="44"/>
        <v>0</v>
      </c>
      <c r="BK45" s="65">
        <f t="shared" si="45"/>
        <v>0</v>
      </c>
      <c r="BL45" s="65">
        <f>(BK45-BK51)/BK50</f>
        <v>0</v>
      </c>
      <c r="BM45" s="65">
        <f t="shared" si="46"/>
        <v>0</v>
      </c>
      <c r="BP45" s="65">
        <f>MAX(BP8:BP41)</f>
        <v>104.303</v>
      </c>
      <c r="BQ45" s="65">
        <f>IFERROR(VLOOKUP(BD45,db_fifarank,2,0)/2000000,5)</f>
        <v>5</v>
      </c>
      <c r="BR45" s="66">
        <f>BM45/$BM$50*10000+BL45*1000+BH45/$BH$50*100+BE45/$BE$50*10+BQ45</f>
        <v>5</v>
      </c>
    </row>
    <row r="46" spans="1:152">
      <c r="O46" s="169"/>
      <c r="P46" s="168"/>
      <c r="Q46" s="168"/>
      <c r="R46" s="168"/>
      <c r="S46" s="168"/>
      <c r="T46" s="168"/>
      <c r="U46" s="168"/>
      <c r="W46" s="65">
        <f>DATE(2024,6,29)+TIME(5,0,0)+gmt_delta</f>
        <v>45472.541666666672</v>
      </c>
      <c r="X46" s="67" t="e">
        <f>IF(OR(#REF!="",#REF!=""),"",IF(#REF!&gt;#REF!,#REF!,IF(#REF!&lt;#REF!,#REF!,IF(OR(#REF!="",#REF!=""),"draw",IF(#REF!&gt;#REF!,#REF!,IF(#REF!&lt;#REF!,#REF!,IF(OR(#REF!="",#REF!=""),"draw",IF(#REF!&gt;#REF!,#REF!,IF(#REF!&lt;#REF!,#REF!,"draw")))))))))</f>
        <v>#REF!</v>
      </c>
      <c r="Y46" s="67" t="e">
        <f>IF(OR(X46="",X46="draw"),INDEX(T,86,lang),X46)</f>
        <v>#REF!</v>
      </c>
      <c r="Z46" s="66">
        <v>1</v>
      </c>
      <c r="AA46" s="65" t="str">
        <f t="shared" ref="AA46:AA53" si="47">INDEX(T,24+MONTH(W46),lang) &amp; " " &amp; DAY(W46) &amp; ", " &amp; YEAR(W46) &amp; "   " &amp; TEXT(HOUR(W46), "00") &amp; ":" &amp; TEXT(MINUTE(W46),"00")</f>
        <v>Jun 29, 2024   13:00</v>
      </c>
      <c r="AB46" s="65" t="str">
        <f>BS9</f>
        <v>2A</v>
      </c>
      <c r="AC46" s="65" t="str">
        <f>BS15</f>
        <v>2B</v>
      </c>
      <c r="AW46" s="66" t="str">
        <f>IF(AX46&lt;5,"C","")</f>
        <v>C</v>
      </c>
      <c r="BB46" s="66" t="str">
        <f>IF(BC46&lt;5,"C","")</f>
        <v>C</v>
      </c>
      <c r="BC46" s="65">
        <f t="shared" si="40"/>
        <v>3</v>
      </c>
      <c r="BD46" s="66" t="str">
        <f>BS22</f>
        <v>3C</v>
      </c>
      <c r="BE46" s="65">
        <f>IFERROR(VLOOKUP(BD46,$BD$8:$BI$41,2,0),0)</f>
        <v>0</v>
      </c>
      <c r="BF46" s="65">
        <f t="shared" si="41"/>
        <v>0</v>
      </c>
      <c r="BG46" s="65">
        <f t="shared" si="42"/>
        <v>0</v>
      </c>
      <c r="BH46" s="65">
        <f t="shared" si="43"/>
        <v>0</v>
      </c>
      <c r="BI46" s="65">
        <f t="shared" si="44"/>
        <v>0</v>
      </c>
      <c r="BK46" s="65">
        <f t="shared" si="45"/>
        <v>0</v>
      </c>
      <c r="BL46" s="65">
        <f>(BK46-BK51)/BK50</f>
        <v>0</v>
      </c>
      <c r="BM46" s="65">
        <f t="shared" si="46"/>
        <v>0</v>
      </c>
      <c r="BP46" s="65">
        <f>IF(BP45-BP44=0,0.1,BP45-BP44)</f>
        <v>96.927999999999997</v>
      </c>
      <c r="BQ46" s="65">
        <f>IFERROR(VLOOKUP(BD46,db_fifarank,2,0)/2000000,4)</f>
        <v>4</v>
      </c>
      <c r="BR46" s="66">
        <f t="shared" ref="BR46:BR49" si="48">BM46/$BM$50*10000+BL46*1000+BH46/$BH$50*100+BE46/$BE$50*10+BQ46</f>
        <v>4</v>
      </c>
    </row>
    <row r="47" spans="1:152">
      <c r="O47" s="169"/>
      <c r="P47" s="168"/>
      <c r="Q47" s="168"/>
      <c r="R47" s="168"/>
      <c r="S47" s="168"/>
      <c r="T47" s="168"/>
      <c r="U47" s="168"/>
      <c r="W47" s="65">
        <f>DATE(2024,6,29)+TIME(8,0,0)+gmt_delta</f>
        <v>45472.666666666672</v>
      </c>
      <c r="X47" s="67" t="e">
        <f>IF(OR(#REF!="",#REF!=""),"",IF(#REF!&gt;#REF!,#REF!,IF(#REF!&lt;#REF!,#REF!,IF(OR(#REF!="",#REF!=""),"draw",IF(#REF!&gt;#REF!,#REF!,IF(#REF!&lt;#REF!,#REF!,IF(OR(#REF!="",#REF!=""),"draw",IF(#REF!&gt;#REF!,#REF!,IF(#REF!&lt;#REF!,#REF!,"draw")))))))))</f>
        <v>#REF!</v>
      </c>
      <c r="Y47" s="67" t="e">
        <f>IF(OR(X47="",X47="draw"),INDEX(T,87,lang),X47)</f>
        <v>#REF!</v>
      </c>
      <c r="Z47" s="66">
        <v>2</v>
      </c>
      <c r="AA47" s="65" t="str">
        <f t="shared" si="47"/>
        <v>Jun 29, 2024   16:00</v>
      </c>
      <c r="AB47" s="65" t="str">
        <f>BS8</f>
        <v>1A</v>
      </c>
      <c r="AC47" s="65" t="str">
        <f>BS21</f>
        <v>2C</v>
      </c>
      <c r="AW47" s="66" t="str">
        <f>IF(AX47&lt;5,"D","")</f>
        <v>D</v>
      </c>
      <c r="BB47" s="66" t="str">
        <f>IF(BC47&lt;5,"D","")</f>
        <v>D</v>
      </c>
      <c r="BC47" s="65">
        <f t="shared" si="40"/>
        <v>4</v>
      </c>
      <c r="BD47" s="66" t="str">
        <f>BS28</f>
        <v>3D</v>
      </c>
      <c r="BE47" s="65">
        <f>IFERROR(VLOOKUP(BD47,$BD$8:$BI$41,2,0),0)</f>
        <v>0</v>
      </c>
      <c r="BF47" s="65">
        <f t="shared" si="41"/>
        <v>0</v>
      </c>
      <c r="BG47" s="65">
        <f t="shared" si="42"/>
        <v>0</v>
      </c>
      <c r="BH47" s="65">
        <f t="shared" si="43"/>
        <v>0</v>
      </c>
      <c r="BI47" s="65">
        <f t="shared" si="44"/>
        <v>0</v>
      </c>
      <c r="BK47" s="65">
        <f t="shared" si="45"/>
        <v>0</v>
      </c>
      <c r="BL47" s="65">
        <f>(BK47-BK51)/BK50</f>
        <v>0</v>
      </c>
      <c r="BM47" s="65">
        <f t="shared" si="46"/>
        <v>0</v>
      </c>
      <c r="BQ47" s="65">
        <f>IFERROR(VLOOKUP(BD47,db_fifarank,2,0)/2000000,3)</f>
        <v>3</v>
      </c>
      <c r="BR47" s="66">
        <f t="shared" si="48"/>
        <v>3</v>
      </c>
    </row>
    <row r="48" spans="1:152">
      <c r="O48" s="169"/>
      <c r="P48" s="168"/>
      <c r="Q48" s="168"/>
      <c r="R48" s="168"/>
      <c r="S48" s="168"/>
      <c r="T48" s="168"/>
      <c r="U48" s="168"/>
      <c r="W48" s="65">
        <f>DATE(2024,6,30)+TIME(5,0,0)+gmt_delta</f>
        <v>45473.541666666672</v>
      </c>
      <c r="X48" s="67" t="e">
        <f>IF(OR(#REF!="",#REF!=""),"",IF(#REF!&gt;#REF!,#REF!,IF(#REF!&lt;#REF!,#REF!,IF(OR(#REF!="",#REF!=""),"draw",IF(#REF!&gt;#REF!,#REF!,IF(#REF!&lt;#REF!,#REF!,IF(OR(#REF!="",#REF!=""),"draw",IF(#REF!&gt;#REF!,#REF!,IF(#REF!&lt;#REF!,#REF!,"draw")))))))))</f>
        <v>#REF!</v>
      </c>
      <c r="Y48" s="67" t="e">
        <f>IF(OR(X48="",X48="draw"),INDEX(T,88,lang),X48)</f>
        <v>#REF!</v>
      </c>
      <c r="Z48" s="66">
        <v>3</v>
      </c>
      <c r="AA48" s="65" t="str">
        <f t="shared" si="47"/>
        <v>Jun 30, 2024   13:00</v>
      </c>
      <c r="AB48" s="65" t="str">
        <f>BS20</f>
        <v>1C</v>
      </c>
      <c r="AC48" s="65" t="str">
        <f>VLOOKUP(lookup_3rd,tbl_lookup_3rd,3,0)</f>
        <v>3D</v>
      </c>
      <c r="AW48" s="66" t="str">
        <f>IF(AX48&lt;5,"E","")</f>
        <v>E</v>
      </c>
      <c r="BB48" s="66" t="str">
        <f>IF(BC48&lt;5,"E","")</f>
        <v/>
      </c>
      <c r="BC48" s="65">
        <f t="shared" si="40"/>
        <v>5</v>
      </c>
      <c r="BD48" s="66" t="str">
        <f>BS34</f>
        <v>3E</v>
      </c>
      <c r="BE48" s="65">
        <f>IFERROR(VLOOKUP(BD48,$BD$8:$BI$41,2,0),0)</f>
        <v>0</v>
      </c>
      <c r="BF48" s="65">
        <f t="shared" si="41"/>
        <v>0</v>
      </c>
      <c r="BG48" s="65">
        <f t="shared" si="42"/>
        <v>0</v>
      </c>
      <c r="BH48" s="65">
        <f t="shared" si="43"/>
        <v>0</v>
      </c>
      <c r="BI48" s="65">
        <f t="shared" si="44"/>
        <v>0</v>
      </c>
      <c r="BK48" s="65">
        <f t="shared" si="45"/>
        <v>0</v>
      </c>
      <c r="BL48" s="65">
        <f>(BK48-BK51)/BK50</f>
        <v>0</v>
      </c>
      <c r="BM48" s="65">
        <f t="shared" si="46"/>
        <v>0</v>
      </c>
      <c r="BQ48" s="65">
        <f>IFERROR(VLOOKUP(BD48,db_fifarank,2,0)/2000000,2)</f>
        <v>2</v>
      </c>
      <c r="BR48" s="66">
        <f t="shared" si="48"/>
        <v>2</v>
      </c>
    </row>
    <row r="49" spans="4:70">
      <c r="O49" s="169"/>
      <c r="P49" s="168"/>
      <c r="Q49" s="168"/>
      <c r="R49" s="168"/>
      <c r="S49" s="168"/>
      <c r="T49" s="168"/>
      <c r="U49" s="168"/>
      <c r="W49" s="65">
        <f>DATE(2024,6,30)+TIME(8,0,0)+gmt_delta</f>
        <v>45473.666666666672</v>
      </c>
      <c r="X49" s="67" t="e">
        <f>IF(OR(#REF!="",#REF!=""),"",IF(#REF!&gt;#REF!,#REF!,IF(#REF!&lt;#REF!,#REF!,IF(OR(#REF!="",#REF!=""),"draw",IF(#REF!&gt;#REF!,#REF!,IF(#REF!&lt;#REF!,#REF!,IF(OR(#REF!="",#REF!=""),"draw",IF(#REF!&gt;#REF!,#REF!,IF(#REF!&lt;#REF!,#REF!,"draw")))))))))</f>
        <v>#REF!</v>
      </c>
      <c r="Y49" s="67" t="e">
        <f>IF(OR(X49="",X49="draw"),INDEX(T,89,lang),X49)</f>
        <v>#REF!</v>
      </c>
      <c r="Z49" s="66">
        <v>4</v>
      </c>
      <c r="AA49" s="65" t="str">
        <f t="shared" si="47"/>
        <v>Jun 30, 2024   16:00</v>
      </c>
      <c r="AB49" s="65" t="str">
        <f>BS14</f>
        <v>1B</v>
      </c>
      <c r="AC49" s="65" t="str">
        <f>VLOOKUP(lookup_3rd,tbl_lookup_3rd,2,0)</f>
        <v>3A</v>
      </c>
      <c r="AW49" s="66" t="str">
        <f>IF(AX49&lt;5,"F","")</f>
        <v>F</v>
      </c>
      <c r="BB49" s="66" t="str">
        <f>IF(BC49&lt;5,"F","")</f>
        <v/>
      </c>
      <c r="BC49" s="65">
        <f t="shared" si="40"/>
        <v>6</v>
      </c>
      <c r="BD49" s="66" t="str">
        <f>BS40</f>
        <v>3F</v>
      </c>
      <c r="BE49" s="65">
        <f>IFERROR(VLOOKUP(BD49,$BD$8:$BI$41,2,0),0)</f>
        <v>0</v>
      </c>
      <c r="BF49" s="65">
        <f t="shared" si="41"/>
        <v>0</v>
      </c>
      <c r="BG49" s="65">
        <f t="shared" si="42"/>
        <v>0</v>
      </c>
      <c r="BH49" s="65">
        <f t="shared" si="43"/>
        <v>0</v>
      </c>
      <c r="BI49" s="65">
        <f t="shared" si="44"/>
        <v>0</v>
      </c>
      <c r="BK49" s="65">
        <f t="shared" si="45"/>
        <v>0</v>
      </c>
      <c r="BL49" s="65">
        <f>(BK49-BK51)/BK50</f>
        <v>0</v>
      </c>
      <c r="BM49" s="65">
        <f t="shared" si="46"/>
        <v>0</v>
      </c>
      <c r="BQ49" s="65">
        <f>IFERROR(VLOOKUP(BD49,db_fifarank,2,0)/2000000,1)</f>
        <v>1</v>
      </c>
      <c r="BR49" s="66">
        <f t="shared" si="48"/>
        <v>1</v>
      </c>
    </row>
    <row r="50" spans="4:70">
      <c r="O50" s="169"/>
      <c r="P50" s="168"/>
      <c r="Q50" s="168"/>
      <c r="R50" s="168"/>
      <c r="S50" s="168"/>
      <c r="T50" s="168"/>
      <c r="U50" s="168"/>
      <c r="W50" s="65">
        <f>DATE(2024,7,1)+TIME(5,0,0)+gmt_delta</f>
        <v>45474.541666666672</v>
      </c>
      <c r="X50" s="67" t="e">
        <f>IF(OR(#REF!="",#REF!=""),"",IF(#REF!&gt;#REF!,#REF!,IF(#REF!&lt;#REF!,#REF!,IF(OR(#REF!="",#REF!=""),"draw",IF(#REF!&gt;#REF!,#REF!,IF(#REF!&lt;#REF!,#REF!,IF(OR(#REF!="",#REF!=""),"draw",IF(#REF!&gt;#REF!,#REF!,IF(#REF!&lt;#REF!,#REF!,"draw")))))))))</f>
        <v>#REF!</v>
      </c>
      <c r="Y50" s="67" t="e">
        <f>IF(OR(X50="",X50="draw"),INDEX(T,90,lang),X50)</f>
        <v>#REF!</v>
      </c>
      <c r="Z50" s="66">
        <v>5</v>
      </c>
      <c r="AA50" s="65" t="str">
        <f t="shared" si="47"/>
        <v>Jul 1, 2024   13:00</v>
      </c>
      <c r="AB50" s="65" t="str">
        <f>BS27</f>
        <v>2D</v>
      </c>
      <c r="AC50" s="65" t="str">
        <f>BS33</f>
        <v>2E</v>
      </c>
      <c r="AW50" s="66" t="str">
        <f>AW44&amp;AW45&amp;AW46&amp;AW47&amp;AW48&amp;AW49</f>
        <v>ABCDEF</v>
      </c>
      <c r="BB50" s="66" t="str">
        <f>BB44&amp;BB45&amp;BB46&amp;BB47&amp;BB48&amp;BB49</f>
        <v>ABCD</v>
      </c>
      <c r="BE50" s="65">
        <f>MAX(BE44:BE49)-MIN(BE44:BE49)+1</f>
        <v>1</v>
      </c>
      <c r="BF50" s="65">
        <f>MAX(BF44:BF49)-MIN(BF44:BF49)+1</f>
        <v>1</v>
      </c>
      <c r="BG50" s="65">
        <f>MAX(BG44:BG49)-MIN(BG44:BG49)+1</f>
        <v>1</v>
      </c>
      <c r="BH50" s="65">
        <f>MAX(BH44:BH49)-MIN(BH44:BH49)+1</f>
        <v>1</v>
      </c>
      <c r="BI50" s="65">
        <f>MAX(BI44:BI49)-MIN(BI44:BI49)+1</f>
        <v>1</v>
      </c>
      <c r="BK50" s="65">
        <f>MAX(BK44:BK49)-BK51+1</f>
        <v>1</v>
      </c>
      <c r="BM50" s="65">
        <f>MAX(BM44:BM49)-MIN(BM44:BM49)+1</f>
        <v>1</v>
      </c>
      <c r="BQ50" s="65"/>
    </row>
    <row r="51" spans="4:70">
      <c r="W51" s="65">
        <f>DATE(2024,7,1)+TIME(8,0,0)+gmt_delta</f>
        <v>45474.666666666672</v>
      </c>
      <c r="X51" s="67" t="e">
        <f>IF(OR(#REF!="",#REF!=""),"",IF(#REF!&gt;#REF!,#REF!,IF(#REF!&lt;#REF!,#REF!,IF(OR(#REF!="",#REF!=""),"draw",IF(#REF!&gt;#REF!,#REF!,IF(#REF!&lt;#REF!,#REF!,IF(OR(#REF!="",#REF!=""),"draw",IF(#REF!&gt;#REF!,#REF!,IF(#REF!&lt;#REF!,#REF!,"draw")))))))))</f>
        <v>#REF!</v>
      </c>
      <c r="Y51" s="67" t="e">
        <f>IF(OR(X51="",X51="draw"),INDEX(T,91,lang),X51)</f>
        <v>#REF!</v>
      </c>
      <c r="Z51" s="66">
        <v>6</v>
      </c>
      <c r="AA51" s="65" t="str">
        <f t="shared" si="47"/>
        <v>Jul 1, 2024   16:00</v>
      </c>
      <c r="AB51" s="65" t="str">
        <f>BS38</f>
        <v>1F</v>
      </c>
      <c r="AC51" s="65" t="str">
        <f>VLOOKUP(lookup_3rd,tbl_lookup_3rd,5,0)</f>
        <v>3C</v>
      </c>
      <c r="BK51" s="65">
        <f>MIN(BK44:BK49)</f>
        <v>0</v>
      </c>
      <c r="BQ51" s="65"/>
    </row>
    <row r="52" spans="4:70">
      <c r="D52" s="20"/>
      <c r="E52" s="20"/>
      <c r="F52" s="20"/>
      <c r="G52" s="20"/>
      <c r="H52" s="20"/>
      <c r="I52" s="20"/>
      <c r="J52" s="20"/>
      <c r="K52" s="20"/>
      <c r="L52" s="20"/>
      <c r="M52" s="20"/>
      <c r="N52" s="20"/>
      <c r="O52" s="174"/>
      <c r="P52" s="174"/>
      <c r="Q52" s="174"/>
      <c r="R52" s="174"/>
      <c r="S52" s="174"/>
      <c r="T52" s="174"/>
      <c r="U52" s="174"/>
      <c r="W52" s="65">
        <f>DATE(2024,7,2)+TIME(8,0,0)+gmt_delta</f>
        <v>45475.666666666672</v>
      </c>
      <c r="X52" s="67" t="e">
        <f>IF(OR(#REF!="",#REF!=""),"",IF(#REF!&gt;#REF!,#REF!,IF(#REF!&lt;#REF!,#REF!,IF(OR(#REF!="",#REF!=""),"draw",IF(#REF!&gt;#REF!,#REF!,IF(#REF!&lt;#REF!,#REF!,IF(OR(#REF!="",#REF!=""),"draw",IF(#REF!&gt;#REF!,#REF!,IF(#REF!&lt;#REF!,#REF!,"draw")))))))))</f>
        <v>#REF!</v>
      </c>
      <c r="Y52" s="67" t="e">
        <f>IF(OR(X52="",X52="draw"),INDEX(T,92,lang),X52)</f>
        <v>#REF!</v>
      </c>
      <c r="Z52" s="66">
        <v>7</v>
      </c>
      <c r="AA52" s="65" t="str">
        <f t="shared" si="47"/>
        <v>Jul 2, 2024   16:00</v>
      </c>
      <c r="AB52" s="65" t="str">
        <f>BS26</f>
        <v>1D</v>
      </c>
      <c r="AC52" s="65" t="str">
        <f>BS39</f>
        <v>2F</v>
      </c>
      <c r="BQ52" s="65"/>
    </row>
    <row r="53" spans="4:70">
      <c r="D53" s="20"/>
      <c r="E53" s="20"/>
      <c r="F53" s="20"/>
      <c r="G53" s="20"/>
      <c r="H53" s="20"/>
      <c r="I53" s="20"/>
      <c r="J53" s="20"/>
      <c r="K53" s="20"/>
      <c r="L53" s="20"/>
      <c r="M53" s="20"/>
      <c r="N53" s="20"/>
      <c r="O53" s="174"/>
      <c r="P53" s="174"/>
      <c r="Q53" s="174"/>
      <c r="R53" s="174"/>
      <c r="S53" s="174"/>
      <c r="T53" s="174"/>
      <c r="U53" s="174"/>
      <c r="W53" s="65">
        <f>DATE(2024,7,2)+TIME(5,0,0)+gmt_delta</f>
        <v>45475.541666666672</v>
      </c>
      <c r="X53" s="67" t="e">
        <f>IF(OR(#REF!="",#REF!=""),"",IF(#REF!&gt;#REF!,#REF!,IF(#REF!&lt;#REF!,#REF!,IF(OR(#REF!="",#REF!=""),"draw",IF(#REF!&gt;#REF!,#REF!,IF(#REF!&lt;#REF!,#REF!,IF(OR(#REF!="",#REF!=""),"draw",IF(#REF!&gt;#REF!,#REF!,IF(#REF!&lt;#REF!,#REF!,"draw")))))))))</f>
        <v>#REF!</v>
      </c>
      <c r="Y53" s="67" t="e">
        <f>IF(OR(X53="",X53="draw"),INDEX(T,93,lang),X53)</f>
        <v>#REF!</v>
      </c>
      <c r="Z53" s="66">
        <v>8</v>
      </c>
      <c r="AA53" s="65" t="str">
        <f t="shared" si="47"/>
        <v>Jul 2, 2024   13:00</v>
      </c>
      <c r="AB53" s="65" t="str">
        <f>BS32</f>
        <v>1E</v>
      </c>
      <c r="AC53" s="65" t="str">
        <f>VLOOKUP(lookup_3rd,tbl_lookup_3rd,4,0)</f>
        <v>3B</v>
      </c>
      <c r="BD53" s="69" t="s">
        <v>2519</v>
      </c>
      <c r="BE53" s="69" t="str">
        <f>$BD$44</f>
        <v>3A</v>
      </c>
      <c r="BF53" s="69" t="str">
        <f>$BD$47</f>
        <v>3D</v>
      </c>
      <c r="BG53" s="69" t="str">
        <f>$BD$45</f>
        <v>3B</v>
      </c>
      <c r="BH53" s="69" t="str">
        <f>$BD$46</f>
        <v>3C</v>
      </c>
      <c r="BI53" s="69" t="s">
        <v>2551</v>
      </c>
      <c r="BJ53" s="69" t="s">
        <v>357</v>
      </c>
      <c r="BK53" s="69" t="s">
        <v>367</v>
      </c>
      <c r="BL53" s="69" t="s">
        <v>612</v>
      </c>
      <c r="BQ53" s="65"/>
    </row>
    <row r="54" spans="4:70">
      <c r="BD54" s="69" t="s">
        <v>2524</v>
      </c>
      <c r="BE54" s="69" t="str">
        <f>$BD$44</f>
        <v>3A</v>
      </c>
      <c r="BF54" s="69" t="str">
        <f>$BD$48</f>
        <v>3E</v>
      </c>
      <c r="BG54" s="69" t="str">
        <f>$BD$45</f>
        <v>3B</v>
      </c>
      <c r="BH54" s="69" t="str">
        <f>$BD$46</f>
        <v>3C</v>
      </c>
      <c r="BI54" s="69" t="s">
        <v>2551</v>
      </c>
      <c r="BJ54" s="69" t="s">
        <v>349</v>
      </c>
      <c r="BK54" s="69" t="s">
        <v>367</v>
      </c>
      <c r="BL54" s="69" t="s">
        <v>612</v>
      </c>
    </row>
    <row r="55" spans="4:70">
      <c r="BD55" s="69" t="s">
        <v>2526</v>
      </c>
      <c r="BE55" s="69" t="str">
        <f>$BD$44</f>
        <v>3A</v>
      </c>
      <c r="BF55" s="69" t="str">
        <f>$BD$49</f>
        <v>3F</v>
      </c>
      <c r="BG55" s="69" t="str">
        <f>$BD$45</f>
        <v>3B</v>
      </c>
      <c r="BH55" s="69" t="str">
        <f>$BD$46</f>
        <v>3C</v>
      </c>
      <c r="BI55" s="69" t="s">
        <v>2551</v>
      </c>
      <c r="BJ55" s="69" t="s">
        <v>321</v>
      </c>
      <c r="BK55" s="69" t="s">
        <v>367</v>
      </c>
      <c r="BL55" s="69" t="s">
        <v>612</v>
      </c>
    </row>
    <row r="56" spans="4:70" ht="12.75" customHeight="1">
      <c r="N56" s="27"/>
      <c r="BD56" s="69" t="s">
        <v>2528</v>
      </c>
      <c r="BE56" s="69" t="str">
        <f>$BD$47</f>
        <v>3D</v>
      </c>
      <c r="BF56" s="69" t="str">
        <f>$BD$48</f>
        <v>3E</v>
      </c>
      <c r="BG56" s="69" t="str">
        <f>$BD$44</f>
        <v>3A</v>
      </c>
      <c r="BH56" s="69" t="str">
        <f>$BD$45</f>
        <v>3B</v>
      </c>
      <c r="BI56" s="69" t="s">
        <v>357</v>
      </c>
      <c r="BJ56" s="69" t="s">
        <v>349</v>
      </c>
      <c r="BK56" s="69" t="s">
        <v>2551</v>
      </c>
      <c r="BL56" s="69" t="s">
        <v>367</v>
      </c>
    </row>
    <row r="57" spans="4:70" ht="12.75" customHeight="1">
      <c r="N57" s="27"/>
      <c r="W57" s="65">
        <f>DATE(2024,7,5)+TIME(8,0,0)+gmt_delta</f>
        <v>45478.666666666672</v>
      </c>
      <c r="X57" s="67" t="e">
        <f>IF(OR(#REF!="",#REF!=""),"",IF(#REF!&gt;#REF!,#REF!,IF(#REF!&lt;#REF!,#REF!,IF(OR(#REF!="",#REF!=""),"draw",IF(#REF!&gt;#REF!,#REF!,IF(#REF!&lt;#REF!,#REF!,IF(OR(#REF!="",#REF!=""),"draw",IF(#REF!&gt;#REF!,#REF!,IF(#REF!&lt;#REF!,#REF!,"draw")))))))))</f>
        <v>#REF!</v>
      </c>
      <c r="Y57" s="67" t="e">
        <f>IF(OR(X57="",X57="draw"),INDEX(T,94,lang),X57)</f>
        <v>#REF!</v>
      </c>
      <c r="BD57" s="69" t="s">
        <v>2529</v>
      </c>
      <c r="BE57" s="69" t="str">
        <f>$BD$47</f>
        <v>3D</v>
      </c>
      <c r="BF57" s="69" t="str">
        <f>$BD$49</f>
        <v>3F</v>
      </c>
      <c r="BG57" s="69" t="str">
        <f>$BD$44</f>
        <v>3A</v>
      </c>
      <c r="BH57" s="69" t="str">
        <f>$BD$45</f>
        <v>3B</v>
      </c>
      <c r="BI57" s="69" t="s">
        <v>357</v>
      </c>
      <c r="BJ57" s="69" t="s">
        <v>321</v>
      </c>
      <c r="BK57" s="69" t="s">
        <v>2551</v>
      </c>
      <c r="BL57" s="69" t="s">
        <v>367</v>
      </c>
    </row>
    <row r="58" spans="4:70">
      <c r="W58" s="65">
        <f>DATE(2024,7,5)+TIME(5,0,0)+gmt_delta</f>
        <v>45478.541666666672</v>
      </c>
      <c r="X58" s="67" t="e">
        <f>IF(OR(#REF!="",#REF!=""),"",IF(#REF!&gt;#REF!,#REF!,IF(#REF!&lt;#REF!,#REF!,IF(OR(#REF!="",#REF!=""),"draw",IF(#REF!&gt;#REF!,#REF!,IF(#REF!&lt;#REF!,#REF!,IF(OR(#REF!="",#REF!=""),"draw",IF(#REF!&gt;#REF!,#REF!,IF(#REF!&lt;#REF!,#REF!,"draw")))))))))</f>
        <v>#REF!</v>
      </c>
      <c r="Y58" s="67" t="e">
        <f>IF(OR(X58="",X58="draw"),INDEX(T,95,lang),X58)</f>
        <v>#REF!</v>
      </c>
      <c r="BD58" s="69" t="s">
        <v>2530</v>
      </c>
      <c r="BE58" s="69" t="str">
        <f>$BD$48</f>
        <v>3E</v>
      </c>
      <c r="BF58" s="69" t="str">
        <f>$BD$49</f>
        <v>3F</v>
      </c>
      <c r="BG58" s="69" t="str">
        <f>$BD$45</f>
        <v>3B</v>
      </c>
      <c r="BH58" s="69" t="str">
        <f>$BD$44</f>
        <v>3A</v>
      </c>
      <c r="BI58" s="69" t="s">
        <v>349</v>
      </c>
      <c r="BJ58" s="69" t="s">
        <v>321</v>
      </c>
      <c r="BK58" s="69" t="s">
        <v>367</v>
      </c>
      <c r="BL58" s="69" t="s">
        <v>2551</v>
      </c>
    </row>
    <row r="59" spans="4:70" ht="12.75" customHeight="1">
      <c r="W59" s="65">
        <f>DATE(2024,7,6)+TIME(5,0,0)+gmt_delta</f>
        <v>45479.541666666672</v>
      </c>
      <c r="X59" s="67" t="e">
        <f>IF(OR(#REF!="",#REF!=""),"",IF(#REF!&gt;#REF!,#REF!,IF(#REF!&lt;#REF!,#REF!,IF(OR(#REF!="",#REF!=""),"draw",IF(#REF!&gt;#REF!,#REF!,IF(#REF!&lt;#REF!,#REF!,IF(OR(#REF!="",#REF!=""),"draw",IF(#REF!&gt;#REF!,#REF!,IF(#REF!&lt;#REF!,#REF!,"draw")))))))))</f>
        <v>#REF!</v>
      </c>
      <c r="Y59" s="67" t="e">
        <f>IF(OR(X59="",X59="draw"),INDEX(T,96,lang),X59)</f>
        <v>#REF!</v>
      </c>
      <c r="BD59" s="69" t="s">
        <v>2531</v>
      </c>
      <c r="BE59" s="69" t="str">
        <f>$BD$48</f>
        <v>3E</v>
      </c>
      <c r="BF59" s="69" t="str">
        <f>$BD$47</f>
        <v>3D</v>
      </c>
      <c r="BG59" s="69" t="str">
        <f>$BD$46</f>
        <v>3C</v>
      </c>
      <c r="BH59" s="69" t="str">
        <f>$BD$44</f>
        <v>3A</v>
      </c>
      <c r="BI59" s="69" t="s">
        <v>349</v>
      </c>
      <c r="BJ59" s="69" t="s">
        <v>357</v>
      </c>
      <c r="BK59" s="69" t="s">
        <v>612</v>
      </c>
      <c r="BL59" s="69" t="s">
        <v>2551</v>
      </c>
    </row>
    <row r="60" spans="4:70" ht="12.75" customHeight="1">
      <c r="W60" s="65">
        <f>DATE(2024,7,6)+TIME(8,0,0)+gmt_delta</f>
        <v>45479.666666666672</v>
      </c>
      <c r="X60" s="67" t="e">
        <f>IF(OR(#REF!="",#REF!=""),"",IF(#REF!&gt;#REF!,#REF!,IF(#REF!&lt;#REF!,#REF!,IF(OR(#REF!="",#REF!=""),"draw",IF(#REF!&gt;#REF!,#REF!,IF(#REF!&lt;#REF!,#REF!,IF(OR(#REF!="",#REF!=""),"draw",IF(#REF!&gt;#REF!,#REF!,IF(#REF!&lt;#REF!,#REF!,"draw")))))))))</f>
        <v>#REF!</v>
      </c>
      <c r="Y60" s="67" t="e">
        <f>IF(OR(X60="",X60="draw"),INDEX(T,97,lang),X60)</f>
        <v>#REF!</v>
      </c>
      <c r="BD60" s="69" t="s">
        <v>2532</v>
      </c>
      <c r="BE60" s="69" t="str">
        <f>$BD$49</f>
        <v>3F</v>
      </c>
      <c r="BF60" s="69" t="str">
        <f>$BD$47</f>
        <v>3D</v>
      </c>
      <c r="BG60" s="69" t="str">
        <f>$BD$46</f>
        <v>3C</v>
      </c>
      <c r="BH60" s="69" t="str">
        <f>$BD$44</f>
        <v>3A</v>
      </c>
      <c r="BI60" s="69" t="s">
        <v>321</v>
      </c>
      <c r="BJ60" s="69" t="s">
        <v>357</v>
      </c>
      <c r="BK60" s="69" t="s">
        <v>612</v>
      </c>
      <c r="BL60" s="69" t="s">
        <v>2551</v>
      </c>
    </row>
    <row r="61" spans="4:70" ht="12.75" customHeight="1">
      <c r="BD61" s="69" t="s">
        <v>2533</v>
      </c>
      <c r="BE61" s="69" t="str">
        <f>$BD$48</f>
        <v>3E</v>
      </c>
      <c r="BF61" s="69" t="str">
        <f>$BD$49</f>
        <v>3F</v>
      </c>
      <c r="BG61" s="69" t="str">
        <f>$BD$46</f>
        <v>3C</v>
      </c>
      <c r="BH61" s="69" t="str">
        <f>$BD$44</f>
        <v>3A</v>
      </c>
      <c r="BI61" s="69" t="s">
        <v>349</v>
      </c>
      <c r="BJ61" s="69" t="s">
        <v>321</v>
      </c>
      <c r="BK61" s="69" t="s">
        <v>612</v>
      </c>
      <c r="BL61" s="69" t="s">
        <v>2551</v>
      </c>
    </row>
    <row r="62" spans="4:70" ht="12.75" customHeight="1">
      <c r="BD62" s="69" t="s">
        <v>2534</v>
      </c>
      <c r="BE62" s="69" t="str">
        <f>$BD$48</f>
        <v>3E</v>
      </c>
      <c r="BF62" s="69" t="str">
        <f>$BD$49</f>
        <v>3F</v>
      </c>
      <c r="BG62" s="69" t="str">
        <f>$BD$47</f>
        <v>3D</v>
      </c>
      <c r="BH62" s="69" t="str">
        <f>$BD$44</f>
        <v>3A</v>
      </c>
      <c r="BI62" s="69" t="s">
        <v>349</v>
      </c>
      <c r="BJ62" s="69" t="s">
        <v>321</v>
      </c>
      <c r="BK62" s="69" t="s">
        <v>357</v>
      </c>
      <c r="BL62" s="69" t="s">
        <v>2551</v>
      </c>
    </row>
    <row r="63" spans="4:70" ht="12.75" customHeight="1">
      <c r="BD63" s="69" t="s">
        <v>2535</v>
      </c>
      <c r="BE63" s="69" t="str">
        <f>$BD$48</f>
        <v>3E</v>
      </c>
      <c r="BF63" s="69" t="str">
        <f>$BD$47</f>
        <v>3D</v>
      </c>
      <c r="BG63" s="69" t="str">
        <f>$BD$45</f>
        <v>3B</v>
      </c>
      <c r="BH63" s="69" t="str">
        <f>$BD$46</f>
        <v>3C</v>
      </c>
      <c r="BI63" s="69" t="s">
        <v>349</v>
      </c>
      <c r="BJ63" s="69" t="s">
        <v>357</v>
      </c>
      <c r="BK63" s="69" t="s">
        <v>367</v>
      </c>
      <c r="BL63" s="69" t="s">
        <v>612</v>
      </c>
    </row>
    <row r="64" spans="4:70" ht="12.75" customHeight="1">
      <c r="W64" s="65">
        <f>DATE(2024,7,9)+TIME(8,0,0)+gmt_delta</f>
        <v>45482.666666666672</v>
      </c>
      <c r="X64" s="67" t="e">
        <f>IF(OR(#REF!="",#REF!=""),"",IF(#REF!&gt;#REF!,#REF!,IF(#REF!&lt;#REF!,#REF!,IF(OR(#REF!="",#REF!=""),"draw",IF(#REF!&gt;#REF!,#REF!,IF(#REF!&lt;#REF!,#REF!,IF(OR(#REF!="",#REF!=""),"draw",IF(#REF!&gt;#REF!,#REF!,IF(#REF!&lt;#REF!,#REF!,"draw")))))))))</f>
        <v>#REF!</v>
      </c>
      <c r="Y64" s="67" t="e">
        <f>IF(OR(X64="",X64="draw"),INDEX(T,98,lang),X64)</f>
        <v>#REF!</v>
      </c>
      <c r="Z64" s="67" t="e">
        <f>IF(OR(#REF!="",#REF!=""),"",IF(#REF!&lt;#REF!,#REF!,IF(#REF!&gt;#REF!,#REF!,IF(OR(#REF!="",#REF!=""),"draw",IF(#REF!&lt;#REF!,#REF!,IF(#REF!&gt;#REF!,#REF!,"draw"))))))</f>
        <v>#REF!</v>
      </c>
      <c r="BD64" s="69" t="s">
        <v>2536</v>
      </c>
      <c r="BE64" s="69" t="str">
        <f>$BD$49</f>
        <v>3F</v>
      </c>
      <c r="BF64" s="69" t="str">
        <f>$BD$47</f>
        <v>3D</v>
      </c>
      <c r="BG64" s="69" t="str">
        <f>$BD$46</f>
        <v>3C</v>
      </c>
      <c r="BH64" s="69" t="str">
        <f>$BD$45</f>
        <v>3B</v>
      </c>
      <c r="BI64" s="69" t="s">
        <v>321</v>
      </c>
      <c r="BJ64" s="69" t="s">
        <v>357</v>
      </c>
      <c r="BK64" s="69" t="s">
        <v>612</v>
      </c>
      <c r="BL64" s="69" t="s">
        <v>367</v>
      </c>
    </row>
    <row r="65" spans="23:64" ht="12.75" customHeight="1">
      <c r="W65" s="65">
        <f>DATE(2024,7,10)+TIME(8,0,0)+gmt_delta</f>
        <v>45483.666666666672</v>
      </c>
      <c r="X65" s="67" t="e">
        <f>IF(OR(#REF!="",#REF!=""),"",IF(#REF!&gt;#REF!,#REF!,IF(#REF!&lt;#REF!,#REF!,IF(OR(#REF!="",#REF!=""),"draw",IF(#REF!&gt;#REF!,#REF!,IF(#REF!&lt;#REF!,#REF!,IF(OR(#REF!="",#REF!=""),"draw",IF(#REF!&gt;#REF!,#REF!,IF(#REF!&lt;#REF!,#REF!,"draw")))))))))</f>
        <v>#REF!</v>
      </c>
      <c r="Y65" s="67" t="e">
        <f>IF(OR(X65="",X65="draw"),INDEX(T,99,lang),X65)</f>
        <v>#REF!</v>
      </c>
      <c r="Z65" s="67" t="e">
        <f>IF(OR(#REF!="",#REF!=""),"",IF(#REF!&lt;#REF!,#REF!,IF(#REF!&gt;#REF!,#REF!,IF(OR(#REF!="",#REF!=""),"draw",IF(#REF!&lt;#REF!,#REF!,IF(#REF!&gt;#REF!,#REF!,"draw"))))))</f>
        <v>#REF!</v>
      </c>
      <c r="BD65" s="69" t="s">
        <v>2537</v>
      </c>
      <c r="BE65" s="69" t="str">
        <f>$BD$49</f>
        <v>3F</v>
      </c>
      <c r="BF65" s="69" t="str">
        <f>$BD$48</f>
        <v>3E</v>
      </c>
      <c r="BG65" s="69" t="str">
        <f>$BD$46</f>
        <v>3C</v>
      </c>
      <c r="BH65" s="69" t="str">
        <f>$BD$45</f>
        <v>3B</v>
      </c>
      <c r="BI65" s="69" t="s">
        <v>321</v>
      </c>
      <c r="BJ65" s="69" t="s">
        <v>349</v>
      </c>
      <c r="BK65" s="69" t="s">
        <v>612</v>
      </c>
      <c r="BL65" s="69" t="s">
        <v>367</v>
      </c>
    </row>
    <row r="66" spans="23:64" ht="12.75" customHeight="1">
      <c r="BD66" s="69" t="s">
        <v>2538</v>
      </c>
      <c r="BE66" s="69" t="str">
        <f>$BD$49</f>
        <v>3F</v>
      </c>
      <c r="BF66" s="69" t="str">
        <f>$BD$48</f>
        <v>3E</v>
      </c>
      <c r="BG66" s="69" t="str">
        <f>$BD$47</f>
        <v>3D</v>
      </c>
      <c r="BH66" s="69" t="str">
        <f>$BD$45</f>
        <v>3B</v>
      </c>
      <c r="BI66" s="69" t="s">
        <v>321</v>
      </c>
      <c r="BJ66" s="69" t="s">
        <v>349</v>
      </c>
      <c r="BK66" s="69" t="s">
        <v>357</v>
      </c>
      <c r="BL66" s="69" t="s">
        <v>367</v>
      </c>
    </row>
    <row r="67" spans="23:64" ht="12.75" customHeight="1">
      <c r="BD67" s="69" t="s">
        <v>2539</v>
      </c>
      <c r="BE67" s="69" t="str">
        <f>$BD$49</f>
        <v>3F</v>
      </c>
      <c r="BF67" s="69" t="str">
        <f>$BD$48</f>
        <v>3E</v>
      </c>
      <c r="BG67" s="69" t="str">
        <f>$BD$47</f>
        <v>3D</v>
      </c>
      <c r="BH67" s="69" t="str">
        <f>$BD$46</f>
        <v>3C</v>
      </c>
      <c r="BI67" s="69" t="s">
        <v>321</v>
      </c>
      <c r="BJ67" s="69" t="s">
        <v>349</v>
      </c>
      <c r="BK67" s="69" t="s">
        <v>357</v>
      </c>
      <c r="BL67" s="69" t="s">
        <v>612</v>
      </c>
    </row>
    <row r="68" spans="23:64" ht="12.75" customHeight="1"/>
    <row r="69" spans="23:64" ht="12.75" customHeight="1">
      <c r="W69" s="65">
        <f>DATE(2024,7,12)+TIME(9,0,0)+gmt_delta</f>
        <v>45485.708333333336</v>
      </c>
      <c r="Y69" s="67" t="e">
        <f>IF(OR(#REF!="",#REF!=""),"",IF(#REF!&gt;#REF!,#REF!,IF(#REF!&lt;#REF!,#REF!,IF(OR(#REF!="",#REF!=""),"",IF(#REF!&gt;#REF!,#REF!,IF(#REF!&lt;#REF!,#REF!,""))))))</f>
        <v>#REF!</v>
      </c>
    </row>
    <row r="70" spans="23:64" ht="12.75" customHeight="1"/>
    <row r="71" spans="23:64" ht="12.75" customHeight="1"/>
    <row r="72" spans="23:64" ht="12.75" customHeight="1"/>
    <row r="73" spans="23:64" ht="12.75" customHeight="1">
      <c r="W73" s="65">
        <f>DATE(2024,7,14)+TIME(8,0,0)+gmt_delta</f>
        <v>45487.666666666672</v>
      </c>
      <c r="X73" s="67" t="e">
        <f>IF(OR(#REF!="",#REF!=""),"",IF(#REF!&gt;#REF!,#REF!,IF(#REF!&lt;#REF!,#REF!,IF(OR(#REF!="",#REF!=""),"",IF(#REF!&gt;#REF!,#REF!,IF(#REF!&lt;#REF!,#REF!,IF(OR(#REF!="",#REF!=""),"",IF(#REF!&gt;#REF!,#REF!,IF(#REF!&lt;#REF!,#REF!,"")))))))))</f>
        <v>#REF!</v>
      </c>
      <c r="Y73" s="67" t="e">
        <f>X73</f>
        <v>#REF!</v>
      </c>
    </row>
    <row r="74" spans="23:64" ht="12.75" customHeight="1"/>
    <row r="75" spans="23:64" ht="12.75" customHeight="1"/>
    <row r="76" spans="23:64" ht="12.75" customHeight="1">
      <c r="AW76" s="67" t="str">
        <f>IF(OR(U64="",U64="draw"),INDEX(T,100,lang),U64)</f>
        <v>L61</v>
      </c>
      <c r="BB76" s="67" t="e">
        <f>IF(OR(Z64="",Z64="draw"),INDEX(T,100,lang),Z64)</f>
        <v>#REF!</v>
      </c>
    </row>
    <row r="77" spans="23:64" ht="12.75" customHeight="1">
      <c r="AW77" s="67" t="str">
        <f>IF(OR(U65="",U65="draw"),INDEX(T,101,lang),U65)</f>
        <v>L62</v>
      </c>
      <c r="BB77" s="67" t="e">
        <f>IF(OR(Z65="",Z65="draw"),INDEX(T,101,lang),Z65)</f>
        <v>#REF!</v>
      </c>
    </row>
    <row r="79" spans="23:64" ht="12.75" customHeight="1"/>
    <row r="80" spans="23:64" ht="12.75" customHeight="1"/>
    <row r="83" ht="12.75" customHeight="1"/>
    <row r="84" ht="12.75" customHeight="1"/>
    <row r="87" ht="12.75" customHeight="1"/>
    <row r="88" ht="12.75" customHeight="1"/>
    <row r="96" ht="12.75" customHeight="1"/>
    <row r="97" ht="12.75" customHeight="1"/>
  </sheetData>
  <sheetProtection password="B93B" sheet="1" objects="1" scenarios="1"/>
  <mergeCells count="49">
    <mergeCell ref="A8:K9"/>
    <mergeCell ref="I10:K10"/>
    <mergeCell ref="EV10:EV11"/>
    <mergeCell ref="I11:K11"/>
    <mergeCell ref="A1:U1"/>
    <mergeCell ref="T6:U6"/>
    <mergeCell ref="EV6:EV7"/>
    <mergeCell ref="I12:K12"/>
    <mergeCell ref="I13:K13"/>
    <mergeCell ref="I14:K14"/>
    <mergeCell ref="EV14:EV15"/>
    <mergeCell ref="I15:K15"/>
    <mergeCell ref="I16:K16"/>
    <mergeCell ref="I17:K17"/>
    <mergeCell ref="I18:K18"/>
    <mergeCell ref="EV18:EV19"/>
    <mergeCell ref="I19:K19"/>
    <mergeCell ref="I20:K20"/>
    <mergeCell ref="I21:K21"/>
    <mergeCell ref="I22:K22"/>
    <mergeCell ref="EV22:EV23"/>
    <mergeCell ref="I23:K23"/>
    <mergeCell ref="I24:K24"/>
    <mergeCell ref="I25:K25"/>
    <mergeCell ref="I26:K26"/>
    <mergeCell ref="EV26:EV27"/>
    <mergeCell ref="I27:K27"/>
    <mergeCell ref="I28:K28"/>
    <mergeCell ref="I29:K29"/>
    <mergeCell ref="I30:K30"/>
    <mergeCell ref="EV30:EV31"/>
    <mergeCell ref="I31:K31"/>
    <mergeCell ref="I32:K32"/>
    <mergeCell ref="I33:K33"/>
    <mergeCell ref="I34:K34"/>
    <mergeCell ref="EV34:EV35"/>
    <mergeCell ref="I35:K35"/>
    <mergeCell ref="I36:K36"/>
    <mergeCell ref="I37:K37"/>
    <mergeCell ref="I38:K38"/>
    <mergeCell ref="EV38:EV39"/>
    <mergeCell ref="I39:K39"/>
    <mergeCell ref="I43:K43"/>
    <mergeCell ref="I44:K44"/>
    <mergeCell ref="I45:K45"/>
    <mergeCell ref="O52:U53"/>
    <mergeCell ref="I40:K40"/>
    <mergeCell ref="I41:K41"/>
    <mergeCell ref="I42:K42"/>
  </mergeCells>
  <conditionalFormatting sqref="E10:E45">
    <cfRule type="expression" dxfId="8" priority="4">
      <formula>IF(AND($F10&gt;$G10,ISNUMBER($F10),ISNUMBER($G10)),1,0)</formula>
    </cfRule>
    <cfRule type="expression" dxfId="7" priority="5">
      <formula>IF(AND($F10&lt;$G10,ISNUMBER($F10),ISNUMBER($G10)),1,0)</formula>
    </cfRule>
    <cfRule type="expression" dxfId="6" priority="6">
      <formula>IF(AND($F10=$G10,ISNUMBER($F10),ISNUMBER($G10)),1,0)</formula>
    </cfRule>
  </conditionalFormatting>
  <conditionalFormatting sqref="F10:F45">
    <cfRule type="expression" dxfId="5" priority="2">
      <formula>IF(AND($F10&gt;$G10,ISNUMBER($F10),ISNUMBER($G10)),1,0)</formula>
    </cfRule>
  </conditionalFormatting>
  <conditionalFormatting sqref="G10:G45">
    <cfRule type="expression" dxfId="4" priority="3">
      <formula>IF(AND($F10&lt;$G10,ISNUMBER($F10),ISNUMBER($G10)),1,0)</formula>
    </cfRule>
  </conditionalFormatting>
  <conditionalFormatting sqref="H10:H45">
    <cfRule type="expression" dxfId="3" priority="7">
      <formula>IF(AND($F10&lt;$G10,ISNUMBER($F10),ISNUMBER($G10)),1,0)</formula>
    </cfRule>
    <cfRule type="expression" dxfId="2" priority="8">
      <formula>IF(AND($F10&gt;$G10,ISNUMBER($F10),ISNUMBER($G10)),1,0)</formula>
    </cfRule>
    <cfRule type="expression" dxfId="1" priority="9">
      <formula>IF(AND($F10=$G10,ISNUMBER($F10),ISNUMBER($G10)),1,0)</formula>
    </cfRule>
  </conditionalFormatting>
  <conditionalFormatting sqref="L34:M45">
    <cfRule type="expression" dxfId="0" priority="82">
      <formula>IF($AW31=0,1,0)</formula>
    </cfRule>
  </conditionalFormatting>
  <dataValidations count="1">
    <dataValidation type="list" allowBlank="1" showInputMessage="1" showErrorMessage="1" sqref="F10:G45">
      <formula1>"0,1,2,3,4,5,6,7,8,9"</formula1>
      <formula2>0</formula2>
    </dataValidation>
  </dataValidations>
  <printOptions horizontalCentered="1"/>
  <pageMargins left="0.59027777777777801" right="0.59027777777777801" top="0.78749999999999998" bottom="0.78749999999999998" header="0.51180555555555496" footer="0.51180555555555496"/>
  <pageSetup paperSize="9" scale="49" firstPageNumber="0" orientation="landscape" r:id="rId1"/>
  <headerFooter>
    <oddFooter>&amp;Cwww.excely.com (c) 2024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S124"/>
  <sheetViews>
    <sheetView showGridLines="0" showRowColHeaders="0" workbookViewId="0">
      <selection activeCell="K38" sqref="K38:M38"/>
    </sheetView>
  </sheetViews>
  <sheetFormatPr defaultColWidth="8.5703125" defaultRowHeight="12.75"/>
  <cols>
    <col min="1" max="1" width="3.5703125" style="118" customWidth="1"/>
    <col min="2" max="17" width="8.5703125" style="118" customWidth="1"/>
    <col min="18" max="18" width="2.85546875" style="155" customWidth="1"/>
    <col min="19" max="19" width="8.5703125" style="115" customWidth="1"/>
    <col min="20" max="20" width="34.140625" style="115" bestFit="1" customWidth="1"/>
    <col min="21" max="21" width="25.7109375" style="115" bestFit="1" customWidth="1"/>
    <col min="22" max="22" width="33.5703125" style="115" bestFit="1" customWidth="1"/>
    <col min="23" max="23" width="30.85546875" style="115" bestFit="1" customWidth="1"/>
    <col min="24" max="24" width="8.7109375" style="115" bestFit="1" customWidth="1"/>
    <col min="25" max="25" width="12.140625" style="115" bestFit="1" customWidth="1"/>
    <col min="26" max="26" width="23.140625" style="115" bestFit="1" customWidth="1"/>
    <col min="27" max="31" width="8.5703125" style="115" customWidth="1"/>
    <col min="32" max="37" width="8.5703125" style="159" customWidth="1"/>
    <col min="38" max="45" width="8.5703125" style="117" customWidth="1"/>
    <col min="46" max="256" width="8.5703125" style="118"/>
    <col min="257" max="257" width="3.5703125" style="118" customWidth="1"/>
    <col min="258" max="273" width="8.5703125" style="118" customWidth="1"/>
    <col min="274" max="274" width="2.85546875" style="118" customWidth="1"/>
    <col min="275" max="275" width="8.5703125" style="118" customWidth="1"/>
    <col min="276" max="276" width="34.140625" style="118" bestFit="1" customWidth="1"/>
    <col min="277" max="277" width="25.7109375" style="118" bestFit="1" customWidth="1"/>
    <col min="278" max="278" width="33.5703125" style="118" bestFit="1" customWidth="1"/>
    <col min="279" max="279" width="30.85546875" style="118" bestFit="1" customWidth="1"/>
    <col min="280" max="280" width="8.7109375" style="118" bestFit="1" customWidth="1"/>
    <col min="281" max="281" width="12.140625" style="118" bestFit="1" customWidth="1"/>
    <col min="282" max="282" width="23.140625" style="118" bestFit="1" customWidth="1"/>
    <col min="283" max="301" width="8.5703125" style="118" customWidth="1"/>
    <col min="302" max="512" width="8.5703125" style="118"/>
    <col min="513" max="513" width="3.5703125" style="118" customWidth="1"/>
    <col min="514" max="529" width="8.5703125" style="118" customWidth="1"/>
    <col min="530" max="530" width="2.85546875" style="118" customWidth="1"/>
    <col min="531" max="531" width="8.5703125" style="118" customWidth="1"/>
    <col min="532" max="532" width="34.140625" style="118" bestFit="1" customWidth="1"/>
    <col min="533" max="533" width="25.7109375" style="118" bestFit="1" customWidth="1"/>
    <col min="534" max="534" width="33.5703125" style="118" bestFit="1" customWidth="1"/>
    <col min="535" max="535" width="30.85546875" style="118" bestFit="1" customWidth="1"/>
    <col min="536" max="536" width="8.7109375" style="118" bestFit="1" customWidth="1"/>
    <col min="537" max="537" width="12.140625" style="118" bestFit="1" customWidth="1"/>
    <col min="538" max="538" width="23.140625" style="118" bestFit="1" customWidth="1"/>
    <col min="539" max="557" width="8.5703125" style="118" customWidth="1"/>
    <col min="558" max="768" width="8.5703125" style="118"/>
    <col min="769" max="769" width="3.5703125" style="118" customWidth="1"/>
    <col min="770" max="785" width="8.5703125" style="118" customWidth="1"/>
    <col min="786" max="786" width="2.85546875" style="118" customWidth="1"/>
    <col min="787" max="787" width="8.5703125" style="118" customWidth="1"/>
    <col min="788" max="788" width="34.140625" style="118" bestFit="1" customWidth="1"/>
    <col min="789" max="789" width="25.7109375" style="118" bestFit="1" customWidth="1"/>
    <col min="790" max="790" width="33.5703125" style="118" bestFit="1" customWidth="1"/>
    <col min="791" max="791" width="30.85546875" style="118" bestFit="1" customWidth="1"/>
    <col min="792" max="792" width="8.7109375" style="118" bestFit="1" customWidth="1"/>
    <col min="793" max="793" width="12.140625" style="118" bestFit="1" customWidth="1"/>
    <col min="794" max="794" width="23.140625" style="118" bestFit="1" customWidth="1"/>
    <col min="795" max="813" width="8.5703125" style="118" customWidth="1"/>
    <col min="814" max="1024" width="8.5703125" style="118"/>
    <col min="1025" max="1025" width="3.5703125" style="118" customWidth="1"/>
    <col min="1026" max="1041" width="8.5703125" style="118" customWidth="1"/>
    <col min="1042" max="1042" width="2.85546875" style="118" customWidth="1"/>
    <col min="1043" max="1043" width="8.5703125" style="118" customWidth="1"/>
    <col min="1044" max="1044" width="34.140625" style="118" bestFit="1" customWidth="1"/>
    <col min="1045" max="1045" width="25.7109375" style="118" bestFit="1" customWidth="1"/>
    <col min="1046" max="1046" width="33.5703125" style="118" bestFit="1" customWidth="1"/>
    <col min="1047" max="1047" width="30.85546875" style="118" bestFit="1" customWidth="1"/>
    <col min="1048" max="1048" width="8.7109375" style="118" bestFit="1" customWidth="1"/>
    <col min="1049" max="1049" width="12.140625" style="118" bestFit="1" customWidth="1"/>
    <col min="1050" max="1050" width="23.140625" style="118" bestFit="1" customWidth="1"/>
    <col min="1051" max="1069" width="8.5703125" style="118" customWidth="1"/>
    <col min="1070" max="1280" width="8.5703125" style="118"/>
    <col min="1281" max="1281" width="3.5703125" style="118" customWidth="1"/>
    <col min="1282" max="1297" width="8.5703125" style="118" customWidth="1"/>
    <col min="1298" max="1298" width="2.85546875" style="118" customWidth="1"/>
    <col min="1299" max="1299" width="8.5703125" style="118" customWidth="1"/>
    <col min="1300" max="1300" width="34.140625" style="118" bestFit="1" customWidth="1"/>
    <col min="1301" max="1301" width="25.7109375" style="118" bestFit="1" customWidth="1"/>
    <col min="1302" max="1302" width="33.5703125" style="118" bestFit="1" customWidth="1"/>
    <col min="1303" max="1303" width="30.85546875" style="118" bestFit="1" customWidth="1"/>
    <col min="1304" max="1304" width="8.7109375" style="118" bestFit="1" customWidth="1"/>
    <col min="1305" max="1305" width="12.140625" style="118" bestFit="1" customWidth="1"/>
    <col min="1306" max="1306" width="23.140625" style="118" bestFit="1" customWidth="1"/>
    <col min="1307" max="1325" width="8.5703125" style="118" customWidth="1"/>
    <col min="1326" max="1536" width="8.5703125" style="118"/>
    <col min="1537" max="1537" width="3.5703125" style="118" customWidth="1"/>
    <col min="1538" max="1553" width="8.5703125" style="118" customWidth="1"/>
    <col min="1554" max="1554" width="2.85546875" style="118" customWidth="1"/>
    <col min="1555" max="1555" width="8.5703125" style="118" customWidth="1"/>
    <col min="1556" max="1556" width="34.140625" style="118" bestFit="1" customWidth="1"/>
    <col min="1557" max="1557" width="25.7109375" style="118" bestFit="1" customWidth="1"/>
    <col min="1558" max="1558" width="33.5703125" style="118" bestFit="1" customWidth="1"/>
    <col min="1559" max="1559" width="30.85546875" style="118" bestFit="1" customWidth="1"/>
    <col min="1560" max="1560" width="8.7109375" style="118" bestFit="1" customWidth="1"/>
    <col min="1561" max="1561" width="12.140625" style="118" bestFit="1" customWidth="1"/>
    <col min="1562" max="1562" width="23.140625" style="118" bestFit="1" customWidth="1"/>
    <col min="1563" max="1581" width="8.5703125" style="118" customWidth="1"/>
    <col min="1582" max="1792" width="8.5703125" style="118"/>
    <col min="1793" max="1793" width="3.5703125" style="118" customWidth="1"/>
    <col min="1794" max="1809" width="8.5703125" style="118" customWidth="1"/>
    <col min="1810" max="1810" width="2.85546875" style="118" customWidth="1"/>
    <col min="1811" max="1811" width="8.5703125" style="118" customWidth="1"/>
    <col min="1812" max="1812" width="34.140625" style="118" bestFit="1" customWidth="1"/>
    <col min="1813" max="1813" width="25.7109375" style="118" bestFit="1" customWidth="1"/>
    <col min="1814" max="1814" width="33.5703125" style="118" bestFit="1" customWidth="1"/>
    <col min="1815" max="1815" width="30.85546875" style="118" bestFit="1" customWidth="1"/>
    <col min="1816" max="1816" width="8.7109375" style="118" bestFit="1" customWidth="1"/>
    <col min="1817" max="1817" width="12.140625" style="118" bestFit="1" customWidth="1"/>
    <col min="1818" max="1818" width="23.140625" style="118" bestFit="1" customWidth="1"/>
    <col min="1819" max="1837" width="8.5703125" style="118" customWidth="1"/>
    <col min="1838" max="2048" width="8.5703125" style="118"/>
    <col min="2049" max="2049" width="3.5703125" style="118" customWidth="1"/>
    <col min="2050" max="2065" width="8.5703125" style="118" customWidth="1"/>
    <col min="2066" max="2066" width="2.85546875" style="118" customWidth="1"/>
    <col min="2067" max="2067" width="8.5703125" style="118" customWidth="1"/>
    <col min="2068" max="2068" width="34.140625" style="118" bestFit="1" customWidth="1"/>
    <col min="2069" max="2069" width="25.7109375" style="118" bestFit="1" customWidth="1"/>
    <col min="2070" max="2070" width="33.5703125" style="118" bestFit="1" customWidth="1"/>
    <col min="2071" max="2071" width="30.85546875" style="118" bestFit="1" customWidth="1"/>
    <col min="2072" max="2072" width="8.7109375" style="118" bestFit="1" customWidth="1"/>
    <col min="2073" max="2073" width="12.140625" style="118" bestFit="1" customWidth="1"/>
    <col min="2074" max="2074" width="23.140625" style="118" bestFit="1" customWidth="1"/>
    <col min="2075" max="2093" width="8.5703125" style="118" customWidth="1"/>
    <col min="2094" max="2304" width="8.5703125" style="118"/>
    <col min="2305" max="2305" width="3.5703125" style="118" customWidth="1"/>
    <col min="2306" max="2321" width="8.5703125" style="118" customWidth="1"/>
    <col min="2322" max="2322" width="2.85546875" style="118" customWidth="1"/>
    <col min="2323" max="2323" width="8.5703125" style="118" customWidth="1"/>
    <col min="2324" max="2324" width="34.140625" style="118" bestFit="1" customWidth="1"/>
    <col min="2325" max="2325" width="25.7109375" style="118" bestFit="1" customWidth="1"/>
    <col min="2326" max="2326" width="33.5703125" style="118" bestFit="1" customWidth="1"/>
    <col min="2327" max="2327" width="30.85546875" style="118" bestFit="1" customWidth="1"/>
    <col min="2328" max="2328" width="8.7109375" style="118" bestFit="1" customWidth="1"/>
    <col min="2329" max="2329" width="12.140625" style="118" bestFit="1" customWidth="1"/>
    <col min="2330" max="2330" width="23.140625" style="118" bestFit="1" customWidth="1"/>
    <col min="2331" max="2349" width="8.5703125" style="118" customWidth="1"/>
    <col min="2350" max="2560" width="8.5703125" style="118"/>
    <col min="2561" max="2561" width="3.5703125" style="118" customWidth="1"/>
    <col min="2562" max="2577" width="8.5703125" style="118" customWidth="1"/>
    <col min="2578" max="2578" width="2.85546875" style="118" customWidth="1"/>
    <col min="2579" max="2579" width="8.5703125" style="118" customWidth="1"/>
    <col min="2580" max="2580" width="34.140625" style="118" bestFit="1" customWidth="1"/>
    <col min="2581" max="2581" width="25.7109375" style="118" bestFit="1" customWidth="1"/>
    <col min="2582" max="2582" width="33.5703125" style="118" bestFit="1" customWidth="1"/>
    <col min="2583" max="2583" width="30.85546875" style="118" bestFit="1" customWidth="1"/>
    <col min="2584" max="2584" width="8.7109375" style="118" bestFit="1" customWidth="1"/>
    <col min="2585" max="2585" width="12.140625" style="118" bestFit="1" customWidth="1"/>
    <col min="2586" max="2586" width="23.140625" style="118" bestFit="1" customWidth="1"/>
    <col min="2587" max="2605" width="8.5703125" style="118" customWidth="1"/>
    <col min="2606" max="2816" width="8.5703125" style="118"/>
    <col min="2817" max="2817" width="3.5703125" style="118" customWidth="1"/>
    <col min="2818" max="2833" width="8.5703125" style="118" customWidth="1"/>
    <col min="2834" max="2834" width="2.85546875" style="118" customWidth="1"/>
    <col min="2835" max="2835" width="8.5703125" style="118" customWidth="1"/>
    <col min="2836" max="2836" width="34.140625" style="118" bestFit="1" customWidth="1"/>
    <col min="2837" max="2837" width="25.7109375" style="118" bestFit="1" customWidth="1"/>
    <col min="2838" max="2838" width="33.5703125" style="118" bestFit="1" customWidth="1"/>
    <col min="2839" max="2839" width="30.85546875" style="118" bestFit="1" customWidth="1"/>
    <col min="2840" max="2840" width="8.7109375" style="118" bestFit="1" customWidth="1"/>
    <col min="2841" max="2841" width="12.140625" style="118" bestFit="1" customWidth="1"/>
    <col min="2842" max="2842" width="23.140625" style="118" bestFit="1" customWidth="1"/>
    <col min="2843" max="2861" width="8.5703125" style="118" customWidth="1"/>
    <col min="2862" max="3072" width="8.5703125" style="118"/>
    <col min="3073" max="3073" width="3.5703125" style="118" customWidth="1"/>
    <col min="3074" max="3089" width="8.5703125" style="118" customWidth="1"/>
    <col min="3090" max="3090" width="2.85546875" style="118" customWidth="1"/>
    <col min="3091" max="3091" width="8.5703125" style="118" customWidth="1"/>
    <col min="3092" max="3092" width="34.140625" style="118" bestFit="1" customWidth="1"/>
    <col min="3093" max="3093" width="25.7109375" style="118" bestFit="1" customWidth="1"/>
    <col min="3094" max="3094" width="33.5703125" style="118" bestFit="1" customWidth="1"/>
    <col min="3095" max="3095" width="30.85546875" style="118" bestFit="1" customWidth="1"/>
    <col min="3096" max="3096" width="8.7109375" style="118" bestFit="1" customWidth="1"/>
    <col min="3097" max="3097" width="12.140625" style="118" bestFit="1" customWidth="1"/>
    <col min="3098" max="3098" width="23.140625" style="118" bestFit="1" customWidth="1"/>
    <col min="3099" max="3117" width="8.5703125" style="118" customWidth="1"/>
    <col min="3118" max="3328" width="8.5703125" style="118"/>
    <col min="3329" max="3329" width="3.5703125" style="118" customWidth="1"/>
    <col min="3330" max="3345" width="8.5703125" style="118" customWidth="1"/>
    <col min="3346" max="3346" width="2.85546875" style="118" customWidth="1"/>
    <col min="3347" max="3347" width="8.5703125" style="118" customWidth="1"/>
    <col min="3348" max="3348" width="34.140625" style="118" bestFit="1" customWidth="1"/>
    <col min="3349" max="3349" width="25.7109375" style="118" bestFit="1" customWidth="1"/>
    <col min="3350" max="3350" width="33.5703125" style="118" bestFit="1" customWidth="1"/>
    <col min="3351" max="3351" width="30.85546875" style="118" bestFit="1" customWidth="1"/>
    <col min="3352" max="3352" width="8.7109375" style="118" bestFit="1" customWidth="1"/>
    <col min="3353" max="3353" width="12.140625" style="118" bestFit="1" customWidth="1"/>
    <col min="3354" max="3354" width="23.140625" style="118" bestFit="1" customWidth="1"/>
    <col min="3355" max="3373" width="8.5703125" style="118" customWidth="1"/>
    <col min="3374" max="3584" width="8.5703125" style="118"/>
    <col min="3585" max="3585" width="3.5703125" style="118" customWidth="1"/>
    <col min="3586" max="3601" width="8.5703125" style="118" customWidth="1"/>
    <col min="3602" max="3602" width="2.85546875" style="118" customWidth="1"/>
    <col min="3603" max="3603" width="8.5703125" style="118" customWidth="1"/>
    <col min="3604" max="3604" width="34.140625" style="118" bestFit="1" customWidth="1"/>
    <col min="3605" max="3605" width="25.7109375" style="118" bestFit="1" customWidth="1"/>
    <col min="3606" max="3606" width="33.5703125" style="118" bestFit="1" customWidth="1"/>
    <col min="3607" max="3607" width="30.85546875" style="118" bestFit="1" customWidth="1"/>
    <col min="3608" max="3608" width="8.7109375" style="118" bestFit="1" customWidth="1"/>
    <col min="3609" max="3609" width="12.140625" style="118" bestFit="1" customWidth="1"/>
    <col min="3610" max="3610" width="23.140625" style="118" bestFit="1" customWidth="1"/>
    <col min="3611" max="3629" width="8.5703125" style="118" customWidth="1"/>
    <col min="3630" max="3840" width="8.5703125" style="118"/>
    <col min="3841" max="3841" width="3.5703125" style="118" customWidth="1"/>
    <col min="3842" max="3857" width="8.5703125" style="118" customWidth="1"/>
    <col min="3858" max="3858" width="2.85546875" style="118" customWidth="1"/>
    <col min="3859" max="3859" width="8.5703125" style="118" customWidth="1"/>
    <col min="3860" max="3860" width="34.140625" style="118" bestFit="1" customWidth="1"/>
    <col min="3861" max="3861" width="25.7109375" style="118" bestFit="1" customWidth="1"/>
    <col min="3862" max="3862" width="33.5703125" style="118" bestFit="1" customWidth="1"/>
    <col min="3863" max="3863" width="30.85546875" style="118" bestFit="1" customWidth="1"/>
    <col min="3864" max="3864" width="8.7109375" style="118" bestFit="1" customWidth="1"/>
    <col min="3865" max="3865" width="12.140625" style="118" bestFit="1" customWidth="1"/>
    <col min="3866" max="3866" width="23.140625" style="118" bestFit="1" customWidth="1"/>
    <col min="3867" max="3885" width="8.5703125" style="118" customWidth="1"/>
    <col min="3886" max="4096" width="8.5703125" style="118"/>
    <col min="4097" max="4097" width="3.5703125" style="118" customWidth="1"/>
    <col min="4098" max="4113" width="8.5703125" style="118" customWidth="1"/>
    <col min="4114" max="4114" width="2.85546875" style="118" customWidth="1"/>
    <col min="4115" max="4115" width="8.5703125" style="118" customWidth="1"/>
    <col min="4116" max="4116" width="34.140625" style="118" bestFit="1" customWidth="1"/>
    <col min="4117" max="4117" width="25.7109375" style="118" bestFit="1" customWidth="1"/>
    <col min="4118" max="4118" width="33.5703125" style="118" bestFit="1" customWidth="1"/>
    <col min="4119" max="4119" width="30.85546875" style="118" bestFit="1" customWidth="1"/>
    <col min="4120" max="4120" width="8.7109375" style="118" bestFit="1" customWidth="1"/>
    <col min="4121" max="4121" width="12.140625" style="118" bestFit="1" customWidth="1"/>
    <col min="4122" max="4122" width="23.140625" style="118" bestFit="1" customWidth="1"/>
    <col min="4123" max="4141" width="8.5703125" style="118" customWidth="1"/>
    <col min="4142" max="4352" width="8.5703125" style="118"/>
    <col min="4353" max="4353" width="3.5703125" style="118" customWidth="1"/>
    <col min="4354" max="4369" width="8.5703125" style="118" customWidth="1"/>
    <col min="4370" max="4370" width="2.85546875" style="118" customWidth="1"/>
    <col min="4371" max="4371" width="8.5703125" style="118" customWidth="1"/>
    <col min="4372" max="4372" width="34.140625" style="118" bestFit="1" customWidth="1"/>
    <col min="4373" max="4373" width="25.7109375" style="118" bestFit="1" customWidth="1"/>
    <col min="4374" max="4374" width="33.5703125" style="118" bestFit="1" customWidth="1"/>
    <col min="4375" max="4375" width="30.85546875" style="118" bestFit="1" customWidth="1"/>
    <col min="4376" max="4376" width="8.7109375" style="118" bestFit="1" customWidth="1"/>
    <col min="4377" max="4377" width="12.140625" style="118" bestFit="1" customWidth="1"/>
    <col min="4378" max="4378" width="23.140625" style="118" bestFit="1" customWidth="1"/>
    <col min="4379" max="4397" width="8.5703125" style="118" customWidth="1"/>
    <col min="4398" max="4608" width="8.5703125" style="118"/>
    <col min="4609" max="4609" width="3.5703125" style="118" customWidth="1"/>
    <col min="4610" max="4625" width="8.5703125" style="118" customWidth="1"/>
    <col min="4626" max="4626" width="2.85546875" style="118" customWidth="1"/>
    <col min="4627" max="4627" width="8.5703125" style="118" customWidth="1"/>
    <col min="4628" max="4628" width="34.140625" style="118" bestFit="1" customWidth="1"/>
    <col min="4629" max="4629" width="25.7109375" style="118" bestFit="1" customWidth="1"/>
    <col min="4630" max="4630" width="33.5703125" style="118" bestFit="1" customWidth="1"/>
    <col min="4631" max="4631" width="30.85546875" style="118" bestFit="1" customWidth="1"/>
    <col min="4632" max="4632" width="8.7109375" style="118" bestFit="1" customWidth="1"/>
    <col min="4633" max="4633" width="12.140625" style="118" bestFit="1" customWidth="1"/>
    <col min="4634" max="4634" width="23.140625" style="118" bestFit="1" customWidth="1"/>
    <col min="4635" max="4653" width="8.5703125" style="118" customWidth="1"/>
    <col min="4654" max="4864" width="8.5703125" style="118"/>
    <col min="4865" max="4865" width="3.5703125" style="118" customWidth="1"/>
    <col min="4866" max="4881" width="8.5703125" style="118" customWidth="1"/>
    <col min="4882" max="4882" width="2.85546875" style="118" customWidth="1"/>
    <col min="4883" max="4883" width="8.5703125" style="118" customWidth="1"/>
    <col min="4884" max="4884" width="34.140625" style="118" bestFit="1" customWidth="1"/>
    <col min="4885" max="4885" width="25.7109375" style="118" bestFit="1" customWidth="1"/>
    <col min="4886" max="4886" width="33.5703125" style="118" bestFit="1" customWidth="1"/>
    <col min="4887" max="4887" width="30.85546875" style="118" bestFit="1" customWidth="1"/>
    <col min="4888" max="4888" width="8.7109375" style="118" bestFit="1" customWidth="1"/>
    <col min="4889" max="4889" width="12.140625" style="118" bestFit="1" customWidth="1"/>
    <col min="4890" max="4890" width="23.140625" style="118" bestFit="1" customWidth="1"/>
    <col min="4891" max="4909" width="8.5703125" style="118" customWidth="1"/>
    <col min="4910" max="5120" width="8.5703125" style="118"/>
    <col min="5121" max="5121" width="3.5703125" style="118" customWidth="1"/>
    <col min="5122" max="5137" width="8.5703125" style="118" customWidth="1"/>
    <col min="5138" max="5138" width="2.85546875" style="118" customWidth="1"/>
    <col min="5139" max="5139" width="8.5703125" style="118" customWidth="1"/>
    <col min="5140" max="5140" width="34.140625" style="118" bestFit="1" customWidth="1"/>
    <col min="5141" max="5141" width="25.7109375" style="118" bestFit="1" customWidth="1"/>
    <col min="5142" max="5142" width="33.5703125" style="118" bestFit="1" customWidth="1"/>
    <col min="5143" max="5143" width="30.85546875" style="118" bestFit="1" customWidth="1"/>
    <col min="5144" max="5144" width="8.7109375" style="118" bestFit="1" customWidth="1"/>
    <col min="5145" max="5145" width="12.140625" style="118" bestFit="1" customWidth="1"/>
    <col min="5146" max="5146" width="23.140625" style="118" bestFit="1" customWidth="1"/>
    <col min="5147" max="5165" width="8.5703125" style="118" customWidth="1"/>
    <col min="5166" max="5376" width="8.5703125" style="118"/>
    <col min="5377" max="5377" width="3.5703125" style="118" customWidth="1"/>
    <col min="5378" max="5393" width="8.5703125" style="118" customWidth="1"/>
    <col min="5394" max="5394" width="2.85546875" style="118" customWidth="1"/>
    <col min="5395" max="5395" width="8.5703125" style="118" customWidth="1"/>
    <col min="5396" max="5396" width="34.140625" style="118" bestFit="1" customWidth="1"/>
    <col min="5397" max="5397" width="25.7109375" style="118" bestFit="1" customWidth="1"/>
    <col min="5398" max="5398" width="33.5703125" style="118" bestFit="1" customWidth="1"/>
    <col min="5399" max="5399" width="30.85546875" style="118" bestFit="1" customWidth="1"/>
    <col min="5400" max="5400" width="8.7109375" style="118" bestFit="1" customWidth="1"/>
    <col min="5401" max="5401" width="12.140625" style="118" bestFit="1" customWidth="1"/>
    <col min="5402" max="5402" width="23.140625" style="118" bestFit="1" customWidth="1"/>
    <col min="5403" max="5421" width="8.5703125" style="118" customWidth="1"/>
    <col min="5422" max="5632" width="8.5703125" style="118"/>
    <col min="5633" max="5633" width="3.5703125" style="118" customWidth="1"/>
    <col min="5634" max="5649" width="8.5703125" style="118" customWidth="1"/>
    <col min="5650" max="5650" width="2.85546875" style="118" customWidth="1"/>
    <col min="5651" max="5651" width="8.5703125" style="118" customWidth="1"/>
    <col min="5652" max="5652" width="34.140625" style="118" bestFit="1" customWidth="1"/>
    <col min="5653" max="5653" width="25.7109375" style="118" bestFit="1" customWidth="1"/>
    <col min="5654" max="5654" width="33.5703125" style="118" bestFit="1" customWidth="1"/>
    <col min="5655" max="5655" width="30.85546875" style="118" bestFit="1" customWidth="1"/>
    <col min="5656" max="5656" width="8.7109375" style="118" bestFit="1" customWidth="1"/>
    <col min="5657" max="5657" width="12.140625" style="118" bestFit="1" customWidth="1"/>
    <col min="5658" max="5658" width="23.140625" style="118" bestFit="1" customWidth="1"/>
    <col min="5659" max="5677" width="8.5703125" style="118" customWidth="1"/>
    <col min="5678" max="5888" width="8.5703125" style="118"/>
    <col min="5889" max="5889" width="3.5703125" style="118" customWidth="1"/>
    <col min="5890" max="5905" width="8.5703125" style="118" customWidth="1"/>
    <col min="5906" max="5906" width="2.85546875" style="118" customWidth="1"/>
    <col min="5907" max="5907" width="8.5703125" style="118" customWidth="1"/>
    <col min="5908" max="5908" width="34.140625" style="118" bestFit="1" customWidth="1"/>
    <col min="5909" max="5909" width="25.7109375" style="118" bestFit="1" customWidth="1"/>
    <col min="5910" max="5910" width="33.5703125" style="118" bestFit="1" customWidth="1"/>
    <col min="5911" max="5911" width="30.85546875" style="118" bestFit="1" customWidth="1"/>
    <col min="5912" max="5912" width="8.7109375" style="118" bestFit="1" customWidth="1"/>
    <col min="5913" max="5913" width="12.140625" style="118" bestFit="1" customWidth="1"/>
    <col min="5914" max="5914" width="23.140625" style="118" bestFit="1" customWidth="1"/>
    <col min="5915" max="5933" width="8.5703125" style="118" customWidth="1"/>
    <col min="5934" max="6144" width="8.5703125" style="118"/>
    <col min="6145" max="6145" width="3.5703125" style="118" customWidth="1"/>
    <col min="6146" max="6161" width="8.5703125" style="118" customWidth="1"/>
    <col min="6162" max="6162" width="2.85546875" style="118" customWidth="1"/>
    <col min="6163" max="6163" width="8.5703125" style="118" customWidth="1"/>
    <col min="6164" max="6164" width="34.140625" style="118" bestFit="1" customWidth="1"/>
    <col min="6165" max="6165" width="25.7109375" style="118" bestFit="1" customWidth="1"/>
    <col min="6166" max="6166" width="33.5703125" style="118" bestFit="1" customWidth="1"/>
    <col min="6167" max="6167" width="30.85546875" style="118" bestFit="1" customWidth="1"/>
    <col min="6168" max="6168" width="8.7109375" style="118" bestFit="1" customWidth="1"/>
    <col min="6169" max="6169" width="12.140625" style="118" bestFit="1" customWidth="1"/>
    <col min="6170" max="6170" width="23.140625" style="118" bestFit="1" customWidth="1"/>
    <col min="6171" max="6189" width="8.5703125" style="118" customWidth="1"/>
    <col min="6190" max="6400" width="8.5703125" style="118"/>
    <col min="6401" max="6401" width="3.5703125" style="118" customWidth="1"/>
    <col min="6402" max="6417" width="8.5703125" style="118" customWidth="1"/>
    <col min="6418" max="6418" width="2.85546875" style="118" customWidth="1"/>
    <col min="6419" max="6419" width="8.5703125" style="118" customWidth="1"/>
    <col min="6420" max="6420" width="34.140625" style="118" bestFit="1" customWidth="1"/>
    <col min="6421" max="6421" width="25.7109375" style="118" bestFit="1" customWidth="1"/>
    <col min="6422" max="6422" width="33.5703125" style="118" bestFit="1" customWidth="1"/>
    <col min="6423" max="6423" width="30.85546875" style="118" bestFit="1" customWidth="1"/>
    <col min="6424" max="6424" width="8.7109375" style="118" bestFit="1" customWidth="1"/>
    <col min="6425" max="6425" width="12.140625" style="118" bestFit="1" customWidth="1"/>
    <col min="6426" max="6426" width="23.140625" style="118" bestFit="1" customWidth="1"/>
    <col min="6427" max="6445" width="8.5703125" style="118" customWidth="1"/>
    <col min="6446" max="6656" width="8.5703125" style="118"/>
    <col min="6657" max="6657" width="3.5703125" style="118" customWidth="1"/>
    <col min="6658" max="6673" width="8.5703125" style="118" customWidth="1"/>
    <col min="6674" max="6674" width="2.85546875" style="118" customWidth="1"/>
    <col min="6675" max="6675" width="8.5703125" style="118" customWidth="1"/>
    <col min="6676" max="6676" width="34.140625" style="118" bestFit="1" customWidth="1"/>
    <col min="6677" max="6677" width="25.7109375" style="118" bestFit="1" customWidth="1"/>
    <col min="6678" max="6678" width="33.5703125" style="118" bestFit="1" customWidth="1"/>
    <col min="6679" max="6679" width="30.85546875" style="118" bestFit="1" customWidth="1"/>
    <col min="6680" max="6680" width="8.7109375" style="118" bestFit="1" customWidth="1"/>
    <col min="6681" max="6681" width="12.140625" style="118" bestFit="1" customWidth="1"/>
    <col min="6682" max="6682" width="23.140625" style="118" bestFit="1" customWidth="1"/>
    <col min="6683" max="6701" width="8.5703125" style="118" customWidth="1"/>
    <col min="6702" max="6912" width="8.5703125" style="118"/>
    <col min="6913" max="6913" width="3.5703125" style="118" customWidth="1"/>
    <col min="6914" max="6929" width="8.5703125" style="118" customWidth="1"/>
    <col min="6930" max="6930" width="2.85546875" style="118" customWidth="1"/>
    <col min="6931" max="6931" width="8.5703125" style="118" customWidth="1"/>
    <col min="6932" max="6932" width="34.140625" style="118" bestFit="1" customWidth="1"/>
    <col min="6933" max="6933" width="25.7109375" style="118" bestFit="1" customWidth="1"/>
    <col min="6934" max="6934" width="33.5703125" style="118" bestFit="1" customWidth="1"/>
    <col min="6935" max="6935" width="30.85546875" style="118" bestFit="1" customWidth="1"/>
    <col min="6936" max="6936" width="8.7109375" style="118" bestFit="1" customWidth="1"/>
    <col min="6937" max="6937" width="12.140625" style="118" bestFit="1" customWidth="1"/>
    <col min="6938" max="6938" width="23.140625" style="118" bestFit="1" customWidth="1"/>
    <col min="6939" max="6957" width="8.5703125" style="118" customWidth="1"/>
    <col min="6958" max="7168" width="8.5703125" style="118"/>
    <col min="7169" max="7169" width="3.5703125" style="118" customWidth="1"/>
    <col min="7170" max="7185" width="8.5703125" style="118" customWidth="1"/>
    <col min="7186" max="7186" width="2.85546875" style="118" customWidth="1"/>
    <col min="7187" max="7187" width="8.5703125" style="118" customWidth="1"/>
    <col min="7188" max="7188" width="34.140625" style="118" bestFit="1" customWidth="1"/>
    <col min="7189" max="7189" width="25.7109375" style="118" bestFit="1" customWidth="1"/>
    <col min="7190" max="7190" width="33.5703125" style="118" bestFit="1" customWidth="1"/>
    <col min="7191" max="7191" width="30.85546875" style="118" bestFit="1" customWidth="1"/>
    <col min="7192" max="7192" width="8.7109375" style="118" bestFit="1" customWidth="1"/>
    <col min="7193" max="7193" width="12.140625" style="118" bestFit="1" customWidth="1"/>
    <col min="7194" max="7194" width="23.140625" style="118" bestFit="1" customWidth="1"/>
    <col min="7195" max="7213" width="8.5703125" style="118" customWidth="1"/>
    <col min="7214" max="7424" width="8.5703125" style="118"/>
    <col min="7425" max="7425" width="3.5703125" style="118" customWidth="1"/>
    <col min="7426" max="7441" width="8.5703125" style="118" customWidth="1"/>
    <col min="7442" max="7442" width="2.85546875" style="118" customWidth="1"/>
    <col min="7443" max="7443" width="8.5703125" style="118" customWidth="1"/>
    <col min="7444" max="7444" width="34.140625" style="118" bestFit="1" customWidth="1"/>
    <col min="7445" max="7445" width="25.7109375" style="118" bestFit="1" customWidth="1"/>
    <col min="7446" max="7446" width="33.5703125" style="118" bestFit="1" customWidth="1"/>
    <col min="7447" max="7447" width="30.85546875" style="118" bestFit="1" customWidth="1"/>
    <col min="7448" max="7448" width="8.7109375" style="118" bestFit="1" customWidth="1"/>
    <col min="7449" max="7449" width="12.140625" style="118" bestFit="1" customWidth="1"/>
    <col min="7450" max="7450" width="23.140625" style="118" bestFit="1" customWidth="1"/>
    <col min="7451" max="7469" width="8.5703125" style="118" customWidth="1"/>
    <col min="7470" max="7680" width="8.5703125" style="118"/>
    <col min="7681" max="7681" width="3.5703125" style="118" customWidth="1"/>
    <col min="7682" max="7697" width="8.5703125" style="118" customWidth="1"/>
    <col min="7698" max="7698" width="2.85546875" style="118" customWidth="1"/>
    <col min="7699" max="7699" width="8.5703125" style="118" customWidth="1"/>
    <col min="7700" max="7700" width="34.140625" style="118" bestFit="1" customWidth="1"/>
    <col min="7701" max="7701" width="25.7109375" style="118" bestFit="1" customWidth="1"/>
    <col min="7702" max="7702" width="33.5703125" style="118" bestFit="1" customWidth="1"/>
    <col min="7703" max="7703" width="30.85546875" style="118" bestFit="1" customWidth="1"/>
    <col min="7704" max="7704" width="8.7109375" style="118" bestFit="1" customWidth="1"/>
    <col min="7705" max="7705" width="12.140625" style="118" bestFit="1" customWidth="1"/>
    <col min="7706" max="7706" width="23.140625" style="118" bestFit="1" customWidth="1"/>
    <col min="7707" max="7725" width="8.5703125" style="118" customWidth="1"/>
    <col min="7726" max="7936" width="8.5703125" style="118"/>
    <col min="7937" max="7937" width="3.5703125" style="118" customWidth="1"/>
    <col min="7938" max="7953" width="8.5703125" style="118" customWidth="1"/>
    <col min="7954" max="7954" width="2.85546875" style="118" customWidth="1"/>
    <col min="7955" max="7955" width="8.5703125" style="118" customWidth="1"/>
    <col min="7956" max="7956" width="34.140625" style="118" bestFit="1" customWidth="1"/>
    <col min="7957" max="7957" width="25.7109375" style="118" bestFit="1" customWidth="1"/>
    <col min="7958" max="7958" width="33.5703125" style="118" bestFit="1" customWidth="1"/>
    <col min="7959" max="7959" width="30.85546875" style="118" bestFit="1" customWidth="1"/>
    <col min="7960" max="7960" width="8.7109375" style="118" bestFit="1" customWidth="1"/>
    <col min="7961" max="7961" width="12.140625" style="118" bestFit="1" customWidth="1"/>
    <col min="7962" max="7962" width="23.140625" style="118" bestFit="1" customWidth="1"/>
    <col min="7963" max="7981" width="8.5703125" style="118" customWidth="1"/>
    <col min="7982" max="8192" width="8.5703125" style="118"/>
    <col min="8193" max="8193" width="3.5703125" style="118" customWidth="1"/>
    <col min="8194" max="8209" width="8.5703125" style="118" customWidth="1"/>
    <col min="8210" max="8210" width="2.85546875" style="118" customWidth="1"/>
    <col min="8211" max="8211" width="8.5703125" style="118" customWidth="1"/>
    <col min="8212" max="8212" width="34.140625" style="118" bestFit="1" customWidth="1"/>
    <col min="8213" max="8213" width="25.7109375" style="118" bestFit="1" customWidth="1"/>
    <col min="8214" max="8214" width="33.5703125" style="118" bestFit="1" customWidth="1"/>
    <col min="8215" max="8215" width="30.85546875" style="118" bestFit="1" customWidth="1"/>
    <col min="8216" max="8216" width="8.7109375" style="118" bestFit="1" customWidth="1"/>
    <col min="8217" max="8217" width="12.140625" style="118" bestFit="1" customWidth="1"/>
    <col min="8218" max="8218" width="23.140625" style="118" bestFit="1" customWidth="1"/>
    <col min="8219" max="8237" width="8.5703125" style="118" customWidth="1"/>
    <col min="8238" max="8448" width="8.5703125" style="118"/>
    <col min="8449" max="8449" width="3.5703125" style="118" customWidth="1"/>
    <col min="8450" max="8465" width="8.5703125" style="118" customWidth="1"/>
    <col min="8466" max="8466" width="2.85546875" style="118" customWidth="1"/>
    <col min="8467" max="8467" width="8.5703125" style="118" customWidth="1"/>
    <col min="8468" max="8468" width="34.140625" style="118" bestFit="1" customWidth="1"/>
    <col min="8469" max="8469" width="25.7109375" style="118" bestFit="1" customWidth="1"/>
    <col min="8470" max="8470" width="33.5703125" style="118" bestFit="1" customWidth="1"/>
    <col min="8471" max="8471" width="30.85546875" style="118" bestFit="1" customWidth="1"/>
    <col min="8472" max="8472" width="8.7109375" style="118" bestFit="1" customWidth="1"/>
    <col min="8473" max="8473" width="12.140625" style="118" bestFit="1" customWidth="1"/>
    <col min="8474" max="8474" width="23.140625" style="118" bestFit="1" customWidth="1"/>
    <col min="8475" max="8493" width="8.5703125" style="118" customWidth="1"/>
    <col min="8494" max="8704" width="8.5703125" style="118"/>
    <col min="8705" max="8705" width="3.5703125" style="118" customWidth="1"/>
    <col min="8706" max="8721" width="8.5703125" style="118" customWidth="1"/>
    <col min="8722" max="8722" width="2.85546875" style="118" customWidth="1"/>
    <col min="8723" max="8723" width="8.5703125" style="118" customWidth="1"/>
    <col min="8724" max="8724" width="34.140625" style="118" bestFit="1" customWidth="1"/>
    <col min="8725" max="8725" width="25.7109375" style="118" bestFit="1" customWidth="1"/>
    <col min="8726" max="8726" width="33.5703125" style="118" bestFit="1" customWidth="1"/>
    <col min="8727" max="8727" width="30.85546875" style="118" bestFit="1" customWidth="1"/>
    <col min="8728" max="8728" width="8.7109375" style="118" bestFit="1" customWidth="1"/>
    <col min="8729" max="8729" width="12.140625" style="118" bestFit="1" customWidth="1"/>
    <col min="8730" max="8730" width="23.140625" style="118" bestFit="1" customWidth="1"/>
    <col min="8731" max="8749" width="8.5703125" style="118" customWidth="1"/>
    <col min="8750" max="8960" width="8.5703125" style="118"/>
    <col min="8961" max="8961" width="3.5703125" style="118" customWidth="1"/>
    <col min="8962" max="8977" width="8.5703125" style="118" customWidth="1"/>
    <col min="8978" max="8978" width="2.85546875" style="118" customWidth="1"/>
    <col min="8979" max="8979" width="8.5703125" style="118" customWidth="1"/>
    <col min="8980" max="8980" width="34.140625" style="118" bestFit="1" customWidth="1"/>
    <col min="8981" max="8981" width="25.7109375" style="118" bestFit="1" customWidth="1"/>
    <col min="8982" max="8982" width="33.5703125" style="118" bestFit="1" customWidth="1"/>
    <col min="8983" max="8983" width="30.85546875" style="118" bestFit="1" customWidth="1"/>
    <col min="8984" max="8984" width="8.7109375" style="118" bestFit="1" customWidth="1"/>
    <col min="8985" max="8985" width="12.140625" style="118" bestFit="1" customWidth="1"/>
    <col min="8986" max="8986" width="23.140625" style="118" bestFit="1" customWidth="1"/>
    <col min="8987" max="9005" width="8.5703125" style="118" customWidth="1"/>
    <col min="9006" max="9216" width="8.5703125" style="118"/>
    <col min="9217" max="9217" width="3.5703125" style="118" customWidth="1"/>
    <col min="9218" max="9233" width="8.5703125" style="118" customWidth="1"/>
    <col min="9234" max="9234" width="2.85546875" style="118" customWidth="1"/>
    <col min="9235" max="9235" width="8.5703125" style="118" customWidth="1"/>
    <col min="9236" max="9236" width="34.140625" style="118" bestFit="1" customWidth="1"/>
    <col min="9237" max="9237" width="25.7109375" style="118" bestFit="1" customWidth="1"/>
    <col min="9238" max="9238" width="33.5703125" style="118" bestFit="1" customWidth="1"/>
    <col min="9239" max="9239" width="30.85546875" style="118" bestFit="1" customWidth="1"/>
    <col min="9240" max="9240" width="8.7109375" style="118" bestFit="1" customWidth="1"/>
    <col min="9241" max="9241" width="12.140625" style="118" bestFit="1" customWidth="1"/>
    <col min="9242" max="9242" width="23.140625" style="118" bestFit="1" customWidth="1"/>
    <col min="9243" max="9261" width="8.5703125" style="118" customWidth="1"/>
    <col min="9262" max="9472" width="8.5703125" style="118"/>
    <col min="9473" max="9473" width="3.5703125" style="118" customWidth="1"/>
    <col min="9474" max="9489" width="8.5703125" style="118" customWidth="1"/>
    <col min="9490" max="9490" width="2.85546875" style="118" customWidth="1"/>
    <col min="9491" max="9491" width="8.5703125" style="118" customWidth="1"/>
    <col min="9492" max="9492" width="34.140625" style="118" bestFit="1" customWidth="1"/>
    <col min="9493" max="9493" width="25.7109375" style="118" bestFit="1" customWidth="1"/>
    <col min="9494" max="9494" width="33.5703125" style="118" bestFit="1" customWidth="1"/>
    <col min="9495" max="9495" width="30.85546875" style="118" bestFit="1" customWidth="1"/>
    <col min="9496" max="9496" width="8.7109375" style="118" bestFit="1" customWidth="1"/>
    <col min="9497" max="9497" width="12.140625" style="118" bestFit="1" customWidth="1"/>
    <col min="9498" max="9498" width="23.140625" style="118" bestFit="1" customWidth="1"/>
    <col min="9499" max="9517" width="8.5703125" style="118" customWidth="1"/>
    <col min="9518" max="9728" width="8.5703125" style="118"/>
    <col min="9729" max="9729" width="3.5703125" style="118" customWidth="1"/>
    <col min="9730" max="9745" width="8.5703125" style="118" customWidth="1"/>
    <col min="9746" max="9746" width="2.85546875" style="118" customWidth="1"/>
    <col min="9747" max="9747" width="8.5703125" style="118" customWidth="1"/>
    <col min="9748" max="9748" width="34.140625" style="118" bestFit="1" customWidth="1"/>
    <col min="9749" max="9749" width="25.7109375" style="118" bestFit="1" customWidth="1"/>
    <col min="9750" max="9750" width="33.5703125" style="118" bestFit="1" customWidth="1"/>
    <col min="9751" max="9751" width="30.85546875" style="118" bestFit="1" customWidth="1"/>
    <col min="9752" max="9752" width="8.7109375" style="118" bestFit="1" customWidth="1"/>
    <col min="9753" max="9753" width="12.140625" style="118" bestFit="1" customWidth="1"/>
    <col min="9754" max="9754" width="23.140625" style="118" bestFit="1" customWidth="1"/>
    <col min="9755" max="9773" width="8.5703125" style="118" customWidth="1"/>
    <col min="9774" max="9984" width="8.5703125" style="118"/>
    <col min="9985" max="9985" width="3.5703125" style="118" customWidth="1"/>
    <col min="9986" max="10001" width="8.5703125" style="118" customWidth="1"/>
    <col min="10002" max="10002" width="2.85546875" style="118" customWidth="1"/>
    <col min="10003" max="10003" width="8.5703125" style="118" customWidth="1"/>
    <col min="10004" max="10004" width="34.140625" style="118" bestFit="1" customWidth="1"/>
    <col min="10005" max="10005" width="25.7109375" style="118" bestFit="1" customWidth="1"/>
    <col min="10006" max="10006" width="33.5703125" style="118" bestFit="1" customWidth="1"/>
    <col min="10007" max="10007" width="30.85546875" style="118" bestFit="1" customWidth="1"/>
    <col min="10008" max="10008" width="8.7109375" style="118" bestFit="1" customWidth="1"/>
    <col min="10009" max="10009" width="12.140625" style="118" bestFit="1" customWidth="1"/>
    <col min="10010" max="10010" width="23.140625" style="118" bestFit="1" customWidth="1"/>
    <col min="10011" max="10029" width="8.5703125" style="118" customWidth="1"/>
    <col min="10030" max="10240" width="8.5703125" style="118"/>
    <col min="10241" max="10241" width="3.5703125" style="118" customWidth="1"/>
    <col min="10242" max="10257" width="8.5703125" style="118" customWidth="1"/>
    <col min="10258" max="10258" width="2.85546875" style="118" customWidth="1"/>
    <col min="10259" max="10259" width="8.5703125" style="118" customWidth="1"/>
    <col min="10260" max="10260" width="34.140625" style="118" bestFit="1" customWidth="1"/>
    <col min="10261" max="10261" width="25.7109375" style="118" bestFit="1" customWidth="1"/>
    <col min="10262" max="10262" width="33.5703125" style="118" bestFit="1" customWidth="1"/>
    <col min="10263" max="10263" width="30.85546875" style="118" bestFit="1" customWidth="1"/>
    <col min="10264" max="10264" width="8.7109375" style="118" bestFit="1" customWidth="1"/>
    <col min="10265" max="10265" width="12.140625" style="118" bestFit="1" customWidth="1"/>
    <col min="10266" max="10266" width="23.140625" style="118" bestFit="1" customWidth="1"/>
    <col min="10267" max="10285" width="8.5703125" style="118" customWidth="1"/>
    <col min="10286" max="10496" width="8.5703125" style="118"/>
    <col min="10497" max="10497" width="3.5703125" style="118" customWidth="1"/>
    <col min="10498" max="10513" width="8.5703125" style="118" customWidth="1"/>
    <col min="10514" max="10514" width="2.85546875" style="118" customWidth="1"/>
    <col min="10515" max="10515" width="8.5703125" style="118" customWidth="1"/>
    <col min="10516" max="10516" width="34.140625" style="118" bestFit="1" customWidth="1"/>
    <col min="10517" max="10517" width="25.7109375" style="118" bestFit="1" customWidth="1"/>
    <col min="10518" max="10518" width="33.5703125" style="118" bestFit="1" customWidth="1"/>
    <col min="10519" max="10519" width="30.85546875" style="118" bestFit="1" customWidth="1"/>
    <col min="10520" max="10520" width="8.7109375" style="118" bestFit="1" customWidth="1"/>
    <col min="10521" max="10521" width="12.140625" style="118" bestFit="1" customWidth="1"/>
    <col min="10522" max="10522" width="23.140625" style="118" bestFit="1" customWidth="1"/>
    <col min="10523" max="10541" width="8.5703125" style="118" customWidth="1"/>
    <col min="10542" max="10752" width="8.5703125" style="118"/>
    <col min="10753" max="10753" width="3.5703125" style="118" customWidth="1"/>
    <col min="10754" max="10769" width="8.5703125" style="118" customWidth="1"/>
    <col min="10770" max="10770" width="2.85546875" style="118" customWidth="1"/>
    <col min="10771" max="10771" width="8.5703125" style="118" customWidth="1"/>
    <col min="10772" max="10772" width="34.140625" style="118" bestFit="1" customWidth="1"/>
    <col min="10773" max="10773" width="25.7109375" style="118" bestFit="1" customWidth="1"/>
    <col min="10774" max="10774" width="33.5703125" style="118" bestFit="1" customWidth="1"/>
    <col min="10775" max="10775" width="30.85546875" style="118" bestFit="1" customWidth="1"/>
    <col min="10776" max="10776" width="8.7109375" style="118" bestFit="1" customWidth="1"/>
    <col min="10777" max="10777" width="12.140625" style="118" bestFit="1" customWidth="1"/>
    <col min="10778" max="10778" width="23.140625" style="118" bestFit="1" customWidth="1"/>
    <col min="10779" max="10797" width="8.5703125" style="118" customWidth="1"/>
    <col min="10798" max="11008" width="8.5703125" style="118"/>
    <col min="11009" max="11009" width="3.5703125" style="118" customWidth="1"/>
    <col min="11010" max="11025" width="8.5703125" style="118" customWidth="1"/>
    <col min="11026" max="11026" width="2.85546875" style="118" customWidth="1"/>
    <col min="11027" max="11027" width="8.5703125" style="118" customWidth="1"/>
    <col min="11028" max="11028" width="34.140625" style="118" bestFit="1" customWidth="1"/>
    <col min="11029" max="11029" width="25.7109375" style="118" bestFit="1" customWidth="1"/>
    <col min="11030" max="11030" width="33.5703125" style="118" bestFit="1" customWidth="1"/>
    <col min="11031" max="11031" width="30.85546875" style="118" bestFit="1" customWidth="1"/>
    <col min="11032" max="11032" width="8.7109375" style="118" bestFit="1" customWidth="1"/>
    <col min="11033" max="11033" width="12.140625" style="118" bestFit="1" customWidth="1"/>
    <col min="11034" max="11034" width="23.140625" style="118" bestFit="1" customWidth="1"/>
    <col min="11035" max="11053" width="8.5703125" style="118" customWidth="1"/>
    <col min="11054" max="11264" width="8.5703125" style="118"/>
    <col min="11265" max="11265" width="3.5703125" style="118" customWidth="1"/>
    <col min="11266" max="11281" width="8.5703125" style="118" customWidth="1"/>
    <col min="11282" max="11282" width="2.85546875" style="118" customWidth="1"/>
    <col min="11283" max="11283" width="8.5703125" style="118" customWidth="1"/>
    <col min="11284" max="11284" width="34.140625" style="118" bestFit="1" customWidth="1"/>
    <col min="11285" max="11285" width="25.7109375" style="118" bestFit="1" customWidth="1"/>
    <col min="11286" max="11286" width="33.5703125" style="118" bestFit="1" customWidth="1"/>
    <col min="11287" max="11287" width="30.85546875" style="118" bestFit="1" customWidth="1"/>
    <col min="11288" max="11288" width="8.7109375" style="118" bestFit="1" customWidth="1"/>
    <col min="11289" max="11289" width="12.140625" style="118" bestFit="1" customWidth="1"/>
    <col min="11290" max="11290" width="23.140625" style="118" bestFit="1" customWidth="1"/>
    <col min="11291" max="11309" width="8.5703125" style="118" customWidth="1"/>
    <col min="11310" max="11520" width="8.5703125" style="118"/>
    <col min="11521" max="11521" width="3.5703125" style="118" customWidth="1"/>
    <col min="11522" max="11537" width="8.5703125" style="118" customWidth="1"/>
    <col min="11538" max="11538" width="2.85546875" style="118" customWidth="1"/>
    <col min="11539" max="11539" width="8.5703125" style="118" customWidth="1"/>
    <col min="11540" max="11540" width="34.140625" style="118" bestFit="1" customWidth="1"/>
    <col min="11541" max="11541" width="25.7109375" style="118" bestFit="1" customWidth="1"/>
    <col min="11542" max="11542" width="33.5703125" style="118" bestFit="1" customWidth="1"/>
    <col min="11543" max="11543" width="30.85546875" style="118" bestFit="1" customWidth="1"/>
    <col min="11544" max="11544" width="8.7109375" style="118" bestFit="1" customWidth="1"/>
    <col min="11545" max="11545" width="12.140625" style="118" bestFit="1" customWidth="1"/>
    <col min="11546" max="11546" width="23.140625" style="118" bestFit="1" customWidth="1"/>
    <col min="11547" max="11565" width="8.5703125" style="118" customWidth="1"/>
    <col min="11566" max="11776" width="8.5703125" style="118"/>
    <col min="11777" max="11777" width="3.5703125" style="118" customWidth="1"/>
    <col min="11778" max="11793" width="8.5703125" style="118" customWidth="1"/>
    <col min="11794" max="11794" width="2.85546875" style="118" customWidth="1"/>
    <col min="11795" max="11795" width="8.5703125" style="118" customWidth="1"/>
    <col min="11796" max="11796" width="34.140625" style="118" bestFit="1" customWidth="1"/>
    <col min="11797" max="11797" width="25.7109375" style="118" bestFit="1" customWidth="1"/>
    <col min="11798" max="11798" width="33.5703125" style="118" bestFit="1" customWidth="1"/>
    <col min="11799" max="11799" width="30.85546875" style="118" bestFit="1" customWidth="1"/>
    <col min="11800" max="11800" width="8.7109375" style="118" bestFit="1" customWidth="1"/>
    <col min="11801" max="11801" width="12.140625" style="118" bestFit="1" customWidth="1"/>
    <col min="11802" max="11802" width="23.140625" style="118" bestFit="1" customWidth="1"/>
    <col min="11803" max="11821" width="8.5703125" style="118" customWidth="1"/>
    <col min="11822" max="12032" width="8.5703125" style="118"/>
    <col min="12033" max="12033" width="3.5703125" style="118" customWidth="1"/>
    <col min="12034" max="12049" width="8.5703125" style="118" customWidth="1"/>
    <col min="12050" max="12050" width="2.85546875" style="118" customWidth="1"/>
    <col min="12051" max="12051" width="8.5703125" style="118" customWidth="1"/>
    <col min="12052" max="12052" width="34.140625" style="118" bestFit="1" customWidth="1"/>
    <col min="12053" max="12053" width="25.7109375" style="118" bestFit="1" customWidth="1"/>
    <col min="12054" max="12054" width="33.5703125" style="118" bestFit="1" customWidth="1"/>
    <col min="12055" max="12055" width="30.85546875" style="118" bestFit="1" customWidth="1"/>
    <col min="12056" max="12056" width="8.7109375" style="118" bestFit="1" customWidth="1"/>
    <col min="12057" max="12057" width="12.140625" style="118" bestFit="1" customWidth="1"/>
    <col min="12058" max="12058" width="23.140625" style="118" bestFit="1" customWidth="1"/>
    <col min="12059" max="12077" width="8.5703125" style="118" customWidth="1"/>
    <col min="12078" max="12288" width="8.5703125" style="118"/>
    <col min="12289" max="12289" width="3.5703125" style="118" customWidth="1"/>
    <col min="12290" max="12305" width="8.5703125" style="118" customWidth="1"/>
    <col min="12306" max="12306" width="2.85546875" style="118" customWidth="1"/>
    <col min="12307" max="12307" width="8.5703125" style="118" customWidth="1"/>
    <col min="12308" max="12308" width="34.140625" style="118" bestFit="1" customWidth="1"/>
    <col min="12309" max="12309" width="25.7109375" style="118" bestFit="1" customWidth="1"/>
    <col min="12310" max="12310" width="33.5703125" style="118" bestFit="1" customWidth="1"/>
    <col min="12311" max="12311" width="30.85546875" style="118" bestFit="1" customWidth="1"/>
    <col min="12312" max="12312" width="8.7109375" style="118" bestFit="1" customWidth="1"/>
    <col min="12313" max="12313" width="12.140625" style="118" bestFit="1" customWidth="1"/>
    <col min="12314" max="12314" width="23.140625" style="118" bestFit="1" customWidth="1"/>
    <col min="12315" max="12333" width="8.5703125" style="118" customWidth="1"/>
    <col min="12334" max="12544" width="8.5703125" style="118"/>
    <col min="12545" max="12545" width="3.5703125" style="118" customWidth="1"/>
    <col min="12546" max="12561" width="8.5703125" style="118" customWidth="1"/>
    <col min="12562" max="12562" width="2.85546875" style="118" customWidth="1"/>
    <col min="12563" max="12563" width="8.5703125" style="118" customWidth="1"/>
    <col min="12564" max="12564" width="34.140625" style="118" bestFit="1" customWidth="1"/>
    <col min="12565" max="12565" width="25.7109375" style="118" bestFit="1" customWidth="1"/>
    <col min="12566" max="12566" width="33.5703125" style="118" bestFit="1" customWidth="1"/>
    <col min="12567" max="12567" width="30.85546875" style="118" bestFit="1" customWidth="1"/>
    <col min="12568" max="12568" width="8.7109375" style="118" bestFit="1" customWidth="1"/>
    <col min="12569" max="12569" width="12.140625" style="118" bestFit="1" customWidth="1"/>
    <col min="12570" max="12570" width="23.140625" style="118" bestFit="1" customWidth="1"/>
    <col min="12571" max="12589" width="8.5703125" style="118" customWidth="1"/>
    <col min="12590" max="12800" width="8.5703125" style="118"/>
    <col min="12801" max="12801" width="3.5703125" style="118" customWidth="1"/>
    <col min="12802" max="12817" width="8.5703125" style="118" customWidth="1"/>
    <col min="12818" max="12818" width="2.85546875" style="118" customWidth="1"/>
    <col min="12819" max="12819" width="8.5703125" style="118" customWidth="1"/>
    <col min="12820" max="12820" width="34.140625" style="118" bestFit="1" customWidth="1"/>
    <col min="12821" max="12821" width="25.7109375" style="118" bestFit="1" customWidth="1"/>
    <col min="12822" max="12822" width="33.5703125" style="118" bestFit="1" customWidth="1"/>
    <col min="12823" max="12823" width="30.85546875" style="118" bestFit="1" customWidth="1"/>
    <col min="12824" max="12824" width="8.7109375" style="118" bestFit="1" customWidth="1"/>
    <col min="12825" max="12825" width="12.140625" style="118" bestFit="1" customWidth="1"/>
    <col min="12826" max="12826" width="23.140625" style="118" bestFit="1" customWidth="1"/>
    <col min="12827" max="12845" width="8.5703125" style="118" customWidth="1"/>
    <col min="12846" max="13056" width="8.5703125" style="118"/>
    <col min="13057" max="13057" width="3.5703125" style="118" customWidth="1"/>
    <col min="13058" max="13073" width="8.5703125" style="118" customWidth="1"/>
    <col min="13074" max="13074" width="2.85546875" style="118" customWidth="1"/>
    <col min="13075" max="13075" width="8.5703125" style="118" customWidth="1"/>
    <col min="13076" max="13076" width="34.140625" style="118" bestFit="1" customWidth="1"/>
    <col min="13077" max="13077" width="25.7109375" style="118" bestFit="1" customWidth="1"/>
    <col min="13078" max="13078" width="33.5703125" style="118" bestFit="1" customWidth="1"/>
    <col min="13079" max="13079" width="30.85546875" style="118" bestFit="1" customWidth="1"/>
    <col min="13080" max="13080" width="8.7109375" style="118" bestFit="1" customWidth="1"/>
    <col min="13081" max="13081" width="12.140625" style="118" bestFit="1" customWidth="1"/>
    <col min="13082" max="13082" width="23.140625" style="118" bestFit="1" customWidth="1"/>
    <col min="13083" max="13101" width="8.5703125" style="118" customWidth="1"/>
    <col min="13102" max="13312" width="8.5703125" style="118"/>
    <col min="13313" max="13313" width="3.5703125" style="118" customWidth="1"/>
    <col min="13314" max="13329" width="8.5703125" style="118" customWidth="1"/>
    <col min="13330" max="13330" width="2.85546875" style="118" customWidth="1"/>
    <col min="13331" max="13331" width="8.5703125" style="118" customWidth="1"/>
    <col min="13332" max="13332" width="34.140625" style="118" bestFit="1" customWidth="1"/>
    <col min="13333" max="13333" width="25.7109375" style="118" bestFit="1" customWidth="1"/>
    <col min="13334" max="13334" width="33.5703125" style="118" bestFit="1" customWidth="1"/>
    <col min="13335" max="13335" width="30.85546875" style="118" bestFit="1" customWidth="1"/>
    <col min="13336" max="13336" width="8.7109375" style="118" bestFit="1" customWidth="1"/>
    <col min="13337" max="13337" width="12.140625" style="118" bestFit="1" customWidth="1"/>
    <col min="13338" max="13338" width="23.140625" style="118" bestFit="1" customWidth="1"/>
    <col min="13339" max="13357" width="8.5703125" style="118" customWidth="1"/>
    <col min="13358" max="13568" width="8.5703125" style="118"/>
    <col min="13569" max="13569" width="3.5703125" style="118" customWidth="1"/>
    <col min="13570" max="13585" width="8.5703125" style="118" customWidth="1"/>
    <col min="13586" max="13586" width="2.85546875" style="118" customWidth="1"/>
    <col min="13587" max="13587" width="8.5703125" style="118" customWidth="1"/>
    <col min="13588" max="13588" width="34.140625" style="118" bestFit="1" customWidth="1"/>
    <col min="13589" max="13589" width="25.7109375" style="118" bestFit="1" customWidth="1"/>
    <col min="13590" max="13590" width="33.5703125" style="118" bestFit="1" customWidth="1"/>
    <col min="13591" max="13591" width="30.85546875" style="118" bestFit="1" customWidth="1"/>
    <col min="13592" max="13592" width="8.7109375" style="118" bestFit="1" customWidth="1"/>
    <col min="13593" max="13593" width="12.140625" style="118" bestFit="1" customWidth="1"/>
    <col min="13594" max="13594" width="23.140625" style="118" bestFit="1" customWidth="1"/>
    <col min="13595" max="13613" width="8.5703125" style="118" customWidth="1"/>
    <col min="13614" max="13824" width="8.5703125" style="118"/>
    <col min="13825" max="13825" width="3.5703125" style="118" customWidth="1"/>
    <col min="13826" max="13841" width="8.5703125" style="118" customWidth="1"/>
    <col min="13842" max="13842" width="2.85546875" style="118" customWidth="1"/>
    <col min="13843" max="13843" width="8.5703125" style="118" customWidth="1"/>
    <col min="13844" max="13844" width="34.140625" style="118" bestFit="1" customWidth="1"/>
    <col min="13845" max="13845" width="25.7109375" style="118" bestFit="1" customWidth="1"/>
    <col min="13846" max="13846" width="33.5703125" style="118" bestFit="1" customWidth="1"/>
    <col min="13847" max="13847" width="30.85546875" style="118" bestFit="1" customWidth="1"/>
    <col min="13848" max="13848" width="8.7109375" style="118" bestFit="1" customWidth="1"/>
    <col min="13849" max="13849" width="12.140625" style="118" bestFit="1" customWidth="1"/>
    <col min="13850" max="13850" width="23.140625" style="118" bestFit="1" customWidth="1"/>
    <col min="13851" max="13869" width="8.5703125" style="118" customWidth="1"/>
    <col min="13870" max="14080" width="8.5703125" style="118"/>
    <col min="14081" max="14081" width="3.5703125" style="118" customWidth="1"/>
    <col min="14082" max="14097" width="8.5703125" style="118" customWidth="1"/>
    <col min="14098" max="14098" width="2.85546875" style="118" customWidth="1"/>
    <col min="14099" max="14099" width="8.5703125" style="118" customWidth="1"/>
    <col min="14100" max="14100" width="34.140625" style="118" bestFit="1" customWidth="1"/>
    <col min="14101" max="14101" width="25.7109375" style="118" bestFit="1" customWidth="1"/>
    <col min="14102" max="14102" width="33.5703125" style="118" bestFit="1" customWidth="1"/>
    <col min="14103" max="14103" width="30.85546875" style="118" bestFit="1" customWidth="1"/>
    <col min="14104" max="14104" width="8.7109375" style="118" bestFit="1" customWidth="1"/>
    <col min="14105" max="14105" width="12.140625" style="118" bestFit="1" customWidth="1"/>
    <col min="14106" max="14106" width="23.140625" style="118" bestFit="1" customWidth="1"/>
    <col min="14107" max="14125" width="8.5703125" style="118" customWidth="1"/>
    <col min="14126" max="14336" width="8.5703125" style="118"/>
    <col min="14337" max="14337" width="3.5703125" style="118" customWidth="1"/>
    <col min="14338" max="14353" width="8.5703125" style="118" customWidth="1"/>
    <col min="14354" max="14354" width="2.85546875" style="118" customWidth="1"/>
    <col min="14355" max="14355" width="8.5703125" style="118" customWidth="1"/>
    <col min="14356" max="14356" width="34.140625" style="118" bestFit="1" customWidth="1"/>
    <col min="14357" max="14357" width="25.7109375" style="118" bestFit="1" customWidth="1"/>
    <col min="14358" max="14358" width="33.5703125" style="118" bestFit="1" customWidth="1"/>
    <col min="14359" max="14359" width="30.85546875" style="118" bestFit="1" customWidth="1"/>
    <col min="14360" max="14360" width="8.7109375" style="118" bestFit="1" customWidth="1"/>
    <col min="14361" max="14361" width="12.140625" style="118" bestFit="1" customWidth="1"/>
    <col min="14362" max="14362" width="23.140625" style="118" bestFit="1" customWidth="1"/>
    <col min="14363" max="14381" width="8.5703125" style="118" customWidth="1"/>
    <col min="14382" max="14592" width="8.5703125" style="118"/>
    <col min="14593" max="14593" width="3.5703125" style="118" customWidth="1"/>
    <col min="14594" max="14609" width="8.5703125" style="118" customWidth="1"/>
    <col min="14610" max="14610" width="2.85546875" style="118" customWidth="1"/>
    <col min="14611" max="14611" width="8.5703125" style="118" customWidth="1"/>
    <col min="14612" max="14612" width="34.140625" style="118" bestFit="1" customWidth="1"/>
    <col min="14613" max="14613" width="25.7109375" style="118" bestFit="1" customWidth="1"/>
    <col min="14614" max="14614" width="33.5703125" style="118" bestFit="1" customWidth="1"/>
    <col min="14615" max="14615" width="30.85546875" style="118" bestFit="1" customWidth="1"/>
    <col min="14616" max="14616" width="8.7109375" style="118" bestFit="1" customWidth="1"/>
    <col min="14617" max="14617" width="12.140625" style="118" bestFit="1" customWidth="1"/>
    <col min="14618" max="14618" width="23.140625" style="118" bestFit="1" customWidth="1"/>
    <col min="14619" max="14637" width="8.5703125" style="118" customWidth="1"/>
    <col min="14638" max="14848" width="8.5703125" style="118"/>
    <col min="14849" max="14849" width="3.5703125" style="118" customWidth="1"/>
    <col min="14850" max="14865" width="8.5703125" style="118" customWidth="1"/>
    <col min="14866" max="14866" width="2.85546875" style="118" customWidth="1"/>
    <col min="14867" max="14867" width="8.5703125" style="118" customWidth="1"/>
    <col min="14868" max="14868" width="34.140625" style="118" bestFit="1" customWidth="1"/>
    <col min="14869" max="14869" width="25.7109375" style="118" bestFit="1" customWidth="1"/>
    <col min="14870" max="14870" width="33.5703125" style="118" bestFit="1" customWidth="1"/>
    <col min="14871" max="14871" width="30.85546875" style="118" bestFit="1" customWidth="1"/>
    <col min="14872" max="14872" width="8.7109375" style="118" bestFit="1" customWidth="1"/>
    <col min="14873" max="14873" width="12.140625" style="118" bestFit="1" customWidth="1"/>
    <col min="14874" max="14874" width="23.140625" style="118" bestFit="1" customWidth="1"/>
    <col min="14875" max="14893" width="8.5703125" style="118" customWidth="1"/>
    <col min="14894" max="15104" width="8.5703125" style="118"/>
    <col min="15105" max="15105" width="3.5703125" style="118" customWidth="1"/>
    <col min="15106" max="15121" width="8.5703125" style="118" customWidth="1"/>
    <col min="15122" max="15122" width="2.85546875" style="118" customWidth="1"/>
    <col min="15123" max="15123" width="8.5703125" style="118" customWidth="1"/>
    <col min="15124" max="15124" width="34.140625" style="118" bestFit="1" customWidth="1"/>
    <col min="15125" max="15125" width="25.7109375" style="118" bestFit="1" customWidth="1"/>
    <col min="15126" max="15126" width="33.5703125" style="118" bestFit="1" customWidth="1"/>
    <col min="15127" max="15127" width="30.85546875" style="118" bestFit="1" customWidth="1"/>
    <col min="15128" max="15128" width="8.7109375" style="118" bestFit="1" customWidth="1"/>
    <col min="15129" max="15129" width="12.140625" style="118" bestFit="1" customWidth="1"/>
    <col min="15130" max="15130" width="23.140625" style="118" bestFit="1" customWidth="1"/>
    <col min="15131" max="15149" width="8.5703125" style="118" customWidth="1"/>
    <col min="15150" max="15360" width="8.5703125" style="118"/>
    <col min="15361" max="15361" width="3.5703125" style="118" customWidth="1"/>
    <col min="15362" max="15377" width="8.5703125" style="118" customWidth="1"/>
    <col min="15378" max="15378" width="2.85546875" style="118" customWidth="1"/>
    <col min="15379" max="15379" width="8.5703125" style="118" customWidth="1"/>
    <col min="15380" max="15380" width="34.140625" style="118" bestFit="1" customWidth="1"/>
    <col min="15381" max="15381" width="25.7109375" style="118" bestFit="1" customWidth="1"/>
    <col min="15382" max="15382" width="33.5703125" style="118" bestFit="1" customWidth="1"/>
    <col min="15383" max="15383" width="30.85546875" style="118" bestFit="1" customWidth="1"/>
    <col min="15384" max="15384" width="8.7109375" style="118" bestFit="1" customWidth="1"/>
    <col min="15385" max="15385" width="12.140625" style="118" bestFit="1" customWidth="1"/>
    <col min="15386" max="15386" width="23.140625" style="118" bestFit="1" customWidth="1"/>
    <col min="15387" max="15405" width="8.5703125" style="118" customWidth="1"/>
    <col min="15406" max="15616" width="8.5703125" style="118"/>
    <col min="15617" max="15617" width="3.5703125" style="118" customWidth="1"/>
    <col min="15618" max="15633" width="8.5703125" style="118" customWidth="1"/>
    <col min="15634" max="15634" width="2.85546875" style="118" customWidth="1"/>
    <col min="15635" max="15635" width="8.5703125" style="118" customWidth="1"/>
    <col min="15636" max="15636" width="34.140625" style="118" bestFit="1" customWidth="1"/>
    <col min="15637" max="15637" width="25.7109375" style="118" bestFit="1" customWidth="1"/>
    <col min="15638" max="15638" width="33.5703125" style="118" bestFit="1" customWidth="1"/>
    <col min="15639" max="15639" width="30.85546875" style="118" bestFit="1" customWidth="1"/>
    <col min="15640" max="15640" width="8.7109375" style="118" bestFit="1" customWidth="1"/>
    <col min="15641" max="15641" width="12.140625" style="118" bestFit="1" customWidth="1"/>
    <col min="15642" max="15642" width="23.140625" style="118" bestFit="1" customWidth="1"/>
    <col min="15643" max="15661" width="8.5703125" style="118" customWidth="1"/>
    <col min="15662" max="15872" width="8.5703125" style="118"/>
    <col min="15873" max="15873" width="3.5703125" style="118" customWidth="1"/>
    <col min="15874" max="15889" width="8.5703125" style="118" customWidth="1"/>
    <col min="15890" max="15890" width="2.85546875" style="118" customWidth="1"/>
    <col min="15891" max="15891" width="8.5703125" style="118" customWidth="1"/>
    <col min="15892" max="15892" width="34.140625" style="118" bestFit="1" customWidth="1"/>
    <col min="15893" max="15893" width="25.7109375" style="118" bestFit="1" customWidth="1"/>
    <col min="15894" max="15894" width="33.5703125" style="118" bestFit="1" customWidth="1"/>
    <col min="15895" max="15895" width="30.85546875" style="118" bestFit="1" customWidth="1"/>
    <col min="15896" max="15896" width="8.7109375" style="118" bestFit="1" customWidth="1"/>
    <col min="15897" max="15897" width="12.140625" style="118" bestFit="1" customWidth="1"/>
    <col min="15898" max="15898" width="23.140625" style="118" bestFit="1" customWidth="1"/>
    <col min="15899" max="15917" width="8.5703125" style="118" customWidth="1"/>
    <col min="15918" max="16128" width="8.5703125" style="118"/>
    <col min="16129" max="16129" width="3.5703125" style="118" customWidth="1"/>
    <col min="16130" max="16145" width="8.5703125" style="118" customWidth="1"/>
    <col min="16146" max="16146" width="2.85546875" style="118" customWidth="1"/>
    <col min="16147" max="16147" width="8.5703125" style="118" customWidth="1"/>
    <col min="16148" max="16148" width="34.140625" style="118" bestFit="1" customWidth="1"/>
    <col min="16149" max="16149" width="25.7109375" style="118" bestFit="1" customWidth="1"/>
    <col min="16150" max="16150" width="33.5703125" style="118" bestFit="1" customWidth="1"/>
    <col min="16151" max="16151" width="30.85546875" style="118" bestFit="1" customWidth="1"/>
    <col min="16152" max="16152" width="8.7109375" style="118" bestFit="1" customWidth="1"/>
    <col min="16153" max="16153" width="12.140625" style="118" bestFit="1" customWidth="1"/>
    <col min="16154" max="16154" width="23.140625" style="118" bestFit="1" customWidth="1"/>
    <col min="16155" max="16173" width="8.5703125" style="118" customWidth="1"/>
    <col min="16174" max="16384" width="8.5703125" style="118"/>
  </cols>
  <sheetData>
    <row r="1" spans="1:45" ht="38.25" customHeight="1">
      <c r="A1" s="191" t="s">
        <v>2889</v>
      </c>
      <c r="B1" s="192"/>
      <c r="C1" s="192"/>
      <c r="D1" s="192"/>
      <c r="E1" s="192"/>
      <c r="F1" s="192"/>
      <c r="G1" s="192"/>
      <c r="H1" s="192"/>
      <c r="I1" s="192"/>
      <c r="J1" s="192"/>
      <c r="K1" s="192"/>
      <c r="L1" s="192"/>
      <c r="M1" s="192"/>
      <c r="N1" s="192"/>
      <c r="O1" s="192"/>
      <c r="P1" s="192"/>
      <c r="Q1" s="192"/>
      <c r="R1" s="112"/>
      <c r="S1" s="113"/>
      <c r="T1" s="114"/>
      <c r="X1" s="116"/>
      <c r="AF1" s="115"/>
      <c r="AG1" s="115"/>
      <c r="AH1" s="115"/>
      <c r="AI1" s="115"/>
      <c r="AJ1" s="115"/>
      <c r="AK1" s="161"/>
      <c r="AL1" s="161"/>
      <c r="AM1" s="161"/>
      <c r="AN1" s="161"/>
      <c r="AO1" s="161"/>
      <c r="AP1" s="161"/>
      <c r="AQ1" s="161"/>
      <c r="AR1" s="161"/>
    </row>
    <row r="2" spans="1:45" s="121" customFormat="1" ht="10.5" customHeight="1">
      <c r="A2" s="119"/>
      <c r="B2" s="120"/>
      <c r="C2" s="120"/>
      <c r="D2" s="120"/>
      <c r="E2" s="120"/>
      <c r="F2" s="120"/>
      <c r="R2" s="122"/>
      <c r="S2" s="123"/>
      <c r="T2" s="123"/>
      <c r="U2" s="123"/>
      <c r="V2" s="123"/>
      <c r="W2" s="123"/>
      <c r="X2" s="124"/>
      <c r="Y2" s="123"/>
      <c r="Z2" s="123"/>
      <c r="AA2" s="123"/>
      <c r="AB2" s="123"/>
      <c r="AC2" s="123"/>
      <c r="AD2" s="123"/>
      <c r="AE2" s="123"/>
      <c r="AF2" s="123"/>
      <c r="AG2" s="123"/>
      <c r="AH2" s="123"/>
      <c r="AI2" s="123"/>
      <c r="AJ2" s="123"/>
      <c r="AK2" s="162"/>
      <c r="AL2" s="162"/>
      <c r="AM2" s="162"/>
      <c r="AN2" s="162"/>
      <c r="AO2" s="162"/>
      <c r="AP2" s="162"/>
      <c r="AQ2" s="162"/>
      <c r="AR2" s="162"/>
      <c r="AS2" s="125"/>
    </row>
    <row r="3" spans="1:45" s="121" customFormat="1" ht="9" customHeight="1">
      <c r="A3" s="120"/>
      <c r="B3" s="120"/>
      <c r="C3" s="120"/>
      <c r="D3" s="120"/>
      <c r="E3" s="120"/>
      <c r="F3" s="120"/>
      <c r="R3" s="122"/>
      <c r="S3" s="123" t="s">
        <v>2471</v>
      </c>
      <c r="T3" s="123" t="s">
        <v>2944</v>
      </c>
      <c r="U3" s="123" t="s">
        <v>2890</v>
      </c>
      <c r="V3" s="123" t="s">
        <v>2891</v>
      </c>
      <c r="W3" s="123" t="s">
        <v>2892</v>
      </c>
      <c r="X3" s="126" t="s">
        <v>2893</v>
      </c>
      <c r="Y3" s="123"/>
      <c r="Z3" s="123"/>
      <c r="AA3" s="123"/>
      <c r="AB3" s="123"/>
      <c r="AC3" s="123"/>
      <c r="AD3" s="123"/>
      <c r="AE3" s="123"/>
      <c r="AF3" s="123"/>
      <c r="AG3" s="123"/>
      <c r="AH3" s="123"/>
      <c r="AI3" s="123"/>
      <c r="AJ3" s="123"/>
      <c r="AK3" s="162"/>
      <c r="AL3" s="162"/>
      <c r="AM3" s="162"/>
      <c r="AN3" s="162"/>
      <c r="AO3" s="162"/>
      <c r="AP3" s="162"/>
      <c r="AQ3" s="162"/>
      <c r="AR3" s="162"/>
      <c r="AS3" s="125"/>
    </row>
    <row r="4" spans="1:45" s="121" customFormat="1" ht="15" customHeight="1">
      <c r="A4" s="160" t="s">
        <v>2894</v>
      </c>
      <c r="B4" s="181" t="s">
        <v>2895</v>
      </c>
      <c r="C4" s="185"/>
      <c r="D4" s="185"/>
      <c r="E4" s="185"/>
      <c r="F4" s="185"/>
      <c r="G4" s="185"/>
      <c r="H4" s="185"/>
      <c r="I4" s="190"/>
      <c r="J4" s="186"/>
      <c r="K4" s="189"/>
      <c r="L4" s="189"/>
      <c r="M4" s="187"/>
      <c r="N4" s="127"/>
      <c r="O4" s="128"/>
      <c r="P4" s="128"/>
      <c r="Q4" s="129"/>
      <c r="R4" s="122"/>
      <c r="S4" s="123" t="s">
        <v>2896</v>
      </c>
      <c r="T4" s="123" t="str">
        <f>B_Team4</f>
        <v>Albania</v>
      </c>
      <c r="U4" s="123" t="str">
        <f>B_Team4</f>
        <v>Albania</v>
      </c>
      <c r="V4" s="123" t="str">
        <f>B_Team4</f>
        <v>Albania</v>
      </c>
      <c r="W4" s="123" t="str">
        <f>B_Team4</f>
        <v>Albania</v>
      </c>
      <c r="X4" s="126" t="s">
        <v>2897</v>
      </c>
      <c r="Y4" s="123" t="str">
        <f>B_Team4</f>
        <v>Albania</v>
      </c>
      <c r="Z4" s="123" t="str">
        <f>'UEFA EURO 2024'!E10 &amp; " vs " &amp; 'UEFA EURO 2024'!H10</f>
        <v>Germany vs Scotland</v>
      </c>
      <c r="AA4" s="123"/>
      <c r="AB4" s="123"/>
      <c r="AC4" s="123"/>
      <c r="AD4" s="123" t="s">
        <v>2898</v>
      </c>
      <c r="AE4" s="123"/>
      <c r="AF4" s="123"/>
      <c r="AG4" s="123"/>
      <c r="AH4" s="123"/>
      <c r="AI4" s="123"/>
      <c r="AJ4" s="123"/>
      <c r="AK4" s="162"/>
      <c r="AL4" s="162"/>
      <c r="AM4" s="162"/>
      <c r="AN4" s="162"/>
      <c r="AO4" s="162"/>
      <c r="AP4" s="162"/>
      <c r="AQ4" s="162"/>
      <c r="AR4" s="162"/>
      <c r="AS4" s="125"/>
    </row>
    <row r="5" spans="1:45" s="121" customFormat="1" ht="9" customHeight="1">
      <c r="A5" s="130"/>
      <c r="B5" s="131"/>
      <c r="C5" s="132"/>
      <c r="D5" s="132"/>
      <c r="E5" s="132"/>
      <c r="F5" s="132"/>
      <c r="G5" s="128"/>
      <c r="H5" s="128"/>
      <c r="I5" s="128"/>
      <c r="J5" s="128"/>
      <c r="K5" s="128"/>
      <c r="L5" s="128"/>
      <c r="M5" s="128"/>
      <c r="N5" s="128"/>
      <c r="O5" s="128"/>
      <c r="P5" s="128"/>
      <c r="Q5" s="133"/>
      <c r="R5" s="122"/>
      <c r="S5" s="123"/>
      <c r="T5" s="123" t="str">
        <f>D_Team3</f>
        <v>Austria</v>
      </c>
      <c r="U5" s="123" t="str">
        <f>D_Team3</f>
        <v>Austria</v>
      </c>
      <c r="V5" s="123" t="str">
        <f>D_Team3</f>
        <v>Austria</v>
      </c>
      <c r="W5" s="123" t="str">
        <f>D_Team3</f>
        <v>Austria</v>
      </c>
      <c r="X5" s="126" t="s">
        <v>2899</v>
      </c>
      <c r="Y5" s="123" t="str">
        <f>D_Team3</f>
        <v>Austria</v>
      </c>
      <c r="Z5" s="123" t="str">
        <f>'UEFA EURO 2024'!E11 &amp; " vs " &amp; 'UEFA EURO 2024'!H11</f>
        <v>Hungary vs Switzerland</v>
      </c>
      <c r="AA5" s="123"/>
      <c r="AB5" s="123"/>
      <c r="AC5" s="123"/>
      <c r="AD5" s="123" t="str">
        <f>A_Team1</f>
        <v>Germany</v>
      </c>
      <c r="AE5" s="123"/>
      <c r="AF5" s="123"/>
      <c r="AG5" s="123"/>
      <c r="AH5" s="123"/>
      <c r="AI5" s="123"/>
      <c r="AJ5" s="123"/>
      <c r="AK5" s="162"/>
      <c r="AL5" s="162"/>
      <c r="AM5" s="162"/>
      <c r="AN5" s="162"/>
      <c r="AO5" s="162"/>
      <c r="AP5" s="162"/>
      <c r="AQ5" s="162"/>
      <c r="AR5" s="162"/>
      <c r="AS5" s="125"/>
    </row>
    <row r="6" spans="1:45" s="121" customFormat="1" ht="15" customHeight="1">
      <c r="A6" s="160" t="s">
        <v>2900</v>
      </c>
      <c r="B6" s="181" t="s">
        <v>2901</v>
      </c>
      <c r="C6" s="185"/>
      <c r="D6" s="185"/>
      <c r="E6" s="185"/>
      <c r="F6" s="185"/>
      <c r="G6" s="185"/>
      <c r="H6" s="190"/>
      <c r="I6" s="186"/>
      <c r="J6" s="189"/>
      <c r="K6" s="189"/>
      <c r="L6" s="187"/>
      <c r="M6" s="127"/>
      <c r="N6" s="134"/>
      <c r="O6" s="128"/>
      <c r="P6" s="128"/>
      <c r="Q6" s="133"/>
      <c r="R6" s="122"/>
      <c r="S6" s="123"/>
      <c r="T6" s="123" t="str">
        <f>E_Team1</f>
        <v>Belgium</v>
      </c>
      <c r="U6" s="123" t="str">
        <f>E_Team1</f>
        <v>Belgium</v>
      </c>
      <c r="V6" s="123" t="str">
        <f>E_Team1</f>
        <v>Belgium</v>
      </c>
      <c r="W6" s="123" t="str">
        <f>E_Team1</f>
        <v>Belgium</v>
      </c>
      <c r="X6" s="126" t="s">
        <v>2902</v>
      </c>
      <c r="Y6" s="123" t="str">
        <f>E_Team1</f>
        <v>Belgium</v>
      </c>
      <c r="Z6" s="123" t="str">
        <f>'UEFA EURO 2024'!E12 &amp; " vs " &amp; 'UEFA EURO 2024'!H12</f>
        <v>Spain vs Croatia</v>
      </c>
      <c r="AA6" s="123"/>
      <c r="AB6" s="123"/>
      <c r="AC6" s="123"/>
      <c r="AD6" s="123" t="str">
        <f>A_Team2</f>
        <v>Scotland</v>
      </c>
      <c r="AE6" s="123"/>
      <c r="AF6" s="123"/>
      <c r="AG6" s="123"/>
      <c r="AH6" s="123"/>
      <c r="AI6" s="123"/>
      <c r="AJ6" s="123"/>
      <c r="AK6" s="162"/>
      <c r="AL6" s="162"/>
      <c r="AM6" s="162"/>
      <c r="AN6" s="162"/>
      <c r="AO6" s="162"/>
      <c r="AP6" s="162"/>
      <c r="AQ6" s="162"/>
      <c r="AR6" s="162"/>
      <c r="AS6" s="125"/>
    </row>
    <row r="7" spans="1:45" s="121" customFormat="1" ht="9" customHeight="1">
      <c r="A7" s="130"/>
      <c r="B7" s="131"/>
      <c r="C7" s="131"/>
      <c r="D7" s="131"/>
      <c r="E7" s="131"/>
      <c r="F7" s="131"/>
      <c r="G7" s="131"/>
      <c r="H7" s="131"/>
      <c r="I7" s="131"/>
      <c r="J7" s="131"/>
      <c r="K7" s="131"/>
      <c r="L7" s="131"/>
      <c r="M7" s="135"/>
      <c r="N7" s="136"/>
      <c r="O7" s="128"/>
      <c r="P7" s="128"/>
      <c r="Q7" s="133"/>
      <c r="R7" s="122"/>
      <c r="S7" s="123"/>
      <c r="T7" s="123" t="str">
        <f>B_Team3</f>
        <v>Croatia</v>
      </c>
      <c r="U7" s="123" t="str">
        <f>B_Team3</f>
        <v>Croatia</v>
      </c>
      <c r="V7" s="123" t="str">
        <f>B_Team3</f>
        <v>Croatia</v>
      </c>
      <c r="W7" s="123" t="str">
        <f>B_Team3</f>
        <v>Croatia</v>
      </c>
      <c r="X7" s="126" t="s">
        <v>2903</v>
      </c>
      <c r="Y7" s="123" t="str">
        <f>B_Team3</f>
        <v>Croatia</v>
      </c>
      <c r="Z7" s="123" t="str">
        <f>'UEFA EURO 2024'!E13 &amp; " vs " &amp; 'UEFA EURO 2024'!H13</f>
        <v>Italy vs Albania</v>
      </c>
      <c r="AA7" s="123"/>
      <c r="AB7" s="123"/>
      <c r="AC7" s="123"/>
      <c r="AD7" s="123" t="str">
        <f>A_Team3</f>
        <v>Switzerland</v>
      </c>
      <c r="AE7" s="123"/>
      <c r="AF7" s="123"/>
      <c r="AG7" s="123"/>
      <c r="AH7" s="123"/>
      <c r="AI7" s="123"/>
      <c r="AJ7" s="123"/>
      <c r="AK7" s="162"/>
      <c r="AL7" s="162"/>
      <c r="AM7" s="162"/>
      <c r="AN7" s="162"/>
      <c r="AO7" s="162"/>
      <c r="AP7" s="162"/>
      <c r="AQ7" s="162"/>
      <c r="AR7" s="162"/>
      <c r="AS7" s="125"/>
    </row>
    <row r="8" spans="1:45" s="121" customFormat="1" ht="15" customHeight="1">
      <c r="A8" s="160" t="s">
        <v>2904</v>
      </c>
      <c r="B8" s="185" t="s">
        <v>2905</v>
      </c>
      <c r="C8" s="185"/>
      <c r="D8" s="185"/>
      <c r="E8" s="185"/>
      <c r="F8" s="185"/>
      <c r="G8" s="185"/>
      <c r="H8" s="190"/>
      <c r="I8" s="186"/>
      <c r="J8" s="187"/>
      <c r="K8" s="137"/>
      <c r="L8" s="137"/>
      <c r="M8" s="137"/>
      <c r="N8" s="137"/>
      <c r="O8" s="137"/>
      <c r="P8" s="137"/>
      <c r="Q8" s="138"/>
      <c r="R8" s="122"/>
      <c r="S8" s="115"/>
      <c r="T8" s="123" t="str">
        <f>F_Team3</f>
        <v>Czech Republic</v>
      </c>
      <c r="U8" s="123" t="str">
        <f>F_Team3</f>
        <v>Czech Republic</v>
      </c>
      <c r="V8" s="123" t="str">
        <f>F_Team3</f>
        <v>Czech Republic</v>
      </c>
      <c r="W8" s="123" t="str">
        <f>F_Team3</f>
        <v>Czech Republic</v>
      </c>
      <c r="X8" s="126" t="s">
        <v>2906</v>
      </c>
      <c r="Y8" s="123" t="str">
        <f>F_Team3</f>
        <v>Czech Republic</v>
      </c>
      <c r="Z8" s="123" t="str">
        <f>'UEFA EURO 2024'!E14 &amp; " vs " &amp; 'UEFA EURO 2024'!H14</f>
        <v>Poland vs Netherlands</v>
      </c>
      <c r="AA8" s="123"/>
      <c r="AB8" s="123"/>
      <c r="AC8" s="123"/>
      <c r="AD8" s="123" t="str">
        <f>A_Team4</f>
        <v>Hungary</v>
      </c>
      <c r="AE8" s="123"/>
      <c r="AF8" s="123"/>
      <c r="AG8" s="123"/>
      <c r="AH8" s="123"/>
      <c r="AI8" s="123"/>
      <c r="AJ8" s="123"/>
      <c r="AK8" s="162"/>
      <c r="AL8" s="162"/>
      <c r="AM8" s="162"/>
      <c r="AN8" s="162"/>
      <c r="AO8" s="162"/>
      <c r="AP8" s="162"/>
      <c r="AQ8" s="162"/>
      <c r="AR8" s="162"/>
      <c r="AS8" s="125"/>
    </row>
    <row r="9" spans="1:45" s="121" customFormat="1" ht="9" customHeight="1">
      <c r="A9" s="130"/>
      <c r="B9" s="131"/>
      <c r="C9" s="132"/>
      <c r="D9" s="132"/>
      <c r="E9" s="132"/>
      <c r="F9" s="132"/>
      <c r="G9" s="128"/>
      <c r="H9" s="128"/>
      <c r="I9" s="128"/>
      <c r="J9" s="128"/>
      <c r="K9" s="128"/>
      <c r="L9" s="128"/>
      <c r="M9" s="128"/>
      <c r="N9" s="128"/>
      <c r="O9" s="128"/>
      <c r="P9" s="128"/>
      <c r="Q9" s="133"/>
      <c r="R9" s="122"/>
      <c r="S9" s="123"/>
      <c r="T9" s="123" t="str">
        <f>C_Team2</f>
        <v>Denmark</v>
      </c>
      <c r="U9" s="123" t="str">
        <f>C_Team2</f>
        <v>Denmark</v>
      </c>
      <c r="V9" s="123" t="str">
        <f>C_Team2</f>
        <v>Denmark</v>
      </c>
      <c r="W9" s="123" t="str">
        <f>C_Team2</f>
        <v>Denmark</v>
      </c>
      <c r="X9" s="126" t="s">
        <v>2907</v>
      </c>
      <c r="Y9" s="123" t="str">
        <f>C_Team2</f>
        <v>Denmark</v>
      </c>
      <c r="Z9" s="123" t="str">
        <f>'UEFA EURO 2024'!E15 &amp; " vs " &amp; 'UEFA EURO 2024'!H15</f>
        <v>Slovenia vs Denmark</v>
      </c>
      <c r="AA9" s="123"/>
      <c r="AB9" s="123"/>
      <c r="AC9" s="123"/>
      <c r="AD9" s="123" t="str">
        <f>B_Team1</f>
        <v>Spain</v>
      </c>
      <c r="AE9" s="123"/>
      <c r="AF9" s="123"/>
      <c r="AG9" s="123"/>
      <c r="AH9" s="123"/>
      <c r="AI9" s="123"/>
      <c r="AJ9" s="123"/>
      <c r="AK9" s="162"/>
      <c r="AL9" s="162"/>
      <c r="AM9" s="162"/>
      <c r="AN9" s="162"/>
      <c r="AO9" s="162"/>
      <c r="AP9" s="162"/>
      <c r="AQ9" s="162"/>
      <c r="AR9" s="162"/>
      <c r="AS9" s="125"/>
    </row>
    <row r="10" spans="1:45" s="121" customFormat="1" ht="15" customHeight="1">
      <c r="A10" s="160" t="s">
        <v>2908</v>
      </c>
      <c r="B10" s="188" t="s">
        <v>2909</v>
      </c>
      <c r="C10" s="188"/>
      <c r="D10" s="188"/>
      <c r="E10" s="188"/>
      <c r="F10" s="188"/>
      <c r="G10" s="188"/>
      <c r="H10" s="188"/>
      <c r="I10" s="186"/>
      <c r="J10" s="189"/>
      <c r="K10" s="189"/>
      <c r="L10" s="187"/>
      <c r="M10" s="128"/>
      <c r="N10" s="128"/>
      <c r="O10" s="128"/>
      <c r="P10" s="128"/>
      <c r="Q10" s="139"/>
      <c r="R10" s="122"/>
      <c r="S10" s="115"/>
      <c r="T10" s="123" t="str">
        <f>C_Team1</f>
        <v>England</v>
      </c>
      <c r="U10" s="123" t="str">
        <f>C_Team1</f>
        <v>England</v>
      </c>
      <c r="V10" s="123" t="str">
        <f>C_Team1</f>
        <v>England</v>
      </c>
      <c r="W10" s="123" t="str">
        <f>C_Team1</f>
        <v>England</v>
      </c>
      <c r="X10" s="126" t="s">
        <v>2910</v>
      </c>
      <c r="Y10" s="123" t="str">
        <f>C_Team1</f>
        <v>England</v>
      </c>
      <c r="Z10" s="123" t="str">
        <f>'UEFA EURO 2024'!E16 &amp; " vs " &amp; 'UEFA EURO 2024'!H16</f>
        <v>Serbia vs England</v>
      </c>
      <c r="AA10" s="123"/>
      <c r="AB10" s="123"/>
      <c r="AC10" s="123"/>
      <c r="AD10" s="123" t="str">
        <f>B_Team2</f>
        <v>Italy</v>
      </c>
      <c r="AE10" s="123"/>
      <c r="AF10" s="123"/>
      <c r="AG10" s="123"/>
      <c r="AH10" s="123"/>
      <c r="AI10" s="123"/>
      <c r="AJ10" s="123"/>
      <c r="AK10" s="162"/>
      <c r="AL10" s="162"/>
      <c r="AM10" s="162"/>
      <c r="AN10" s="162"/>
      <c r="AO10" s="162"/>
      <c r="AP10" s="162"/>
      <c r="AQ10" s="162"/>
      <c r="AR10" s="162"/>
      <c r="AS10" s="125"/>
    </row>
    <row r="11" spans="1:45" s="121" customFormat="1" ht="9" customHeight="1">
      <c r="A11" s="130"/>
      <c r="B11" s="131"/>
      <c r="C11" s="132"/>
      <c r="D11" s="132"/>
      <c r="E11" s="132"/>
      <c r="F11" s="132"/>
      <c r="G11" s="128"/>
      <c r="H11" s="128"/>
      <c r="I11" s="128"/>
      <c r="J11" s="128"/>
      <c r="K11" s="128"/>
      <c r="L11" s="128"/>
      <c r="M11" s="128"/>
      <c r="N11" s="128"/>
      <c r="O11" s="128"/>
      <c r="P11" s="128"/>
      <c r="Q11" s="133"/>
      <c r="R11" s="122"/>
      <c r="S11" s="123"/>
      <c r="T11" s="123" t="str">
        <f>D_Team1</f>
        <v>France</v>
      </c>
      <c r="U11" s="123" t="str">
        <f>D_Team1</f>
        <v>France</v>
      </c>
      <c r="V11" s="123" t="str">
        <f>D_Team1</f>
        <v>France</v>
      </c>
      <c r="W11" s="123" t="str">
        <f>D_Team1</f>
        <v>France</v>
      </c>
      <c r="X11" s="126" t="s">
        <v>2911</v>
      </c>
      <c r="Y11" s="123" t="str">
        <f>D_Team1</f>
        <v>France</v>
      </c>
      <c r="Z11" s="123" t="str">
        <f>'UEFA EURO 2024'!E17 &amp; " vs " &amp; 'UEFA EURO 2024'!H17</f>
        <v>Romania vs Ukraine</v>
      </c>
      <c r="AA11" s="123"/>
      <c r="AB11" s="123"/>
      <c r="AC11" s="123"/>
      <c r="AD11" s="123" t="str">
        <f>B_Team3</f>
        <v>Croatia</v>
      </c>
      <c r="AE11" s="123"/>
      <c r="AF11" s="123"/>
      <c r="AG11" s="123"/>
      <c r="AH11" s="123"/>
      <c r="AI11" s="123"/>
      <c r="AJ11" s="123"/>
      <c r="AK11" s="162"/>
      <c r="AL11" s="162"/>
      <c r="AM11" s="162"/>
      <c r="AN11" s="162"/>
      <c r="AO11" s="162"/>
      <c r="AP11" s="162"/>
      <c r="AQ11" s="162"/>
      <c r="AR11" s="162"/>
      <c r="AS11" s="125"/>
    </row>
    <row r="12" spans="1:45" s="121" customFormat="1" ht="15" customHeight="1">
      <c r="A12" s="160" t="s">
        <v>2912</v>
      </c>
      <c r="B12" s="185" t="s">
        <v>2913</v>
      </c>
      <c r="C12" s="185"/>
      <c r="D12" s="185"/>
      <c r="E12" s="185"/>
      <c r="F12" s="185"/>
      <c r="G12" s="185"/>
      <c r="H12" s="185"/>
      <c r="I12" s="185"/>
      <c r="J12" s="140"/>
      <c r="K12" s="141"/>
      <c r="L12" s="141"/>
      <c r="M12" s="141"/>
      <c r="O12" s="134"/>
      <c r="P12" s="134"/>
      <c r="Q12" s="142"/>
      <c r="R12" s="122"/>
      <c r="S12" s="123"/>
      <c r="T12" s="123" t="str">
        <f>F_Team4</f>
        <v>Georgia</v>
      </c>
      <c r="U12" s="123" t="str">
        <f>F_Team4</f>
        <v>Georgia</v>
      </c>
      <c r="V12" s="123" t="str">
        <f>F_Team4</f>
        <v>Georgia</v>
      </c>
      <c r="W12" s="123" t="str">
        <f>F_Team4</f>
        <v>Georgia</v>
      </c>
      <c r="X12" s="126" t="s">
        <v>2914</v>
      </c>
      <c r="Y12" s="123" t="str">
        <f>F_Team4</f>
        <v>Georgia</v>
      </c>
      <c r="Z12" s="123" t="str">
        <f>'UEFA EURO 2024'!E18 &amp; " vs " &amp; 'UEFA EURO 2024'!H18</f>
        <v>Belgium vs Slovakia</v>
      </c>
      <c r="AA12" s="123"/>
      <c r="AB12" s="123"/>
      <c r="AC12" s="123"/>
      <c r="AD12" s="123" t="str">
        <f>B_Team4</f>
        <v>Albania</v>
      </c>
      <c r="AE12" s="123"/>
      <c r="AF12" s="123"/>
      <c r="AG12" s="123"/>
      <c r="AH12" s="123"/>
      <c r="AI12" s="123"/>
      <c r="AJ12" s="123"/>
      <c r="AK12" s="162"/>
      <c r="AL12" s="162"/>
      <c r="AM12" s="162"/>
      <c r="AN12" s="162"/>
      <c r="AO12" s="162"/>
      <c r="AP12" s="162"/>
      <c r="AQ12" s="162"/>
      <c r="AR12" s="162"/>
      <c r="AS12" s="125"/>
    </row>
    <row r="13" spans="1:45" s="121" customFormat="1" ht="9" customHeight="1">
      <c r="A13" s="130"/>
      <c r="B13" s="128"/>
      <c r="C13" s="128"/>
      <c r="D13" s="128"/>
      <c r="E13" s="128"/>
      <c r="F13" s="128"/>
      <c r="G13" s="128"/>
      <c r="H13" s="128"/>
      <c r="I13" s="128"/>
      <c r="J13" s="128"/>
      <c r="K13" s="128"/>
      <c r="L13" s="128"/>
      <c r="M13" s="136"/>
      <c r="N13" s="136"/>
      <c r="O13" s="136"/>
      <c r="P13" s="136"/>
      <c r="Q13" s="138"/>
      <c r="R13" s="122"/>
      <c r="S13" s="123"/>
      <c r="T13" s="123" t="str">
        <f>A_Team1</f>
        <v>Germany</v>
      </c>
      <c r="U13" s="123" t="str">
        <f>A_Team1</f>
        <v>Germany</v>
      </c>
      <c r="V13" s="123" t="str">
        <f>A_Team1</f>
        <v>Germany</v>
      </c>
      <c r="W13" s="123" t="str">
        <f>A_Team1</f>
        <v>Germany</v>
      </c>
      <c r="X13" s="124"/>
      <c r="Y13" s="123" t="str">
        <f>A_Team1</f>
        <v>Germany</v>
      </c>
      <c r="Z13" s="123" t="str">
        <f>'UEFA EURO 2024'!E19 &amp; " vs " &amp; 'UEFA EURO 2024'!H19</f>
        <v>Austria vs France</v>
      </c>
      <c r="AA13" s="123"/>
      <c r="AB13" s="123"/>
      <c r="AC13" s="123"/>
      <c r="AD13" s="123" t="str">
        <f>C_Team1</f>
        <v>England</v>
      </c>
      <c r="AE13" s="123"/>
      <c r="AF13" s="123"/>
      <c r="AG13" s="123"/>
      <c r="AH13" s="123"/>
      <c r="AI13" s="123"/>
      <c r="AJ13" s="123"/>
      <c r="AK13" s="162"/>
      <c r="AL13" s="162"/>
      <c r="AM13" s="162"/>
      <c r="AN13" s="162"/>
      <c r="AO13" s="162"/>
      <c r="AP13" s="162"/>
      <c r="AQ13" s="162"/>
      <c r="AR13" s="162"/>
      <c r="AS13" s="125"/>
    </row>
    <row r="14" spans="1:45" s="121" customFormat="1" ht="15" customHeight="1">
      <c r="A14" s="160" t="s">
        <v>2915</v>
      </c>
      <c r="B14" s="185" t="s">
        <v>2916</v>
      </c>
      <c r="C14" s="185"/>
      <c r="D14" s="185"/>
      <c r="E14" s="185"/>
      <c r="F14" s="185"/>
      <c r="G14" s="185"/>
      <c r="H14" s="185"/>
      <c r="I14" s="185"/>
      <c r="J14" s="128"/>
      <c r="K14" s="186"/>
      <c r="L14" s="189"/>
      <c r="M14" s="187"/>
      <c r="N14" s="137"/>
      <c r="O14" s="134"/>
      <c r="P14" s="134"/>
      <c r="R14" s="122"/>
      <c r="S14" s="115"/>
      <c r="T14" s="123" t="str">
        <f>A_Team4</f>
        <v>Hungary</v>
      </c>
      <c r="U14" s="123" t="str">
        <f>A_Team4</f>
        <v>Hungary</v>
      </c>
      <c r="V14" s="123" t="str">
        <f>A_Team4</f>
        <v>Hungary</v>
      </c>
      <c r="W14" s="123" t="str">
        <f>A_Team4</f>
        <v>Hungary</v>
      </c>
      <c r="X14" s="123"/>
      <c r="Y14" s="123" t="str">
        <f>A_Team4</f>
        <v>Hungary</v>
      </c>
      <c r="Z14" s="123" t="str">
        <f>'UEFA EURO 2024'!E20 &amp; " vs " &amp; 'UEFA EURO 2024'!H20</f>
        <v>Turkey vs Georgia</v>
      </c>
      <c r="AA14" s="123"/>
      <c r="AB14" s="123"/>
      <c r="AC14" s="123"/>
      <c r="AD14" s="123" t="str">
        <f>C_Team2</f>
        <v>Denmark</v>
      </c>
      <c r="AE14" s="123"/>
      <c r="AF14" s="123"/>
      <c r="AG14" s="123"/>
      <c r="AH14" s="123"/>
      <c r="AI14" s="123"/>
      <c r="AJ14" s="123"/>
      <c r="AK14" s="162"/>
      <c r="AL14" s="162"/>
      <c r="AM14" s="162"/>
      <c r="AN14" s="162"/>
      <c r="AO14" s="162"/>
      <c r="AP14" s="162"/>
      <c r="AQ14" s="162"/>
      <c r="AR14" s="162"/>
      <c r="AS14" s="125"/>
    </row>
    <row r="15" spans="1:45" s="121" customFormat="1" ht="9" customHeight="1">
      <c r="A15" s="130"/>
      <c r="B15" s="131"/>
      <c r="C15" s="132"/>
      <c r="D15" s="132"/>
      <c r="E15" s="132"/>
      <c r="F15" s="132"/>
      <c r="G15" s="128"/>
      <c r="H15" s="128"/>
      <c r="I15" s="128"/>
      <c r="J15" s="128"/>
      <c r="K15" s="134"/>
      <c r="L15" s="143"/>
      <c r="M15" s="143"/>
      <c r="N15" s="143"/>
      <c r="O15" s="143"/>
      <c r="P15" s="143"/>
      <c r="Q15" s="144"/>
      <c r="R15" s="122"/>
      <c r="S15" s="123"/>
      <c r="T15" s="123" t="str">
        <f>B_Team2</f>
        <v>Italy</v>
      </c>
      <c r="U15" s="123" t="str">
        <f>B_Team2</f>
        <v>Italy</v>
      </c>
      <c r="V15" s="123" t="str">
        <f>B_Team2</f>
        <v>Italy</v>
      </c>
      <c r="W15" s="123" t="str">
        <f>B_Team2</f>
        <v>Italy</v>
      </c>
      <c r="X15" s="123"/>
      <c r="Y15" s="123" t="str">
        <f>B_Team2</f>
        <v>Italy</v>
      </c>
      <c r="Z15" s="123" t="str">
        <f>'UEFA EURO 2024'!E21 &amp; " vs " &amp; 'UEFA EURO 2024'!H21</f>
        <v>Portugal vs Czech Republic</v>
      </c>
      <c r="AA15" s="123"/>
      <c r="AB15" s="123"/>
      <c r="AC15" s="123"/>
      <c r="AD15" s="123" t="str">
        <f>C_Team3</f>
        <v>Serbia</v>
      </c>
      <c r="AE15" s="123"/>
      <c r="AF15" s="123"/>
      <c r="AG15" s="123"/>
      <c r="AH15" s="123"/>
      <c r="AI15" s="123"/>
      <c r="AJ15" s="123"/>
      <c r="AK15" s="162"/>
      <c r="AL15" s="162"/>
      <c r="AM15" s="162"/>
      <c r="AN15" s="162"/>
      <c r="AO15" s="162"/>
      <c r="AP15" s="162"/>
      <c r="AQ15" s="162"/>
      <c r="AR15" s="162"/>
      <c r="AS15" s="125"/>
    </row>
    <row r="16" spans="1:45" s="121" customFormat="1" ht="15" customHeight="1">
      <c r="A16" s="160" t="s">
        <v>2917</v>
      </c>
      <c r="B16" s="185" t="s">
        <v>2918</v>
      </c>
      <c r="C16" s="185"/>
      <c r="D16" s="185"/>
      <c r="E16" s="185"/>
      <c r="F16" s="185"/>
      <c r="G16" s="185"/>
      <c r="H16" s="185"/>
      <c r="I16" s="185"/>
      <c r="J16" s="185"/>
      <c r="K16" s="186"/>
      <c r="L16" s="189"/>
      <c r="M16" s="187"/>
      <c r="N16" s="145"/>
      <c r="O16" s="137"/>
      <c r="P16" s="137"/>
      <c r="Q16" s="146"/>
      <c r="R16" s="122"/>
      <c r="S16" s="123"/>
      <c r="T16" s="123" t="str">
        <f>D_Team2</f>
        <v>Netherlands</v>
      </c>
      <c r="U16" s="123" t="str">
        <f>D_Team2</f>
        <v>Netherlands</v>
      </c>
      <c r="V16" s="123" t="str">
        <f>D_Team2</f>
        <v>Netherlands</v>
      </c>
      <c r="W16" s="123" t="str">
        <f>D_Team2</f>
        <v>Netherlands</v>
      </c>
      <c r="X16" s="123"/>
      <c r="Y16" s="123" t="str">
        <f>D_Team2</f>
        <v>Netherlands</v>
      </c>
      <c r="Z16" s="123" t="str">
        <f>'UEFA EURO 2024'!E22 &amp; " vs " &amp; 'UEFA EURO 2024'!H22</f>
        <v>Croatia vs Albania</v>
      </c>
      <c r="AA16" s="123"/>
      <c r="AB16" s="123"/>
      <c r="AC16" s="123"/>
      <c r="AD16" s="123" t="str">
        <f>C_Team4</f>
        <v>Slovenia</v>
      </c>
      <c r="AE16" s="123"/>
      <c r="AF16" s="123"/>
      <c r="AG16" s="123"/>
      <c r="AH16" s="123"/>
      <c r="AI16" s="123"/>
      <c r="AJ16" s="123"/>
      <c r="AK16" s="162"/>
      <c r="AL16" s="162"/>
      <c r="AM16" s="162"/>
      <c r="AN16" s="162"/>
      <c r="AO16" s="162"/>
      <c r="AP16" s="162"/>
      <c r="AQ16" s="162"/>
      <c r="AR16" s="162"/>
      <c r="AS16" s="125"/>
    </row>
    <row r="17" spans="1:45" s="121" customFormat="1" ht="9" customHeight="1">
      <c r="A17" s="147"/>
      <c r="B17" s="131"/>
      <c r="C17" s="131"/>
      <c r="D17" s="131"/>
      <c r="E17" s="131"/>
      <c r="F17" s="131"/>
      <c r="G17" s="131"/>
      <c r="H17" s="131"/>
      <c r="I17" s="131"/>
      <c r="J17" s="131"/>
      <c r="K17" s="131"/>
      <c r="L17" s="131"/>
      <c r="M17" s="131"/>
      <c r="N17" s="136"/>
      <c r="O17" s="136"/>
      <c r="P17" s="136"/>
      <c r="Q17" s="138"/>
      <c r="R17" s="122"/>
      <c r="S17" s="123"/>
      <c r="T17" s="123" t="str">
        <f>D_Team4</f>
        <v>Poland</v>
      </c>
      <c r="U17" s="123" t="str">
        <f>D_Team4</f>
        <v>Poland</v>
      </c>
      <c r="V17" s="123" t="str">
        <f>D_Team4</f>
        <v>Poland</v>
      </c>
      <c r="W17" s="123" t="str">
        <f>D_Team4</f>
        <v>Poland</v>
      </c>
      <c r="X17" s="123"/>
      <c r="Y17" s="123" t="str">
        <f>D_Team4</f>
        <v>Poland</v>
      </c>
      <c r="Z17" s="123" t="str">
        <f>'UEFA EURO 2024'!E23 &amp; " vs " &amp; 'UEFA EURO 2024'!H23</f>
        <v>Germany vs Hungary</v>
      </c>
      <c r="AA17" s="123"/>
      <c r="AB17" s="123"/>
      <c r="AC17" s="123"/>
      <c r="AD17" s="123" t="str">
        <f>D_Team1</f>
        <v>France</v>
      </c>
      <c r="AE17" s="123"/>
      <c r="AF17" s="123"/>
      <c r="AG17" s="123"/>
      <c r="AH17" s="123"/>
      <c r="AI17" s="123"/>
      <c r="AJ17" s="123"/>
      <c r="AK17" s="162"/>
      <c r="AL17" s="162"/>
      <c r="AM17" s="162"/>
      <c r="AN17" s="162"/>
      <c r="AO17" s="162"/>
      <c r="AP17" s="162"/>
      <c r="AQ17" s="162"/>
      <c r="AR17" s="162"/>
      <c r="AS17" s="125"/>
    </row>
    <row r="18" spans="1:45" s="121" customFormat="1" ht="15" customHeight="1">
      <c r="A18" s="160" t="s">
        <v>2919</v>
      </c>
      <c r="B18" s="181" t="s">
        <v>2920</v>
      </c>
      <c r="C18" s="181"/>
      <c r="D18" s="181"/>
      <c r="E18" s="181"/>
      <c r="F18" s="181"/>
      <c r="G18" s="140"/>
      <c r="H18" s="131"/>
      <c r="I18" s="148"/>
      <c r="J18" s="148"/>
      <c r="K18" s="148"/>
      <c r="L18" s="148"/>
      <c r="M18" s="148"/>
      <c r="N18" s="148"/>
      <c r="O18" s="148"/>
      <c r="P18" s="148"/>
      <c r="Q18" s="149"/>
      <c r="R18" s="150"/>
      <c r="S18" s="123"/>
      <c r="T18" s="123" t="str">
        <f>F_Team1</f>
        <v>Portugal</v>
      </c>
      <c r="U18" s="123" t="str">
        <f>F_Team1</f>
        <v>Portugal</v>
      </c>
      <c r="V18" s="123" t="str">
        <f>F_Team1</f>
        <v>Portugal</v>
      </c>
      <c r="W18" s="123" t="str">
        <f>F_Team1</f>
        <v>Portugal</v>
      </c>
      <c r="X18" s="123"/>
      <c r="Y18" s="123" t="str">
        <f>F_Team1</f>
        <v>Portugal</v>
      </c>
      <c r="Z18" s="123" t="str">
        <f>'UEFA EURO 2024'!E24 &amp; " vs " &amp; 'UEFA EURO 2024'!H24</f>
        <v>Scotland vs Switzerland</v>
      </c>
      <c r="AA18" s="123"/>
      <c r="AB18" s="123"/>
      <c r="AC18" s="123"/>
      <c r="AD18" s="123" t="str">
        <f>D_Team2</f>
        <v>Netherlands</v>
      </c>
      <c r="AE18" s="123"/>
      <c r="AF18" s="123"/>
      <c r="AG18" s="123"/>
      <c r="AH18" s="123"/>
      <c r="AI18" s="123"/>
      <c r="AJ18" s="123"/>
      <c r="AK18" s="162"/>
      <c r="AL18" s="162"/>
      <c r="AM18" s="162"/>
      <c r="AN18" s="162"/>
      <c r="AO18" s="162"/>
      <c r="AP18" s="162"/>
      <c r="AQ18" s="162"/>
      <c r="AR18" s="162"/>
      <c r="AS18" s="125"/>
    </row>
    <row r="19" spans="1:45" s="121" customFormat="1" ht="9" customHeight="1">
      <c r="A19" s="151"/>
      <c r="B19" s="148"/>
      <c r="C19" s="148"/>
      <c r="D19" s="148"/>
      <c r="E19" s="148"/>
      <c r="F19" s="148"/>
      <c r="G19" s="148"/>
      <c r="H19" s="148"/>
      <c r="I19" s="148"/>
      <c r="J19" s="148"/>
      <c r="K19" s="148"/>
      <c r="L19" s="148"/>
      <c r="M19" s="148"/>
      <c r="N19" s="148"/>
      <c r="O19" s="148"/>
      <c r="P19" s="148"/>
      <c r="Q19" s="149"/>
      <c r="R19" s="150"/>
      <c r="S19" s="115"/>
      <c r="T19" s="123" t="str">
        <f>E_Team3</f>
        <v>Romania</v>
      </c>
      <c r="U19" s="123" t="str">
        <f>E_Team3</f>
        <v>Romania</v>
      </c>
      <c r="V19" s="123" t="str">
        <f>E_Team3</f>
        <v>Romania</v>
      </c>
      <c r="W19" s="123" t="str">
        <f>E_Team3</f>
        <v>Romania</v>
      </c>
      <c r="X19" s="123"/>
      <c r="Y19" s="123" t="str">
        <f>E_Team3</f>
        <v>Romania</v>
      </c>
      <c r="Z19" s="123" t="str">
        <f>'UEFA EURO 2024'!E25 &amp; " vs " &amp; 'UEFA EURO 2024'!H25</f>
        <v>Slovenia vs Serbia</v>
      </c>
      <c r="AA19" s="123"/>
      <c r="AB19" s="123"/>
      <c r="AC19" s="123"/>
      <c r="AD19" s="123" t="str">
        <f>D_Team3</f>
        <v>Austria</v>
      </c>
      <c r="AE19" s="123"/>
      <c r="AF19" s="123"/>
      <c r="AG19" s="123"/>
      <c r="AH19" s="123"/>
      <c r="AI19" s="123"/>
      <c r="AJ19" s="123"/>
      <c r="AK19" s="162"/>
      <c r="AL19" s="162"/>
      <c r="AM19" s="162"/>
      <c r="AN19" s="162"/>
      <c r="AO19" s="162"/>
      <c r="AP19" s="162"/>
      <c r="AQ19" s="162"/>
      <c r="AR19" s="162"/>
      <c r="AS19" s="125"/>
    </row>
    <row r="20" spans="1:45" s="121" customFormat="1" ht="15" customHeight="1">
      <c r="A20" s="160" t="s">
        <v>2921</v>
      </c>
      <c r="B20" s="181" t="s">
        <v>2922</v>
      </c>
      <c r="C20" s="181"/>
      <c r="D20" s="181"/>
      <c r="E20" s="181"/>
      <c r="F20" s="181"/>
      <c r="G20" s="181"/>
      <c r="H20" s="140"/>
      <c r="I20" s="148"/>
      <c r="J20" s="148"/>
      <c r="K20" s="148"/>
      <c r="L20" s="148"/>
      <c r="M20" s="148"/>
      <c r="N20" s="148"/>
      <c r="O20" s="148"/>
      <c r="P20" s="148"/>
      <c r="Q20" s="149"/>
      <c r="R20" s="150"/>
      <c r="S20" s="115"/>
      <c r="T20" s="123" t="str">
        <f>A_Team2</f>
        <v>Scotland</v>
      </c>
      <c r="U20" s="123" t="str">
        <f>A_Team2</f>
        <v>Scotland</v>
      </c>
      <c r="V20" s="123" t="str">
        <f>A_Team2</f>
        <v>Scotland</v>
      </c>
      <c r="W20" s="123" t="str">
        <f>A_Team2</f>
        <v>Scotland</v>
      </c>
      <c r="X20" s="123"/>
      <c r="Y20" s="123" t="str">
        <f>A_Team2</f>
        <v>Scotland</v>
      </c>
      <c r="Z20" s="123" t="str">
        <f>'UEFA EURO 2024'!E26 &amp; " vs " &amp; 'UEFA EURO 2024'!H26</f>
        <v>Denmark vs England</v>
      </c>
      <c r="AA20" s="123"/>
      <c r="AB20" s="123"/>
      <c r="AC20" s="123"/>
      <c r="AD20" s="123" t="str">
        <f>D_Team4</f>
        <v>Poland</v>
      </c>
      <c r="AE20" s="123"/>
      <c r="AF20" s="123"/>
      <c r="AG20" s="123"/>
      <c r="AH20" s="123"/>
      <c r="AI20" s="123"/>
      <c r="AJ20" s="123"/>
      <c r="AK20" s="162"/>
      <c r="AL20" s="162"/>
      <c r="AM20" s="162"/>
      <c r="AN20" s="162"/>
      <c r="AO20" s="162"/>
      <c r="AP20" s="162"/>
      <c r="AQ20" s="162"/>
      <c r="AR20" s="162"/>
      <c r="AS20" s="125"/>
    </row>
    <row r="21" spans="1:45" s="121" customFormat="1" ht="9" customHeight="1">
      <c r="A21" s="151"/>
      <c r="B21" s="148"/>
      <c r="C21" s="148"/>
      <c r="D21" s="148"/>
      <c r="E21" s="148"/>
      <c r="F21" s="148"/>
      <c r="G21" s="148"/>
      <c r="H21" s="148"/>
      <c r="I21" s="148"/>
      <c r="J21" s="148"/>
      <c r="K21" s="148"/>
      <c r="L21" s="148"/>
      <c r="M21" s="148"/>
      <c r="N21" s="148"/>
      <c r="O21" s="148"/>
      <c r="P21" s="148"/>
      <c r="Q21" s="149"/>
      <c r="R21" s="150"/>
      <c r="S21" s="115"/>
      <c r="T21" s="123" t="str">
        <f>C_Team3</f>
        <v>Serbia</v>
      </c>
      <c r="U21" s="123" t="str">
        <f>C_Team3</f>
        <v>Serbia</v>
      </c>
      <c r="V21" s="123" t="str">
        <f>C_Team3</f>
        <v>Serbia</v>
      </c>
      <c r="W21" s="123" t="str">
        <f>C_Team3</f>
        <v>Serbia</v>
      </c>
      <c r="X21" s="123"/>
      <c r="Y21" s="123" t="str">
        <f>C_Team3</f>
        <v>Serbia</v>
      </c>
      <c r="Z21" s="123" t="str">
        <f>'UEFA EURO 2024'!E27 &amp; " vs " &amp; 'UEFA EURO 2024'!H27</f>
        <v>Spain vs Italy</v>
      </c>
      <c r="AA21" s="123"/>
      <c r="AB21" s="123"/>
      <c r="AC21" s="123"/>
      <c r="AD21" s="123" t="str">
        <f>E_Team1</f>
        <v>Belgium</v>
      </c>
      <c r="AE21" s="123"/>
      <c r="AF21" s="123"/>
      <c r="AG21" s="123"/>
      <c r="AH21" s="123"/>
      <c r="AI21" s="123"/>
      <c r="AJ21" s="123"/>
      <c r="AK21" s="162"/>
      <c r="AL21" s="162"/>
      <c r="AM21" s="162"/>
      <c r="AN21" s="162"/>
      <c r="AO21" s="162"/>
      <c r="AP21" s="162"/>
      <c r="AQ21" s="162"/>
      <c r="AR21" s="162"/>
      <c r="AS21" s="125"/>
    </row>
    <row r="22" spans="1:45" s="121" customFormat="1" ht="15" customHeight="1">
      <c r="A22" s="160">
        <v>10</v>
      </c>
      <c r="B22" s="181" t="s">
        <v>2923</v>
      </c>
      <c r="C22" s="181"/>
      <c r="D22" s="181"/>
      <c r="E22" s="181"/>
      <c r="F22" s="181"/>
      <c r="G22" s="181"/>
      <c r="H22" s="181"/>
      <c r="I22" s="181"/>
      <c r="J22" s="186"/>
      <c r="K22" s="187"/>
      <c r="L22" s="128"/>
      <c r="M22" s="128"/>
      <c r="N22" s="128"/>
      <c r="O22" s="128"/>
      <c r="P22" s="128"/>
      <c r="Q22" s="133"/>
      <c r="R22" s="122"/>
      <c r="S22" s="123"/>
      <c r="T22" s="123" t="str">
        <f>E_Team4</f>
        <v>Slovakia</v>
      </c>
      <c r="U22" s="123" t="str">
        <f>E_Team4</f>
        <v>Slovakia</v>
      </c>
      <c r="V22" s="123" t="str">
        <f>E_Team4</f>
        <v>Slovakia</v>
      </c>
      <c r="W22" s="123" t="str">
        <f>E_Team4</f>
        <v>Slovakia</v>
      </c>
      <c r="X22" s="123"/>
      <c r="Y22" s="123" t="str">
        <f>E_Team4</f>
        <v>Slovakia</v>
      </c>
      <c r="Z22" s="123" t="str">
        <f>'UEFA EURO 2024'!E28 &amp; " vs " &amp; 'UEFA EURO 2024'!H28</f>
        <v>Slovakia vs Ukraine</v>
      </c>
      <c r="AA22" s="123"/>
      <c r="AB22" s="123"/>
      <c r="AC22" s="123"/>
      <c r="AD22" s="123" t="str">
        <f>E_Team2</f>
        <v>Ukraine</v>
      </c>
      <c r="AE22" s="123"/>
      <c r="AF22" s="123"/>
      <c r="AG22" s="123"/>
      <c r="AH22" s="123"/>
      <c r="AI22" s="123"/>
      <c r="AJ22" s="123"/>
      <c r="AK22" s="162"/>
      <c r="AL22" s="162"/>
      <c r="AM22" s="162"/>
      <c r="AN22" s="162"/>
      <c r="AO22" s="162"/>
      <c r="AP22" s="162"/>
      <c r="AQ22" s="162"/>
      <c r="AR22" s="162"/>
      <c r="AS22" s="125"/>
    </row>
    <row r="23" spans="1:45" s="121" customFormat="1" ht="9" customHeight="1">
      <c r="A23" s="152"/>
      <c r="B23" s="128"/>
      <c r="C23" s="128"/>
      <c r="D23" s="128"/>
      <c r="E23" s="128"/>
      <c r="F23" s="128"/>
      <c r="G23" s="128"/>
      <c r="H23" s="128"/>
      <c r="I23" s="128"/>
      <c r="J23" s="128"/>
      <c r="K23" s="128"/>
      <c r="L23" s="128"/>
      <c r="M23" s="128"/>
      <c r="N23" s="128"/>
      <c r="O23" s="128"/>
      <c r="P23" s="128"/>
      <c r="Q23" s="133"/>
      <c r="R23" s="122"/>
      <c r="S23" s="123"/>
      <c r="T23" s="123" t="str">
        <f>C_Team4</f>
        <v>Slovenia</v>
      </c>
      <c r="U23" s="123" t="str">
        <f>C_Team4</f>
        <v>Slovenia</v>
      </c>
      <c r="V23" s="123" t="str">
        <f>C_Team4</f>
        <v>Slovenia</v>
      </c>
      <c r="W23" s="123" t="str">
        <f>C_Team4</f>
        <v>Slovenia</v>
      </c>
      <c r="X23" s="123"/>
      <c r="Y23" s="123" t="str">
        <f>C_Team4</f>
        <v>Slovenia</v>
      </c>
      <c r="Z23" s="123" t="str">
        <f>'UEFA EURO 2024'!E29 &amp; " vs " &amp; 'UEFA EURO 2024'!H29</f>
        <v>Poland vs Austria</v>
      </c>
      <c r="AA23" s="123"/>
      <c r="AB23" s="123"/>
      <c r="AC23" s="123"/>
      <c r="AD23" s="123" t="str">
        <f>E_Team3</f>
        <v>Romania</v>
      </c>
      <c r="AE23" s="123"/>
      <c r="AF23" s="123"/>
      <c r="AG23" s="123"/>
      <c r="AH23" s="123"/>
      <c r="AI23" s="123"/>
      <c r="AJ23" s="123"/>
      <c r="AK23" s="162"/>
      <c r="AL23" s="162"/>
      <c r="AM23" s="162"/>
      <c r="AN23" s="162"/>
      <c r="AO23" s="162"/>
      <c r="AP23" s="162"/>
      <c r="AQ23" s="162"/>
      <c r="AR23" s="162"/>
      <c r="AS23" s="125"/>
    </row>
    <row r="24" spans="1:45" s="121" customFormat="1" ht="15" customHeight="1">
      <c r="A24" s="160" t="s">
        <v>2924</v>
      </c>
      <c r="B24" s="181" t="s">
        <v>2925</v>
      </c>
      <c r="C24" s="181"/>
      <c r="D24" s="181"/>
      <c r="E24" s="181"/>
      <c r="F24" s="181"/>
      <c r="G24" s="181"/>
      <c r="H24" s="181"/>
      <c r="I24" s="181"/>
      <c r="J24" s="181"/>
      <c r="K24" s="153"/>
      <c r="L24" s="154"/>
      <c r="M24" s="128"/>
      <c r="N24" s="128"/>
      <c r="O24" s="128"/>
      <c r="P24" s="128"/>
      <c r="Q24" s="133"/>
      <c r="R24" s="122"/>
      <c r="S24" s="115"/>
      <c r="T24" s="123" t="str">
        <f>B_Team1</f>
        <v>Spain</v>
      </c>
      <c r="U24" s="123" t="str">
        <f>B_Team1</f>
        <v>Spain</v>
      </c>
      <c r="V24" s="123" t="str">
        <f>B_Team1</f>
        <v>Spain</v>
      </c>
      <c r="W24" s="123" t="str">
        <f>B_Team1</f>
        <v>Spain</v>
      </c>
      <c r="X24" s="123"/>
      <c r="Y24" s="123" t="str">
        <f>B_Team1</f>
        <v>Spain</v>
      </c>
      <c r="Z24" s="123" t="str">
        <f>'UEFA EURO 2024'!E30 &amp; " vs " &amp; 'UEFA EURO 2024'!H30</f>
        <v>Netherlands vs France</v>
      </c>
      <c r="AA24" s="123"/>
      <c r="AB24" s="123"/>
      <c r="AC24" s="123"/>
      <c r="AD24" s="123" t="str">
        <f>E_Team4</f>
        <v>Slovakia</v>
      </c>
      <c r="AE24" s="123"/>
      <c r="AF24" s="123"/>
      <c r="AG24" s="123"/>
      <c r="AH24" s="123"/>
      <c r="AI24" s="123"/>
      <c r="AJ24" s="123"/>
      <c r="AK24" s="162"/>
      <c r="AL24" s="162"/>
      <c r="AM24" s="162"/>
      <c r="AN24" s="162"/>
      <c r="AO24" s="162"/>
      <c r="AP24" s="162"/>
      <c r="AQ24" s="162"/>
      <c r="AR24" s="162"/>
      <c r="AS24" s="125"/>
    </row>
    <row r="25" spans="1:45" s="121" customFormat="1" ht="9" customHeight="1">
      <c r="A25" s="152"/>
      <c r="B25" s="128"/>
      <c r="C25" s="128"/>
      <c r="D25" s="128"/>
      <c r="E25" s="128"/>
      <c r="F25" s="128"/>
      <c r="G25" s="128"/>
      <c r="H25" s="128"/>
      <c r="I25" s="128"/>
      <c r="J25" s="128"/>
      <c r="K25" s="128"/>
      <c r="L25" s="128"/>
      <c r="M25" s="128"/>
      <c r="N25" s="128"/>
      <c r="O25" s="128"/>
      <c r="P25" s="128"/>
      <c r="Q25" s="133"/>
      <c r="R25" s="122"/>
      <c r="S25" s="123"/>
      <c r="T25" s="123" t="str">
        <f>A_Team3</f>
        <v>Switzerland</v>
      </c>
      <c r="U25" s="123" t="str">
        <f>A_Team3</f>
        <v>Switzerland</v>
      </c>
      <c r="V25" s="123" t="str">
        <f>A_Team3</f>
        <v>Switzerland</v>
      </c>
      <c r="W25" s="123" t="str">
        <f>A_Team3</f>
        <v>Switzerland</v>
      </c>
      <c r="X25" s="123"/>
      <c r="Y25" s="123" t="str">
        <f>A_Team3</f>
        <v>Switzerland</v>
      </c>
      <c r="Z25" s="123" t="str">
        <f>'UEFA EURO 2024'!E31 &amp; " vs " &amp; 'UEFA EURO 2024'!H31</f>
        <v>Georgia vs Czech Republic</v>
      </c>
      <c r="AA25" s="123"/>
      <c r="AB25" s="123"/>
      <c r="AC25" s="123"/>
      <c r="AD25" s="123" t="str">
        <f>F_Team1</f>
        <v>Portugal</v>
      </c>
      <c r="AE25" s="123"/>
      <c r="AF25" s="123"/>
      <c r="AG25" s="123"/>
      <c r="AH25" s="123"/>
      <c r="AI25" s="123"/>
      <c r="AJ25" s="123"/>
      <c r="AK25" s="162"/>
      <c r="AL25" s="162"/>
      <c r="AM25" s="162"/>
      <c r="AN25" s="162"/>
      <c r="AO25" s="162"/>
      <c r="AP25" s="162"/>
      <c r="AQ25" s="162"/>
      <c r="AR25" s="162"/>
      <c r="AS25" s="125"/>
    </row>
    <row r="26" spans="1:45" s="121" customFormat="1" ht="15" customHeight="1">
      <c r="A26" s="160" t="s">
        <v>2926</v>
      </c>
      <c r="B26" s="181" t="s">
        <v>2927</v>
      </c>
      <c r="C26" s="181"/>
      <c r="D26" s="181"/>
      <c r="E26" s="181"/>
      <c r="F26" s="181"/>
      <c r="G26" s="181"/>
      <c r="H26" s="181"/>
      <c r="I26" s="140"/>
      <c r="J26" s="128"/>
      <c r="K26" s="128"/>
      <c r="L26" s="128"/>
      <c r="M26" s="128"/>
      <c r="N26" s="128"/>
      <c r="O26" s="128"/>
      <c r="P26" s="128"/>
      <c r="Q26" s="133"/>
      <c r="R26" s="122"/>
      <c r="S26" s="123"/>
      <c r="T26" s="123" t="str">
        <f>F_Team2</f>
        <v>Turkey</v>
      </c>
      <c r="U26" s="123" t="str">
        <f>F_Team2</f>
        <v>Turkey</v>
      </c>
      <c r="V26" s="123" t="str">
        <f>F_Team2</f>
        <v>Turkey</v>
      </c>
      <c r="W26" s="123" t="str">
        <f>F_Team2</f>
        <v>Turkey</v>
      </c>
      <c r="X26" s="123"/>
      <c r="Y26" s="123" t="str">
        <f>F_Team2</f>
        <v>Turkey</v>
      </c>
      <c r="Z26" s="123" t="str">
        <f>'UEFA EURO 2024'!E32 &amp; " vs " &amp; 'UEFA EURO 2024'!H32</f>
        <v>Turkey vs Portugal</v>
      </c>
      <c r="AA26" s="123"/>
      <c r="AB26" s="123"/>
      <c r="AC26" s="123"/>
      <c r="AD26" s="123" t="str">
        <f>F_Team2</f>
        <v>Turkey</v>
      </c>
      <c r="AE26" s="123"/>
      <c r="AF26" s="123"/>
      <c r="AG26" s="123"/>
      <c r="AH26" s="123"/>
      <c r="AI26" s="123"/>
      <c r="AJ26" s="123"/>
      <c r="AK26" s="162"/>
      <c r="AL26" s="162"/>
      <c r="AM26" s="162"/>
      <c r="AN26" s="162"/>
      <c r="AO26" s="162"/>
      <c r="AP26" s="162"/>
      <c r="AQ26" s="162"/>
      <c r="AR26" s="162"/>
      <c r="AS26" s="125"/>
    </row>
    <row r="27" spans="1:45" ht="9" customHeight="1">
      <c r="A27" s="152"/>
      <c r="B27" s="128"/>
      <c r="C27" s="128"/>
      <c r="D27" s="128"/>
      <c r="E27" s="128"/>
      <c r="F27" s="128"/>
      <c r="G27" s="128"/>
      <c r="H27" s="128"/>
      <c r="I27" s="128"/>
      <c r="J27" s="128"/>
      <c r="K27" s="128"/>
      <c r="L27" s="128"/>
      <c r="M27" s="128"/>
      <c r="N27" s="128"/>
      <c r="O27" s="128"/>
      <c r="P27" s="128"/>
      <c r="Q27" s="133"/>
      <c r="S27" s="123"/>
      <c r="T27" s="123" t="str">
        <f>E_Team2</f>
        <v>Ukraine</v>
      </c>
      <c r="U27" s="123" t="str">
        <f>E_Team2</f>
        <v>Ukraine</v>
      </c>
      <c r="V27" s="123" t="str">
        <f>E_Team2</f>
        <v>Ukraine</v>
      </c>
      <c r="W27" s="123" t="str">
        <f>E_Team2</f>
        <v>Ukraine</v>
      </c>
      <c r="X27" s="123"/>
      <c r="Y27" s="123" t="str">
        <f>E_Team2</f>
        <v>Ukraine</v>
      </c>
      <c r="Z27" s="123" t="str">
        <f>'UEFA EURO 2024'!E33 &amp; " vs " &amp; 'UEFA EURO 2024'!H33</f>
        <v>Belgium vs Romania</v>
      </c>
      <c r="AD27" s="123" t="str">
        <f>F_Team3</f>
        <v>Czech Republic</v>
      </c>
      <c r="AF27" s="115"/>
      <c r="AG27" s="115"/>
      <c r="AH27" s="115"/>
      <c r="AI27" s="115"/>
      <c r="AJ27" s="115"/>
      <c r="AK27" s="161"/>
      <c r="AL27" s="161"/>
      <c r="AM27" s="161"/>
      <c r="AN27" s="161"/>
      <c r="AO27" s="161"/>
      <c r="AP27" s="161"/>
      <c r="AQ27" s="161"/>
      <c r="AR27" s="161"/>
    </row>
    <row r="28" spans="1:45" ht="15" customHeight="1">
      <c r="A28" s="160" t="s">
        <v>2928</v>
      </c>
      <c r="B28" s="181" t="s">
        <v>2929</v>
      </c>
      <c r="C28" s="181"/>
      <c r="D28" s="181"/>
      <c r="E28" s="181"/>
      <c r="F28" s="181"/>
      <c r="G28" s="181"/>
      <c r="H28" s="181"/>
      <c r="I28" s="181"/>
      <c r="J28" s="156"/>
      <c r="K28" s="128"/>
      <c r="L28" s="128"/>
      <c r="M28" s="128"/>
      <c r="N28" s="128"/>
      <c r="O28" s="128"/>
      <c r="P28" s="128"/>
      <c r="Q28" s="133"/>
      <c r="T28" s="123"/>
      <c r="U28" s="123"/>
      <c r="V28" s="123"/>
      <c r="W28" s="123"/>
      <c r="Y28" s="123"/>
      <c r="Z28" s="123" t="str">
        <f>'UEFA EURO 2024'!E34 &amp; " vs " &amp; 'UEFA EURO 2024'!H34</f>
        <v>Switzerland vs Germany</v>
      </c>
      <c r="AD28" s="123" t="str">
        <f>F_Team4</f>
        <v>Georgia</v>
      </c>
      <c r="AF28" s="115"/>
      <c r="AG28" s="115"/>
      <c r="AH28" s="115"/>
      <c r="AI28" s="115"/>
      <c r="AJ28" s="115"/>
      <c r="AK28" s="161"/>
      <c r="AL28" s="161"/>
      <c r="AM28" s="161"/>
      <c r="AN28" s="161"/>
      <c r="AO28" s="161"/>
      <c r="AP28" s="161"/>
      <c r="AQ28" s="161"/>
      <c r="AR28" s="161"/>
    </row>
    <row r="29" spans="1:45" ht="9" customHeight="1">
      <c r="A29" s="152"/>
      <c r="B29" s="128"/>
      <c r="C29" s="128"/>
      <c r="D29" s="128"/>
      <c r="E29" s="128"/>
      <c r="F29" s="128"/>
      <c r="G29" s="128"/>
      <c r="H29" s="128"/>
      <c r="I29" s="128"/>
      <c r="J29" s="128"/>
      <c r="K29" s="128"/>
      <c r="L29" s="128"/>
      <c r="M29" s="128"/>
      <c r="N29" s="128"/>
      <c r="O29" s="128"/>
      <c r="P29" s="128"/>
      <c r="Q29" s="133"/>
      <c r="T29" s="123"/>
      <c r="U29" s="123"/>
      <c r="V29" s="123"/>
      <c r="W29" s="123"/>
      <c r="Y29" s="123"/>
      <c r="Z29" s="123" t="str">
        <f>'UEFA EURO 2024'!E35 &amp; " vs " &amp; 'UEFA EURO 2024'!H35</f>
        <v>Scotland vs Hungary</v>
      </c>
      <c r="AF29" s="115"/>
      <c r="AG29" s="115"/>
      <c r="AH29" s="115"/>
      <c r="AI29" s="115"/>
      <c r="AJ29" s="115"/>
      <c r="AK29" s="161"/>
      <c r="AL29" s="161"/>
      <c r="AM29" s="161"/>
      <c r="AN29" s="161"/>
      <c r="AO29" s="161"/>
      <c r="AP29" s="161"/>
      <c r="AQ29" s="161"/>
      <c r="AR29" s="161"/>
    </row>
    <row r="30" spans="1:45" ht="15" customHeight="1">
      <c r="A30" s="160" t="s">
        <v>2930</v>
      </c>
      <c r="B30" s="181" t="s">
        <v>2931</v>
      </c>
      <c r="C30" s="181"/>
      <c r="D30" s="181"/>
      <c r="E30" s="181"/>
      <c r="F30" s="181"/>
      <c r="G30" s="181"/>
      <c r="H30" s="181"/>
      <c r="I30" s="140"/>
      <c r="J30" s="128"/>
      <c r="K30" s="128"/>
      <c r="L30" s="128"/>
      <c r="M30" s="128"/>
      <c r="N30" s="128"/>
      <c r="O30" s="128"/>
      <c r="P30" s="128"/>
      <c r="Q30" s="133"/>
      <c r="S30" s="123"/>
      <c r="T30" s="123"/>
      <c r="U30" s="123"/>
      <c r="V30" s="123"/>
      <c r="W30" s="123"/>
      <c r="Y30" s="123"/>
      <c r="Z30" s="123" t="str">
        <f>'UEFA EURO 2024'!E36 &amp; " vs " &amp; 'UEFA EURO 2024'!H36</f>
        <v>Albania vs Spain</v>
      </c>
      <c r="AF30" s="115"/>
      <c r="AG30" s="115"/>
      <c r="AH30" s="115"/>
      <c r="AI30" s="115"/>
      <c r="AJ30" s="115"/>
      <c r="AK30" s="161"/>
      <c r="AL30" s="161"/>
      <c r="AM30" s="161"/>
      <c r="AN30" s="161"/>
      <c r="AO30" s="161"/>
      <c r="AP30" s="161"/>
      <c r="AQ30" s="161"/>
      <c r="AR30" s="161"/>
    </row>
    <row r="31" spans="1:45" ht="9" customHeight="1">
      <c r="A31" s="152"/>
      <c r="B31" s="128"/>
      <c r="C31" s="128"/>
      <c r="D31" s="128"/>
      <c r="E31" s="128"/>
      <c r="F31" s="128"/>
      <c r="G31" s="128"/>
      <c r="H31" s="128"/>
      <c r="I31" s="128"/>
      <c r="J31" s="128"/>
      <c r="K31" s="128"/>
      <c r="L31" s="128"/>
      <c r="M31" s="128"/>
      <c r="N31" s="128"/>
      <c r="O31" s="128"/>
      <c r="P31" s="128"/>
      <c r="Q31" s="133"/>
      <c r="S31" s="123"/>
      <c r="T31" s="123"/>
      <c r="U31" s="123"/>
      <c r="V31" s="123"/>
      <c r="W31" s="123"/>
      <c r="Y31" s="123"/>
      <c r="Z31" s="123" t="str">
        <f>'UEFA EURO 2024'!E37 &amp; " vs " &amp; 'UEFA EURO 2024'!H37</f>
        <v>Croatia vs Italy</v>
      </c>
      <c r="AF31" s="115"/>
      <c r="AG31" s="115"/>
      <c r="AH31" s="115"/>
      <c r="AI31" s="115"/>
      <c r="AJ31" s="115"/>
      <c r="AK31" s="161"/>
      <c r="AL31" s="161"/>
      <c r="AM31" s="161"/>
      <c r="AN31" s="161"/>
      <c r="AO31" s="161"/>
      <c r="AP31" s="161"/>
      <c r="AQ31" s="161"/>
      <c r="AR31" s="161"/>
    </row>
    <row r="32" spans="1:45" ht="15" customHeight="1">
      <c r="A32" s="160" t="s">
        <v>2932</v>
      </c>
      <c r="B32" s="181" t="s">
        <v>2933</v>
      </c>
      <c r="C32" s="181"/>
      <c r="D32" s="181"/>
      <c r="E32" s="181"/>
      <c r="F32" s="181"/>
      <c r="G32" s="181"/>
      <c r="H32" s="140"/>
      <c r="I32" s="128"/>
      <c r="J32" s="128"/>
      <c r="K32" s="128"/>
      <c r="L32" s="128"/>
      <c r="M32" s="128"/>
      <c r="N32" s="128"/>
      <c r="O32" s="128"/>
      <c r="P32" s="128"/>
      <c r="Q32" s="133"/>
      <c r="S32" s="123"/>
      <c r="T32" s="123"/>
      <c r="U32" s="123"/>
      <c r="V32" s="123"/>
      <c r="W32" s="123"/>
      <c r="Y32" s="123"/>
      <c r="Z32" s="123" t="str">
        <f>'UEFA EURO 2024'!E38 &amp; " vs " &amp; 'UEFA EURO 2024'!H38</f>
        <v>Netherlands vs Austria</v>
      </c>
      <c r="AF32" s="115"/>
      <c r="AG32" s="115"/>
      <c r="AH32" s="115"/>
      <c r="AI32" s="115"/>
      <c r="AJ32" s="115"/>
      <c r="AK32" s="161"/>
      <c r="AL32" s="161"/>
      <c r="AM32" s="161"/>
      <c r="AN32" s="161"/>
      <c r="AO32" s="161"/>
      <c r="AP32" s="161"/>
      <c r="AQ32" s="161"/>
      <c r="AR32" s="161"/>
    </row>
    <row r="33" spans="1:44" ht="9" customHeight="1">
      <c r="A33" s="152"/>
      <c r="B33" s="128"/>
      <c r="C33" s="128"/>
      <c r="D33" s="128"/>
      <c r="E33" s="128"/>
      <c r="F33" s="128"/>
      <c r="G33" s="128"/>
      <c r="H33" s="128"/>
      <c r="I33" s="128"/>
      <c r="J33" s="128"/>
      <c r="K33" s="128"/>
      <c r="L33" s="128"/>
      <c r="M33" s="128"/>
      <c r="N33" s="128"/>
      <c r="O33" s="128"/>
      <c r="P33" s="128"/>
      <c r="Q33" s="133"/>
      <c r="S33" s="123"/>
      <c r="T33" s="123"/>
      <c r="U33" s="123"/>
      <c r="V33" s="123"/>
      <c r="W33" s="123"/>
      <c r="Y33" s="123"/>
      <c r="Z33" s="123" t="str">
        <f>'UEFA EURO 2024'!E39 &amp; " vs " &amp; 'UEFA EURO 2024'!H39</f>
        <v>France vs Poland</v>
      </c>
      <c r="AF33" s="115"/>
      <c r="AG33" s="115"/>
      <c r="AH33" s="115"/>
      <c r="AI33" s="115"/>
      <c r="AJ33" s="115"/>
      <c r="AK33" s="161"/>
      <c r="AL33" s="161"/>
      <c r="AM33" s="161"/>
      <c r="AN33" s="161"/>
      <c r="AO33" s="161"/>
      <c r="AP33" s="161"/>
      <c r="AQ33" s="161"/>
      <c r="AR33" s="161"/>
    </row>
    <row r="34" spans="1:44" ht="15" customHeight="1">
      <c r="A34" s="160" t="s">
        <v>2934</v>
      </c>
      <c r="B34" s="181" t="s">
        <v>2935</v>
      </c>
      <c r="C34" s="185"/>
      <c r="D34" s="185"/>
      <c r="E34" s="185"/>
      <c r="F34" s="185"/>
      <c r="G34" s="185"/>
      <c r="H34" s="157"/>
      <c r="I34" s="154"/>
      <c r="J34" s="134"/>
      <c r="K34" s="134"/>
      <c r="L34" s="158"/>
      <c r="M34" s="128"/>
      <c r="N34" s="128"/>
      <c r="O34" s="128"/>
      <c r="P34" s="128"/>
      <c r="Q34" s="133"/>
      <c r="S34" s="123"/>
      <c r="T34" s="123"/>
      <c r="U34" s="123"/>
      <c r="V34" s="123"/>
      <c r="W34" s="123"/>
      <c r="Y34" s="123"/>
      <c r="Z34" s="123" t="str">
        <f>'UEFA EURO 2024'!E40 &amp; " vs " &amp; 'UEFA EURO 2024'!H40</f>
        <v>England vs Slovenia</v>
      </c>
      <c r="AF34" s="115"/>
      <c r="AG34" s="115"/>
      <c r="AH34" s="115"/>
      <c r="AI34" s="115"/>
      <c r="AJ34" s="115"/>
      <c r="AK34" s="161"/>
      <c r="AL34" s="161"/>
      <c r="AM34" s="161"/>
      <c r="AN34" s="161"/>
      <c r="AO34" s="161"/>
      <c r="AP34" s="161"/>
      <c r="AQ34" s="161"/>
      <c r="AR34" s="161"/>
    </row>
    <row r="35" spans="1:44" ht="9" customHeight="1">
      <c r="A35" s="133"/>
      <c r="B35" s="133"/>
      <c r="C35" s="133"/>
      <c r="D35" s="133"/>
      <c r="E35" s="133"/>
      <c r="F35" s="133"/>
      <c r="G35" s="133"/>
      <c r="H35" s="133"/>
      <c r="I35" s="133"/>
      <c r="J35" s="133"/>
      <c r="K35" s="133"/>
      <c r="L35" s="133"/>
      <c r="M35" s="133"/>
      <c r="N35" s="133"/>
      <c r="O35" s="133"/>
      <c r="P35" s="133"/>
      <c r="Q35" s="133"/>
      <c r="S35" s="123"/>
      <c r="T35" s="123"/>
      <c r="U35" s="123"/>
      <c r="V35" s="123"/>
      <c r="W35" s="123"/>
      <c r="Y35" s="123"/>
      <c r="Z35" s="123" t="str">
        <f>'UEFA EURO 2024'!E41 &amp; " vs " &amp; 'UEFA EURO 2024'!H41</f>
        <v>Denmark vs Serbia</v>
      </c>
      <c r="AF35" s="115"/>
      <c r="AG35" s="115"/>
      <c r="AH35" s="115"/>
      <c r="AI35" s="115"/>
      <c r="AJ35" s="115"/>
      <c r="AK35" s="161"/>
      <c r="AL35" s="161"/>
      <c r="AM35" s="161"/>
      <c r="AN35" s="161"/>
      <c r="AO35" s="161"/>
      <c r="AP35" s="161"/>
      <c r="AQ35" s="161"/>
      <c r="AR35" s="161"/>
    </row>
    <row r="36" spans="1:44" ht="15" customHeight="1">
      <c r="A36" s="160" t="s">
        <v>2936</v>
      </c>
      <c r="B36" s="181" t="s">
        <v>2937</v>
      </c>
      <c r="C36" s="181"/>
      <c r="D36" s="181"/>
      <c r="E36" s="181"/>
      <c r="F36" s="181"/>
      <c r="G36" s="181"/>
      <c r="H36" s="181"/>
      <c r="I36" s="186"/>
      <c r="J36" s="187"/>
      <c r="K36" s="133"/>
      <c r="L36" s="133"/>
      <c r="M36" s="133"/>
      <c r="N36" s="133"/>
      <c r="O36" s="133"/>
      <c r="P36" s="133"/>
      <c r="Q36" s="133"/>
      <c r="Z36" s="123" t="str">
        <f>'UEFA EURO 2024'!E42 &amp; " vs " &amp; 'UEFA EURO 2024'!H42</f>
        <v>Slovakia vs Romania</v>
      </c>
      <c r="AF36" s="115"/>
      <c r="AG36" s="115"/>
      <c r="AH36" s="115"/>
      <c r="AI36" s="115"/>
      <c r="AJ36" s="115"/>
      <c r="AK36" s="161"/>
      <c r="AL36" s="161"/>
      <c r="AM36" s="161"/>
      <c r="AN36" s="161"/>
      <c r="AO36" s="161"/>
      <c r="AP36" s="161"/>
      <c r="AQ36" s="161"/>
      <c r="AR36" s="161"/>
    </row>
    <row r="37" spans="1:44" ht="9" customHeight="1">
      <c r="A37" s="133"/>
      <c r="B37" s="133"/>
      <c r="C37" s="133"/>
      <c r="D37" s="133"/>
      <c r="E37" s="133"/>
      <c r="F37" s="133"/>
      <c r="G37" s="133"/>
      <c r="H37" s="133"/>
      <c r="I37" s="133"/>
      <c r="J37" s="133"/>
      <c r="K37" s="133"/>
      <c r="L37" s="133"/>
      <c r="M37" s="133"/>
      <c r="N37" s="133"/>
      <c r="O37" s="133"/>
      <c r="P37" s="133"/>
      <c r="Q37" s="133"/>
      <c r="Z37" s="123" t="str">
        <f>'UEFA EURO 2024'!E43 &amp; " vs " &amp; 'UEFA EURO 2024'!H43</f>
        <v>Ukraine vs Belgium</v>
      </c>
      <c r="AF37" s="115"/>
      <c r="AG37" s="115"/>
      <c r="AH37" s="115"/>
      <c r="AI37" s="115"/>
      <c r="AJ37" s="115"/>
      <c r="AK37" s="161"/>
      <c r="AL37" s="161"/>
      <c r="AM37" s="161"/>
      <c r="AN37" s="161"/>
      <c r="AO37" s="161"/>
      <c r="AP37" s="161"/>
      <c r="AQ37" s="161"/>
      <c r="AR37" s="161"/>
    </row>
    <row r="38" spans="1:44" ht="15" customHeight="1">
      <c r="A38" s="160" t="s">
        <v>2938</v>
      </c>
      <c r="B38" s="181" t="s">
        <v>2943</v>
      </c>
      <c r="C38" s="181"/>
      <c r="D38" s="181"/>
      <c r="E38" s="181"/>
      <c r="F38" s="181"/>
      <c r="G38" s="181"/>
      <c r="H38" s="181"/>
      <c r="I38" s="181"/>
      <c r="J38" s="181"/>
      <c r="K38" s="182"/>
      <c r="L38" s="183"/>
      <c r="M38" s="184"/>
      <c r="N38" s="133"/>
      <c r="O38" s="133"/>
      <c r="P38" s="133"/>
      <c r="Q38" s="133"/>
      <c r="Z38" s="123" t="str">
        <f>'UEFA EURO 2024'!E44 &amp; " vs " &amp; 'UEFA EURO 2024'!H44</f>
        <v>Georgia vs Portugal</v>
      </c>
      <c r="AF38" s="115"/>
      <c r="AG38" s="115"/>
      <c r="AH38" s="115"/>
      <c r="AI38" s="115"/>
      <c r="AJ38" s="115"/>
      <c r="AK38" s="161"/>
      <c r="AL38" s="161"/>
      <c r="AM38" s="161"/>
      <c r="AN38" s="161"/>
      <c r="AO38" s="161"/>
      <c r="AP38" s="161"/>
      <c r="AQ38" s="161"/>
      <c r="AR38" s="161"/>
    </row>
    <row r="39" spans="1:44" ht="9" customHeight="1">
      <c r="A39" s="133"/>
      <c r="B39" s="133"/>
      <c r="C39" s="133"/>
      <c r="D39" s="133"/>
      <c r="E39" s="133"/>
      <c r="F39" s="133"/>
      <c r="G39" s="133"/>
      <c r="H39" s="133"/>
      <c r="I39" s="133"/>
      <c r="J39" s="133"/>
      <c r="K39" s="133"/>
      <c r="L39" s="133"/>
      <c r="M39" s="133"/>
      <c r="N39" s="133"/>
      <c r="O39" s="133"/>
      <c r="P39" s="133"/>
      <c r="Q39" s="133"/>
      <c r="Z39" s="123" t="str">
        <f>'UEFA EURO 2024'!E45 &amp; " vs " &amp; 'UEFA EURO 2024'!H45</f>
        <v>Czech Republic vs Turkey</v>
      </c>
      <c r="AF39" s="115"/>
      <c r="AG39" s="115"/>
      <c r="AH39" s="115"/>
      <c r="AI39" s="115"/>
      <c r="AJ39" s="115"/>
      <c r="AK39" s="161"/>
      <c r="AL39" s="161"/>
      <c r="AM39" s="161"/>
      <c r="AN39" s="161"/>
      <c r="AO39" s="161"/>
      <c r="AP39" s="161"/>
      <c r="AQ39" s="161"/>
      <c r="AR39" s="161"/>
    </row>
    <row r="40" spans="1:44" ht="15" customHeight="1">
      <c r="A40" s="160" t="s">
        <v>2939</v>
      </c>
      <c r="B40" s="181" t="s">
        <v>2940</v>
      </c>
      <c r="C40" s="181"/>
      <c r="D40" s="181"/>
      <c r="E40" s="181"/>
      <c r="F40" s="181"/>
      <c r="G40" s="181"/>
      <c r="H40" s="182"/>
      <c r="I40" s="183"/>
      <c r="J40" s="184"/>
      <c r="K40" s="133"/>
      <c r="L40" s="133"/>
      <c r="M40" s="133"/>
      <c r="N40" s="133"/>
      <c r="O40" s="133"/>
      <c r="P40" s="133"/>
      <c r="Q40" s="133"/>
      <c r="AF40" s="115"/>
      <c r="AG40" s="115"/>
      <c r="AH40" s="115"/>
      <c r="AI40" s="115"/>
      <c r="AJ40" s="115"/>
      <c r="AK40" s="161"/>
      <c r="AL40" s="161"/>
      <c r="AM40" s="161"/>
      <c r="AN40" s="161"/>
      <c r="AO40" s="161"/>
      <c r="AP40" s="161"/>
      <c r="AQ40" s="161"/>
      <c r="AR40" s="161"/>
    </row>
    <row r="41" spans="1:44" ht="9" customHeight="1">
      <c r="A41" s="133"/>
      <c r="B41" s="133"/>
      <c r="C41" s="133"/>
      <c r="D41" s="133"/>
      <c r="E41" s="133"/>
      <c r="F41" s="133"/>
      <c r="G41" s="133"/>
      <c r="H41" s="133"/>
      <c r="I41" s="133"/>
      <c r="J41" s="133"/>
      <c r="K41" s="133"/>
      <c r="L41" s="133"/>
      <c r="M41" s="133"/>
      <c r="N41" s="133"/>
      <c r="O41" s="133"/>
      <c r="P41" s="133"/>
      <c r="Q41" s="133"/>
      <c r="AF41" s="115"/>
      <c r="AG41" s="115"/>
      <c r="AH41" s="115"/>
      <c r="AI41" s="115"/>
      <c r="AJ41" s="115"/>
      <c r="AK41" s="161"/>
      <c r="AL41" s="161"/>
      <c r="AM41" s="161"/>
      <c r="AN41" s="161"/>
      <c r="AO41" s="161"/>
      <c r="AP41" s="161"/>
      <c r="AQ41" s="161"/>
      <c r="AR41" s="161"/>
    </row>
    <row r="42" spans="1:44" ht="15" customHeight="1">
      <c r="A42" s="160" t="s">
        <v>2941</v>
      </c>
      <c r="B42" s="181" t="s">
        <v>2942</v>
      </c>
      <c r="C42" s="181"/>
      <c r="D42" s="181"/>
      <c r="E42" s="181"/>
      <c r="F42" s="181"/>
      <c r="G42" s="182"/>
      <c r="H42" s="183"/>
      <c r="I42" s="184"/>
      <c r="J42" s="133"/>
      <c r="K42" s="133"/>
      <c r="L42" s="133"/>
      <c r="M42" s="133"/>
      <c r="N42" s="133"/>
      <c r="O42" s="133"/>
      <c r="P42" s="133"/>
      <c r="Q42" s="133"/>
      <c r="AF42" s="115"/>
      <c r="AG42" s="115"/>
      <c r="AH42" s="115"/>
      <c r="AI42" s="115"/>
      <c r="AJ42" s="115"/>
      <c r="AK42" s="161"/>
      <c r="AL42" s="161"/>
      <c r="AM42" s="161"/>
      <c r="AN42" s="161"/>
      <c r="AO42" s="161"/>
      <c r="AP42" s="161"/>
      <c r="AQ42" s="161"/>
      <c r="AR42" s="161"/>
    </row>
    <row r="43" spans="1:44">
      <c r="AF43" s="115"/>
      <c r="AG43" s="115"/>
      <c r="AH43" s="115"/>
      <c r="AI43" s="115"/>
      <c r="AJ43" s="115"/>
      <c r="AK43" s="161"/>
      <c r="AL43" s="161"/>
      <c r="AM43" s="161"/>
      <c r="AN43" s="161"/>
      <c r="AO43" s="161"/>
      <c r="AP43" s="161"/>
      <c r="AQ43" s="161"/>
      <c r="AR43" s="161"/>
    </row>
    <row r="44" spans="1:44">
      <c r="AF44" s="115"/>
      <c r="AG44" s="115"/>
      <c r="AH44" s="115"/>
      <c r="AI44" s="115"/>
      <c r="AJ44" s="115"/>
      <c r="AK44" s="161"/>
      <c r="AL44" s="161"/>
      <c r="AM44" s="161"/>
      <c r="AN44" s="161"/>
      <c r="AO44" s="161"/>
      <c r="AP44" s="161"/>
      <c r="AQ44" s="161"/>
      <c r="AR44" s="161"/>
    </row>
    <row r="45" spans="1:44">
      <c r="AF45" s="115"/>
      <c r="AG45" s="115"/>
      <c r="AH45" s="115"/>
      <c r="AI45" s="115"/>
      <c r="AJ45" s="115"/>
      <c r="AK45" s="161"/>
      <c r="AL45" s="161"/>
      <c r="AM45" s="161"/>
      <c r="AN45" s="161"/>
      <c r="AO45" s="161"/>
      <c r="AP45" s="161"/>
      <c r="AQ45" s="161"/>
      <c r="AR45" s="161"/>
    </row>
    <row r="46" spans="1:44">
      <c r="AF46" s="115"/>
      <c r="AG46" s="115"/>
      <c r="AH46" s="115"/>
      <c r="AI46" s="115"/>
      <c r="AJ46" s="115"/>
      <c r="AK46" s="161"/>
      <c r="AL46" s="161"/>
      <c r="AM46" s="161"/>
      <c r="AN46" s="161"/>
      <c r="AO46" s="161"/>
      <c r="AP46" s="161"/>
      <c r="AQ46" s="161"/>
      <c r="AR46" s="161"/>
    </row>
    <row r="47" spans="1:44">
      <c r="AF47" s="115"/>
      <c r="AG47" s="115"/>
      <c r="AH47" s="115"/>
      <c r="AI47" s="115"/>
      <c r="AJ47" s="115"/>
      <c r="AK47" s="161"/>
      <c r="AL47" s="161"/>
      <c r="AM47" s="161"/>
      <c r="AN47" s="161"/>
      <c r="AO47" s="161"/>
      <c r="AP47" s="161"/>
      <c r="AQ47" s="161"/>
      <c r="AR47" s="161"/>
    </row>
    <row r="48" spans="1:44">
      <c r="AF48" s="115"/>
      <c r="AG48" s="115"/>
      <c r="AH48" s="115"/>
      <c r="AI48" s="115"/>
      <c r="AJ48" s="115"/>
      <c r="AK48" s="161"/>
      <c r="AL48" s="161"/>
      <c r="AM48" s="161"/>
      <c r="AN48" s="161"/>
      <c r="AO48" s="161"/>
      <c r="AP48" s="161"/>
      <c r="AQ48" s="161"/>
      <c r="AR48" s="161"/>
    </row>
    <row r="49" spans="32:44">
      <c r="AF49" s="115"/>
      <c r="AG49" s="115"/>
      <c r="AH49" s="115"/>
      <c r="AI49" s="115"/>
      <c r="AJ49" s="115"/>
      <c r="AK49" s="161"/>
      <c r="AL49" s="161"/>
      <c r="AM49" s="161"/>
      <c r="AN49" s="161"/>
      <c r="AO49" s="161"/>
      <c r="AP49" s="161"/>
      <c r="AQ49" s="161"/>
      <c r="AR49" s="161"/>
    </row>
    <row r="50" spans="32:44">
      <c r="AF50" s="115"/>
      <c r="AG50" s="115"/>
      <c r="AH50" s="115"/>
      <c r="AI50" s="115"/>
      <c r="AJ50" s="115"/>
      <c r="AK50" s="161"/>
      <c r="AL50" s="161"/>
      <c r="AM50" s="161"/>
      <c r="AN50" s="161"/>
      <c r="AO50" s="161"/>
      <c r="AP50" s="161"/>
      <c r="AQ50" s="161"/>
      <c r="AR50" s="161"/>
    </row>
    <row r="51" spans="32:44">
      <c r="AF51" s="115"/>
      <c r="AG51" s="115"/>
      <c r="AH51" s="115"/>
      <c r="AI51" s="115"/>
      <c r="AJ51" s="115"/>
      <c r="AK51" s="161"/>
      <c r="AL51" s="161"/>
      <c r="AM51" s="161"/>
      <c r="AN51" s="161"/>
      <c r="AO51" s="161"/>
      <c r="AP51" s="161"/>
      <c r="AQ51" s="161"/>
      <c r="AR51" s="161"/>
    </row>
    <row r="52" spans="32:44">
      <c r="AF52" s="115"/>
      <c r="AG52" s="115"/>
      <c r="AH52" s="115"/>
      <c r="AI52" s="115"/>
      <c r="AJ52" s="115"/>
      <c r="AK52" s="161"/>
      <c r="AL52" s="161"/>
      <c r="AM52" s="161"/>
      <c r="AN52" s="161"/>
      <c r="AO52" s="161"/>
      <c r="AP52" s="161"/>
      <c r="AQ52" s="161"/>
      <c r="AR52" s="161"/>
    </row>
    <row r="53" spans="32:44">
      <c r="AF53" s="115"/>
      <c r="AG53" s="115"/>
      <c r="AH53" s="115"/>
      <c r="AI53" s="115"/>
      <c r="AJ53" s="115"/>
      <c r="AK53" s="161"/>
      <c r="AL53" s="161"/>
      <c r="AM53" s="161"/>
      <c r="AN53" s="161"/>
      <c r="AO53" s="161"/>
      <c r="AP53" s="161"/>
      <c r="AQ53" s="161"/>
      <c r="AR53" s="161"/>
    </row>
    <row r="54" spans="32:44">
      <c r="AF54" s="115"/>
      <c r="AG54" s="115"/>
      <c r="AH54" s="115"/>
      <c r="AI54" s="115"/>
      <c r="AJ54" s="115"/>
      <c r="AK54" s="161"/>
      <c r="AL54" s="161"/>
      <c r="AM54" s="161"/>
      <c r="AN54" s="161"/>
      <c r="AO54" s="161"/>
      <c r="AP54" s="161"/>
      <c r="AQ54" s="161"/>
      <c r="AR54" s="161"/>
    </row>
    <row r="55" spans="32:44">
      <c r="AF55" s="115"/>
      <c r="AG55" s="115"/>
      <c r="AH55" s="115"/>
      <c r="AI55" s="115"/>
      <c r="AJ55" s="115"/>
      <c r="AK55" s="161"/>
      <c r="AL55" s="161"/>
      <c r="AM55" s="161"/>
      <c r="AN55" s="161"/>
      <c r="AO55" s="161"/>
      <c r="AP55" s="161"/>
      <c r="AQ55" s="161"/>
      <c r="AR55" s="161"/>
    </row>
    <row r="56" spans="32:44">
      <c r="AF56" s="115"/>
      <c r="AG56" s="115"/>
      <c r="AH56" s="115"/>
      <c r="AI56" s="115"/>
      <c r="AJ56" s="115"/>
      <c r="AK56" s="161"/>
      <c r="AL56" s="161"/>
      <c r="AM56" s="161"/>
      <c r="AN56" s="161"/>
      <c r="AO56" s="161"/>
      <c r="AP56" s="161"/>
      <c r="AQ56" s="161"/>
      <c r="AR56" s="161"/>
    </row>
    <row r="57" spans="32:44">
      <c r="AF57" s="115"/>
      <c r="AG57" s="115"/>
      <c r="AH57" s="115"/>
      <c r="AI57" s="115"/>
      <c r="AJ57" s="115"/>
      <c r="AK57" s="161"/>
      <c r="AL57" s="161"/>
      <c r="AM57" s="161"/>
      <c r="AN57" s="161"/>
      <c r="AO57" s="161"/>
      <c r="AP57" s="161"/>
      <c r="AQ57" s="161"/>
      <c r="AR57" s="161"/>
    </row>
    <row r="58" spans="32:44">
      <c r="AF58" s="115"/>
      <c r="AG58" s="115"/>
      <c r="AH58" s="115"/>
      <c r="AI58" s="115"/>
      <c r="AJ58" s="115"/>
      <c r="AK58" s="161"/>
      <c r="AL58" s="161"/>
      <c r="AM58" s="161"/>
      <c r="AN58" s="161"/>
      <c r="AO58" s="161"/>
      <c r="AP58" s="161"/>
      <c r="AQ58" s="161"/>
      <c r="AR58" s="161"/>
    </row>
    <row r="59" spans="32:44">
      <c r="AF59" s="115"/>
      <c r="AG59" s="115"/>
      <c r="AH59" s="115"/>
      <c r="AI59" s="115"/>
      <c r="AJ59" s="115"/>
      <c r="AK59" s="161"/>
      <c r="AL59" s="161"/>
      <c r="AM59" s="161"/>
      <c r="AN59" s="161"/>
      <c r="AO59" s="161"/>
      <c r="AP59" s="161"/>
      <c r="AQ59" s="161"/>
      <c r="AR59" s="161"/>
    </row>
    <row r="60" spans="32:44">
      <c r="AF60" s="115"/>
      <c r="AG60" s="115"/>
      <c r="AH60" s="115"/>
      <c r="AI60" s="115"/>
      <c r="AJ60" s="115"/>
      <c r="AK60" s="161"/>
      <c r="AL60" s="161"/>
      <c r="AM60" s="161"/>
      <c r="AN60" s="161"/>
      <c r="AO60" s="161"/>
      <c r="AP60" s="161"/>
      <c r="AQ60" s="161"/>
      <c r="AR60" s="161"/>
    </row>
    <row r="61" spans="32:44">
      <c r="AF61" s="115"/>
      <c r="AG61" s="115"/>
      <c r="AH61" s="115"/>
      <c r="AI61" s="115"/>
      <c r="AJ61" s="115"/>
      <c r="AK61" s="161"/>
      <c r="AL61" s="161"/>
      <c r="AM61" s="161"/>
      <c r="AN61" s="161"/>
      <c r="AO61" s="161"/>
      <c r="AP61" s="161"/>
      <c r="AQ61" s="161"/>
      <c r="AR61" s="161"/>
    </row>
    <row r="62" spans="32:44">
      <c r="AF62" s="115"/>
      <c r="AG62" s="115"/>
      <c r="AH62" s="115"/>
      <c r="AI62" s="115"/>
      <c r="AJ62" s="115"/>
      <c r="AK62" s="161"/>
      <c r="AL62" s="161"/>
      <c r="AM62" s="161"/>
      <c r="AN62" s="161"/>
      <c r="AO62" s="161"/>
      <c r="AP62" s="161"/>
      <c r="AQ62" s="161"/>
      <c r="AR62" s="161"/>
    </row>
    <row r="63" spans="32:44">
      <c r="AF63" s="115"/>
      <c r="AG63" s="115"/>
      <c r="AH63" s="115"/>
      <c r="AI63" s="115"/>
      <c r="AJ63" s="115"/>
      <c r="AK63" s="161"/>
      <c r="AL63" s="161"/>
      <c r="AM63" s="161"/>
      <c r="AN63" s="161"/>
      <c r="AO63" s="161"/>
      <c r="AP63" s="161"/>
      <c r="AQ63" s="161"/>
      <c r="AR63" s="161"/>
    </row>
    <row r="64" spans="32:44">
      <c r="AF64" s="115"/>
      <c r="AG64" s="115"/>
      <c r="AH64" s="115"/>
      <c r="AI64" s="115"/>
      <c r="AJ64" s="115"/>
      <c r="AK64" s="161"/>
      <c r="AL64" s="161"/>
      <c r="AM64" s="161"/>
      <c r="AN64" s="161"/>
      <c r="AO64" s="161"/>
      <c r="AP64" s="161"/>
      <c r="AQ64" s="161"/>
      <c r="AR64" s="161"/>
    </row>
    <row r="65" spans="18:44">
      <c r="AF65" s="115"/>
      <c r="AG65" s="115"/>
      <c r="AH65" s="115"/>
      <c r="AI65" s="115"/>
      <c r="AJ65" s="115"/>
      <c r="AK65" s="161"/>
      <c r="AL65" s="161"/>
      <c r="AM65" s="161"/>
      <c r="AN65" s="161"/>
      <c r="AO65" s="161"/>
      <c r="AP65" s="161"/>
      <c r="AQ65" s="161"/>
      <c r="AR65" s="161"/>
    </row>
    <row r="66" spans="18:44">
      <c r="AF66" s="115"/>
      <c r="AG66" s="115"/>
      <c r="AH66" s="115"/>
      <c r="AI66" s="115"/>
      <c r="AJ66" s="115"/>
      <c r="AK66" s="161"/>
      <c r="AL66" s="161"/>
      <c r="AM66" s="161"/>
      <c r="AN66" s="161"/>
      <c r="AO66" s="161"/>
      <c r="AP66" s="161"/>
      <c r="AQ66" s="161"/>
      <c r="AR66" s="161"/>
    </row>
    <row r="67" spans="18:44">
      <c r="R67" s="163"/>
      <c r="S67" s="161"/>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row>
    <row r="68" spans="18:44">
      <c r="R68" s="163"/>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row>
    <row r="69" spans="18:44">
      <c r="R69" s="163"/>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row>
    <row r="70" spans="18:44">
      <c r="R70" s="163"/>
      <c r="S70" s="161"/>
      <c r="T70" s="161"/>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row>
    <row r="71" spans="18:44">
      <c r="R71" s="163"/>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row>
    <row r="72" spans="18:44">
      <c r="R72" s="163"/>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row>
    <row r="73" spans="18:44">
      <c r="R73" s="163"/>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row>
    <row r="74" spans="18:44">
      <c r="R74" s="163"/>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row>
    <row r="75" spans="18:44">
      <c r="R75" s="163"/>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row>
    <row r="76" spans="18:44">
      <c r="R76" s="163"/>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row>
    <row r="77" spans="18:44">
      <c r="R77" s="163"/>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row>
    <row r="78" spans="18:44">
      <c r="R78" s="163"/>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row>
    <row r="79" spans="18:44">
      <c r="R79" s="163"/>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row>
    <row r="80" spans="18:44">
      <c r="R80" s="163"/>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row>
    <row r="81" spans="18:44">
      <c r="R81" s="163"/>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row>
    <row r="82" spans="18:44">
      <c r="R82" s="163"/>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row>
    <row r="83" spans="18:44">
      <c r="R83" s="163"/>
      <c r="S83" s="161"/>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row>
    <row r="84" spans="18:44">
      <c r="R84" s="163"/>
      <c r="S84" s="161"/>
      <c r="T84" s="161"/>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row>
    <row r="85" spans="18:44">
      <c r="R85" s="163"/>
      <c r="S85" s="161"/>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row>
    <row r="86" spans="18:44">
      <c r="R86" s="163"/>
      <c r="S86" s="161"/>
      <c r="T86" s="161"/>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row>
    <row r="87" spans="18:44">
      <c r="R87" s="163"/>
      <c r="S87" s="161"/>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row>
    <row r="88" spans="18:44">
      <c r="R88" s="163"/>
      <c r="S88" s="161"/>
      <c r="T88" s="161"/>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row>
    <row r="89" spans="18:44">
      <c r="R89" s="163"/>
      <c r="S89" s="161"/>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row>
    <row r="90" spans="18:44">
      <c r="R90" s="163"/>
      <c r="S90" s="161"/>
      <c r="T90" s="161"/>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row>
    <row r="91" spans="18:44">
      <c r="R91" s="163"/>
      <c r="S91" s="161"/>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row>
    <row r="92" spans="18:44">
      <c r="R92" s="163"/>
      <c r="S92" s="161"/>
      <c r="T92" s="161"/>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row>
    <row r="93" spans="18:44">
      <c r="R93" s="163"/>
      <c r="S93" s="161"/>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row>
    <row r="94" spans="18:44">
      <c r="R94" s="163"/>
      <c r="S94" s="161"/>
      <c r="T94" s="161"/>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row>
    <row r="95" spans="18:44">
      <c r="R95" s="163"/>
      <c r="S95" s="161"/>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row>
    <row r="96" spans="18:44">
      <c r="R96" s="163"/>
      <c r="S96" s="161"/>
      <c r="T96" s="161"/>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row>
    <row r="97" spans="18:44">
      <c r="R97" s="163"/>
      <c r="S97" s="161"/>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row>
    <row r="98" spans="18:44">
      <c r="R98" s="163"/>
      <c r="S98" s="161"/>
      <c r="T98" s="161"/>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row>
    <row r="99" spans="18:44">
      <c r="R99" s="163"/>
      <c r="S99" s="161"/>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row>
    <row r="100" spans="18:44">
      <c r="R100" s="163"/>
      <c r="S100" s="161"/>
      <c r="T100" s="161"/>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row>
    <row r="101" spans="18:44">
      <c r="R101" s="163"/>
      <c r="S101" s="161"/>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row>
    <row r="102" spans="18:44">
      <c r="R102" s="163"/>
      <c r="S102" s="161"/>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row>
    <row r="103" spans="18:44">
      <c r="R103" s="163"/>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row>
    <row r="104" spans="18:44">
      <c r="R104" s="163"/>
      <c r="S104" s="161"/>
      <c r="T104" s="161"/>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row>
    <row r="105" spans="18:44">
      <c r="R105" s="163"/>
      <c r="S105" s="161"/>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row>
    <row r="106" spans="18:44">
      <c r="R106" s="163"/>
      <c r="S106" s="161"/>
      <c r="T106" s="161"/>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row>
    <row r="107" spans="18:44">
      <c r="R107" s="163"/>
      <c r="S107" s="161"/>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row>
    <row r="108" spans="18:44">
      <c r="R108" s="163"/>
      <c r="S108" s="161"/>
      <c r="T108" s="161"/>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row>
    <row r="109" spans="18:44">
      <c r="R109" s="163"/>
      <c r="S109" s="161"/>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row>
    <row r="110" spans="18:44">
      <c r="R110" s="163"/>
      <c r="S110" s="161"/>
      <c r="T110" s="161"/>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row>
    <row r="111" spans="18:44">
      <c r="R111" s="163"/>
      <c r="S111" s="161"/>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row>
    <row r="112" spans="18:44">
      <c r="R112" s="163"/>
      <c r="S112" s="161"/>
      <c r="T112" s="161"/>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row>
    <row r="113" spans="18:44">
      <c r="R113" s="163"/>
      <c r="S113" s="161"/>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row>
    <row r="114" spans="18:44">
      <c r="R114" s="163"/>
      <c r="S114" s="161"/>
      <c r="T114" s="161"/>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row>
    <row r="115" spans="18:44">
      <c r="R115" s="163"/>
      <c r="S115" s="161"/>
      <c r="T115" s="161"/>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row>
    <row r="116" spans="18:44">
      <c r="R116" s="163"/>
      <c r="S116" s="161"/>
      <c r="T116" s="161"/>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row>
    <row r="117" spans="18:44">
      <c r="R117" s="163"/>
      <c r="S117" s="161"/>
      <c r="T117" s="161"/>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c r="AP117" s="161"/>
      <c r="AQ117" s="161"/>
      <c r="AR117" s="161"/>
    </row>
    <row r="118" spans="18:44">
      <c r="R118" s="163"/>
      <c r="S118" s="161"/>
      <c r="T118" s="161"/>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row>
    <row r="119" spans="18:44">
      <c r="R119" s="163"/>
      <c r="S119" s="161"/>
      <c r="T119" s="161"/>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c r="AP119" s="161"/>
      <c r="AQ119" s="161"/>
      <c r="AR119" s="161"/>
    </row>
    <row r="120" spans="18:44">
      <c r="R120" s="163"/>
      <c r="S120" s="161"/>
      <c r="T120" s="161"/>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row>
    <row r="121" spans="18:44">
      <c r="R121" s="163"/>
      <c r="S121" s="161"/>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row>
    <row r="122" spans="18:44">
      <c r="R122" s="163"/>
      <c r="S122" s="161"/>
      <c r="T122" s="161"/>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row>
    <row r="123" spans="18:44">
      <c r="R123" s="163"/>
      <c r="S123" s="161"/>
      <c r="T123" s="161"/>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c r="AP123" s="161"/>
      <c r="AQ123" s="161"/>
      <c r="AR123" s="161"/>
    </row>
    <row r="124" spans="18:44">
      <c r="R124" s="163"/>
      <c r="S124" s="161"/>
      <c r="T124" s="161"/>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row>
  </sheetData>
  <sheetProtection password="B93B" sheet="1" selectLockedCells="1"/>
  <sortState ref="Y4:Y27">
    <sortCondition ref="Y4"/>
  </sortState>
  <mergeCells count="32">
    <mergeCell ref="B8:H8"/>
    <mergeCell ref="I8:J8"/>
    <mergeCell ref="A1:Q1"/>
    <mergeCell ref="B4:I4"/>
    <mergeCell ref="J4:M4"/>
    <mergeCell ref="B6:H6"/>
    <mergeCell ref="I6:L6"/>
    <mergeCell ref="B26:H26"/>
    <mergeCell ref="B10:H10"/>
    <mergeCell ref="I10:L10"/>
    <mergeCell ref="B12:I12"/>
    <mergeCell ref="B14:I14"/>
    <mergeCell ref="K14:M14"/>
    <mergeCell ref="B16:J16"/>
    <mergeCell ref="K16:M16"/>
    <mergeCell ref="B18:F18"/>
    <mergeCell ref="B20:G20"/>
    <mergeCell ref="B22:I22"/>
    <mergeCell ref="J22:K22"/>
    <mergeCell ref="B24:J24"/>
    <mergeCell ref="B28:I28"/>
    <mergeCell ref="B30:H30"/>
    <mergeCell ref="B32:G32"/>
    <mergeCell ref="B34:G34"/>
    <mergeCell ref="B36:H36"/>
    <mergeCell ref="I36:J36"/>
    <mergeCell ref="B38:J38"/>
    <mergeCell ref="K38:M38"/>
    <mergeCell ref="B40:G40"/>
    <mergeCell ref="H40:J40"/>
    <mergeCell ref="B42:F42"/>
    <mergeCell ref="G42:I42"/>
  </mergeCells>
  <dataValidations count="13">
    <dataValidation type="list" allowBlank="1" showInputMessage="1" showErrorMessage="1" sqref="H34 JD34 SZ34 ACV34 AMR34 AWN34 BGJ34 BQF34 CAB34 CJX34 CTT34 DDP34 DNL34 DXH34 EHD34 EQZ34 FAV34 FKR34 FUN34 GEJ34 GOF34 GYB34 HHX34 HRT34 IBP34 ILL34 IVH34 JFD34 JOZ34 JYV34 KIR34 KSN34 LCJ34 LMF34 LWB34 MFX34 MPT34 MZP34 NJL34 NTH34 ODD34 OMZ34 OWV34 PGR34 PQN34 QAJ34 QKF34 QUB34 RDX34 RNT34 RXP34 SHL34 SRH34 TBD34 TKZ34 TUV34 UER34 UON34 UYJ34 VIF34 VSB34 WBX34 WLT34 WVP34 H65570 JD65570 SZ65570 ACV65570 AMR65570 AWN65570 BGJ65570 BQF65570 CAB65570 CJX65570 CTT65570 DDP65570 DNL65570 DXH65570 EHD65570 EQZ65570 FAV65570 FKR65570 FUN65570 GEJ65570 GOF65570 GYB65570 HHX65570 HRT65570 IBP65570 ILL65570 IVH65570 JFD65570 JOZ65570 JYV65570 KIR65570 KSN65570 LCJ65570 LMF65570 LWB65570 MFX65570 MPT65570 MZP65570 NJL65570 NTH65570 ODD65570 OMZ65570 OWV65570 PGR65570 PQN65570 QAJ65570 QKF65570 QUB65570 RDX65570 RNT65570 RXP65570 SHL65570 SRH65570 TBD65570 TKZ65570 TUV65570 UER65570 UON65570 UYJ65570 VIF65570 VSB65570 WBX65570 WLT65570 WVP65570 H131106 JD131106 SZ131106 ACV131106 AMR131106 AWN131106 BGJ131106 BQF131106 CAB131106 CJX131106 CTT131106 DDP131106 DNL131106 DXH131106 EHD131106 EQZ131106 FAV131106 FKR131106 FUN131106 GEJ131106 GOF131106 GYB131106 HHX131106 HRT131106 IBP131106 ILL131106 IVH131106 JFD131106 JOZ131106 JYV131106 KIR131106 KSN131106 LCJ131106 LMF131106 LWB131106 MFX131106 MPT131106 MZP131106 NJL131106 NTH131106 ODD131106 OMZ131106 OWV131106 PGR131106 PQN131106 QAJ131106 QKF131106 QUB131106 RDX131106 RNT131106 RXP131106 SHL131106 SRH131106 TBD131106 TKZ131106 TUV131106 UER131106 UON131106 UYJ131106 VIF131106 VSB131106 WBX131106 WLT131106 WVP131106 H196642 JD196642 SZ196642 ACV196642 AMR196642 AWN196642 BGJ196642 BQF196642 CAB196642 CJX196642 CTT196642 DDP196642 DNL196642 DXH196642 EHD196642 EQZ196642 FAV196642 FKR196642 FUN196642 GEJ196642 GOF196642 GYB196642 HHX196642 HRT196642 IBP196642 ILL196642 IVH196642 JFD196642 JOZ196642 JYV196642 KIR196642 KSN196642 LCJ196642 LMF196642 LWB196642 MFX196642 MPT196642 MZP196642 NJL196642 NTH196642 ODD196642 OMZ196642 OWV196642 PGR196642 PQN196642 QAJ196642 QKF196642 QUB196642 RDX196642 RNT196642 RXP196642 SHL196642 SRH196642 TBD196642 TKZ196642 TUV196642 UER196642 UON196642 UYJ196642 VIF196642 VSB196642 WBX196642 WLT196642 WVP196642 H262178 JD262178 SZ262178 ACV262178 AMR262178 AWN262178 BGJ262178 BQF262178 CAB262178 CJX262178 CTT262178 DDP262178 DNL262178 DXH262178 EHD262178 EQZ262178 FAV262178 FKR262178 FUN262178 GEJ262178 GOF262178 GYB262178 HHX262178 HRT262178 IBP262178 ILL262178 IVH262178 JFD262178 JOZ262178 JYV262178 KIR262178 KSN262178 LCJ262178 LMF262178 LWB262178 MFX262178 MPT262178 MZP262178 NJL262178 NTH262178 ODD262178 OMZ262178 OWV262178 PGR262178 PQN262178 QAJ262178 QKF262178 QUB262178 RDX262178 RNT262178 RXP262178 SHL262178 SRH262178 TBD262178 TKZ262178 TUV262178 UER262178 UON262178 UYJ262178 VIF262178 VSB262178 WBX262178 WLT262178 WVP262178 H327714 JD327714 SZ327714 ACV327714 AMR327714 AWN327714 BGJ327714 BQF327714 CAB327714 CJX327714 CTT327714 DDP327714 DNL327714 DXH327714 EHD327714 EQZ327714 FAV327714 FKR327714 FUN327714 GEJ327714 GOF327714 GYB327714 HHX327714 HRT327714 IBP327714 ILL327714 IVH327714 JFD327714 JOZ327714 JYV327714 KIR327714 KSN327714 LCJ327714 LMF327714 LWB327714 MFX327714 MPT327714 MZP327714 NJL327714 NTH327714 ODD327714 OMZ327714 OWV327714 PGR327714 PQN327714 QAJ327714 QKF327714 QUB327714 RDX327714 RNT327714 RXP327714 SHL327714 SRH327714 TBD327714 TKZ327714 TUV327714 UER327714 UON327714 UYJ327714 VIF327714 VSB327714 WBX327714 WLT327714 WVP327714 H393250 JD393250 SZ393250 ACV393250 AMR393250 AWN393250 BGJ393250 BQF393250 CAB393250 CJX393250 CTT393250 DDP393250 DNL393250 DXH393250 EHD393250 EQZ393250 FAV393250 FKR393250 FUN393250 GEJ393250 GOF393250 GYB393250 HHX393250 HRT393250 IBP393250 ILL393250 IVH393250 JFD393250 JOZ393250 JYV393250 KIR393250 KSN393250 LCJ393250 LMF393250 LWB393250 MFX393250 MPT393250 MZP393250 NJL393250 NTH393250 ODD393250 OMZ393250 OWV393250 PGR393250 PQN393250 QAJ393250 QKF393250 QUB393250 RDX393250 RNT393250 RXP393250 SHL393250 SRH393250 TBD393250 TKZ393250 TUV393250 UER393250 UON393250 UYJ393250 VIF393250 VSB393250 WBX393250 WLT393250 WVP393250 H458786 JD458786 SZ458786 ACV458786 AMR458786 AWN458786 BGJ458786 BQF458786 CAB458786 CJX458786 CTT458786 DDP458786 DNL458786 DXH458786 EHD458786 EQZ458786 FAV458786 FKR458786 FUN458786 GEJ458786 GOF458786 GYB458786 HHX458786 HRT458786 IBP458786 ILL458786 IVH458786 JFD458786 JOZ458786 JYV458786 KIR458786 KSN458786 LCJ458786 LMF458786 LWB458786 MFX458786 MPT458786 MZP458786 NJL458786 NTH458786 ODD458786 OMZ458786 OWV458786 PGR458786 PQN458786 QAJ458786 QKF458786 QUB458786 RDX458786 RNT458786 RXP458786 SHL458786 SRH458786 TBD458786 TKZ458786 TUV458786 UER458786 UON458786 UYJ458786 VIF458786 VSB458786 WBX458786 WLT458786 WVP458786 H524322 JD524322 SZ524322 ACV524322 AMR524322 AWN524322 BGJ524322 BQF524322 CAB524322 CJX524322 CTT524322 DDP524322 DNL524322 DXH524322 EHD524322 EQZ524322 FAV524322 FKR524322 FUN524322 GEJ524322 GOF524322 GYB524322 HHX524322 HRT524322 IBP524322 ILL524322 IVH524322 JFD524322 JOZ524322 JYV524322 KIR524322 KSN524322 LCJ524322 LMF524322 LWB524322 MFX524322 MPT524322 MZP524322 NJL524322 NTH524322 ODD524322 OMZ524322 OWV524322 PGR524322 PQN524322 QAJ524322 QKF524322 QUB524322 RDX524322 RNT524322 RXP524322 SHL524322 SRH524322 TBD524322 TKZ524322 TUV524322 UER524322 UON524322 UYJ524322 VIF524322 VSB524322 WBX524322 WLT524322 WVP524322 H589858 JD589858 SZ589858 ACV589858 AMR589858 AWN589858 BGJ589858 BQF589858 CAB589858 CJX589858 CTT589858 DDP589858 DNL589858 DXH589858 EHD589858 EQZ589858 FAV589858 FKR589858 FUN589858 GEJ589858 GOF589858 GYB589858 HHX589858 HRT589858 IBP589858 ILL589858 IVH589858 JFD589858 JOZ589858 JYV589858 KIR589858 KSN589858 LCJ589858 LMF589858 LWB589858 MFX589858 MPT589858 MZP589858 NJL589858 NTH589858 ODD589858 OMZ589858 OWV589858 PGR589858 PQN589858 QAJ589858 QKF589858 QUB589858 RDX589858 RNT589858 RXP589858 SHL589858 SRH589858 TBD589858 TKZ589858 TUV589858 UER589858 UON589858 UYJ589858 VIF589858 VSB589858 WBX589858 WLT589858 WVP589858 H655394 JD655394 SZ655394 ACV655394 AMR655394 AWN655394 BGJ655394 BQF655394 CAB655394 CJX655394 CTT655394 DDP655394 DNL655394 DXH655394 EHD655394 EQZ655394 FAV655394 FKR655394 FUN655394 GEJ655394 GOF655394 GYB655394 HHX655394 HRT655394 IBP655394 ILL655394 IVH655394 JFD655394 JOZ655394 JYV655394 KIR655394 KSN655394 LCJ655394 LMF655394 LWB655394 MFX655394 MPT655394 MZP655394 NJL655394 NTH655394 ODD655394 OMZ655394 OWV655394 PGR655394 PQN655394 QAJ655394 QKF655394 QUB655394 RDX655394 RNT655394 RXP655394 SHL655394 SRH655394 TBD655394 TKZ655394 TUV655394 UER655394 UON655394 UYJ655394 VIF655394 VSB655394 WBX655394 WLT655394 WVP655394 H720930 JD720930 SZ720930 ACV720930 AMR720930 AWN720930 BGJ720930 BQF720930 CAB720930 CJX720930 CTT720930 DDP720930 DNL720930 DXH720930 EHD720930 EQZ720930 FAV720930 FKR720930 FUN720930 GEJ720930 GOF720930 GYB720930 HHX720930 HRT720930 IBP720930 ILL720930 IVH720930 JFD720930 JOZ720930 JYV720930 KIR720930 KSN720930 LCJ720930 LMF720930 LWB720930 MFX720930 MPT720930 MZP720930 NJL720930 NTH720930 ODD720930 OMZ720930 OWV720930 PGR720930 PQN720930 QAJ720930 QKF720930 QUB720930 RDX720930 RNT720930 RXP720930 SHL720930 SRH720930 TBD720930 TKZ720930 TUV720930 UER720930 UON720930 UYJ720930 VIF720930 VSB720930 WBX720930 WLT720930 WVP720930 H786466 JD786466 SZ786466 ACV786466 AMR786466 AWN786466 BGJ786466 BQF786466 CAB786466 CJX786466 CTT786466 DDP786466 DNL786466 DXH786466 EHD786466 EQZ786466 FAV786466 FKR786466 FUN786466 GEJ786466 GOF786466 GYB786466 HHX786466 HRT786466 IBP786466 ILL786466 IVH786466 JFD786466 JOZ786466 JYV786466 KIR786466 KSN786466 LCJ786466 LMF786466 LWB786466 MFX786466 MPT786466 MZP786466 NJL786466 NTH786466 ODD786466 OMZ786466 OWV786466 PGR786466 PQN786466 QAJ786466 QKF786466 QUB786466 RDX786466 RNT786466 RXP786466 SHL786466 SRH786466 TBD786466 TKZ786466 TUV786466 UER786466 UON786466 UYJ786466 VIF786466 VSB786466 WBX786466 WLT786466 WVP786466 H852002 JD852002 SZ852002 ACV852002 AMR852002 AWN852002 BGJ852002 BQF852002 CAB852002 CJX852002 CTT852002 DDP852002 DNL852002 DXH852002 EHD852002 EQZ852002 FAV852002 FKR852002 FUN852002 GEJ852002 GOF852002 GYB852002 HHX852002 HRT852002 IBP852002 ILL852002 IVH852002 JFD852002 JOZ852002 JYV852002 KIR852002 KSN852002 LCJ852002 LMF852002 LWB852002 MFX852002 MPT852002 MZP852002 NJL852002 NTH852002 ODD852002 OMZ852002 OWV852002 PGR852002 PQN852002 QAJ852002 QKF852002 QUB852002 RDX852002 RNT852002 RXP852002 SHL852002 SRH852002 TBD852002 TKZ852002 TUV852002 UER852002 UON852002 UYJ852002 VIF852002 VSB852002 WBX852002 WLT852002 WVP852002 H917538 JD917538 SZ917538 ACV917538 AMR917538 AWN917538 BGJ917538 BQF917538 CAB917538 CJX917538 CTT917538 DDP917538 DNL917538 DXH917538 EHD917538 EQZ917538 FAV917538 FKR917538 FUN917538 GEJ917538 GOF917538 GYB917538 HHX917538 HRT917538 IBP917538 ILL917538 IVH917538 JFD917538 JOZ917538 JYV917538 KIR917538 KSN917538 LCJ917538 LMF917538 LWB917538 MFX917538 MPT917538 MZP917538 NJL917538 NTH917538 ODD917538 OMZ917538 OWV917538 PGR917538 PQN917538 QAJ917538 QKF917538 QUB917538 RDX917538 RNT917538 RXP917538 SHL917538 SRH917538 TBD917538 TKZ917538 TUV917538 UER917538 UON917538 UYJ917538 VIF917538 VSB917538 WBX917538 WLT917538 WVP917538 H983074 JD983074 SZ983074 ACV983074 AMR983074 AWN983074 BGJ983074 BQF983074 CAB983074 CJX983074 CTT983074 DDP983074 DNL983074 DXH983074 EHD983074 EQZ983074 FAV983074 FKR983074 FUN983074 GEJ983074 GOF983074 GYB983074 HHX983074 HRT983074 IBP983074 ILL983074 IVH983074 JFD983074 JOZ983074 JYV983074 KIR983074 KSN983074 LCJ983074 LMF983074 LWB983074 MFX983074 MPT983074 MZP983074 NJL983074 NTH983074 ODD983074 OMZ983074 OWV983074 PGR983074 PQN983074 QAJ983074 QKF983074 QUB983074 RDX983074 RNT983074 RXP983074 SHL983074 SRH983074 TBD983074 TKZ983074 TUV983074 UER983074 UON983074 UYJ983074 VIF983074 VSB983074 WBX983074 WLT983074 WVP983074">
      <formula1>$S$2:$S$4</formula1>
    </dataValidation>
    <dataValidation type="whole" allowBlank="1" showInputMessage="1" showErrorMessage="1" sqref="K24 JG24 TC24 ACY24 AMU24 AWQ24 BGM24 BQI24 CAE24 CKA24 CTW24 DDS24 DNO24 DXK24 EHG24 ERC24 FAY24 FKU24 FUQ24 GEM24 GOI24 GYE24 HIA24 HRW24 IBS24 ILO24 IVK24 JFG24 JPC24 JYY24 KIU24 KSQ24 LCM24 LMI24 LWE24 MGA24 MPW24 MZS24 NJO24 NTK24 ODG24 ONC24 OWY24 PGU24 PQQ24 QAM24 QKI24 QUE24 REA24 RNW24 RXS24 SHO24 SRK24 TBG24 TLC24 TUY24 UEU24 UOQ24 UYM24 VII24 VSE24 WCA24 WLW24 WVS24 K65560 JG65560 TC65560 ACY65560 AMU65560 AWQ65560 BGM65560 BQI65560 CAE65560 CKA65560 CTW65560 DDS65560 DNO65560 DXK65560 EHG65560 ERC65560 FAY65560 FKU65560 FUQ65560 GEM65560 GOI65560 GYE65560 HIA65560 HRW65560 IBS65560 ILO65560 IVK65560 JFG65560 JPC65560 JYY65560 KIU65560 KSQ65560 LCM65560 LMI65560 LWE65560 MGA65560 MPW65560 MZS65560 NJO65560 NTK65560 ODG65560 ONC65560 OWY65560 PGU65560 PQQ65560 QAM65560 QKI65560 QUE65560 REA65560 RNW65560 RXS65560 SHO65560 SRK65560 TBG65560 TLC65560 TUY65560 UEU65560 UOQ65560 UYM65560 VII65560 VSE65560 WCA65560 WLW65560 WVS65560 K131096 JG131096 TC131096 ACY131096 AMU131096 AWQ131096 BGM131096 BQI131096 CAE131096 CKA131096 CTW131096 DDS131096 DNO131096 DXK131096 EHG131096 ERC131096 FAY131096 FKU131096 FUQ131096 GEM131096 GOI131096 GYE131096 HIA131096 HRW131096 IBS131096 ILO131096 IVK131096 JFG131096 JPC131096 JYY131096 KIU131096 KSQ131096 LCM131096 LMI131096 LWE131096 MGA131096 MPW131096 MZS131096 NJO131096 NTK131096 ODG131096 ONC131096 OWY131096 PGU131096 PQQ131096 QAM131096 QKI131096 QUE131096 REA131096 RNW131096 RXS131096 SHO131096 SRK131096 TBG131096 TLC131096 TUY131096 UEU131096 UOQ131096 UYM131096 VII131096 VSE131096 WCA131096 WLW131096 WVS131096 K196632 JG196632 TC196632 ACY196632 AMU196632 AWQ196632 BGM196632 BQI196632 CAE196632 CKA196632 CTW196632 DDS196632 DNO196632 DXK196632 EHG196632 ERC196632 FAY196632 FKU196632 FUQ196632 GEM196632 GOI196632 GYE196632 HIA196632 HRW196632 IBS196632 ILO196632 IVK196632 JFG196632 JPC196632 JYY196632 KIU196632 KSQ196632 LCM196632 LMI196632 LWE196632 MGA196632 MPW196632 MZS196632 NJO196632 NTK196632 ODG196632 ONC196632 OWY196632 PGU196632 PQQ196632 QAM196632 QKI196632 QUE196632 REA196632 RNW196632 RXS196632 SHO196632 SRK196632 TBG196632 TLC196632 TUY196632 UEU196632 UOQ196632 UYM196632 VII196632 VSE196632 WCA196632 WLW196632 WVS196632 K262168 JG262168 TC262168 ACY262168 AMU262168 AWQ262168 BGM262168 BQI262168 CAE262168 CKA262168 CTW262168 DDS262168 DNO262168 DXK262168 EHG262168 ERC262168 FAY262168 FKU262168 FUQ262168 GEM262168 GOI262168 GYE262168 HIA262168 HRW262168 IBS262168 ILO262168 IVK262168 JFG262168 JPC262168 JYY262168 KIU262168 KSQ262168 LCM262168 LMI262168 LWE262168 MGA262168 MPW262168 MZS262168 NJO262168 NTK262168 ODG262168 ONC262168 OWY262168 PGU262168 PQQ262168 QAM262168 QKI262168 QUE262168 REA262168 RNW262168 RXS262168 SHO262168 SRK262168 TBG262168 TLC262168 TUY262168 UEU262168 UOQ262168 UYM262168 VII262168 VSE262168 WCA262168 WLW262168 WVS262168 K327704 JG327704 TC327704 ACY327704 AMU327704 AWQ327704 BGM327704 BQI327704 CAE327704 CKA327704 CTW327704 DDS327704 DNO327704 DXK327704 EHG327704 ERC327704 FAY327704 FKU327704 FUQ327704 GEM327704 GOI327704 GYE327704 HIA327704 HRW327704 IBS327704 ILO327704 IVK327704 JFG327704 JPC327704 JYY327704 KIU327704 KSQ327704 LCM327704 LMI327704 LWE327704 MGA327704 MPW327704 MZS327704 NJO327704 NTK327704 ODG327704 ONC327704 OWY327704 PGU327704 PQQ327704 QAM327704 QKI327704 QUE327704 REA327704 RNW327704 RXS327704 SHO327704 SRK327704 TBG327704 TLC327704 TUY327704 UEU327704 UOQ327704 UYM327704 VII327704 VSE327704 WCA327704 WLW327704 WVS327704 K393240 JG393240 TC393240 ACY393240 AMU393240 AWQ393240 BGM393240 BQI393240 CAE393240 CKA393240 CTW393240 DDS393240 DNO393240 DXK393240 EHG393240 ERC393240 FAY393240 FKU393240 FUQ393240 GEM393240 GOI393240 GYE393240 HIA393240 HRW393240 IBS393240 ILO393240 IVK393240 JFG393240 JPC393240 JYY393240 KIU393240 KSQ393240 LCM393240 LMI393240 LWE393240 MGA393240 MPW393240 MZS393240 NJO393240 NTK393240 ODG393240 ONC393240 OWY393240 PGU393240 PQQ393240 QAM393240 QKI393240 QUE393240 REA393240 RNW393240 RXS393240 SHO393240 SRK393240 TBG393240 TLC393240 TUY393240 UEU393240 UOQ393240 UYM393240 VII393240 VSE393240 WCA393240 WLW393240 WVS393240 K458776 JG458776 TC458776 ACY458776 AMU458776 AWQ458776 BGM458776 BQI458776 CAE458776 CKA458776 CTW458776 DDS458776 DNO458776 DXK458776 EHG458776 ERC458776 FAY458776 FKU458776 FUQ458776 GEM458776 GOI458776 GYE458776 HIA458776 HRW458776 IBS458776 ILO458776 IVK458776 JFG458776 JPC458776 JYY458776 KIU458776 KSQ458776 LCM458776 LMI458776 LWE458776 MGA458776 MPW458776 MZS458776 NJO458776 NTK458776 ODG458776 ONC458776 OWY458776 PGU458776 PQQ458776 QAM458776 QKI458776 QUE458776 REA458776 RNW458776 RXS458776 SHO458776 SRK458776 TBG458776 TLC458776 TUY458776 UEU458776 UOQ458776 UYM458776 VII458776 VSE458776 WCA458776 WLW458776 WVS458776 K524312 JG524312 TC524312 ACY524312 AMU524312 AWQ524312 BGM524312 BQI524312 CAE524312 CKA524312 CTW524312 DDS524312 DNO524312 DXK524312 EHG524312 ERC524312 FAY524312 FKU524312 FUQ524312 GEM524312 GOI524312 GYE524312 HIA524312 HRW524312 IBS524312 ILO524312 IVK524312 JFG524312 JPC524312 JYY524312 KIU524312 KSQ524312 LCM524312 LMI524312 LWE524312 MGA524312 MPW524312 MZS524312 NJO524312 NTK524312 ODG524312 ONC524312 OWY524312 PGU524312 PQQ524312 QAM524312 QKI524312 QUE524312 REA524312 RNW524312 RXS524312 SHO524312 SRK524312 TBG524312 TLC524312 TUY524312 UEU524312 UOQ524312 UYM524312 VII524312 VSE524312 WCA524312 WLW524312 WVS524312 K589848 JG589848 TC589848 ACY589848 AMU589848 AWQ589848 BGM589848 BQI589848 CAE589848 CKA589848 CTW589848 DDS589848 DNO589848 DXK589848 EHG589848 ERC589848 FAY589848 FKU589848 FUQ589848 GEM589848 GOI589848 GYE589848 HIA589848 HRW589848 IBS589848 ILO589848 IVK589848 JFG589848 JPC589848 JYY589848 KIU589848 KSQ589848 LCM589848 LMI589848 LWE589848 MGA589848 MPW589848 MZS589848 NJO589848 NTK589848 ODG589848 ONC589848 OWY589848 PGU589848 PQQ589848 QAM589848 QKI589848 QUE589848 REA589848 RNW589848 RXS589848 SHO589848 SRK589848 TBG589848 TLC589848 TUY589848 UEU589848 UOQ589848 UYM589848 VII589848 VSE589848 WCA589848 WLW589848 WVS589848 K655384 JG655384 TC655384 ACY655384 AMU655384 AWQ655384 BGM655384 BQI655384 CAE655384 CKA655384 CTW655384 DDS655384 DNO655384 DXK655384 EHG655384 ERC655384 FAY655384 FKU655384 FUQ655384 GEM655384 GOI655384 GYE655384 HIA655384 HRW655384 IBS655384 ILO655384 IVK655384 JFG655384 JPC655384 JYY655384 KIU655384 KSQ655384 LCM655384 LMI655384 LWE655384 MGA655384 MPW655384 MZS655384 NJO655384 NTK655384 ODG655384 ONC655384 OWY655384 PGU655384 PQQ655384 QAM655384 QKI655384 QUE655384 REA655384 RNW655384 RXS655384 SHO655384 SRK655384 TBG655384 TLC655384 TUY655384 UEU655384 UOQ655384 UYM655384 VII655384 VSE655384 WCA655384 WLW655384 WVS655384 K720920 JG720920 TC720920 ACY720920 AMU720920 AWQ720920 BGM720920 BQI720920 CAE720920 CKA720920 CTW720920 DDS720920 DNO720920 DXK720920 EHG720920 ERC720920 FAY720920 FKU720920 FUQ720920 GEM720920 GOI720920 GYE720920 HIA720920 HRW720920 IBS720920 ILO720920 IVK720920 JFG720920 JPC720920 JYY720920 KIU720920 KSQ720920 LCM720920 LMI720920 LWE720920 MGA720920 MPW720920 MZS720920 NJO720920 NTK720920 ODG720920 ONC720920 OWY720920 PGU720920 PQQ720920 QAM720920 QKI720920 QUE720920 REA720920 RNW720920 RXS720920 SHO720920 SRK720920 TBG720920 TLC720920 TUY720920 UEU720920 UOQ720920 UYM720920 VII720920 VSE720920 WCA720920 WLW720920 WVS720920 K786456 JG786456 TC786456 ACY786456 AMU786456 AWQ786456 BGM786456 BQI786456 CAE786456 CKA786456 CTW786456 DDS786456 DNO786456 DXK786456 EHG786456 ERC786456 FAY786456 FKU786456 FUQ786456 GEM786456 GOI786456 GYE786456 HIA786456 HRW786456 IBS786456 ILO786456 IVK786456 JFG786456 JPC786456 JYY786456 KIU786456 KSQ786456 LCM786456 LMI786456 LWE786456 MGA786456 MPW786456 MZS786456 NJO786456 NTK786456 ODG786456 ONC786456 OWY786456 PGU786456 PQQ786456 QAM786456 QKI786456 QUE786456 REA786456 RNW786456 RXS786456 SHO786456 SRK786456 TBG786456 TLC786456 TUY786456 UEU786456 UOQ786456 UYM786456 VII786456 VSE786456 WCA786456 WLW786456 WVS786456 K851992 JG851992 TC851992 ACY851992 AMU851992 AWQ851992 BGM851992 BQI851992 CAE851992 CKA851992 CTW851992 DDS851992 DNO851992 DXK851992 EHG851992 ERC851992 FAY851992 FKU851992 FUQ851992 GEM851992 GOI851992 GYE851992 HIA851992 HRW851992 IBS851992 ILO851992 IVK851992 JFG851992 JPC851992 JYY851992 KIU851992 KSQ851992 LCM851992 LMI851992 LWE851992 MGA851992 MPW851992 MZS851992 NJO851992 NTK851992 ODG851992 ONC851992 OWY851992 PGU851992 PQQ851992 QAM851992 QKI851992 QUE851992 REA851992 RNW851992 RXS851992 SHO851992 SRK851992 TBG851992 TLC851992 TUY851992 UEU851992 UOQ851992 UYM851992 VII851992 VSE851992 WCA851992 WLW851992 WVS851992 K917528 JG917528 TC917528 ACY917528 AMU917528 AWQ917528 BGM917528 BQI917528 CAE917528 CKA917528 CTW917528 DDS917528 DNO917528 DXK917528 EHG917528 ERC917528 FAY917528 FKU917528 FUQ917528 GEM917528 GOI917528 GYE917528 HIA917528 HRW917528 IBS917528 ILO917528 IVK917528 JFG917528 JPC917528 JYY917528 KIU917528 KSQ917528 LCM917528 LMI917528 LWE917528 MGA917528 MPW917528 MZS917528 NJO917528 NTK917528 ODG917528 ONC917528 OWY917528 PGU917528 PQQ917528 QAM917528 QKI917528 QUE917528 REA917528 RNW917528 RXS917528 SHO917528 SRK917528 TBG917528 TLC917528 TUY917528 UEU917528 UOQ917528 UYM917528 VII917528 VSE917528 WCA917528 WLW917528 WVS917528 K983064 JG983064 TC983064 ACY983064 AMU983064 AWQ983064 BGM983064 BQI983064 CAE983064 CKA983064 CTW983064 DDS983064 DNO983064 DXK983064 EHG983064 ERC983064 FAY983064 FKU983064 FUQ983064 GEM983064 GOI983064 GYE983064 HIA983064 HRW983064 IBS983064 ILO983064 IVK983064 JFG983064 JPC983064 JYY983064 KIU983064 KSQ983064 LCM983064 LMI983064 LWE983064 MGA983064 MPW983064 MZS983064 NJO983064 NTK983064 ODG983064 ONC983064 OWY983064 PGU983064 PQQ983064 QAM983064 QKI983064 QUE983064 REA983064 RNW983064 RXS983064 SHO983064 SRK983064 TBG983064 TLC983064 TUY983064 UEU983064 UOQ983064 UYM983064 VII983064 VSE983064 WCA983064 WLW983064 WVS983064">
      <formula1>0</formula1>
      <formula2>300</formula2>
    </dataValidation>
    <dataValidation type="list" allowBlank="1" showInputMessage="1" showErrorMessage="1" sqref="K38:M38 JG38:JI38 TC38:TE38 ACY38:ADA38 AMU38:AMW38 AWQ38:AWS38 BGM38:BGO38 BQI38:BQK38 CAE38:CAG38 CKA38:CKC38 CTW38:CTY38 DDS38:DDU38 DNO38:DNQ38 DXK38:DXM38 EHG38:EHI38 ERC38:ERE38 FAY38:FBA38 FKU38:FKW38 FUQ38:FUS38 GEM38:GEO38 GOI38:GOK38 GYE38:GYG38 HIA38:HIC38 HRW38:HRY38 IBS38:IBU38 ILO38:ILQ38 IVK38:IVM38 JFG38:JFI38 JPC38:JPE38 JYY38:JZA38 KIU38:KIW38 KSQ38:KSS38 LCM38:LCO38 LMI38:LMK38 LWE38:LWG38 MGA38:MGC38 MPW38:MPY38 MZS38:MZU38 NJO38:NJQ38 NTK38:NTM38 ODG38:ODI38 ONC38:ONE38 OWY38:OXA38 PGU38:PGW38 PQQ38:PQS38 QAM38:QAO38 QKI38:QKK38 QUE38:QUG38 REA38:REC38 RNW38:RNY38 RXS38:RXU38 SHO38:SHQ38 SRK38:SRM38 TBG38:TBI38 TLC38:TLE38 TUY38:TVA38 UEU38:UEW38 UOQ38:UOS38 UYM38:UYO38 VII38:VIK38 VSE38:VSG38 WCA38:WCC38 WLW38:WLY38 WVS38:WVU38 K65574:M65574 JG65574:JI65574 TC65574:TE65574 ACY65574:ADA65574 AMU65574:AMW65574 AWQ65574:AWS65574 BGM65574:BGO65574 BQI65574:BQK65574 CAE65574:CAG65574 CKA65574:CKC65574 CTW65574:CTY65574 DDS65574:DDU65574 DNO65574:DNQ65574 DXK65574:DXM65574 EHG65574:EHI65574 ERC65574:ERE65574 FAY65574:FBA65574 FKU65574:FKW65574 FUQ65574:FUS65574 GEM65574:GEO65574 GOI65574:GOK65574 GYE65574:GYG65574 HIA65574:HIC65574 HRW65574:HRY65574 IBS65574:IBU65574 ILO65574:ILQ65574 IVK65574:IVM65574 JFG65574:JFI65574 JPC65574:JPE65574 JYY65574:JZA65574 KIU65574:KIW65574 KSQ65574:KSS65574 LCM65574:LCO65574 LMI65574:LMK65574 LWE65574:LWG65574 MGA65574:MGC65574 MPW65574:MPY65574 MZS65574:MZU65574 NJO65574:NJQ65574 NTK65574:NTM65574 ODG65574:ODI65574 ONC65574:ONE65574 OWY65574:OXA65574 PGU65574:PGW65574 PQQ65574:PQS65574 QAM65574:QAO65574 QKI65574:QKK65574 QUE65574:QUG65574 REA65574:REC65574 RNW65574:RNY65574 RXS65574:RXU65574 SHO65574:SHQ65574 SRK65574:SRM65574 TBG65574:TBI65574 TLC65574:TLE65574 TUY65574:TVA65574 UEU65574:UEW65574 UOQ65574:UOS65574 UYM65574:UYO65574 VII65574:VIK65574 VSE65574:VSG65574 WCA65574:WCC65574 WLW65574:WLY65574 WVS65574:WVU65574 K131110:M131110 JG131110:JI131110 TC131110:TE131110 ACY131110:ADA131110 AMU131110:AMW131110 AWQ131110:AWS131110 BGM131110:BGO131110 BQI131110:BQK131110 CAE131110:CAG131110 CKA131110:CKC131110 CTW131110:CTY131110 DDS131110:DDU131110 DNO131110:DNQ131110 DXK131110:DXM131110 EHG131110:EHI131110 ERC131110:ERE131110 FAY131110:FBA131110 FKU131110:FKW131110 FUQ131110:FUS131110 GEM131110:GEO131110 GOI131110:GOK131110 GYE131110:GYG131110 HIA131110:HIC131110 HRW131110:HRY131110 IBS131110:IBU131110 ILO131110:ILQ131110 IVK131110:IVM131110 JFG131110:JFI131110 JPC131110:JPE131110 JYY131110:JZA131110 KIU131110:KIW131110 KSQ131110:KSS131110 LCM131110:LCO131110 LMI131110:LMK131110 LWE131110:LWG131110 MGA131110:MGC131110 MPW131110:MPY131110 MZS131110:MZU131110 NJO131110:NJQ131110 NTK131110:NTM131110 ODG131110:ODI131110 ONC131110:ONE131110 OWY131110:OXA131110 PGU131110:PGW131110 PQQ131110:PQS131110 QAM131110:QAO131110 QKI131110:QKK131110 QUE131110:QUG131110 REA131110:REC131110 RNW131110:RNY131110 RXS131110:RXU131110 SHO131110:SHQ131110 SRK131110:SRM131110 TBG131110:TBI131110 TLC131110:TLE131110 TUY131110:TVA131110 UEU131110:UEW131110 UOQ131110:UOS131110 UYM131110:UYO131110 VII131110:VIK131110 VSE131110:VSG131110 WCA131110:WCC131110 WLW131110:WLY131110 WVS131110:WVU131110 K196646:M196646 JG196646:JI196646 TC196646:TE196646 ACY196646:ADA196646 AMU196646:AMW196646 AWQ196646:AWS196646 BGM196646:BGO196646 BQI196646:BQK196646 CAE196646:CAG196646 CKA196646:CKC196646 CTW196646:CTY196646 DDS196646:DDU196646 DNO196646:DNQ196646 DXK196646:DXM196646 EHG196646:EHI196646 ERC196646:ERE196646 FAY196646:FBA196646 FKU196646:FKW196646 FUQ196646:FUS196646 GEM196646:GEO196646 GOI196646:GOK196646 GYE196646:GYG196646 HIA196646:HIC196646 HRW196646:HRY196646 IBS196646:IBU196646 ILO196646:ILQ196646 IVK196646:IVM196646 JFG196646:JFI196646 JPC196646:JPE196646 JYY196646:JZA196646 KIU196646:KIW196646 KSQ196646:KSS196646 LCM196646:LCO196646 LMI196646:LMK196646 LWE196646:LWG196646 MGA196646:MGC196646 MPW196646:MPY196646 MZS196646:MZU196646 NJO196646:NJQ196646 NTK196646:NTM196646 ODG196646:ODI196646 ONC196646:ONE196646 OWY196646:OXA196646 PGU196646:PGW196646 PQQ196646:PQS196646 QAM196646:QAO196646 QKI196646:QKK196646 QUE196646:QUG196646 REA196646:REC196646 RNW196646:RNY196646 RXS196646:RXU196646 SHO196646:SHQ196646 SRK196646:SRM196646 TBG196646:TBI196646 TLC196646:TLE196646 TUY196646:TVA196646 UEU196646:UEW196646 UOQ196646:UOS196646 UYM196646:UYO196646 VII196646:VIK196646 VSE196646:VSG196646 WCA196646:WCC196646 WLW196646:WLY196646 WVS196646:WVU196646 K262182:M262182 JG262182:JI262182 TC262182:TE262182 ACY262182:ADA262182 AMU262182:AMW262182 AWQ262182:AWS262182 BGM262182:BGO262182 BQI262182:BQK262182 CAE262182:CAG262182 CKA262182:CKC262182 CTW262182:CTY262182 DDS262182:DDU262182 DNO262182:DNQ262182 DXK262182:DXM262182 EHG262182:EHI262182 ERC262182:ERE262182 FAY262182:FBA262182 FKU262182:FKW262182 FUQ262182:FUS262182 GEM262182:GEO262182 GOI262182:GOK262182 GYE262182:GYG262182 HIA262182:HIC262182 HRW262182:HRY262182 IBS262182:IBU262182 ILO262182:ILQ262182 IVK262182:IVM262182 JFG262182:JFI262182 JPC262182:JPE262182 JYY262182:JZA262182 KIU262182:KIW262182 KSQ262182:KSS262182 LCM262182:LCO262182 LMI262182:LMK262182 LWE262182:LWG262182 MGA262182:MGC262182 MPW262182:MPY262182 MZS262182:MZU262182 NJO262182:NJQ262182 NTK262182:NTM262182 ODG262182:ODI262182 ONC262182:ONE262182 OWY262182:OXA262182 PGU262182:PGW262182 PQQ262182:PQS262182 QAM262182:QAO262182 QKI262182:QKK262182 QUE262182:QUG262182 REA262182:REC262182 RNW262182:RNY262182 RXS262182:RXU262182 SHO262182:SHQ262182 SRK262182:SRM262182 TBG262182:TBI262182 TLC262182:TLE262182 TUY262182:TVA262182 UEU262182:UEW262182 UOQ262182:UOS262182 UYM262182:UYO262182 VII262182:VIK262182 VSE262182:VSG262182 WCA262182:WCC262182 WLW262182:WLY262182 WVS262182:WVU262182 K327718:M327718 JG327718:JI327718 TC327718:TE327718 ACY327718:ADA327718 AMU327718:AMW327718 AWQ327718:AWS327718 BGM327718:BGO327718 BQI327718:BQK327718 CAE327718:CAG327718 CKA327718:CKC327718 CTW327718:CTY327718 DDS327718:DDU327718 DNO327718:DNQ327718 DXK327718:DXM327718 EHG327718:EHI327718 ERC327718:ERE327718 FAY327718:FBA327718 FKU327718:FKW327718 FUQ327718:FUS327718 GEM327718:GEO327718 GOI327718:GOK327718 GYE327718:GYG327718 HIA327718:HIC327718 HRW327718:HRY327718 IBS327718:IBU327718 ILO327718:ILQ327718 IVK327718:IVM327718 JFG327718:JFI327718 JPC327718:JPE327718 JYY327718:JZA327718 KIU327718:KIW327718 KSQ327718:KSS327718 LCM327718:LCO327718 LMI327718:LMK327718 LWE327718:LWG327718 MGA327718:MGC327718 MPW327718:MPY327718 MZS327718:MZU327718 NJO327718:NJQ327718 NTK327718:NTM327718 ODG327718:ODI327718 ONC327718:ONE327718 OWY327718:OXA327718 PGU327718:PGW327718 PQQ327718:PQS327718 QAM327718:QAO327718 QKI327718:QKK327718 QUE327718:QUG327718 REA327718:REC327718 RNW327718:RNY327718 RXS327718:RXU327718 SHO327718:SHQ327718 SRK327718:SRM327718 TBG327718:TBI327718 TLC327718:TLE327718 TUY327718:TVA327718 UEU327718:UEW327718 UOQ327718:UOS327718 UYM327718:UYO327718 VII327718:VIK327718 VSE327718:VSG327718 WCA327718:WCC327718 WLW327718:WLY327718 WVS327718:WVU327718 K393254:M393254 JG393254:JI393254 TC393254:TE393254 ACY393254:ADA393254 AMU393254:AMW393254 AWQ393254:AWS393254 BGM393254:BGO393254 BQI393254:BQK393254 CAE393254:CAG393254 CKA393254:CKC393254 CTW393254:CTY393254 DDS393254:DDU393254 DNO393254:DNQ393254 DXK393254:DXM393254 EHG393254:EHI393254 ERC393254:ERE393254 FAY393254:FBA393254 FKU393254:FKW393254 FUQ393254:FUS393254 GEM393254:GEO393254 GOI393254:GOK393254 GYE393254:GYG393254 HIA393254:HIC393254 HRW393254:HRY393254 IBS393254:IBU393254 ILO393254:ILQ393254 IVK393254:IVM393254 JFG393254:JFI393254 JPC393254:JPE393254 JYY393254:JZA393254 KIU393254:KIW393254 KSQ393254:KSS393254 LCM393254:LCO393254 LMI393254:LMK393254 LWE393254:LWG393254 MGA393254:MGC393254 MPW393254:MPY393254 MZS393254:MZU393254 NJO393254:NJQ393254 NTK393254:NTM393254 ODG393254:ODI393254 ONC393254:ONE393254 OWY393254:OXA393254 PGU393254:PGW393254 PQQ393254:PQS393254 QAM393254:QAO393254 QKI393254:QKK393254 QUE393254:QUG393254 REA393254:REC393254 RNW393254:RNY393254 RXS393254:RXU393254 SHO393254:SHQ393254 SRK393254:SRM393254 TBG393254:TBI393254 TLC393254:TLE393254 TUY393254:TVA393254 UEU393254:UEW393254 UOQ393254:UOS393254 UYM393254:UYO393254 VII393254:VIK393254 VSE393254:VSG393254 WCA393254:WCC393254 WLW393254:WLY393254 WVS393254:WVU393254 K458790:M458790 JG458790:JI458790 TC458790:TE458790 ACY458790:ADA458790 AMU458790:AMW458790 AWQ458790:AWS458790 BGM458790:BGO458790 BQI458790:BQK458790 CAE458790:CAG458790 CKA458790:CKC458790 CTW458790:CTY458790 DDS458790:DDU458790 DNO458790:DNQ458790 DXK458790:DXM458790 EHG458790:EHI458790 ERC458790:ERE458790 FAY458790:FBA458790 FKU458790:FKW458790 FUQ458790:FUS458790 GEM458790:GEO458790 GOI458790:GOK458790 GYE458790:GYG458790 HIA458790:HIC458790 HRW458790:HRY458790 IBS458790:IBU458790 ILO458790:ILQ458790 IVK458790:IVM458790 JFG458790:JFI458790 JPC458790:JPE458790 JYY458790:JZA458790 KIU458790:KIW458790 KSQ458790:KSS458790 LCM458790:LCO458790 LMI458790:LMK458790 LWE458790:LWG458790 MGA458790:MGC458790 MPW458790:MPY458790 MZS458790:MZU458790 NJO458790:NJQ458790 NTK458790:NTM458790 ODG458790:ODI458790 ONC458790:ONE458790 OWY458790:OXA458790 PGU458790:PGW458790 PQQ458790:PQS458790 QAM458790:QAO458790 QKI458790:QKK458790 QUE458790:QUG458790 REA458790:REC458790 RNW458790:RNY458790 RXS458790:RXU458790 SHO458790:SHQ458790 SRK458790:SRM458790 TBG458790:TBI458790 TLC458790:TLE458790 TUY458790:TVA458790 UEU458790:UEW458790 UOQ458790:UOS458790 UYM458790:UYO458790 VII458790:VIK458790 VSE458790:VSG458790 WCA458790:WCC458790 WLW458790:WLY458790 WVS458790:WVU458790 K524326:M524326 JG524326:JI524326 TC524326:TE524326 ACY524326:ADA524326 AMU524326:AMW524326 AWQ524326:AWS524326 BGM524326:BGO524326 BQI524326:BQK524326 CAE524326:CAG524326 CKA524326:CKC524326 CTW524326:CTY524326 DDS524326:DDU524326 DNO524326:DNQ524326 DXK524326:DXM524326 EHG524326:EHI524326 ERC524326:ERE524326 FAY524326:FBA524326 FKU524326:FKW524326 FUQ524326:FUS524326 GEM524326:GEO524326 GOI524326:GOK524326 GYE524326:GYG524326 HIA524326:HIC524326 HRW524326:HRY524326 IBS524326:IBU524326 ILO524326:ILQ524326 IVK524326:IVM524326 JFG524326:JFI524326 JPC524326:JPE524326 JYY524326:JZA524326 KIU524326:KIW524326 KSQ524326:KSS524326 LCM524326:LCO524326 LMI524326:LMK524326 LWE524326:LWG524326 MGA524326:MGC524326 MPW524326:MPY524326 MZS524326:MZU524326 NJO524326:NJQ524326 NTK524326:NTM524326 ODG524326:ODI524326 ONC524326:ONE524326 OWY524326:OXA524326 PGU524326:PGW524326 PQQ524326:PQS524326 QAM524326:QAO524326 QKI524326:QKK524326 QUE524326:QUG524326 REA524326:REC524326 RNW524326:RNY524326 RXS524326:RXU524326 SHO524326:SHQ524326 SRK524326:SRM524326 TBG524326:TBI524326 TLC524326:TLE524326 TUY524326:TVA524326 UEU524326:UEW524326 UOQ524326:UOS524326 UYM524326:UYO524326 VII524326:VIK524326 VSE524326:VSG524326 WCA524326:WCC524326 WLW524326:WLY524326 WVS524326:WVU524326 K589862:M589862 JG589862:JI589862 TC589862:TE589862 ACY589862:ADA589862 AMU589862:AMW589862 AWQ589862:AWS589862 BGM589862:BGO589862 BQI589862:BQK589862 CAE589862:CAG589862 CKA589862:CKC589862 CTW589862:CTY589862 DDS589862:DDU589862 DNO589862:DNQ589862 DXK589862:DXM589862 EHG589862:EHI589862 ERC589862:ERE589862 FAY589862:FBA589862 FKU589862:FKW589862 FUQ589862:FUS589862 GEM589862:GEO589862 GOI589862:GOK589862 GYE589862:GYG589862 HIA589862:HIC589862 HRW589862:HRY589862 IBS589862:IBU589862 ILO589862:ILQ589862 IVK589862:IVM589862 JFG589862:JFI589862 JPC589862:JPE589862 JYY589862:JZA589862 KIU589862:KIW589862 KSQ589862:KSS589862 LCM589862:LCO589862 LMI589862:LMK589862 LWE589862:LWG589862 MGA589862:MGC589862 MPW589862:MPY589862 MZS589862:MZU589862 NJO589862:NJQ589862 NTK589862:NTM589862 ODG589862:ODI589862 ONC589862:ONE589862 OWY589862:OXA589862 PGU589862:PGW589862 PQQ589862:PQS589862 QAM589862:QAO589862 QKI589862:QKK589862 QUE589862:QUG589862 REA589862:REC589862 RNW589862:RNY589862 RXS589862:RXU589862 SHO589862:SHQ589862 SRK589862:SRM589862 TBG589862:TBI589862 TLC589862:TLE589862 TUY589862:TVA589862 UEU589862:UEW589862 UOQ589862:UOS589862 UYM589862:UYO589862 VII589862:VIK589862 VSE589862:VSG589862 WCA589862:WCC589862 WLW589862:WLY589862 WVS589862:WVU589862 K655398:M655398 JG655398:JI655398 TC655398:TE655398 ACY655398:ADA655398 AMU655398:AMW655398 AWQ655398:AWS655398 BGM655398:BGO655398 BQI655398:BQK655398 CAE655398:CAG655398 CKA655398:CKC655398 CTW655398:CTY655398 DDS655398:DDU655398 DNO655398:DNQ655398 DXK655398:DXM655398 EHG655398:EHI655398 ERC655398:ERE655398 FAY655398:FBA655398 FKU655398:FKW655398 FUQ655398:FUS655398 GEM655398:GEO655398 GOI655398:GOK655398 GYE655398:GYG655398 HIA655398:HIC655398 HRW655398:HRY655398 IBS655398:IBU655398 ILO655398:ILQ655398 IVK655398:IVM655398 JFG655398:JFI655398 JPC655398:JPE655398 JYY655398:JZA655398 KIU655398:KIW655398 KSQ655398:KSS655398 LCM655398:LCO655398 LMI655398:LMK655398 LWE655398:LWG655398 MGA655398:MGC655398 MPW655398:MPY655398 MZS655398:MZU655398 NJO655398:NJQ655398 NTK655398:NTM655398 ODG655398:ODI655398 ONC655398:ONE655398 OWY655398:OXA655398 PGU655398:PGW655398 PQQ655398:PQS655398 QAM655398:QAO655398 QKI655398:QKK655398 QUE655398:QUG655398 REA655398:REC655398 RNW655398:RNY655398 RXS655398:RXU655398 SHO655398:SHQ655398 SRK655398:SRM655398 TBG655398:TBI655398 TLC655398:TLE655398 TUY655398:TVA655398 UEU655398:UEW655398 UOQ655398:UOS655398 UYM655398:UYO655398 VII655398:VIK655398 VSE655398:VSG655398 WCA655398:WCC655398 WLW655398:WLY655398 WVS655398:WVU655398 K720934:M720934 JG720934:JI720934 TC720934:TE720934 ACY720934:ADA720934 AMU720934:AMW720934 AWQ720934:AWS720934 BGM720934:BGO720934 BQI720934:BQK720934 CAE720934:CAG720934 CKA720934:CKC720934 CTW720934:CTY720934 DDS720934:DDU720934 DNO720934:DNQ720934 DXK720934:DXM720934 EHG720934:EHI720934 ERC720934:ERE720934 FAY720934:FBA720934 FKU720934:FKW720934 FUQ720934:FUS720934 GEM720934:GEO720934 GOI720934:GOK720934 GYE720934:GYG720934 HIA720934:HIC720934 HRW720934:HRY720934 IBS720934:IBU720934 ILO720934:ILQ720934 IVK720934:IVM720934 JFG720934:JFI720934 JPC720934:JPE720934 JYY720934:JZA720934 KIU720934:KIW720934 KSQ720934:KSS720934 LCM720934:LCO720934 LMI720934:LMK720934 LWE720934:LWG720934 MGA720934:MGC720934 MPW720934:MPY720934 MZS720934:MZU720934 NJO720934:NJQ720934 NTK720934:NTM720934 ODG720934:ODI720934 ONC720934:ONE720934 OWY720934:OXA720934 PGU720934:PGW720934 PQQ720934:PQS720934 QAM720934:QAO720934 QKI720934:QKK720934 QUE720934:QUG720934 REA720934:REC720934 RNW720934:RNY720934 RXS720934:RXU720934 SHO720934:SHQ720934 SRK720934:SRM720934 TBG720934:TBI720934 TLC720934:TLE720934 TUY720934:TVA720934 UEU720934:UEW720934 UOQ720934:UOS720934 UYM720934:UYO720934 VII720934:VIK720934 VSE720934:VSG720934 WCA720934:WCC720934 WLW720934:WLY720934 WVS720934:WVU720934 K786470:M786470 JG786470:JI786470 TC786470:TE786470 ACY786470:ADA786470 AMU786470:AMW786470 AWQ786470:AWS786470 BGM786470:BGO786470 BQI786470:BQK786470 CAE786470:CAG786470 CKA786470:CKC786470 CTW786470:CTY786470 DDS786470:DDU786470 DNO786470:DNQ786470 DXK786470:DXM786470 EHG786470:EHI786470 ERC786470:ERE786470 FAY786470:FBA786470 FKU786470:FKW786470 FUQ786470:FUS786470 GEM786470:GEO786470 GOI786470:GOK786470 GYE786470:GYG786470 HIA786470:HIC786470 HRW786470:HRY786470 IBS786470:IBU786470 ILO786470:ILQ786470 IVK786470:IVM786470 JFG786470:JFI786470 JPC786470:JPE786470 JYY786470:JZA786470 KIU786470:KIW786470 KSQ786470:KSS786470 LCM786470:LCO786470 LMI786470:LMK786470 LWE786470:LWG786470 MGA786470:MGC786470 MPW786470:MPY786470 MZS786470:MZU786470 NJO786470:NJQ786470 NTK786470:NTM786470 ODG786470:ODI786470 ONC786470:ONE786470 OWY786470:OXA786470 PGU786470:PGW786470 PQQ786470:PQS786470 QAM786470:QAO786470 QKI786470:QKK786470 QUE786470:QUG786470 REA786470:REC786470 RNW786470:RNY786470 RXS786470:RXU786470 SHO786470:SHQ786470 SRK786470:SRM786470 TBG786470:TBI786470 TLC786470:TLE786470 TUY786470:TVA786470 UEU786470:UEW786470 UOQ786470:UOS786470 UYM786470:UYO786470 VII786470:VIK786470 VSE786470:VSG786470 WCA786470:WCC786470 WLW786470:WLY786470 WVS786470:WVU786470 K852006:M852006 JG852006:JI852006 TC852006:TE852006 ACY852006:ADA852006 AMU852006:AMW852006 AWQ852006:AWS852006 BGM852006:BGO852006 BQI852006:BQK852006 CAE852006:CAG852006 CKA852006:CKC852006 CTW852006:CTY852006 DDS852006:DDU852006 DNO852006:DNQ852006 DXK852006:DXM852006 EHG852006:EHI852006 ERC852006:ERE852006 FAY852006:FBA852006 FKU852006:FKW852006 FUQ852006:FUS852006 GEM852006:GEO852006 GOI852006:GOK852006 GYE852006:GYG852006 HIA852006:HIC852006 HRW852006:HRY852006 IBS852006:IBU852006 ILO852006:ILQ852006 IVK852006:IVM852006 JFG852006:JFI852006 JPC852006:JPE852006 JYY852006:JZA852006 KIU852006:KIW852006 KSQ852006:KSS852006 LCM852006:LCO852006 LMI852006:LMK852006 LWE852006:LWG852006 MGA852006:MGC852006 MPW852006:MPY852006 MZS852006:MZU852006 NJO852006:NJQ852006 NTK852006:NTM852006 ODG852006:ODI852006 ONC852006:ONE852006 OWY852006:OXA852006 PGU852006:PGW852006 PQQ852006:PQS852006 QAM852006:QAO852006 QKI852006:QKK852006 QUE852006:QUG852006 REA852006:REC852006 RNW852006:RNY852006 RXS852006:RXU852006 SHO852006:SHQ852006 SRK852006:SRM852006 TBG852006:TBI852006 TLC852006:TLE852006 TUY852006:TVA852006 UEU852006:UEW852006 UOQ852006:UOS852006 UYM852006:UYO852006 VII852006:VIK852006 VSE852006:VSG852006 WCA852006:WCC852006 WLW852006:WLY852006 WVS852006:WVU852006 K917542:M917542 JG917542:JI917542 TC917542:TE917542 ACY917542:ADA917542 AMU917542:AMW917542 AWQ917542:AWS917542 BGM917542:BGO917542 BQI917542:BQK917542 CAE917542:CAG917542 CKA917542:CKC917542 CTW917542:CTY917542 DDS917542:DDU917542 DNO917542:DNQ917542 DXK917542:DXM917542 EHG917542:EHI917542 ERC917542:ERE917542 FAY917542:FBA917542 FKU917542:FKW917542 FUQ917542:FUS917542 GEM917542:GEO917542 GOI917542:GOK917542 GYE917542:GYG917542 HIA917542:HIC917542 HRW917542:HRY917542 IBS917542:IBU917542 ILO917542:ILQ917542 IVK917542:IVM917542 JFG917542:JFI917542 JPC917542:JPE917542 JYY917542:JZA917542 KIU917542:KIW917542 KSQ917542:KSS917542 LCM917542:LCO917542 LMI917542:LMK917542 LWE917542:LWG917542 MGA917542:MGC917542 MPW917542:MPY917542 MZS917542:MZU917542 NJO917542:NJQ917542 NTK917542:NTM917542 ODG917542:ODI917542 ONC917542:ONE917542 OWY917542:OXA917542 PGU917542:PGW917542 PQQ917542:PQS917542 QAM917542:QAO917542 QKI917542:QKK917542 QUE917542:QUG917542 REA917542:REC917542 RNW917542:RNY917542 RXS917542:RXU917542 SHO917542:SHQ917542 SRK917542:SRM917542 TBG917542:TBI917542 TLC917542:TLE917542 TUY917542:TVA917542 UEU917542:UEW917542 UOQ917542:UOS917542 UYM917542:UYO917542 VII917542:VIK917542 VSE917542:VSG917542 WCA917542:WCC917542 WLW917542:WLY917542 WVS917542:WVU917542 K983078:M983078 JG983078:JI983078 TC983078:TE983078 ACY983078:ADA983078 AMU983078:AMW983078 AWQ983078:AWS983078 BGM983078:BGO983078 BQI983078:BQK983078 CAE983078:CAG983078 CKA983078:CKC983078 CTW983078:CTY983078 DDS983078:DDU983078 DNO983078:DNQ983078 DXK983078:DXM983078 EHG983078:EHI983078 ERC983078:ERE983078 FAY983078:FBA983078 FKU983078:FKW983078 FUQ983078:FUS983078 GEM983078:GEO983078 GOI983078:GOK983078 GYE983078:GYG983078 HIA983078:HIC983078 HRW983078:HRY983078 IBS983078:IBU983078 ILO983078:ILQ983078 IVK983078:IVM983078 JFG983078:JFI983078 JPC983078:JPE983078 JYY983078:JZA983078 KIU983078:KIW983078 KSQ983078:KSS983078 LCM983078:LCO983078 LMI983078:LMK983078 LWE983078:LWG983078 MGA983078:MGC983078 MPW983078:MPY983078 MZS983078:MZU983078 NJO983078:NJQ983078 NTK983078:NTM983078 ODG983078:ODI983078 ONC983078:ONE983078 OWY983078:OXA983078 PGU983078:PGW983078 PQQ983078:PQS983078 QAM983078:QAO983078 QKI983078:QKK983078 QUE983078:QUG983078 REA983078:REC983078 RNW983078:RNY983078 RXS983078:RXU983078 SHO983078:SHQ983078 SRK983078:SRM983078 TBG983078:TBI983078 TLC983078:TLE983078 TUY983078:TVA983078 UEU983078:UEW983078 UOQ983078:UOS983078 UYM983078:UYO983078 VII983078:VIK983078 VSE983078:VSG983078 WCA983078:WCC983078 WLW983078:WLY983078 WVS983078:WVU983078 H40:J40 JD40:JF40 SZ40:TB40 ACV40:ACX40 AMR40:AMT40 AWN40:AWP40 BGJ40:BGL40 BQF40:BQH40 CAB40:CAD40 CJX40:CJZ40 CTT40:CTV40 DDP40:DDR40 DNL40:DNN40 DXH40:DXJ40 EHD40:EHF40 EQZ40:ERB40 FAV40:FAX40 FKR40:FKT40 FUN40:FUP40 GEJ40:GEL40 GOF40:GOH40 GYB40:GYD40 HHX40:HHZ40 HRT40:HRV40 IBP40:IBR40 ILL40:ILN40 IVH40:IVJ40 JFD40:JFF40 JOZ40:JPB40 JYV40:JYX40 KIR40:KIT40 KSN40:KSP40 LCJ40:LCL40 LMF40:LMH40 LWB40:LWD40 MFX40:MFZ40 MPT40:MPV40 MZP40:MZR40 NJL40:NJN40 NTH40:NTJ40 ODD40:ODF40 OMZ40:ONB40 OWV40:OWX40 PGR40:PGT40 PQN40:PQP40 QAJ40:QAL40 QKF40:QKH40 QUB40:QUD40 RDX40:RDZ40 RNT40:RNV40 RXP40:RXR40 SHL40:SHN40 SRH40:SRJ40 TBD40:TBF40 TKZ40:TLB40 TUV40:TUX40 UER40:UET40 UON40:UOP40 UYJ40:UYL40 VIF40:VIH40 VSB40:VSD40 WBX40:WBZ40 WLT40:WLV40 WVP40:WVR40 H65576:J65576 JD65576:JF65576 SZ65576:TB65576 ACV65576:ACX65576 AMR65576:AMT65576 AWN65576:AWP65576 BGJ65576:BGL65576 BQF65576:BQH65576 CAB65576:CAD65576 CJX65576:CJZ65576 CTT65576:CTV65576 DDP65576:DDR65576 DNL65576:DNN65576 DXH65576:DXJ65576 EHD65576:EHF65576 EQZ65576:ERB65576 FAV65576:FAX65576 FKR65576:FKT65576 FUN65576:FUP65576 GEJ65576:GEL65576 GOF65576:GOH65576 GYB65576:GYD65576 HHX65576:HHZ65576 HRT65576:HRV65576 IBP65576:IBR65576 ILL65576:ILN65576 IVH65576:IVJ65576 JFD65576:JFF65576 JOZ65576:JPB65576 JYV65576:JYX65576 KIR65576:KIT65576 KSN65576:KSP65576 LCJ65576:LCL65576 LMF65576:LMH65576 LWB65576:LWD65576 MFX65576:MFZ65576 MPT65576:MPV65576 MZP65576:MZR65576 NJL65576:NJN65576 NTH65576:NTJ65576 ODD65576:ODF65576 OMZ65576:ONB65576 OWV65576:OWX65576 PGR65576:PGT65576 PQN65576:PQP65576 QAJ65576:QAL65576 QKF65576:QKH65576 QUB65576:QUD65576 RDX65576:RDZ65576 RNT65576:RNV65576 RXP65576:RXR65576 SHL65576:SHN65576 SRH65576:SRJ65576 TBD65576:TBF65576 TKZ65576:TLB65576 TUV65576:TUX65576 UER65576:UET65576 UON65576:UOP65576 UYJ65576:UYL65576 VIF65576:VIH65576 VSB65576:VSD65576 WBX65576:WBZ65576 WLT65576:WLV65576 WVP65576:WVR65576 H131112:J131112 JD131112:JF131112 SZ131112:TB131112 ACV131112:ACX131112 AMR131112:AMT131112 AWN131112:AWP131112 BGJ131112:BGL131112 BQF131112:BQH131112 CAB131112:CAD131112 CJX131112:CJZ131112 CTT131112:CTV131112 DDP131112:DDR131112 DNL131112:DNN131112 DXH131112:DXJ131112 EHD131112:EHF131112 EQZ131112:ERB131112 FAV131112:FAX131112 FKR131112:FKT131112 FUN131112:FUP131112 GEJ131112:GEL131112 GOF131112:GOH131112 GYB131112:GYD131112 HHX131112:HHZ131112 HRT131112:HRV131112 IBP131112:IBR131112 ILL131112:ILN131112 IVH131112:IVJ131112 JFD131112:JFF131112 JOZ131112:JPB131112 JYV131112:JYX131112 KIR131112:KIT131112 KSN131112:KSP131112 LCJ131112:LCL131112 LMF131112:LMH131112 LWB131112:LWD131112 MFX131112:MFZ131112 MPT131112:MPV131112 MZP131112:MZR131112 NJL131112:NJN131112 NTH131112:NTJ131112 ODD131112:ODF131112 OMZ131112:ONB131112 OWV131112:OWX131112 PGR131112:PGT131112 PQN131112:PQP131112 QAJ131112:QAL131112 QKF131112:QKH131112 QUB131112:QUD131112 RDX131112:RDZ131112 RNT131112:RNV131112 RXP131112:RXR131112 SHL131112:SHN131112 SRH131112:SRJ131112 TBD131112:TBF131112 TKZ131112:TLB131112 TUV131112:TUX131112 UER131112:UET131112 UON131112:UOP131112 UYJ131112:UYL131112 VIF131112:VIH131112 VSB131112:VSD131112 WBX131112:WBZ131112 WLT131112:WLV131112 WVP131112:WVR131112 H196648:J196648 JD196648:JF196648 SZ196648:TB196648 ACV196648:ACX196648 AMR196648:AMT196648 AWN196648:AWP196648 BGJ196648:BGL196648 BQF196648:BQH196648 CAB196648:CAD196648 CJX196648:CJZ196648 CTT196648:CTV196648 DDP196648:DDR196648 DNL196648:DNN196648 DXH196648:DXJ196648 EHD196648:EHF196648 EQZ196648:ERB196648 FAV196648:FAX196648 FKR196648:FKT196648 FUN196648:FUP196648 GEJ196648:GEL196648 GOF196648:GOH196648 GYB196648:GYD196648 HHX196648:HHZ196648 HRT196648:HRV196648 IBP196648:IBR196648 ILL196648:ILN196648 IVH196648:IVJ196648 JFD196648:JFF196648 JOZ196648:JPB196648 JYV196648:JYX196648 KIR196648:KIT196648 KSN196648:KSP196648 LCJ196648:LCL196648 LMF196648:LMH196648 LWB196648:LWD196648 MFX196648:MFZ196648 MPT196648:MPV196648 MZP196648:MZR196648 NJL196648:NJN196648 NTH196648:NTJ196648 ODD196648:ODF196648 OMZ196648:ONB196648 OWV196648:OWX196648 PGR196648:PGT196648 PQN196648:PQP196648 QAJ196648:QAL196648 QKF196648:QKH196648 QUB196648:QUD196648 RDX196648:RDZ196648 RNT196648:RNV196648 RXP196648:RXR196648 SHL196648:SHN196648 SRH196648:SRJ196648 TBD196648:TBF196648 TKZ196648:TLB196648 TUV196648:TUX196648 UER196648:UET196648 UON196648:UOP196648 UYJ196648:UYL196648 VIF196648:VIH196648 VSB196648:VSD196648 WBX196648:WBZ196648 WLT196648:WLV196648 WVP196648:WVR196648 H262184:J262184 JD262184:JF262184 SZ262184:TB262184 ACV262184:ACX262184 AMR262184:AMT262184 AWN262184:AWP262184 BGJ262184:BGL262184 BQF262184:BQH262184 CAB262184:CAD262184 CJX262184:CJZ262184 CTT262184:CTV262184 DDP262184:DDR262184 DNL262184:DNN262184 DXH262184:DXJ262184 EHD262184:EHF262184 EQZ262184:ERB262184 FAV262184:FAX262184 FKR262184:FKT262184 FUN262184:FUP262184 GEJ262184:GEL262184 GOF262184:GOH262184 GYB262184:GYD262184 HHX262184:HHZ262184 HRT262184:HRV262184 IBP262184:IBR262184 ILL262184:ILN262184 IVH262184:IVJ262184 JFD262184:JFF262184 JOZ262184:JPB262184 JYV262184:JYX262184 KIR262184:KIT262184 KSN262184:KSP262184 LCJ262184:LCL262184 LMF262184:LMH262184 LWB262184:LWD262184 MFX262184:MFZ262184 MPT262184:MPV262184 MZP262184:MZR262184 NJL262184:NJN262184 NTH262184:NTJ262184 ODD262184:ODF262184 OMZ262184:ONB262184 OWV262184:OWX262184 PGR262184:PGT262184 PQN262184:PQP262184 QAJ262184:QAL262184 QKF262184:QKH262184 QUB262184:QUD262184 RDX262184:RDZ262184 RNT262184:RNV262184 RXP262184:RXR262184 SHL262184:SHN262184 SRH262184:SRJ262184 TBD262184:TBF262184 TKZ262184:TLB262184 TUV262184:TUX262184 UER262184:UET262184 UON262184:UOP262184 UYJ262184:UYL262184 VIF262184:VIH262184 VSB262184:VSD262184 WBX262184:WBZ262184 WLT262184:WLV262184 WVP262184:WVR262184 H327720:J327720 JD327720:JF327720 SZ327720:TB327720 ACV327720:ACX327720 AMR327720:AMT327720 AWN327720:AWP327720 BGJ327720:BGL327720 BQF327720:BQH327720 CAB327720:CAD327720 CJX327720:CJZ327720 CTT327720:CTV327720 DDP327720:DDR327720 DNL327720:DNN327720 DXH327720:DXJ327720 EHD327720:EHF327720 EQZ327720:ERB327720 FAV327720:FAX327720 FKR327720:FKT327720 FUN327720:FUP327720 GEJ327720:GEL327720 GOF327720:GOH327720 GYB327720:GYD327720 HHX327720:HHZ327720 HRT327720:HRV327720 IBP327720:IBR327720 ILL327720:ILN327720 IVH327720:IVJ327720 JFD327720:JFF327720 JOZ327720:JPB327720 JYV327720:JYX327720 KIR327720:KIT327720 KSN327720:KSP327720 LCJ327720:LCL327720 LMF327720:LMH327720 LWB327720:LWD327720 MFX327720:MFZ327720 MPT327720:MPV327720 MZP327720:MZR327720 NJL327720:NJN327720 NTH327720:NTJ327720 ODD327720:ODF327720 OMZ327720:ONB327720 OWV327720:OWX327720 PGR327720:PGT327720 PQN327720:PQP327720 QAJ327720:QAL327720 QKF327720:QKH327720 QUB327720:QUD327720 RDX327720:RDZ327720 RNT327720:RNV327720 RXP327720:RXR327720 SHL327720:SHN327720 SRH327720:SRJ327720 TBD327720:TBF327720 TKZ327720:TLB327720 TUV327720:TUX327720 UER327720:UET327720 UON327720:UOP327720 UYJ327720:UYL327720 VIF327720:VIH327720 VSB327720:VSD327720 WBX327720:WBZ327720 WLT327720:WLV327720 WVP327720:WVR327720 H393256:J393256 JD393256:JF393256 SZ393256:TB393256 ACV393256:ACX393256 AMR393256:AMT393256 AWN393256:AWP393256 BGJ393256:BGL393256 BQF393256:BQH393256 CAB393256:CAD393256 CJX393256:CJZ393256 CTT393256:CTV393256 DDP393256:DDR393256 DNL393256:DNN393256 DXH393256:DXJ393256 EHD393256:EHF393256 EQZ393256:ERB393256 FAV393256:FAX393256 FKR393256:FKT393256 FUN393256:FUP393256 GEJ393256:GEL393256 GOF393256:GOH393256 GYB393256:GYD393256 HHX393256:HHZ393256 HRT393256:HRV393256 IBP393256:IBR393256 ILL393256:ILN393256 IVH393256:IVJ393256 JFD393256:JFF393256 JOZ393256:JPB393256 JYV393256:JYX393256 KIR393256:KIT393256 KSN393256:KSP393256 LCJ393256:LCL393256 LMF393256:LMH393256 LWB393256:LWD393256 MFX393256:MFZ393256 MPT393256:MPV393256 MZP393256:MZR393256 NJL393256:NJN393256 NTH393256:NTJ393256 ODD393256:ODF393256 OMZ393256:ONB393256 OWV393256:OWX393256 PGR393256:PGT393256 PQN393256:PQP393256 QAJ393256:QAL393256 QKF393256:QKH393256 QUB393256:QUD393256 RDX393256:RDZ393256 RNT393256:RNV393256 RXP393256:RXR393256 SHL393256:SHN393256 SRH393256:SRJ393256 TBD393256:TBF393256 TKZ393256:TLB393256 TUV393256:TUX393256 UER393256:UET393256 UON393256:UOP393256 UYJ393256:UYL393256 VIF393256:VIH393256 VSB393256:VSD393256 WBX393256:WBZ393256 WLT393256:WLV393256 WVP393256:WVR393256 H458792:J458792 JD458792:JF458792 SZ458792:TB458792 ACV458792:ACX458792 AMR458792:AMT458792 AWN458792:AWP458792 BGJ458792:BGL458792 BQF458792:BQH458792 CAB458792:CAD458792 CJX458792:CJZ458792 CTT458792:CTV458792 DDP458792:DDR458792 DNL458792:DNN458792 DXH458792:DXJ458792 EHD458792:EHF458792 EQZ458792:ERB458792 FAV458792:FAX458792 FKR458792:FKT458792 FUN458792:FUP458792 GEJ458792:GEL458792 GOF458792:GOH458792 GYB458792:GYD458792 HHX458792:HHZ458792 HRT458792:HRV458792 IBP458792:IBR458792 ILL458792:ILN458792 IVH458792:IVJ458792 JFD458792:JFF458792 JOZ458792:JPB458792 JYV458792:JYX458792 KIR458792:KIT458792 KSN458792:KSP458792 LCJ458792:LCL458792 LMF458792:LMH458792 LWB458792:LWD458792 MFX458792:MFZ458792 MPT458792:MPV458792 MZP458792:MZR458792 NJL458792:NJN458792 NTH458792:NTJ458792 ODD458792:ODF458792 OMZ458792:ONB458792 OWV458792:OWX458792 PGR458792:PGT458792 PQN458792:PQP458792 QAJ458792:QAL458792 QKF458792:QKH458792 QUB458792:QUD458792 RDX458792:RDZ458792 RNT458792:RNV458792 RXP458792:RXR458792 SHL458792:SHN458792 SRH458792:SRJ458792 TBD458792:TBF458792 TKZ458792:TLB458792 TUV458792:TUX458792 UER458792:UET458792 UON458792:UOP458792 UYJ458792:UYL458792 VIF458792:VIH458792 VSB458792:VSD458792 WBX458792:WBZ458792 WLT458792:WLV458792 WVP458792:WVR458792 H524328:J524328 JD524328:JF524328 SZ524328:TB524328 ACV524328:ACX524328 AMR524328:AMT524328 AWN524328:AWP524328 BGJ524328:BGL524328 BQF524328:BQH524328 CAB524328:CAD524328 CJX524328:CJZ524328 CTT524328:CTV524328 DDP524328:DDR524328 DNL524328:DNN524328 DXH524328:DXJ524328 EHD524328:EHF524328 EQZ524328:ERB524328 FAV524328:FAX524328 FKR524328:FKT524328 FUN524328:FUP524328 GEJ524328:GEL524328 GOF524328:GOH524328 GYB524328:GYD524328 HHX524328:HHZ524328 HRT524328:HRV524328 IBP524328:IBR524328 ILL524328:ILN524328 IVH524328:IVJ524328 JFD524328:JFF524328 JOZ524328:JPB524328 JYV524328:JYX524328 KIR524328:KIT524328 KSN524328:KSP524328 LCJ524328:LCL524328 LMF524328:LMH524328 LWB524328:LWD524328 MFX524328:MFZ524328 MPT524328:MPV524328 MZP524328:MZR524328 NJL524328:NJN524328 NTH524328:NTJ524328 ODD524328:ODF524328 OMZ524328:ONB524328 OWV524328:OWX524328 PGR524328:PGT524328 PQN524328:PQP524328 QAJ524328:QAL524328 QKF524328:QKH524328 QUB524328:QUD524328 RDX524328:RDZ524328 RNT524328:RNV524328 RXP524328:RXR524328 SHL524328:SHN524328 SRH524328:SRJ524328 TBD524328:TBF524328 TKZ524328:TLB524328 TUV524328:TUX524328 UER524328:UET524328 UON524328:UOP524328 UYJ524328:UYL524328 VIF524328:VIH524328 VSB524328:VSD524328 WBX524328:WBZ524328 WLT524328:WLV524328 WVP524328:WVR524328 H589864:J589864 JD589864:JF589864 SZ589864:TB589864 ACV589864:ACX589864 AMR589864:AMT589864 AWN589864:AWP589864 BGJ589864:BGL589864 BQF589864:BQH589864 CAB589864:CAD589864 CJX589864:CJZ589864 CTT589864:CTV589864 DDP589864:DDR589864 DNL589864:DNN589864 DXH589864:DXJ589864 EHD589864:EHF589864 EQZ589864:ERB589864 FAV589864:FAX589864 FKR589864:FKT589864 FUN589864:FUP589864 GEJ589864:GEL589864 GOF589864:GOH589864 GYB589864:GYD589864 HHX589864:HHZ589864 HRT589864:HRV589864 IBP589864:IBR589864 ILL589864:ILN589864 IVH589864:IVJ589864 JFD589864:JFF589864 JOZ589864:JPB589864 JYV589864:JYX589864 KIR589864:KIT589864 KSN589864:KSP589864 LCJ589864:LCL589864 LMF589864:LMH589864 LWB589864:LWD589864 MFX589864:MFZ589864 MPT589864:MPV589864 MZP589864:MZR589864 NJL589864:NJN589864 NTH589864:NTJ589864 ODD589864:ODF589864 OMZ589864:ONB589864 OWV589864:OWX589864 PGR589864:PGT589864 PQN589864:PQP589864 QAJ589864:QAL589864 QKF589864:QKH589864 QUB589864:QUD589864 RDX589864:RDZ589864 RNT589864:RNV589864 RXP589864:RXR589864 SHL589864:SHN589864 SRH589864:SRJ589864 TBD589864:TBF589864 TKZ589864:TLB589864 TUV589864:TUX589864 UER589864:UET589864 UON589864:UOP589864 UYJ589864:UYL589864 VIF589864:VIH589864 VSB589864:VSD589864 WBX589864:WBZ589864 WLT589864:WLV589864 WVP589864:WVR589864 H655400:J655400 JD655400:JF655400 SZ655400:TB655400 ACV655400:ACX655400 AMR655400:AMT655400 AWN655400:AWP655400 BGJ655400:BGL655400 BQF655400:BQH655400 CAB655400:CAD655400 CJX655400:CJZ655400 CTT655400:CTV655400 DDP655400:DDR655400 DNL655400:DNN655400 DXH655400:DXJ655400 EHD655400:EHF655400 EQZ655400:ERB655400 FAV655400:FAX655400 FKR655400:FKT655400 FUN655400:FUP655400 GEJ655400:GEL655400 GOF655400:GOH655400 GYB655400:GYD655400 HHX655400:HHZ655400 HRT655400:HRV655400 IBP655400:IBR655400 ILL655400:ILN655400 IVH655400:IVJ655400 JFD655400:JFF655400 JOZ655400:JPB655400 JYV655400:JYX655400 KIR655400:KIT655400 KSN655400:KSP655400 LCJ655400:LCL655400 LMF655400:LMH655400 LWB655400:LWD655400 MFX655400:MFZ655400 MPT655400:MPV655400 MZP655400:MZR655400 NJL655400:NJN655400 NTH655400:NTJ655400 ODD655400:ODF655400 OMZ655400:ONB655400 OWV655400:OWX655400 PGR655400:PGT655400 PQN655400:PQP655400 QAJ655400:QAL655400 QKF655400:QKH655400 QUB655400:QUD655400 RDX655400:RDZ655400 RNT655400:RNV655400 RXP655400:RXR655400 SHL655400:SHN655400 SRH655400:SRJ655400 TBD655400:TBF655400 TKZ655400:TLB655400 TUV655400:TUX655400 UER655400:UET655400 UON655400:UOP655400 UYJ655400:UYL655400 VIF655400:VIH655400 VSB655400:VSD655400 WBX655400:WBZ655400 WLT655400:WLV655400 WVP655400:WVR655400 H720936:J720936 JD720936:JF720936 SZ720936:TB720936 ACV720936:ACX720936 AMR720936:AMT720936 AWN720936:AWP720936 BGJ720936:BGL720936 BQF720936:BQH720936 CAB720936:CAD720936 CJX720936:CJZ720936 CTT720936:CTV720936 DDP720936:DDR720936 DNL720936:DNN720936 DXH720936:DXJ720936 EHD720936:EHF720936 EQZ720936:ERB720936 FAV720936:FAX720936 FKR720936:FKT720936 FUN720936:FUP720936 GEJ720936:GEL720936 GOF720936:GOH720936 GYB720936:GYD720936 HHX720936:HHZ720936 HRT720936:HRV720936 IBP720936:IBR720936 ILL720936:ILN720936 IVH720936:IVJ720936 JFD720936:JFF720936 JOZ720936:JPB720936 JYV720936:JYX720936 KIR720936:KIT720936 KSN720936:KSP720936 LCJ720936:LCL720936 LMF720936:LMH720936 LWB720936:LWD720936 MFX720936:MFZ720936 MPT720936:MPV720936 MZP720936:MZR720936 NJL720936:NJN720936 NTH720936:NTJ720936 ODD720936:ODF720936 OMZ720936:ONB720936 OWV720936:OWX720936 PGR720936:PGT720936 PQN720936:PQP720936 QAJ720936:QAL720936 QKF720936:QKH720936 QUB720936:QUD720936 RDX720936:RDZ720936 RNT720936:RNV720936 RXP720936:RXR720936 SHL720936:SHN720936 SRH720936:SRJ720936 TBD720936:TBF720936 TKZ720936:TLB720936 TUV720936:TUX720936 UER720936:UET720936 UON720936:UOP720936 UYJ720936:UYL720936 VIF720936:VIH720936 VSB720936:VSD720936 WBX720936:WBZ720936 WLT720936:WLV720936 WVP720936:WVR720936 H786472:J786472 JD786472:JF786472 SZ786472:TB786472 ACV786472:ACX786472 AMR786472:AMT786472 AWN786472:AWP786472 BGJ786472:BGL786472 BQF786472:BQH786472 CAB786472:CAD786472 CJX786472:CJZ786472 CTT786472:CTV786472 DDP786472:DDR786472 DNL786472:DNN786472 DXH786472:DXJ786472 EHD786472:EHF786472 EQZ786472:ERB786472 FAV786472:FAX786472 FKR786472:FKT786472 FUN786472:FUP786472 GEJ786472:GEL786472 GOF786472:GOH786472 GYB786472:GYD786472 HHX786472:HHZ786472 HRT786472:HRV786472 IBP786472:IBR786472 ILL786472:ILN786472 IVH786472:IVJ786472 JFD786472:JFF786472 JOZ786472:JPB786472 JYV786472:JYX786472 KIR786472:KIT786472 KSN786472:KSP786472 LCJ786472:LCL786472 LMF786472:LMH786472 LWB786472:LWD786472 MFX786472:MFZ786472 MPT786472:MPV786472 MZP786472:MZR786472 NJL786472:NJN786472 NTH786472:NTJ786472 ODD786472:ODF786472 OMZ786472:ONB786472 OWV786472:OWX786472 PGR786472:PGT786472 PQN786472:PQP786472 QAJ786472:QAL786472 QKF786472:QKH786472 QUB786472:QUD786472 RDX786472:RDZ786472 RNT786472:RNV786472 RXP786472:RXR786472 SHL786472:SHN786472 SRH786472:SRJ786472 TBD786472:TBF786472 TKZ786472:TLB786472 TUV786472:TUX786472 UER786472:UET786472 UON786472:UOP786472 UYJ786472:UYL786472 VIF786472:VIH786472 VSB786472:VSD786472 WBX786472:WBZ786472 WLT786472:WLV786472 WVP786472:WVR786472 H852008:J852008 JD852008:JF852008 SZ852008:TB852008 ACV852008:ACX852008 AMR852008:AMT852008 AWN852008:AWP852008 BGJ852008:BGL852008 BQF852008:BQH852008 CAB852008:CAD852008 CJX852008:CJZ852008 CTT852008:CTV852008 DDP852008:DDR852008 DNL852008:DNN852008 DXH852008:DXJ852008 EHD852008:EHF852008 EQZ852008:ERB852008 FAV852008:FAX852008 FKR852008:FKT852008 FUN852008:FUP852008 GEJ852008:GEL852008 GOF852008:GOH852008 GYB852008:GYD852008 HHX852008:HHZ852008 HRT852008:HRV852008 IBP852008:IBR852008 ILL852008:ILN852008 IVH852008:IVJ852008 JFD852008:JFF852008 JOZ852008:JPB852008 JYV852008:JYX852008 KIR852008:KIT852008 KSN852008:KSP852008 LCJ852008:LCL852008 LMF852008:LMH852008 LWB852008:LWD852008 MFX852008:MFZ852008 MPT852008:MPV852008 MZP852008:MZR852008 NJL852008:NJN852008 NTH852008:NTJ852008 ODD852008:ODF852008 OMZ852008:ONB852008 OWV852008:OWX852008 PGR852008:PGT852008 PQN852008:PQP852008 QAJ852008:QAL852008 QKF852008:QKH852008 QUB852008:QUD852008 RDX852008:RDZ852008 RNT852008:RNV852008 RXP852008:RXR852008 SHL852008:SHN852008 SRH852008:SRJ852008 TBD852008:TBF852008 TKZ852008:TLB852008 TUV852008:TUX852008 UER852008:UET852008 UON852008:UOP852008 UYJ852008:UYL852008 VIF852008:VIH852008 VSB852008:VSD852008 WBX852008:WBZ852008 WLT852008:WLV852008 WVP852008:WVR852008 H917544:J917544 JD917544:JF917544 SZ917544:TB917544 ACV917544:ACX917544 AMR917544:AMT917544 AWN917544:AWP917544 BGJ917544:BGL917544 BQF917544:BQH917544 CAB917544:CAD917544 CJX917544:CJZ917544 CTT917544:CTV917544 DDP917544:DDR917544 DNL917544:DNN917544 DXH917544:DXJ917544 EHD917544:EHF917544 EQZ917544:ERB917544 FAV917544:FAX917544 FKR917544:FKT917544 FUN917544:FUP917544 GEJ917544:GEL917544 GOF917544:GOH917544 GYB917544:GYD917544 HHX917544:HHZ917544 HRT917544:HRV917544 IBP917544:IBR917544 ILL917544:ILN917544 IVH917544:IVJ917544 JFD917544:JFF917544 JOZ917544:JPB917544 JYV917544:JYX917544 KIR917544:KIT917544 KSN917544:KSP917544 LCJ917544:LCL917544 LMF917544:LMH917544 LWB917544:LWD917544 MFX917544:MFZ917544 MPT917544:MPV917544 MZP917544:MZR917544 NJL917544:NJN917544 NTH917544:NTJ917544 ODD917544:ODF917544 OMZ917544:ONB917544 OWV917544:OWX917544 PGR917544:PGT917544 PQN917544:PQP917544 QAJ917544:QAL917544 QKF917544:QKH917544 QUB917544:QUD917544 RDX917544:RDZ917544 RNT917544:RNV917544 RXP917544:RXR917544 SHL917544:SHN917544 SRH917544:SRJ917544 TBD917544:TBF917544 TKZ917544:TLB917544 TUV917544:TUX917544 UER917544:UET917544 UON917544:UOP917544 UYJ917544:UYL917544 VIF917544:VIH917544 VSB917544:VSD917544 WBX917544:WBZ917544 WLT917544:WLV917544 WVP917544:WVR917544 H983080:J983080 JD983080:JF983080 SZ983080:TB983080 ACV983080:ACX983080 AMR983080:AMT983080 AWN983080:AWP983080 BGJ983080:BGL983080 BQF983080:BQH983080 CAB983080:CAD983080 CJX983080:CJZ983080 CTT983080:CTV983080 DDP983080:DDR983080 DNL983080:DNN983080 DXH983080:DXJ983080 EHD983080:EHF983080 EQZ983080:ERB983080 FAV983080:FAX983080 FKR983080:FKT983080 FUN983080:FUP983080 GEJ983080:GEL983080 GOF983080:GOH983080 GYB983080:GYD983080 HHX983080:HHZ983080 HRT983080:HRV983080 IBP983080:IBR983080 ILL983080:ILN983080 IVH983080:IVJ983080 JFD983080:JFF983080 JOZ983080:JPB983080 JYV983080:JYX983080 KIR983080:KIT983080 KSN983080:KSP983080 LCJ983080:LCL983080 LMF983080:LMH983080 LWB983080:LWD983080 MFX983080:MFZ983080 MPT983080:MPV983080 MZP983080:MZR983080 NJL983080:NJN983080 NTH983080:NTJ983080 ODD983080:ODF983080 OMZ983080:ONB983080 OWV983080:OWX983080 PGR983080:PGT983080 PQN983080:PQP983080 QAJ983080:QAL983080 QKF983080:QKH983080 QUB983080:QUD983080 RDX983080:RDZ983080 RNT983080:RNV983080 RXP983080:RXR983080 SHL983080:SHN983080 SRH983080:SRJ983080 TBD983080:TBF983080 TKZ983080:TLB983080 TUV983080:TUX983080 UER983080:UET983080 UON983080:UOP983080 UYJ983080:UYL983080 VIF983080:VIH983080 VSB983080:VSD983080 WBX983080:WBZ983080 WLT983080:WLV983080 WVP983080:WVR983080 G42:I42 JC42:JE42 SY42:TA42 ACU42:ACW42 AMQ42:AMS42 AWM42:AWO42 BGI42:BGK42 BQE42:BQG42 CAA42:CAC42 CJW42:CJY42 CTS42:CTU42 DDO42:DDQ42 DNK42:DNM42 DXG42:DXI42 EHC42:EHE42 EQY42:ERA42 FAU42:FAW42 FKQ42:FKS42 FUM42:FUO42 GEI42:GEK42 GOE42:GOG42 GYA42:GYC42 HHW42:HHY42 HRS42:HRU42 IBO42:IBQ42 ILK42:ILM42 IVG42:IVI42 JFC42:JFE42 JOY42:JPA42 JYU42:JYW42 KIQ42:KIS42 KSM42:KSO42 LCI42:LCK42 LME42:LMG42 LWA42:LWC42 MFW42:MFY42 MPS42:MPU42 MZO42:MZQ42 NJK42:NJM42 NTG42:NTI42 ODC42:ODE42 OMY42:ONA42 OWU42:OWW42 PGQ42:PGS42 PQM42:PQO42 QAI42:QAK42 QKE42:QKG42 QUA42:QUC42 RDW42:RDY42 RNS42:RNU42 RXO42:RXQ42 SHK42:SHM42 SRG42:SRI42 TBC42:TBE42 TKY42:TLA42 TUU42:TUW42 UEQ42:UES42 UOM42:UOO42 UYI42:UYK42 VIE42:VIG42 VSA42:VSC42 WBW42:WBY42 WLS42:WLU42 WVO42:WVQ42 G65578:I65578 JC65578:JE65578 SY65578:TA65578 ACU65578:ACW65578 AMQ65578:AMS65578 AWM65578:AWO65578 BGI65578:BGK65578 BQE65578:BQG65578 CAA65578:CAC65578 CJW65578:CJY65578 CTS65578:CTU65578 DDO65578:DDQ65578 DNK65578:DNM65578 DXG65578:DXI65578 EHC65578:EHE65578 EQY65578:ERA65578 FAU65578:FAW65578 FKQ65578:FKS65578 FUM65578:FUO65578 GEI65578:GEK65578 GOE65578:GOG65578 GYA65578:GYC65578 HHW65578:HHY65578 HRS65578:HRU65578 IBO65578:IBQ65578 ILK65578:ILM65578 IVG65578:IVI65578 JFC65578:JFE65578 JOY65578:JPA65578 JYU65578:JYW65578 KIQ65578:KIS65578 KSM65578:KSO65578 LCI65578:LCK65578 LME65578:LMG65578 LWA65578:LWC65578 MFW65578:MFY65578 MPS65578:MPU65578 MZO65578:MZQ65578 NJK65578:NJM65578 NTG65578:NTI65578 ODC65578:ODE65578 OMY65578:ONA65578 OWU65578:OWW65578 PGQ65578:PGS65578 PQM65578:PQO65578 QAI65578:QAK65578 QKE65578:QKG65578 QUA65578:QUC65578 RDW65578:RDY65578 RNS65578:RNU65578 RXO65578:RXQ65578 SHK65578:SHM65578 SRG65578:SRI65578 TBC65578:TBE65578 TKY65578:TLA65578 TUU65578:TUW65578 UEQ65578:UES65578 UOM65578:UOO65578 UYI65578:UYK65578 VIE65578:VIG65578 VSA65578:VSC65578 WBW65578:WBY65578 WLS65578:WLU65578 WVO65578:WVQ65578 G131114:I131114 JC131114:JE131114 SY131114:TA131114 ACU131114:ACW131114 AMQ131114:AMS131114 AWM131114:AWO131114 BGI131114:BGK131114 BQE131114:BQG131114 CAA131114:CAC131114 CJW131114:CJY131114 CTS131114:CTU131114 DDO131114:DDQ131114 DNK131114:DNM131114 DXG131114:DXI131114 EHC131114:EHE131114 EQY131114:ERA131114 FAU131114:FAW131114 FKQ131114:FKS131114 FUM131114:FUO131114 GEI131114:GEK131114 GOE131114:GOG131114 GYA131114:GYC131114 HHW131114:HHY131114 HRS131114:HRU131114 IBO131114:IBQ131114 ILK131114:ILM131114 IVG131114:IVI131114 JFC131114:JFE131114 JOY131114:JPA131114 JYU131114:JYW131114 KIQ131114:KIS131114 KSM131114:KSO131114 LCI131114:LCK131114 LME131114:LMG131114 LWA131114:LWC131114 MFW131114:MFY131114 MPS131114:MPU131114 MZO131114:MZQ131114 NJK131114:NJM131114 NTG131114:NTI131114 ODC131114:ODE131114 OMY131114:ONA131114 OWU131114:OWW131114 PGQ131114:PGS131114 PQM131114:PQO131114 QAI131114:QAK131114 QKE131114:QKG131114 QUA131114:QUC131114 RDW131114:RDY131114 RNS131114:RNU131114 RXO131114:RXQ131114 SHK131114:SHM131114 SRG131114:SRI131114 TBC131114:TBE131114 TKY131114:TLA131114 TUU131114:TUW131114 UEQ131114:UES131114 UOM131114:UOO131114 UYI131114:UYK131114 VIE131114:VIG131114 VSA131114:VSC131114 WBW131114:WBY131114 WLS131114:WLU131114 WVO131114:WVQ131114 G196650:I196650 JC196650:JE196650 SY196650:TA196650 ACU196650:ACW196650 AMQ196650:AMS196650 AWM196650:AWO196650 BGI196650:BGK196650 BQE196650:BQG196650 CAA196650:CAC196650 CJW196650:CJY196650 CTS196650:CTU196650 DDO196650:DDQ196650 DNK196650:DNM196650 DXG196650:DXI196650 EHC196650:EHE196650 EQY196650:ERA196650 FAU196650:FAW196650 FKQ196650:FKS196650 FUM196650:FUO196650 GEI196650:GEK196650 GOE196650:GOG196650 GYA196650:GYC196650 HHW196650:HHY196650 HRS196650:HRU196650 IBO196650:IBQ196650 ILK196650:ILM196650 IVG196650:IVI196650 JFC196650:JFE196650 JOY196650:JPA196650 JYU196650:JYW196650 KIQ196650:KIS196650 KSM196650:KSO196650 LCI196650:LCK196650 LME196650:LMG196650 LWA196650:LWC196650 MFW196650:MFY196650 MPS196650:MPU196650 MZO196650:MZQ196650 NJK196650:NJM196650 NTG196650:NTI196650 ODC196650:ODE196650 OMY196650:ONA196650 OWU196650:OWW196650 PGQ196650:PGS196650 PQM196650:PQO196650 QAI196650:QAK196650 QKE196650:QKG196650 QUA196650:QUC196650 RDW196650:RDY196650 RNS196650:RNU196650 RXO196650:RXQ196650 SHK196650:SHM196650 SRG196650:SRI196650 TBC196650:TBE196650 TKY196650:TLA196650 TUU196650:TUW196650 UEQ196650:UES196650 UOM196650:UOO196650 UYI196650:UYK196650 VIE196650:VIG196650 VSA196650:VSC196650 WBW196650:WBY196650 WLS196650:WLU196650 WVO196650:WVQ196650 G262186:I262186 JC262186:JE262186 SY262186:TA262186 ACU262186:ACW262186 AMQ262186:AMS262186 AWM262186:AWO262186 BGI262186:BGK262186 BQE262186:BQG262186 CAA262186:CAC262186 CJW262186:CJY262186 CTS262186:CTU262186 DDO262186:DDQ262186 DNK262186:DNM262186 DXG262186:DXI262186 EHC262186:EHE262186 EQY262186:ERA262186 FAU262186:FAW262186 FKQ262186:FKS262186 FUM262186:FUO262186 GEI262186:GEK262186 GOE262186:GOG262186 GYA262186:GYC262186 HHW262186:HHY262186 HRS262186:HRU262186 IBO262186:IBQ262186 ILK262186:ILM262186 IVG262186:IVI262186 JFC262186:JFE262186 JOY262186:JPA262186 JYU262186:JYW262186 KIQ262186:KIS262186 KSM262186:KSO262186 LCI262186:LCK262186 LME262186:LMG262186 LWA262186:LWC262186 MFW262186:MFY262186 MPS262186:MPU262186 MZO262186:MZQ262186 NJK262186:NJM262186 NTG262186:NTI262186 ODC262186:ODE262186 OMY262186:ONA262186 OWU262186:OWW262186 PGQ262186:PGS262186 PQM262186:PQO262186 QAI262186:QAK262186 QKE262186:QKG262186 QUA262186:QUC262186 RDW262186:RDY262186 RNS262186:RNU262186 RXO262186:RXQ262186 SHK262186:SHM262186 SRG262186:SRI262186 TBC262186:TBE262186 TKY262186:TLA262186 TUU262186:TUW262186 UEQ262186:UES262186 UOM262186:UOO262186 UYI262186:UYK262186 VIE262186:VIG262186 VSA262186:VSC262186 WBW262186:WBY262186 WLS262186:WLU262186 WVO262186:WVQ262186 G327722:I327722 JC327722:JE327722 SY327722:TA327722 ACU327722:ACW327722 AMQ327722:AMS327722 AWM327722:AWO327722 BGI327722:BGK327722 BQE327722:BQG327722 CAA327722:CAC327722 CJW327722:CJY327722 CTS327722:CTU327722 DDO327722:DDQ327722 DNK327722:DNM327722 DXG327722:DXI327722 EHC327722:EHE327722 EQY327722:ERA327722 FAU327722:FAW327722 FKQ327722:FKS327722 FUM327722:FUO327722 GEI327722:GEK327722 GOE327722:GOG327722 GYA327722:GYC327722 HHW327722:HHY327722 HRS327722:HRU327722 IBO327722:IBQ327722 ILK327722:ILM327722 IVG327722:IVI327722 JFC327722:JFE327722 JOY327722:JPA327722 JYU327722:JYW327722 KIQ327722:KIS327722 KSM327722:KSO327722 LCI327722:LCK327722 LME327722:LMG327722 LWA327722:LWC327722 MFW327722:MFY327722 MPS327722:MPU327722 MZO327722:MZQ327722 NJK327722:NJM327722 NTG327722:NTI327722 ODC327722:ODE327722 OMY327722:ONA327722 OWU327722:OWW327722 PGQ327722:PGS327722 PQM327722:PQO327722 QAI327722:QAK327722 QKE327722:QKG327722 QUA327722:QUC327722 RDW327722:RDY327722 RNS327722:RNU327722 RXO327722:RXQ327722 SHK327722:SHM327722 SRG327722:SRI327722 TBC327722:TBE327722 TKY327722:TLA327722 TUU327722:TUW327722 UEQ327722:UES327722 UOM327722:UOO327722 UYI327722:UYK327722 VIE327722:VIG327722 VSA327722:VSC327722 WBW327722:WBY327722 WLS327722:WLU327722 WVO327722:WVQ327722 G393258:I393258 JC393258:JE393258 SY393258:TA393258 ACU393258:ACW393258 AMQ393258:AMS393258 AWM393258:AWO393258 BGI393258:BGK393258 BQE393258:BQG393258 CAA393258:CAC393258 CJW393258:CJY393258 CTS393258:CTU393258 DDO393258:DDQ393258 DNK393258:DNM393258 DXG393258:DXI393258 EHC393258:EHE393258 EQY393258:ERA393258 FAU393258:FAW393258 FKQ393258:FKS393258 FUM393258:FUO393258 GEI393258:GEK393258 GOE393258:GOG393258 GYA393258:GYC393258 HHW393258:HHY393258 HRS393258:HRU393258 IBO393258:IBQ393258 ILK393258:ILM393258 IVG393258:IVI393258 JFC393258:JFE393258 JOY393258:JPA393258 JYU393258:JYW393258 KIQ393258:KIS393258 KSM393258:KSO393258 LCI393258:LCK393258 LME393258:LMG393258 LWA393258:LWC393258 MFW393258:MFY393258 MPS393258:MPU393258 MZO393258:MZQ393258 NJK393258:NJM393258 NTG393258:NTI393258 ODC393258:ODE393258 OMY393258:ONA393258 OWU393258:OWW393258 PGQ393258:PGS393258 PQM393258:PQO393258 QAI393258:QAK393258 QKE393258:QKG393258 QUA393258:QUC393258 RDW393258:RDY393258 RNS393258:RNU393258 RXO393258:RXQ393258 SHK393258:SHM393258 SRG393258:SRI393258 TBC393258:TBE393258 TKY393258:TLA393258 TUU393258:TUW393258 UEQ393258:UES393258 UOM393258:UOO393258 UYI393258:UYK393258 VIE393258:VIG393258 VSA393258:VSC393258 WBW393258:WBY393258 WLS393258:WLU393258 WVO393258:WVQ393258 G458794:I458794 JC458794:JE458794 SY458794:TA458794 ACU458794:ACW458794 AMQ458794:AMS458794 AWM458794:AWO458794 BGI458794:BGK458794 BQE458794:BQG458794 CAA458794:CAC458794 CJW458794:CJY458794 CTS458794:CTU458794 DDO458794:DDQ458794 DNK458794:DNM458794 DXG458794:DXI458794 EHC458794:EHE458794 EQY458794:ERA458794 FAU458794:FAW458794 FKQ458794:FKS458794 FUM458794:FUO458794 GEI458794:GEK458794 GOE458794:GOG458794 GYA458794:GYC458794 HHW458794:HHY458794 HRS458794:HRU458794 IBO458794:IBQ458794 ILK458794:ILM458794 IVG458794:IVI458794 JFC458794:JFE458794 JOY458794:JPA458794 JYU458794:JYW458794 KIQ458794:KIS458794 KSM458794:KSO458794 LCI458794:LCK458794 LME458794:LMG458794 LWA458794:LWC458794 MFW458794:MFY458794 MPS458794:MPU458794 MZO458794:MZQ458794 NJK458794:NJM458794 NTG458794:NTI458794 ODC458794:ODE458794 OMY458794:ONA458794 OWU458794:OWW458794 PGQ458794:PGS458794 PQM458794:PQO458794 QAI458794:QAK458794 QKE458794:QKG458794 QUA458794:QUC458794 RDW458794:RDY458794 RNS458794:RNU458794 RXO458794:RXQ458794 SHK458794:SHM458794 SRG458794:SRI458794 TBC458794:TBE458794 TKY458794:TLA458794 TUU458794:TUW458794 UEQ458794:UES458794 UOM458794:UOO458794 UYI458794:UYK458794 VIE458794:VIG458794 VSA458794:VSC458794 WBW458794:WBY458794 WLS458794:WLU458794 WVO458794:WVQ458794 G524330:I524330 JC524330:JE524330 SY524330:TA524330 ACU524330:ACW524330 AMQ524330:AMS524330 AWM524330:AWO524330 BGI524330:BGK524330 BQE524330:BQG524330 CAA524330:CAC524330 CJW524330:CJY524330 CTS524330:CTU524330 DDO524330:DDQ524330 DNK524330:DNM524330 DXG524330:DXI524330 EHC524330:EHE524330 EQY524330:ERA524330 FAU524330:FAW524330 FKQ524330:FKS524330 FUM524330:FUO524330 GEI524330:GEK524330 GOE524330:GOG524330 GYA524330:GYC524330 HHW524330:HHY524330 HRS524330:HRU524330 IBO524330:IBQ524330 ILK524330:ILM524330 IVG524330:IVI524330 JFC524330:JFE524330 JOY524330:JPA524330 JYU524330:JYW524330 KIQ524330:KIS524330 KSM524330:KSO524330 LCI524330:LCK524330 LME524330:LMG524330 LWA524330:LWC524330 MFW524330:MFY524330 MPS524330:MPU524330 MZO524330:MZQ524330 NJK524330:NJM524330 NTG524330:NTI524330 ODC524330:ODE524330 OMY524330:ONA524330 OWU524330:OWW524330 PGQ524330:PGS524330 PQM524330:PQO524330 QAI524330:QAK524330 QKE524330:QKG524330 QUA524330:QUC524330 RDW524330:RDY524330 RNS524330:RNU524330 RXO524330:RXQ524330 SHK524330:SHM524330 SRG524330:SRI524330 TBC524330:TBE524330 TKY524330:TLA524330 TUU524330:TUW524330 UEQ524330:UES524330 UOM524330:UOO524330 UYI524330:UYK524330 VIE524330:VIG524330 VSA524330:VSC524330 WBW524330:WBY524330 WLS524330:WLU524330 WVO524330:WVQ524330 G589866:I589866 JC589866:JE589866 SY589866:TA589866 ACU589866:ACW589866 AMQ589866:AMS589866 AWM589866:AWO589866 BGI589866:BGK589866 BQE589866:BQG589866 CAA589866:CAC589866 CJW589866:CJY589866 CTS589866:CTU589866 DDO589866:DDQ589866 DNK589866:DNM589866 DXG589866:DXI589866 EHC589866:EHE589866 EQY589866:ERA589866 FAU589866:FAW589866 FKQ589866:FKS589866 FUM589866:FUO589866 GEI589866:GEK589866 GOE589866:GOG589866 GYA589866:GYC589866 HHW589866:HHY589866 HRS589866:HRU589866 IBO589866:IBQ589866 ILK589866:ILM589866 IVG589866:IVI589866 JFC589866:JFE589866 JOY589866:JPA589866 JYU589866:JYW589866 KIQ589866:KIS589866 KSM589866:KSO589866 LCI589866:LCK589866 LME589866:LMG589866 LWA589866:LWC589866 MFW589866:MFY589866 MPS589866:MPU589866 MZO589866:MZQ589866 NJK589866:NJM589866 NTG589866:NTI589866 ODC589866:ODE589866 OMY589866:ONA589866 OWU589866:OWW589866 PGQ589866:PGS589866 PQM589866:PQO589866 QAI589866:QAK589866 QKE589866:QKG589866 QUA589866:QUC589866 RDW589866:RDY589866 RNS589866:RNU589866 RXO589866:RXQ589866 SHK589866:SHM589866 SRG589866:SRI589866 TBC589866:TBE589866 TKY589866:TLA589866 TUU589866:TUW589866 UEQ589866:UES589866 UOM589866:UOO589866 UYI589866:UYK589866 VIE589866:VIG589866 VSA589866:VSC589866 WBW589866:WBY589866 WLS589866:WLU589866 WVO589866:WVQ589866 G655402:I655402 JC655402:JE655402 SY655402:TA655402 ACU655402:ACW655402 AMQ655402:AMS655402 AWM655402:AWO655402 BGI655402:BGK655402 BQE655402:BQG655402 CAA655402:CAC655402 CJW655402:CJY655402 CTS655402:CTU655402 DDO655402:DDQ655402 DNK655402:DNM655402 DXG655402:DXI655402 EHC655402:EHE655402 EQY655402:ERA655402 FAU655402:FAW655402 FKQ655402:FKS655402 FUM655402:FUO655402 GEI655402:GEK655402 GOE655402:GOG655402 GYA655402:GYC655402 HHW655402:HHY655402 HRS655402:HRU655402 IBO655402:IBQ655402 ILK655402:ILM655402 IVG655402:IVI655402 JFC655402:JFE655402 JOY655402:JPA655402 JYU655402:JYW655402 KIQ655402:KIS655402 KSM655402:KSO655402 LCI655402:LCK655402 LME655402:LMG655402 LWA655402:LWC655402 MFW655402:MFY655402 MPS655402:MPU655402 MZO655402:MZQ655402 NJK655402:NJM655402 NTG655402:NTI655402 ODC655402:ODE655402 OMY655402:ONA655402 OWU655402:OWW655402 PGQ655402:PGS655402 PQM655402:PQO655402 QAI655402:QAK655402 QKE655402:QKG655402 QUA655402:QUC655402 RDW655402:RDY655402 RNS655402:RNU655402 RXO655402:RXQ655402 SHK655402:SHM655402 SRG655402:SRI655402 TBC655402:TBE655402 TKY655402:TLA655402 TUU655402:TUW655402 UEQ655402:UES655402 UOM655402:UOO655402 UYI655402:UYK655402 VIE655402:VIG655402 VSA655402:VSC655402 WBW655402:WBY655402 WLS655402:WLU655402 WVO655402:WVQ655402 G720938:I720938 JC720938:JE720938 SY720938:TA720938 ACU720938:ACW720938 AMQ720938:AMS720938 AWM720938:AWO720938 BGI720938:BGK720938 BQE720938:BQG720938 CAA720938:CAC720938 CJW720938:CJY720938 CTS720938:CTU720938 DDO720938:DDQ720938 DNK720938:DNM720938 DXG720938:DXI720938 EHC720938:EHE720938 EQY720938:ERA720938 FAU720938:FAW720938 FKQ720938:FKS720938 FUM720938:FUO720938 GEI720938:GEK720938 GOE720938:GOG720938 GYA720938:GYC720938 HHW720938:HHY720938 HRS720938:HRU720938 IBO720938:IBQ720938 ILK720938:ILM720938 IVG720938:IVI720938 JFC720938:JFE720938 JOY720938:JPA720938 JYU720938:JYW720938 KIQ720938:KIS720938 KSM720938:KSO720938 LCI720938:LCK720938 LME720938:LMG720938 LWA720938:LWC720938 MFW720938:MFY720938 MPS720938:MPU720938 MZO720938:MZQ720938 NJK720938:NJM720938 NTG720938:NTI720938 ODC720938:ODE720938 OMY720938:ONA720938 OWU720938:OWW720938 PGQ720938:PGS720938 PQM720938:PQO720938 QAI720938:QAK720938 QKE720938:QKG720938 QUA720938:QUC720938 RDW720938:RDY720938 RNS720938:RNU720938 RXO720938:RXQ720938 SHK720938:SHM720938 SRG720938:SRI720938 TBC720938:TBE720938 TKY720938:TLA720938 TUU720938:TUW720938 UEQ720938:UES720938 UOM720938:UOO720938 UYI720938:UYK720938 VIE720938:VIG720938 VSA720938:VSC720938 WBW720938:WBY720938 WLS720938:WLU720938 WVO720938:WVQ720938 G786474:I786474 JC786474:JE786474 SY786474:TA786474 ACU786474:ACW786474 AMQ786474:AMS786474 AWM786474:AWO786474 BGI786474:BGK786474 BQE786474:BQG786474 CAA786474:CAC786474 CJW786474:CJY786474 CTS786474:CTU786474 DDO786474:DDQ786474 DNK786474:DNM786474 DXG786474:DXI786474 EHC786474:EHE786474 EQY786474:ERA786474 FAU786474:FAW786474 FKQ786474:FKS786474 FUM786474:FUO786474 GEI786474:GEK786474 GOE786474:GOG786474 GYA786474:GYC786474 HHW786474:HHY786474 HRS786474:HRU786474 IBO786474:IBQ786474 ILK786474:ILM786474 IVG786474:IVI786474 JFC786474:JFE786474 JOY786474:JPA786474 JYU786474:JYW786474 KIQ786474:KIS786474 KSM786474:KSO786474 LCI786474:LCK786474 LME786474:LMG786474 LWA786474:LWC786474 MFW786474:MFY786474 MPS786474:MPU786474 MZO786474:MZQ786474 NJK786474:NJM786474 NTG786474:NTI786474 ODC786474:ODE786474 OMY786474:ONA786474 OWU786474:OWW786474 PGQ786474:PGS786474 PQM786474:PQO786474 QAI786474:QAK786474 QKE786474:QKG786474 QUA786474:QUC786474 RDW786474:RDY786474 RNS786474:RNU786474 RXO786474:RXQ786474 SHK786474:SHM786474 SRG786474:SRI786474 TBC786474:TBE786474 TKY786474:TLA786474 TUU786474:TUW786474 UEQ786474:UES786474 UOM786474:UOO786474 UYI786474:UYK786474 VIE786474:VIG786474 VSA786474:VSC786474 WBW786474:WBY786474 WLS786474:WLU786474 WVO786474:WVQ786474 G852010:I852010 JC852010:JE852010 SY852010:TA852010 ACU852010:ACW852010 AMQ852010:AMS852010 AWM852010:AWO852010 BGI852010:BGK852010 BQE852010:BQG852010 CAA852010:CAC852010 CJW852010:CJY852010 CTS852010:CTU852010 DDO852010:DDQ852010 DNK852010:DNM852010 DXG852010:DXI852010 EHC852010:EHE852010 EQY852010:ERA852010 FAU852010:FAW852010 FKQ852010:FKS852010 FUM852010:FUO852010 GEI852010:GEK852010 GOE852010:GOG852010 GYA852010:GYC852010 HHW852010:HHY852010 HRS852010:HRU852010 IBO852010:IBQ852010 ILK852010:ILM852010 IVG852010:IVI852010 JFC852010:JFE852010 JOY852010:JPA852010 JYU852010:JYW852010 KIQ852010:KIS852010 KSM852010:KSO852010 LCI852010:LCK852010 LME852010:LMG852010 LWA852010:LWC852010 MFW852010:MFY852010 MPS852010:MPU852010 MZO852010:MZQ852010 NJK852010:NJM852010 NTG852010:NTI852010 ODC852010:ODE852010 OMY852010:ONA852010 OWU852010:OWW852010 PGQ852010:PGS852010 PQM852010:PQO852010 QAI852010:QAK852010 QKE852010:QKG852010 QUA852010:QUC852010 RDW852010:RDY852010 RNS852010:RNU852010 RXO852010:RXQ852010 SHK852010:SHM852010 SRG852010:SRI852010 TBC852010:TBE852010 TKY852010:TLA852010 TUU852010:TUW852010 UEQ852010:UES852010 UOM852010:UOO852010 UYI852010:UYK852010 VIE852010:VIG852010 VSA852010:VSC852010 WBW852010:WBY852010 WLS852010:WLU852010 WVO852010:WVQ852010 G917546:I917546 JC917546:JE917546 SY917546:TA917546 ACU917546:ACW917546 AMQ917546:AMS917546 AWM917546:AWO917546 BGI917546:BGK917546 BQE917546:BQG917546 CAA917546:CAC917546 CJW917546:CJY917546 CTS917546:CTU917546 DDO917546:DDQ917546 DNK917546:DNM917546 DXG917546:DXI917546 EHC917546:EHE917546 EQY917546:ERA917546 FAU917546:FAW917546 FKQ917546:FKS917546 FUM917546:FUO917546 GEI917546:GEK917546 GOE917546:GOG917546 GYA917546:GYC917546 HHW917546:HHY917546 HRS917546:HRU917546 IBO917546:IBQ917546 ILK917546:ILM917546 IVG917546:IVI917546 JFC917546:JFE917546 JOY917546:JPA917546 JYU917546:JYW917546 KIQ917546:KIS917546 KSM917546:KSO917546 LCI917546:LCK917546 LME917546:LMG917546 LWA917546:LWC917546 MFW917546:MFY917546 MPS917546:MPU917546 MZO917546:MZQ917546 NJK917546:NJM917546 NTG917546:NTI917546 ODC917546:ODE917546 OMY917546:ONA917546 OWU917546:OWW917546 PGQ917546:PGS917546 PQM917546:PQO917546 QAI917546:QAK917546 QKE917546:QKG917546 QUA917546:QUC917546 RDW917546:RDY917546 RNS917546:RNU917546 RXO917546:RXQ917546 SHK917546:SHM917546 SRG917546:SRI917546 TBC917546:TBE917546 TKY917546:TLA917546 TUU917546:TUW917546 UEQ917546:UES917546 UOM917546:UOO917546 UYI917546:UYK917546 VIE917546:VIG917546 VSA917546:VSC917546 WBW917546:WBY917546 WLS917546:WLU917546 WVO917546:WVQ917546 G983082:I983082 JC983082:JE983082 SY983082:TA983082 ACU983082:ACW983082 AMQ983082:AMS983082 AWM983082:AWO983082 BGI983082:BGK983082 BQE983082:BQG983082 CAA983082:CAC983082 CJW983082:CJY983082 CTS983082:CTU983082 DDO983082:DDQ983082 DNK983082:DNM983082 DXG983082:DXI983082 EHC983082:EHE983082 EQY983082:ERA983082 FAU983082:FAW983082 FKQ983082:FKS983082 FUM983082:FUO983082 GEI983082:GEK983082 GOE983082:GOG983082 GYA983082:GYC983082 HHW983082:HHY983082 HRS983082:HRU983082 IBO983082:IBQ983082 ILK983082:ILM983082 IVG983082:IVI983082 JFC983082:JFE983082 JOY983082:JPA983082 JYU983082:JYW983082 KIQ983082:KIS983082 KSM983082:KSO983082 LCI983082:LCK983082 LME983082:LMG983082 LWA983082:LWC983082 MFW983082:MFY983082 MPS983082:MPU983082 MZO983082:MZQ983082 NJK983082:NJM983082 NTG983082:NTI983082 ODC983082:ODE983082 OMY983082:ONA983082 OWU983082:OWW983082 PGQ983082:PGS983082 PQM983082:PQO983082 QAI983082:QAK983082 QKE983082:QKG983082 QUA983082:QUC983082 RDW983082:RDY983082 RNS983082:RNU983082 RXO983082:RXQ983082 SHK983082:SHM983082 SRG983082:SRI983082 TBC983082:TBE983082 TKY983082:TLA983082 TUU983082:TUW983082 UEQ983082:UES983082 UOM983082:UOO983082 UYI983082:UYK983082 VIE983082:VIG983082 VSA983082:VSC983082 WBW983082:WBY983082 WLS983082:WLU983082 WVO983082:WVQ983082">
      <formula1>$Z$3:$Z$39</formula1>
    </dataValidation>
    <dataValidation type="whole" operator="lessThan" allowBlank="1" showInputMessage="1" showErrorMessage="1" sqref="H20 JD20 SZ20 ACV20 AMR20 AWN20 BGJ20 BQF20 CAB20 CJX20 CTT20 DDP20 DNL20 DXH20 EHD20 EQZ20 FAV20 FKR20 FUN20 GEJ20 GOF20 GYB20 HHX20 HRT20 IBP20 ILL20 IVH20 JFD20 JOZ20 JYV20 KIR20 KSN20 LCJ20 LMF20 LWB20 MFX20 MPT20 MZP20 NJL20 NTH20 ODD20 OMZ20 OWV20 PGR20 PQN20 QAJ20 QKF20 QUB20 RDX20 RNT20 RXP20 SHL20 SRH20 TBD20 TKZ20 TUV20 UER20 UON20 UYJ20 VIF20 VSB20 WBX20 WLT20 WVP20 H65556 JD65556 SZ65556 ACV65556 AMR65556 AWN65556 BGJ65556 BQF65556 CAB65556 CJX65556 CTT65556 DDP65556 DNL65556 DXH65556 EHD65556 EQZ65556 FAV65556 FKR65556 FUN65556 GEJ65556 GOF65556 GYB65556 HHX65556 HRT65556 IBP65556 ILL65556 IVH65556 JFD65556 JOZ65556 JYV65556 KIR65556 KSN65556 LCJ65556 LMF65556 LWB65556 MFX65556 MPT65556 MZP65556 NJL65556 NTH65556 ODD65556 OMZ65556 OWV65556 PGR65556 PQN65556 QAJ65556 QKF65556 QUB65556 RDX65556 RNT65556 RXP65556 SHL65556 SRH65556 TBD65556 TKZ65556 TUV65556 UER65556 UON65556 UYJ65556 VIF65556 VSB65556 WBX65556 WLT65556 WVP65556 H131092 JD131092 SZ131092 ACV131092 AMR131092 AWN131092 BGJ131092 BQF131092 CAB131092 CJX131092 CTT131092 DDP131092 DNL131092 DXH131092 EHD131092 EQZ131092 FAV131092 FKR131092 FUN131092 GEJ131092 GOF131092 GYB131092 HHX131092 HRT131092 IBP131092 ILL131092 IVH131092 JFD131092 JOZ131092 JYV131092 KIR131092 KSN131092 LCJ131092 LMF131092 LWB131092 MFX131092 MPT131092 MZP131092 NJL131092 NTH131092 ODD131092 OMZ131092 OWV131092 PGR131092 PQN131092 QAJ131092 QKF131092 QUB131092 RDX131092 RNT131092 RXP131092 SHL131092 SRH131092 TBD131092 TKZ131092 TUV131092 UER131092 UON131092 UYJ131092 VIF131092 VSB131092 WBX131092 WLT131092 WVP131092 H196628 JD196628 SZ196628 ACV196628 AMR196628 AWN196628 BGJ196628 BQF196628 CAB196628 CJX196628 CTT196628 DDP196628 DNL196628 DXH196628 EHD196628 EQZ196628 FAV196628 FKR196628 FUN196628 GEJ196628 GOF196628 GYB196628 HHX196628 HRT196628 IBP196628 ILL196628 IVH196628 JFD196628 JOZ196628 JYV196628 KIR196628 KSN196628 LCJ196628 LMF196628 LWB196628 MFX196628 MPT196628 MZP196628 NJL196628 NTH196628 ODD196628 OMZ196628 OWV196628 PGR196628 PQN196628 QAJ196628 QKF196628 QUB196628 RDX196628 RNT196628 RXP196628 SHL196628 SRH196628 TBD196628 TKZ196628 TUV196628 UER196628 UON196628 UYJ196628 VIF196628 VSB196628 WBX196628 WLT196628 WVP196628 H262164 JD262164 SZ262164 ACV262164 AMR262164 AWN262164 BGJ262164 BQF262164 CAB262164 CJX262164 CTT262164 DDP262164 DNL262164 DXH262164 EHD262164 EQZ262164 FAV262164 FKR262164 FUN262164 GEJ262164 GOF262164 GYB262164 HHX262164 HRT262164 IBP262164 ILL262164 IVH262164 JFD262164 JOZ262164 JYV262164 KIR262164 KSN262164 LCJ262164 LMF262164 LWB262164 MFX262164 MPT262164 MZP262164 NJL262164 NTH262164 ODD262164 OMZ262164 OWV262164 PGR262164 PQN262164 QAJ262164 QKF262164 QUB262164 RDX262164 RNT262164 RXP262164 SHL262164 SRH262164 TBD262164 TKZ262164 TUV262164 UER262164 UON262164 UYJ262164 VIF262164 VSB262164 WBX262164 WLT262164 WVP262164 H327700 JD327700 SZ327700 ACV327700 AMR327700 AWN327700 BGJ327700 BQF327700 CAB327700 CJX327700 CTT327700 DDP327700 DNL327700 DXH327700 EHD327700 EQZ327700 FAV327700 FKR327700 FUN327700 GEJ327700 GOF327700 GYB327700 HHX327700 HRT327700 IBP327700 ILL327700 IVH327700 JFD327700 JOZ327700 JYV327700 KIR327700 KSN327700 LCJ327700 LMF327700 LWB327700 MFX327700 MPT327700 MZP327700 NJL327700 NTH327700 ODD327700 OMZ327700 OWV327700 PGR327700 PQN327700 QAJ327700 QKF327700 QUB327700 RDX327700 RNT327700 RXP327700 SHL327700 SRH327700 TBD327700 TKZ327700 TUV327700 UER327700 UON327700 UYJ327700 VIF327700 VSB327700 WBX327700 WLT327700 WVP327700 H393236 JD393236 SZ393236 ACV393236 AMR393236 AWN393236 BGJ393236 BQF393236 CAB393236 CJX393236 CTT393236 DDP393236 DNL393236 DXH393236 EHD393236 EQZ393236 FAV393236 FKR393236 FUN393236 GEJ393236 GOF393236 GYB393236 HHX393236 HRT393236 IBP393236 ILL393236 IVH393236 JFD393236 JOZ393236 JYV393236 KIR393236 KSN393236 LCJ393236 LMF393236 LWB393236 MFX393236 MPT393236 MZP393236 NJL393236 NTH393236 ODD393236 OMZ393236 OWV393236 PGR393236 PQN393236 QAJ393236 QKF393236 QUB393236 RDX393236 RNT393236 RXP393236 SHL393236 SRH393236 TBD393236 TKZ393236 TUV393236 UER393236 UON393236 UYJ393236 VIF393236 VSB393236 WBX393236 WLT393236 WVP393236 H458772 JD458772 SZ458772 ACV458772 AMR458772 AWN458772 BGJ458772 BQF458772 CAB458772 CJX458772 CTT458772 DDP458772 DNL458772 DXH458772 EHD458772 EQZ458772 FAV458772 FKR458772 FUN458772 GEJ458772 GOF458772 GYB458772 HHX458772 HRT458772 IBP458772 ILL458772 IVH458772 JFD458772 JOZ458772 JYV458772 KIR458772 KSN458772 LCJ458772 LMF458772 LWB458772 MFX458772 MPT458772 MZP458772 NJL458772 NTH458772 ODD458772 OMZ458772 OWV458772 PGR458772 PQN458772 QAJ458772 QKF458772 QUB458772 RDX458772 RNT458772 RXP458772 SHL458772 SRH458772 TBD458772 TKZ458772 TUV458772 UER458772 UON458772 UYJ458772 VIF458772 VSB458772 WBX458772 WLT458772 WVP458772 H524308 JD524308 SZ524308 ACV524308 AMR524308 AWN524308 BGJ524308 BQF524308 CAB524308 CJX524308 CTT524308 DDP524308 DNL524308 DXH524308 EHD524308 EQZ524308 FAV524308 FKR524308 FUN524308 GEJ524308 GOF524308 GYB524308 HHX524308 HRT524308 IBP524308 ILL524308 IVH524308 JFD524308 JOZ524308 JYV524308 KIR524308 KSN524308 LCJ524308 LMF524308 LWB524308 MFX524308 MPT524308 MZP524308 NJL524308 NTH524308 ODD524308 OMZ524308 OWV524308 PGR524308 PQN524308 QAJ524308 QKF524308 QUB524308 RDX524308 RNT524308 RXP524308 SHL524308 SRH524308 TBD524308 TKZ524308 TUV524308 UER524308 UON524308 UYJ524308 VIF524308 VSB524308 WBX524308 WLT524308 WVP524308 H589844 JD589844 SZ589844 ACV589844 AMR589844 AWN589844 BGJ589844 BQF589844 CAB589844 CJX589844 CTT589844 DDP589844 DNL589844 DXH589844 EHD589844 EQZ589844 FAV589844 FKR589844 FUN589844 GEJ589844 GOF589844 GYB589844 HHX589844 HRT589844 IBP589844 ILL589844 IVH589844 JFD589844 JOZ589844 JYV589844 KIR589844 KSN589844 LCJ589844 LMF589844 LWB589844 MFX589844 MPT589844 MZP589844 NJL589844 NTH589844 ODD589844 OMZ589844 OWV589844 PGR589844 PQN589844 QAJ589844 QKF589844 QUB589844 RDX589844 RNT589844 RXP589844 SHL589844 SRH589844 TBD589844 TKZ589844 TUV589844 UER589844 UON589844 UYJ589844 VIF589844 VSB589844 WBX589844 WLT589844 WVP589844 H655380 JD655380 SZ655380 ACV655380 AMR655380 AWN655380 BGJ655380 BQF655380 CAB655380 CJX655380 CTT655380 DDP655380 DNL655380 DXH655380 EHD655380 EQZ655380 FAV655380 FKR655380 FUN655380 GEJ655380 GOF655380 GYB655380 HHX655380 HRT655380 IBP655380 ILL655380 IVH655380 JFD655380 JOZ655380 JYV655380 KIR655380 KSN655380 LCJ655380 LMF655380 LWB655380 MFX655380 MPT655380 MZP655380 NJL655380 NTH655380 ODD655380 OMZ655380 OWV655380 PGR655380 PQN655380 QAJ655380 QKF655380 QUB655380 RDX655380 RNT655380 RXP655380 SHL655380 SRH655380 TBD655380 TKZ655380 TUV655380 UER655380 UON655380 UYJ655380 VIF655380 VSB655380 WBX655380 WLT655380 WVP655380 H720916 JD720916 SZ720916 ACV720916 AMR720916 AWN720916 BGJ720916 BQF720916 CAB720916 CJX720916 CTT720916 DDP720916 DNL720916 DXH720916 EHD720916 EQZ720916 FAV720916 FKR720916 FUN720916 GEJ720916 GOF720916 GYB720916 HHX720916 HRT720916 IBP720916 ILL720916 IVH720916 JFD720916 JOZ720916 JYV720916 KIR720916 KSN720916 LCJ720916 LMF720916 LWB720916 MFX720916 MPT720916 MZP720916 NJL720916 NTH720916 ODD720916 OMZ720916 OWV720916 PGR720916 PQN720916 QAJ720916 QKF720916 QUB720916 RDX720916 RNT720916 RXP720916 SHL720916 SRH720916 TBD720916 TKZ720916 TUV720916 UER720916 UON720916 UYJ720916 VIF720916 VSB720916 WBX720916 WLT720916 WVP720916 H786452 JD786452 SZ786452 ACV786452 AMR786452 AWN786452 BGJ786452 BQF786452 CAB786452 CJX786452 CTT786452 DDP786452 DNL786452 DXH786452 EHD786452 EQZ786452 FAV786452 FKR786452 FUN786452 GEJ786452 GOF786452 GYB786452 HHX786452 HRT786452 IBP786452 ILL786452 IVH786452 JFD786452 JOZ786452 JYV786452 KIR786452 KSN786452 LCJ786452 LMF786452 LWB786452 MFX786452 MPT786452 MZP786452 NJL786452 NTH786452 ODD786452 OMZ786452 OWV786452 PGR786452 PQN786452 QAJ786452 QKF786452 QUB786452 RDX786452 RNT786452 RXP786452 SHL786452 SRH786452 TBD786452 TKZ786452 TUV786452 UER786452 UON786452 UYJ786452 VIF786452 VSB786452 WBX786452 WLT786452 WVP786452 H851988 JD851988 SZ851988 ACV851988 AMR851988 AWN851988 BGJ851988 BQF851988 CAB851988 CJX851988 CTT851988 DDP851988 DNL851988 DXH851988 EHD851988 EQZ851988 FAV851988 FKR851988 FUN851988 GEJ851988 GOF851988 GYB851988 HHX851988 HRT851988 IBP851988 ILL851988 IVH851988 JFD851988 JOZ851988 JYV851988 KIR851988 KSN851988 LCJ851988 LMF851988 LWB851988 MFX851988 MPT851988 MZP851988 NJL851988 NTH851988 ODD851988 OMZ851988 OWV851988 PGR851988 PQN851988 QAJ851988 QKF851988 QUB851988 RDX851988 RNT851988 RXP851988 SHL851988 SRH851988 TBD851988 TKZ851988 TUV851988 UER851988 UON851988 UYJ851988 VIF851988 VSB851988 WBX851988 WLT851988 WVP851988 H917524 JD917524 SZ917524 ACV917524 AMR917524 AWN917524 BGJ917524 BQF917524 CAB917524 CJX917524 CTT917524 DDP917524 DNL917524 DXH917524 EHD917524 EQZ917524 FAV917524 FKR917524 FUN917524 GEJ917524 GOF917524 GYB917524 HHX917524 HRT917524 IBP917524 ILL917524 IVH917524 JFD917524 JOZ917524 JYV917524 KIR917524 KSN917524 LCJ917524 LMF917524 LWB917524 MFX917524 MPT917524 MZP917524 NJL917524 NTH917524 ODD917524 OMZ917524 OWV917524 PGR917524 PQN917524 QAJ917524 QKF917524 QUB917524 RDX917524 RNT917524 RXP917524 SHL917524 SRH917524 TBD917524 TKZ917524 TUV917524 UER917524 UON917524 UYJ917524 VIF917524 VSB917524 WBX917524 WLT917524 WVP917524 H983060 JD983060 SZ983060 ACV983060 AMR983060 AWN983060 BGJ983060 BQF983060 CAB983060 CJX983060 CTT983060 DDP983060 DNL983060 DXH983060 EHD983060 EQZ983060 FAV983060 FKR983060 FUN983060 GEJ983060 GOF983060 GYB983060 HHX983060 HRT983060 IBP983060 ILL983060 IVH983060 JFD983060 JOZ983060 JYV983060 KIR983060 KSN983060 LCJ983060 LMF983060 LWB983060 MFX983060 MPT983060 MZP983060 NJL983060 NTH983060 ODD983060 OMZ983060 OWV983060 PGR983060 PQN983060 QAJ983060 QKF983060 QUB983060 RDX983060 RNT983060 RXP983060 SHL983060 SRH983060 TBD983060 TKZ983060 TUV983060 UER983060 UON983060 UYJ983060 VIF983060 VSB983060 WBX983060 WLT983060 WVP983060">
      <formula1>500</formula1>
    </dataValidation>
    <dataValidation type="list" allowBlank="1" showInputMessage="1" showErrorMessage="1" sqref="I8:J8 JE8:JF8 TA8:TB8 ACW8:ACX8 AMS8:AMT8 AWO8:AWP8 BGK8:BGL8 BQG8:BQH8 CAC8:CAD8 CJY8:CJZ8 CTU8:CTV8 DDQ8:DDR8 DNM8:DNN8 DXI8:DXJ8 EHE8:EHF8 ERA8:ERB8 FAW8:FAX8 FKS8:FKT8 FUO8:FUP8 GEK8:GEL8 GOG8:GOH8 GYC8:GYD8 HHY8:HHZ8 HRU8:HRV8 IBQ8:IBR8 ILM8:ILN8 IVI8:IVJ8 JFE8:JFF8 JPA8:JPB8 JYW8:JYX8 KIS8:KIT8 KSO8:KSP8 LCK8:LCL8 LMG8:LMH8 LWC8:LWD8 MFY8:MFZ8 MPU8:MPV8 MZQ8:MZR8 NJM8:NJN8 NTI8:NTJ8 ODE8:ODF8 ONA8:ONB8 OWW8:OWX8 PGS8:PGT8 PQO8:PQP8 QAK8:QAL8 QKG8:QKH8 QUC8:QUD8 RDY8:RDZ8 RNU8:RNV8 RXQ8:RXR8 SHM8:SHN8 SRI8:SRJ8 TBE8:TBF8 TLA8:TLB8 TUW8:TUX8 UES8:UET8 UOO8:UOP8 UYK8:UYL8 VIG8:VIH8 VSC8:VSD8 WBY8:WBZ8 WLU8:WLV8 WVQ8:WVR8 I65544:J65544 JE65544:JF65544 TA65544:TB65544 ACW65544:ACX65544 AMS65544:AMT65544 AWO65544:AWP65544 BGK65544:BGL65544 BQG65544:BQH65544 CAC65544:CAD65544 CJY65544:CJZ65544 CTU65544:CTV65544 DDQ65544:DDR65544 DNM65544:DNN65544 DXI65544:DXJ65544 EHE65544:EHF65544 ERA65544:ERB65544 FAW65544:FAX65544 FKS65544:FKT65544 FUO65544:FUP65544 GEK65544:GEL65544 GOG65544:GOH65544 GYC65544:GYD65544 HHY65544:HHZ65544 HRU65544:HRV65544 IBQ65544:IBR65544 ILM65544:ILN65544 IVI65544:IVJ65544 JFE65544:JFF65544 JPA65544:JPB65544 JYW65544:JYX65544 KIS65544:KIT65544 KSO65544:KSP65544 LCK65544:LCL65544 LMG65544:LMH65544 LWC65544:LWD65544 MFY65544:MFZ65544 MPU65544:MPV65544 MZQ65544:MZR65544 NJM65544:NJN65544 NTI65544:NTJ65544 ODE65544:ODF65544 ONA65544:ONB65544 OWW65544:OWX65544 PGS65544:PGT65544 PQO65544:PQP65544 QAK65544:QAL65544 QKG65544:QKH65544 QUC65544:QUD65544 RDY65544:RDZ65544 RNU65544:RNV65544 RXQ65544:RXR65544 SHM65544:SHN65544 SRI65544:SRJ65544 TBE65544:TBF65544 TLA65544:TLB65544 TUW65544:TUX65544 UES65544:UET65544 UOO65544:UOP65544 UYK65544:UYL65544 VIG65544:VIH65544 VSC65544:VSD65544 WBY65544:WBZ65544 WLU65544:WLV65544 WVQ65544:WVR65544 I131080:J131080 JE131080:JF131080 TA131080:TB131080 ACW131080:ACX131080 AMS131080:AMT131080 AWO131080:AWP131080 BGK131080:BGL131080 BQG131080:BQH131080 CAC131080:CAD131080 CJY131080:CJZ131080 CTU131080:CTV131080 DDQ131080:DDR131080 DNM131080:DNN131080 DXI131080:DXJ131080 EHE131080:EHF131080 ERA131080:ERB131080 FAW131080:FAX131080 FKS131080:FKT131080 FUO131080:FUP131080 GEK131080:GEL131080 GOG131080:GOH131080 GYC131080:GYD131080 HHY131080:HHZ131080 HRU131080:HRV131080 IBQ131080:IBR131080 ILM131080:ILN131080 IVI131080:IVJ131080 JFE131080:JFF131080 JPA131080:JPB131080 JYW131080:JYX131080 KIS131080:KIT131080 KSO131080:KSP131080 LCK131080:LCL131080 LMG131080:LMH131080 LWC131080:LWD131080 MFY131080:MFZ131080 MPU131080:MPV131080 MZQ131080:MZR131080 NJM131080:NJN131080 NTI131080:NTJ131080 ODE131080:ODF131080 ONA131080:ONB131080 OWW131080:OWX131080 PGS131080:PGT131080 PQO131080:PQP131080 QAK131080:QAL131080 QKG131080:QKH131080 QUC131080:QUD131080 RDY131080:RDZ131080 RNU131080:RNV131080 RXQ131080:RXR131080 SHM131080:SHN131080 SRI131080:SRJ131080 TBE131080:TBF131080 TLA131080:TLB131080 TUW131080:TUX131080 UES131080:UET131080 UOO131080:UOP131080 UYK131080:UYL131080 VIG131080:VIH131080 VSC131080:VSD131080 WBY131080:WBZ131080 WLU131080:WLV131080 WVQ131080:WVR131080 I196616:J196616 JE196616:JF196616 TA196616:TB196616 ACW196616:ACX196616 AMS196616:AMT196616 AWO196616:AWP196616 BGK196616:BGL196616 BQG196616:BQH196616 CAC196616:CAD196616 CJY196616:CJZ196616 CTU196616:CTV196616 DDQ196616:DDR196616 DNM196616:DNN196616 DXI196616:DXJ196616 EHE196616:EHF196616 ERA196616:ERB196616 FAW196616:FAX196616 FKS196616:FKT196616 FUO196616:FUP196616 GEK196616:GEL196616 GOG196616:GOH196616 GYC196616:GYD196616 HHY196616:HHZ196616 HRU196616:HRV196616 IBQ196616:IBR196616 ILM196616:ILN196616 IVI196616:IVJ196616 JFE196616:JFF196616 JPA196616:JPB196616 JYW196616:JYX196616 KIS196616:KIT196616 KSO196616:KSP196616 LCK196616:LCL196616 LMG196616:LMH196616 LWC196616:LWD196616 MFY196616:MFZ196616 MPU196616:MPV196616 MZQ196616:MZR196616 NJM196616:NJN196616 NTI196616:NTJ196616 ODE196616:ODF196616 ONA196616:ONB196616 OWW196616:OWX196616 PGS196616:PGT196616 PQO196616:PQP196616 QAK196616:QAL196616 QKG196616:QKH196616 QUC196616:QUD196616 RDY196616:RDZ196616 RNU196616:RNV196616 RXQ196616:RXR196616 SHM196616:SHN196616 SRI196616:SRJ196616 TBE196616:TBF196616 TLA196616:TLB196616 TUW196616:TUX196616 UES196616:UET196616 UOO196616:UOP196616 UYK196616:UYL196616 VIG196616:VIH196616 VSC196616:VSD196616 WBY196616:WBZ196616 WLU196616:WLV196616 WVQ196616:WVR196616 I262152:J262152 JE262152:JF262152 TA262152:TB262152 ACW262152:ACX262152 AMS262152:AMT262152 AWO262152:AWP262152 BGK262152:BGL262152 BQG262152:BQH262152 CAC262152:CAD262152 CJY262152:CJZ262152 CTU262152:CTV262152 DDQ262152:DDR262152 DNM262152:DNN262152 DXI262152:DXJ262152 EHE262152:EHF262152 ERA262152:ERB262152 FAW262152:FAX262152 FKS262152:FKT262152 FUO262152:FUP262152 GEK262152:GEL262152 GOG262152:GOH262152 GYC262152:GYD262152 HHY262152:HHZ262152 HRU262152:HRV262152 IBQ262152:IBR262152 ILM262152:ILN262152 IVI262152:IVJ262152 JFE262152:JFF262152 JPA262152:JPB262152 JYW262152:JYX262152 KIS262152:KIT262152 KSO262152:KSP262152 LCK262152:LCL262152 LMG262152:LMH262152 LWC262152:LWD262152 MFY262152:MFZ262152 MPU262152:MPV262152 MZQ262152:MZR262152 NJM262152:NJN262152 NTI262152:NTJ262152 ODE262152:ODF262152 ONA262152:ONB262152 OWW262152:OWX262152 PGS262152:PGT262152 PQO262152:PQP262152 QAK262152:QAL262152 QKG262152:QKH262152 QUC262152:QUD262152 RDY262152:RDZ262152 RNU262152:RNV262152 RXQ262152:RXR262152 SHM262152:SHN262152 SRI262152:SRJ262152 TBE262152:TBF262152 TLA262152:TLB262152 TUW262152:TUX262152 UES262152:UET262152 UOO262152:UOP262152 UYK262152:UYL262152 VIG262152:VIH262152 VSC262152:VSD262152 WBY262152:WBZ262152 WLU262152:WLV262152 WVQ262152:WVR262152 I327688:J327688 JE327688:JF327688 TA327688:TB327688 ACW327688:ACX327688 AMS327688:AMT327688 AWO327688:AWP327688 BGK327688:BGL327688 BQG327688:BQH327688 CAC327688:CAD327688 CJY327688:CJZ327688 CTU327688:CTV327688 DDQ327688:DDR327688 DNM327688:DNN327688 DXI327688:DXJ327688 EHE327688:EHF327688 ERA327688:ERB327688 FAW327688:FAX327688 FKS327688:FKT327688 FUO327688:FUP327688 GEK327688:GEL327688 GOG327688:GOH327688 GYC327688:GYD327688 HHY327688:HHZ327688 HRU327688:HRV327688 IBQ327688:IBR327688 ILM327688:ILN327688 IVI327688:IVJ327688 JFE327688:JFF327688 JPA327688:JPB327688 JYW327688:JYX327688 KIS327688:KIT327688 KSO327688:KSP327688 LCK327688:LCL327688 LMG327688:LMH327688 LWC327688:LWD327688 MFY327688:MFZ327688 MPU327688:MPV327688 MZQ327688:MZR327688 NJM327688:NJN327688 NTI327688:NTJ327688 ODE327688:ODF327688 ONA327688:ONB327688 OWW327688:OWX327688 PGS327688:PGT327688 PQO327688:PQP327688 QAK327688:QAL327688 QKG327688:QKH327688 QUC327688:QUD327688 RDY327688:RDZ327688 RNU327688:RNV327688 RXQ327688:RXR327688 SHM327688:SHN327688 SRI327688:SRJ327688 TBE327688:TBF327688 TLA327688:TLB327688 TUW327688:TUX327688 UES327688:UET327688 UOO327688:UOP327688 UYK327688:UYL327688 VIG327688:VIH327688 VSC327688:VSD327688 WBY327688:WBZ327688 WLU327688:WLV327688 WVQ327688:WVR327688 I393224:J393224 JE393224:JF393224 TA393224:TB393224 ACW393224:ACX393224 AMS393224:AMT393224 AWO393224:AWP393224 BGK393224:BGL393224 BQG393224:BQH393224 CAC393224:CAD393224 CJY393224:CJZ393224 CTU393224:CTV393224 DDQ393224:DDR393224 DNM393224:DNN393224 DXI393224:DXJ393224 EHE393224:EHF393224 ERA393224:ERB393224 FAW393224:FAX393224 FKS393224:FKT393224 FUO393224:FUP393224 GEK393224:GEL393224 GOG393224:GOH393224 GYC393224:GYD393224 HHY393224:HHZ393224 HRU393224:HRV393224 IBQ393224:IBR393224 ILM393224:ILN393224 IVI393224:IVJ393224 JFE393224:JFF393224 JPA393224:JPB393224 JYW393224:JYX393224 KIS393224:KIT393224 KSO393224:KSP393224 LCK393224:LCL393224 LMG393224:LMH393224 LWC393224:LWD393224 MFY393224:MFZ393224 MPU393224:MPV393224 MZQ393224:MZR393224 NJM393224:NJN393224 NTI393224:NTJ393224 ODE393224:ODF393224 ONA393224:ONB393224 OWW393224:OWX393224 PGS393224:PGT393224 PQO393224:PQP393224 QAK393224:QAL393224 QKG393224:QKH393224 QUC393224:QUD393224 RDY393224:RDZ393224 RNU393224:RNV393224 RXQ393224:RXR393224 SHM393224:SHN393224 SRI393224:SRJ393224 TBE393224:TBF393224 TLA393224:TLB393224 TUW393224:TUX393224 UES393224:UET393224 UOO393224:UOP393224 UYK393224:UYL393224 VIG393224:VIH393224 VSC393224:VSD393224 WBY393224:WBZ393224 WLU393224:WLV393224 WVQ393224:WVR393224 I458760:J458760 JE458760:JF458760 TA458760:TB458760 ACW458760:ACX458760 AMS458760:AMT458760 AWO458760:AWP458760 BGK458760:BGL458760 BQG458760:BQH458760 CAC458760:CAD458760 CJY458760:CJZ458760 CTU458760:CTV458760 DDQ458760:DDR458760 DNM458760:DNN458760 DXI458760:DXJ458760 EHE458760:EHF458760 ERA458760:ERB458760 FAW458760:FAX458760 FKS458760:FKT458760 FUO458760:FUP458760 GEK458760:GEL458760 GOG458760:GOH458760 GYC458760:GYD458760 HHY458760:HHZ458760 HRU458760:HRV458760 IBQ458760:IBR458760 ILM458760:ILN458760 IVI458760:IVJ458760 JFE458760:JFF458760 JPA458760:JPB458760 JYW458760:JYX458760 KIS458760:KIT458760 KSO458760:KSP458760 LCK458760:LCL458760 LMG458760:LMH458760 LWC458760:LWD458760 MFY458760:MFZ458760 MPU458760:MPV458760 MZQ458760:MZR458760 NJM458760:NJN458760 NTI458760:NTJ458760 ODE458760:ODF458760 ONA458760:ONB458760 OWW458760:OWX458760 PGS458760:PGT458760 PQO458760:PQP458760 QAK458760:QAL458760 QKG458760:QKH458760 QUC458760:QUD458760 RDY458760:RDZ458760 RNU458760:RNV458760 RXQ458760:RXR458760 SHM458760:SHN458760 SRI458760:SRJ458760 TBE458760:TBF458760 TLA458760:TLB458760 TUW458760:TUX458760 UES458760:UET458760 UOO458760:UOP458760 UYK458760:UYL458760 VIG458760:VIH458760 VSC458760:VSD458760 WBY458760:WBZ458760 WLU458760:WLV458760 WVQ458760:WVR458760 I524296:J524296 JE524296:JF524296 TA524296:TB524296 ACW524296:ACX524296 AMS524296:AMT524296 AWO524296:AWP524296 BGK524296:BGL524296 BQG524296:BQH524296 CAC524296:CAD524296 CJY524296:CJZ524296 CTU524296:CTV524296 DDQ524296:DDR524296 DNM524296:DNN524296 DXI524296:DXJ524296 EHE524296:EHF524296 ERA524296:ERB524296 FAW524296:FAX524296 FKS524296:FKT524296 FUO524296:FUP524296 GEK524296:GEL524296 GOG524296:GOH524296 GYC524296:GYD524296 HHY524296:HHZ524296 HRU524296:HRV524296 IBQ524296:IBR524296 ILM524296:ILN524296 IVI524296:IVJ524296 JFE524296:JFF524296 JPA524296:JPB524296 JYW524296:JYX524296 KIS524296:KIT524296 KSO524296:KSP524296 LCK524296:LCL524296 LMG524296:LMH524296 LWC524296:LWD524296 MFY524296:MFZ524296 MPU524296:MPV524296 MZQ524296:MZR524296 NJM524296:NJN524296 NTI524296:NTJ524296 ODE524296:ODF524296 ONA524296:ONB524296 OWW524296:OWX524296 PGS524296:PGT524296 PQO524296:PQP524296 QAK524296:QAL524296 QKG524296:QKH524296 QUC524296:QUD524296 RDY524296:RDZ524296 RNU524296:RNV524296 RXQ524296:RXR524296 SHM524296:SHN524296 SRI524296:SRJ524296 TBE524296:TBF524296 TLA524296:TLB524296 TUW524296:TUX524296 UES524296:UET524296 UOO524296:UOP524296 UYK524296:UYL524296 VIG524296:VIH524296 VSC524296:VSD524296 WBY524296:WBZ524296 WLU524296:WLV524296 WVQ524296:WVR524296 I589832:J589832 JE589832:JF589832 TA589832:TB589832 ACW589832:ACX589832 AMS589832:AMT589832 AWO589832:AWP589832 BGK589832:BGL589832 BQG589832:BQH589832 CAC589832:CAD589832 CJY589832:CJZ589832 CTU589832:CTV589832 DDQ589832:DDR589832 DNM589832:DNN589832 DXI589832:DXJ589832 EHE589832:EHF589832 ERA589832:ERB589832 FAW589832:FAX589832 FKS589832:FKT589832 FUO589832:FUP589832 GEK589832:GEL589832 GOG589832:GOH589832 GYC589832:GYD589832 HHY589832:HHZ589832 HRU589832:HRV589832 IBQ589832:IBR589832 ILM589832:ILN589832 IVI589832:IVJ589832 JFE589832:JFF589832 JPA589832:JPB589832 JYW589832:JYX589832 KIS589832:KIT589832 KSO589832:KSP589832 LCK589832:LCL589832 LMG589832:LMH589832 LWC589832:LWD589832 MFY589832:MFZ589832 MPU589832:MPV589832 MZQ589832:MZR589832 NJM589832:NJN589832 NTI589832:NTJ589832 ODE589832:ODF589832 ONA589832:ONB589832 OWW589832:OWX589832 PGS589832:PGT589832 PQO589832:PQP589832 QAK589832:QAL589832 QKG589832:QKH589832 QUC589832:QUD589832 RDY589832:RDZ589832 RNU589832:RNV589832 RXQ589832:RXR589832 SHM589832:SHN589832 SRI589832:SRJ589832 TBE589832:TBF589832 TLA589832:TLB589832 TUW589832:TUX589832 UES589832:UET589832 UOO589832:UOP589832 UYK589832:UYL589832 VIG589832:VIH589832 VSC589832:VSD589832 WBY589832:WBZ589832 WLU589832:WLV589832 WVQ589832:WVR589832 I655368:J655368 JE655368:JF655368 TA655368:TB655368 ACW655368:ACX655368 AMS655368:AMT655368 AWO655368:AWP655368 BGK655368:BGL655368 BQG655368:BQH655368 CAC655368:CAD655368 CJY655368:CJZ655368 CTU655368:CTV655368 DDQ655368:DDR655368 DNM655368:DNN655368 DXI655368:DXJ655368 EHE655368:EHF655368 ERA655368:ERB655368 FAW655368:FAX655368 FKS655368:FKT655368 FUO655368:FUP655368 GEK655368:GEL655368 GOG655368:GOH655368 GYC655368:GYD655368 HHY655368:HHZ655368 HRU655368:HRV655368 IBQ655368:IBR655368 ILM655368:ILN655368 IVI655368:IVJ655368 JFE655368:JFF655368 JPA655368:JPB655368 JYW655368:JYX655368 KIS655368:KIT655368 KSO655368:KSP655368 LCK655368:LCL655368 LMG655368:LMH655368 LWC655368:LWD655368 MFY655368:MFZ655368 MPU655368:MPV655368 MZQ655368:MZR655368 NJM655368:NJN655368 NTI655368:NTJ655368 ODE655368:ODF655368 ONA655368:ONB655368 OWW655368:OWX655368 PGS655368:PGT655368 PQO655368:PQP655368 QAK655368:QAL655368 QKG655368:QKH655368 QUC655368:QUD655368 RDY655368:RDZ655368 RNU655368:RNV655368 RXQ655368:RXR655368 SHM655368:SHN655368 SRI655368:SRJ655368 TBE655368:TBF655368 TLA655368:TLB655368 TUW655368:TUX655368 UES655368:UET655368 UOO655368:UOP655368 UYK655368:UYL655368 VIG655368:VIH655368 VSC655368:VSD655368 WBY655368:WBZ655368 WLU655368:WLV655368 WVQ655368:WVR655368 I720904:J720904 JE720904:JF720904 TA720904:TB720904 ACW720904:ACX720904 AMS720904:AMT720904 AWO720904:AWP720904 BGK720904:BGL720904 BQG720904:BQH720904 CAC720904:CAD720904 CJY720904:CJZ720904 CTU720904:CTV720904 DDQ720904:DDR720904 DNM720904:DNN720904 DXI720904:DXJ720904 EHE720904:EHF720904 ERA720904:ERB720904 FAW720904:FAX720904 FKS720904:FKT720904 FUO720904:FUP720904 GEK720904:GEL720904 GOG720904:GOH720904 GYC720904:GYD720904 HHY720904:HHZ720904 HRU720904:HRV720904 IBQ720904:IBR720904 ILM720904:ILN720904 IVI720904:IVJ720904 JFE720904:JFF720904 JPA720904:JPB720904 JYW720904:JYX720904 KIS720904:KIT720904 KSO720904:KSP720904 LCK720904:LCL720904 LMG720904:LMH720904 LWC720904:LWD720904 MFY720904:MFZ720904 MPU720904:MPV720904 MZQ720904:MZR720904 NJM720904:NJN720904 NTI720904:NTJ720904 ODE720904:ODF720904 ONA720904:ONB720904 OWW720904:OWX720904 PGS720904:PGT720904 PQO720904:PQP720904 QAK720904:QAL720904 QKG720904:QKH720904 QUC720904:QUD720904 RDY720904:RDZ720904 RNU720904:RNV720904 RXQ720904:RXR720904 SHM720904:SHN720904 SRI720904:SRJ720904 TBE720904:TBF720904 TLA720904:TLB720904 TUW720904:TUX720904 UES720904:UET720904 UOO720904:UOP720904 UYK720904:UYL720904 VIG720904:VIH720904 VSC720904:VSD720904 WBY720904:WBZ720904 WLU720904:WLV720904 WVQ720904:WVR720904 I786440:J786440 JE786440:JF786440 TA786440:TB786440 ACW786440:ACX786440 AMS786440:AMT786440 AWO786440:AWP786440 BGK786440:BGL786440 BQG786440:BQH786440 CAC786440:CAD786440 CJY786440:CJZ786440 CTU786440:CTV786440 DDQ786440:DDR786440 DNM786440:DNN786440 DXI786440:DXJ786440 EHE786440:EHF786440 ERA786440:ERB786440 FAW786440:FAX786440 FKS786440:FKT786440 FUO786440:FUP786440 GEK786440:GEL786440 GOG786440:GOH786440 GYC786440:GYD786440 HHY786440:HHZ786440 HRU786440:HRV786440 IBQ786440:IBR786440 ILM786440:ILN786440 IVI786440:IVJ786440 JFE786440:JFF786440 JPA786440:JPB786440 JYW786440:JYX786440 KIS786440:KIT786440 KSO786440:KSP786440 LCK786440:LCL786440 LMG786440:LMH786440 LWC786440:LWD786440 MFY786440:MFZ786440 MPU786440:MPV786440 MZQ786440:MZR786440 NJM786440:NJN786440 NTI786440:NTJ786440 ODE786440:ODF786440 ONA786440:ONB786440 OWW786440:OWX786440 PGS786440:PGT786440 PQO786440:PQP786440 QAK786440:QAL786440 QKG786440:QKH786440 QUC786440:QUD786440 RDY786440:RDZ786440 RNU786440:RNV786440 RXQ786440:RXR786440 SHM786440:SHN786440 SRI786440:SRJ786440 TBE786440:TBF786440 TLA786440:TLB786440 TUW786440:TUX786440 UES786440:UET786440 UOO786440:UOP786440 UYK786440:UYL786440 VIG786440:VIH786440 VSC786440:VSD786440 WBY786440:WBZ786440 WLU786440:WLV786440 WVQ786440:WVR786440 I851976:J851976 JE851976:JF851976 TA851976:TB851976 ACW851976:ACX851976 AMS851976:AMT851976 AWO851976:AWP851976 BGK851976:BGL851976 BQG851976:BQH851976 CAC851976:CAD851976 CJY851976:CJZ851976 CTU851976:CTV851976 DDQ851976:DDR851976 DNM851976:DNN851976 DXI851976:DXJ851976 EHE851976:EHF851976 ERA851976:ERB851976 FAW851976:FAX851976 FKS851976:FKT851976 FUO851976:FUP851976 GEK851976:GEL851976 GOG851976:GOH851976 GYC851976:GYD851976 HHY851976:HHZ851976 HRU851976:HRV851976 IBQ851976:IBR851976 ILM851976:ILN851976 IVI851976:IVJ851976 JFE851976:JFF851976 JPA851976:JPB851976 JYW851976:JYX851976 KIS851976:KIT851976 KSO851976:KSP851976 LCK851976:LCL851976 LMG851976:LMH851976 LWC851976:LWD851976 MFY851976:MFZ851976 MPU851976:MPV851976 MZQ851976:MZR851976 NJM851976:NJN851976 NTI851976:NTJ851976 ODE851976:ODF851976 ONA851976:ONB851976 OWW851976:OWX851976 PGS851976:PGT851976 PQO851976:PQP851976 QAK851976:QAL851976 QKG851976:QKH851976 QUC851976:QUD851976 RDY851976:RDZ851976 RNU851976:RNV851976 RXQ851976:RXR851976 SHM851976:SHN851976 SRI851976:SRJ851976 TBE851976:TBF851976 TLA851976:TLB851976 TUW851976:TUX851976 UES851976:UET851976 UOO851976:UOP851976 UYK851976:UYL851976 VIG851976:VIH851976 VSC851976:VSD851976 WBY851976:WBZ851976 WLU851976:WLV851976 WVQ851976:WVR851976 I917512:J917512 JE917512:JF917512 TA917512:TB917512 ACW917512:ACX917512 AMS917512:AMT917512 AWO917512:AWP917512 BGK917512:BGL917512 BQG917512:BQH917512 CAC917512:CAD917512 CJY917512:CJZ917512 CTU917512:CTV917512 DDQ917512:DDR917512 DNM917512:DNN917512 DXI917512:DXJ917512 EHE917512:EHF917512 ERA917512:ERB917512 FAW917512:FAX917512 FKS917512:FKT917512 FUO917512:FUP917512 GEK917512:GEL917512 GOG917512:GOH917512 GYC917512:GYD917512 HHY917512:HHZ917512 HRU917512:HRV917512 IBQ917512:IBR917512 ILM917512:ILN917512 IVI917512:IVJ917512 JFE917512:JFF917512 JPA917512:JPB917512 JYW917512:JYX917512 KIS917512:KIT917512 KSO917512:KSP917512 LCK917512:LCL917512 LMG917512:LMH917512 LWC917512:LWD917512 MFY917512:MFZ917512 MPU917512:MPV917512 MZQ917512:MZR917512 NJM917512:NJN917512 NTI917512:NTJ917512 ODE917512:ODF917512 ONA917512:ONB917512 OWW917512:OWX917512 PGS917512:PGT917512 PQO917512:PQP917512 QAK917512:QAL917512 QKG917512:QKH917512 QUC917512:QUD917512 RDY917512:RDZ917512 RNU917512:RNV917512 RXQ917512:RXR917512 SHM917512:SHN917512 SRI917512:SRJ917512 TBE917512:TBF917512 TLA917512:TLB917512 TUW917512:TUX917512 UES917512:UET917512 UOO917512:UOP917512 UYK917512:UYL917512 VIG917512:VIH917512 VSC917512:VSD917512 WBY917512:WBZ917512 WLU917512:WLV917512 WVQ917512:WVR917512 I983048:J983048 JE983048:JF983048 TA983048:TB983048 ACW983048:ACX983048 AMS983048:AMT983048 AWO983048:AWP983048 BGK983048:BGL983048 BQG983048:BQH983048 CAC983048:CAD983048 CJY983048:CJZ983048 CTU983048:CTV983048 DDQ983048:DDR983048 DNM983048:DNN983048 DXI983048:DXJ983048 EHE983048:EHF983048 ERA983048:ERB983048 FAW983048:FAX983048 FKS983048:FKT983048 FUO983048:FUP983048 GEK983048:GEL983048 GOG983048:GOH983048 GYC983048:GYD983048 HHY983048:HHZ983048 HRU983048:HRV983048 IBQ983048:IBR983048 ILM983048:ILN983048 IVI983048:IVJ983048 JFE983048:JFF983048 JPA983048:JPB983048 JYW983048:JYX983048 KIS983048:KIT983048 KSO983048:KSP983048 LCK983048:LCL983048 LMG983048:LMH983048 LWC983048:LWD983048 MFY983048:MFZ983048 MPU983048:MPV983048 MZQ983048:MZR983048 NJM983048:NJN983048 NTI983048:NTJ983048 ODE983048:ODF983048 ONA983048:ONB983048 OWW983048:OWX983048 PGS983048:PGT983048 PQO983048:PQP983048 QAK983048:QAL983048 QKG983048:QKH983048 QUC983048:QUD983048 RDY983048:RDZ983048 RNU983048:RNV983048 RXQ983048:RXR983048 SHM983048:SHN983048 SRI983048:SRJ983048 TBE983048:TBF983048 TLA983048:TLB983048 TUW983048:TUX983048 UES983048:UET983048 UOO983048:UOP983048 UYK983048:UYL983048 VIG983048:VIH983048 VSC983048:VSD983048 WBY983048:WBZ983048 WLU983048:WLV983048 WVQ983048:WVR983048 J22:K22 JF22:JG22 TB22:TC22 ACX22:ACY22 AMT22:AMU22 AWP22:AWQ22 BGL22:BGM22 BQH22:BQI22 CAD22:CAE22 CJZ22:CKA22 CTV22:CTW22 DDR22:DDS22 DNN22:DNO22 DXJ22:DXK22 EHF22:EHG22 ERB22:ERC22 FAX22:FAY22 FKT22:FKU22 FUP22:FUQ22 GEL22:GEM22 GOH22:GOI22 GYD22:GYE22 HHZ22:HIA22 HRV22:HRW22 IBR22:IBS22 ILN22:ILO22 IVJ22:IVK22 JFF22:JFG22 JPB22:JPC22 JYX22:JYY22 KIT22:KIU22 KSP22:KSQ22 LCL22:LCM22 LMH22:LMI22 LWD22:LWE22 MFZ22:MGA22 MPV22:MPW22 MZR22:MZS22 NJN22:NJO22 NTJ22:NTK22 ODF22:ODG22 ONB22:ONC22 OWX22:OWY22 PGT22:PGU22 PQP22:PQQ22 QAL22:QAM22 QKH22:QKI22 QUD22:QUE22 RDZ22:REA22 RNV22:RNW22 RXR22:RXS22 SHN22:SHO22 SRJ22:SRK22 TBF22:TBG22 TLB22:TLC22 TUX22:TUY22 UET22:UEU22 UOP22:UOQ22 UYL22:UYM22 VIH22:VII22 VSD22:VSE22 WBZ22:WCA22 WLV22:WLW22 WVR22:WVS22 J65558:K65558 JF65558:JG65558 TB65558:TC65558 ACX65558:ACY65558 AMT65558:AMU65558 AWP65558:AWQ65558 BGL65558:BGM65558 BQH65558:BQI65558 CAD65558:CAE65558 CJZ65558:CKA65558 CTV65558:CTW65558 DDR65558:DDS65558 DNN65558:DNO65558 DXJ65558:DXK65558 EHF65558:EHG65558 ERB65558:ERC65558 FAX65558:FAY65558 FKT65558:FKU65558 FUP65558:FUQ65558 GEL65558:GEM65558 GOH65558:GOI65558 GYD65558:GYE65558 HHZ65558:HIA65558 HRV65558:HRW65558 IBR65558:IBS65558 ILN65558:ILO65558 IVJ65558:IVK65558 JFF65558:JFG65558 JPB65558:JPC65558 JYX65558:JYY65558 KIT65558:KIU65558 KSP65558:KSQ65558 LCL65558:LCM65558 LMH65558:LMI65558 LWD65558:LWE65558 MFZ65558:MGA65558 MPV65558:MPW65558 MZR65558:MZS65558 NJN65558:NJO65558 NTJ65558:NTK65558 ODF65558:ODG65558 ONB65558:ONC65558 OWX65558:OWY65558 PGT65558:PGU65558 PQP65558:PQQ65558 QAL65558:QAM65558 QKH65558:QKI65558 QUD65558:QUE65558 RDZ65558:REA65558 RNV65558:RNW65558 RXR65558:RXS65558 SHN65558:SHO65558 SRJ65558:SRK65558 TBF65558:TBG65558 TLB65558:TLC65558 TUX65558:TUY65558 UET65558:UEU65558 UOP65558:UOQ65558 UYL65558:UYM65558 VIH65558:VII65558 VSD65558:VSE65558 WBZ65558:WCA65558 WLV65558:WLW65558 WVR65558:WVS65558 J131094:K131094 JF131094:JG131094 TB131094:TC131094 ACX131094:ACY131094 AMT131094:AMU131094 AWP131094:AWQ131094 BGL131094:BGM131094 BQH131094:BQI131094 CAD131094:CAE131094 CJZ131094:CKA131094 CTV131094:CTW131094 DDR131094:DDS131094 DNN131094:DNO131094 DXJ131094:DXK131094 EHF131094:EHG131094 ERB131094:ERC131094 FAX131094:FAY131094 FKT131094:FKU131094 FUP131094:FUQ131094 GEL131094:GEM131094 GOH131094:GOI131094 GYD131094:GYE131094 HHZ131094:HIA131094 HRV131094:HRW131094 IBR131094:IBS131094 ILN131094:ILO131094 IVJ131094:IVK131094 JFF131094:JFG131094 JPB131094:JPC131094 JYX131094:JYY131094 KIT131094:KIU131094 KSP131094:KSQ131094 LCL131094:LCM131094 LMH131094:LMI131094 LWD131094:LWE131094 MFZ131094:MGA131094 MPV131094:MPW131094 MZR131094:MZS131094 NJN131094:NJO131094 NTJ131094:NTK131094 ODF131094:ODG131094 ONB131094:ONC131094 OWX131094:OWY131094 PGT131094:PGU131094 PQP131094:PQQ131094 QAL131094:QAM131094 QKH131094:QKI131094 QUD131094:QUE131094 RDZ131094:REA131094 RNV131094:RNW131094 RXR131094:RXS131094 SHN131094:SHO131094 SRJ131094:SRK131094 TBF131094:TBG131094 TLB131094:TLC131094 TUX131094:TUY131094 UET131094:UEU131094 UOP131094:UOQ131094 UYL131094:UYM131094 VIH131094:VII131094 VSD131094:VSE131094 WBZ131094:WCA131094 WLV131094:WLW131094 WVR131094:WVS131094 J196630:K196630 JF196630:JG196630 TB196630:TC196630 ACX196630:ACY196630 AMT196630:AMU196630 AWP196630:AWQ196630 BGL196630:BGM196630 BQH196630:BQI196630 CAD196630:CAE196630 CJZ196630:CKA196630 CTV196630:CTW196630 DDR196630:DDS196630 DNN196630:DNO196630 DXJ196630:DXK196630 EHF196630:EHG196630 ERB196630:ERC196630 FAX196630:FAY196630 FKT196630:FKU196630 FUP196630:FUQ196630 GEL196630:GEM196630 GOH196630:GOI196630 GYD196630:GYE196630 HHZ196630:HIA196630 HRV196630:HRW196630 IBR196630:IBS196630 ILN196630:ILO196630 IVJ196630:IVK196630 JFF196630:JFG196630 JPB196630:JPC196630 JYX196630:JYY196630 KIT196630:KIU196630 KSP196630:KSQ196630 LCL196630:LCM196630 LMH196630:LMI196630 LWD196630:LWE196630 MFZ196630:MGA196630 MPV196630:MPW196630 MZR196630:MZS196630 NJN196630:NJO196630 NTJ196630:NTK196630 ODF196630:ODG196630 ONB196630:ONC196630 OWX196630:OWY196630 PGT196630:PGU196630 PQP196630:PQQ196630 QAL196630:QAM196630 QKH196630:QKI196630 QUD196630:QUE196630 RDZ196630:REA196630 RNV196630:RNW196630 RXR196630:RXS196630 SHN196630:SHO196630 SRJ196630:SRK196630 TBF196630:TBG196630 TLB196630:TLC196630 TUX196630:TUY196630 UET196630:UEU196630 UOP196630:UOQ196630 UYL196630:UYM196630 VIH196630:VII196630 VSD196630:VSE196630 WBZ196630:WCA196630 WLV196630:WLW196630 WVR196630:WVS196630 J262166:K262166 JF262166:JG262166 TB262166:TC262166 ACX262166:ACY262166 AMT262166:AMU262166 AWP262166:AWQ262166 BGL262166:BGM262166 BQH262166:BQI262166 CAD262166:CAE262166 CJZ262166:CKA262166 CTV262166:CTW262166 DDR262166:DDS262166 DNN262166:DNO262166 DXJ262166:DXK262166 EHF262166:EHG262166 ERB262166:ERC262166 FAX262166:FAY262166 FKT262166:FKU262166 FUP262166:FUQ262166 GEL262166:GEM262166 GOH262166:GOI262166 GYD262166:GYE262166 HHZ262166:HIA262166 HRV262166:HRW262166 IBR262166:IBS262166 ILN262166:ILO262166 IVJ262166:IVK262166 JFF262166:JFG262166 JPB262166:JPC262166 JYX262166:JYY262166 KIT262166:KIU262166 KSP262166:KSQ262166 LCL262166:LCM262166 LMH262166:LMI262166 LWD262166:LWE262166 MFZ262166:MGA262166 MPV262166:MPW262166 MZR262166:MZS262166 NJN262166:NJO262166 NTJ262166:NTK262166 ODF262166:ODG262166 ONB262166:ONC262166 OWX262166:OWY262166 PGT262166:PGU262166 PQP262166:PQQ262166 QAL262166:QAM262166 QKH262166:QKI262166 QUD262166:QUE262166 RDZ262166:REA262166 RNV262166:RNW262166 RXR262166:RXS262166 SHN262166:SHO262166 SRJ262166:SRK262166 TBF262166:TBG262166 TLB262166:TLC262166 TUX262166:TUY262166 UET262166:UEU262166 UOP262166:UOQ262166 UYL262166:UYM262166 VIH262166:VII262166 VSD262166:VSE262166 WBZ262166:WCA262166 WLV262166:WLW262166 WVR262166:WVS262166 J327702:K327702 JF327702:JG327702 TB327702:TC327702 ACX327702:ACY327702 AMT327702:AMU327702 AWP327702:AWQ327702 BGL327702:BGM327702 BQH327702:BQI327702 CAD327702:CAE327702 CJZ327702:CKA327702 CTV327702:CTW327702 DDR327702:DDS327702 DNN327702:DNO327702 DXJ327702:DXK327702 EHF327702:EHG327702 ERB327702:ERC327702 FAX327702:FAY327702 FKT327702:FKU327702 FUP327702:FUQ327702 GEL327702:GEM327702 GOH327702:GOI327702 GYD327702:GYE327702 HHZ327702:HIA327702 HRV327702:HRW327702 IBR327702:IBS327702 ILN327702:ILO327702 IVJ327702:IVK327702 JFF327702:JFG327702 JPB327702:JPC327702 JYX327702:JYY327702 KIT327702:KIU327702 KSP327702:KSQ327702 LCL327702:LCM327702 LMH327702:LMI327702 LWD327702:LWE327702 MFZ327702:MGA327702 MPV327702:MPW327702 MZR327702:MZS327702 NJN327702:NJO327702 NTJ327702:NTK327702 ODF327702:ODG327702 ONB327702:ONC327702 OWX327702:OWY327702 PGT327702:PGU327702 PQP327702:PQQ327702 QAL327702:QAM327702 QKH327702:QKI327702 QUD327702:QUE327702 RDZ327702:REA327702 RNV327702:RNW327702 RXR327702:RXS327702 SHN327702:SHO327702 SRJ327702:SRK327702 TBF327702:TBG327702 TLB327702:TLC327702 TUX327702:TUY327702 UET327702:UEU327702 UOP327702:UOQ327702 UYL327702:UYM327702 VIH327702:VII327702 VSD327702:VSE327702 WBZ327702:WCA327702 WLV327702:WLW327702 WVR327702:WVS327702 J393238:K393238 JF393238:JG393238 TB393238:TC393238 ACX393238:ACY393238 AMT393238:AMU393238 AWP393238:AWQ393238 BGL393238:BGM393238 BQH393238:BQI393238 CAD393238:CAE393238 CJZ393238:CKA393238 CTV393238:CTW393238 DDR393238:DDS393238 DNN393238:DNO393238 DXJ393238:DXK393238 EHF393238:EHG393238 ERB393238:ERC393238 FAX393238:FAY393238 FKT393238:FKU393238 FUP393238:FUQ393238 GEL393238:GEM393238 GOH393238:GOI393238 GYD393238:GYE393238 HHZ393238:HIA393238 HRV393238:HRW393238 IBR393238:IBS393238 ILN393238:ILO393238 IVJ393238:IVK393238 JFF393238:JFG393238 JPB393238:JPC393238 JYX393238:JYY393238 KIT393238:KIU393238 KSP393238:KSQ393238 LCL393238:LCM393238 LMH393238:LMI393238 LWD393238:LWE393238 MFZ393238:MGA393238 MPV393238:MPW393238 MZR393238:MZS393238 NJN393238:NJO393238 NTJ393238:NTK393238 ODF393238:ODG393238 ONB393238:ONC393238 OWX393238:OWY393238 PGT393238:PGU393238 PQP393238:PQQ393238 QAL393238:QAM393238 QKH393238:QKI393238 QUD393238:QUE393238 RDZ393238:REA393238 RNV393238:RNW393238 RXR393238:RXS393238 SHN393238:SHO393238 SRJ393238:SRK393238 TBF393238:TBG393238 TLB393238:TLC393238 TUX393238:TUY393238 UET393238:UEU393238 UOP393238:UOQ393238 UYL393238:UYM393238 VIH393238:VII393238 VSD393238:VSE393238 WBZ393238:WCA393238 WLV393238:WLW393238 WVR393238:WVS393238 J458774:K458774 JF458774:JG458774 TB458774:TC458774 ACX458774:ACY458774 AMT458774:AMU458774 AWP458774:AWQ458774 BGL458774:BGM458774 BQH458774:BQI458774 CAD458774:CAE458774 CJZ458774:CKA458774 CTV458774:CTW458774 DDR458774:DDS458774 DNN458774:DNO458774 DXJ458774:DXK458774 EHF458774:EHG458774 ERB458774:ERC458774 FAX458774:FAY458774 FKT458774:FKU458774 FUP458774:FUQ458774 GEL458774:GEM458774 GOH458774:GOI458774 GYD458774:GYE458774 HHZ458774:HIA458774 HRV458774:HRW458774 IBR458774:IBS458774 ILN458774:ILO458774 IVJ458774:IVK458774 JFF458774:JFG458774 JPB458774:JPC458774 JYX458774:JYY458774 KIT458774:KIU458774 KSP458774:KSQ458774 LCL458774:LCM458774 LMH458774:LMI458774 LWD458774:LWE458774 MFZ458774:MGA458774 MPV458774:MPW458774 MZR458774:MZS458774 NJN458774:NJO458774 NTJ458774:NTK458774 ODF458774:ODG458774 ONB458774:ONC458774 OWX458774:OWY458774 PGT458774:PGU458774 PQP458774:PQQ458774 QAL458774:QAM458774 QKH458774:QKI458774 QUD458774:QUE458774 RDZ458774:REA458774 RNV458774:RNW458774 RXR458774:RXS458774 SHN458774:SHO458774 SRJ458774:SRK458774 TBF458774:TBG458774 TLB458774:TLC458774 TUX458774:TUY458774 UET458774:UEU458774 UOP458774:UOQ458774 UYL458774:UYM458774 VIH458774:VII458774 VSD458774:VSE458774 WBZ458774:WCA458774 WLV458774:WLW458774 WVR458774:WVS458774 J524310:K524310 JF524310:JG524310 TB524310:TC524310 ACX524310:ACY524310 AMT524310:AMU524310 AWP524310:AWQ524310 BGL524310:BGM524310 BQH524310:BQI524310 CAD524310:CAE524310 CJZ524310:CKA524310 CTV524310:CTW524310 DDR524310:DDS524310 DNN524310:DNO524310 DXJ524310:DXK524310 EHF524310:EHG524310 ERB524310:ERC524310 FAX524310:FAY524310 FKT524310:FKU524310 FUP524310:FUQ524310 GEL524310:GEM524310 GOH524310:GOI524310 GYD524310:GYE524310 HHZ524310:HIA524310 HRV524310:HRW524310 IBR524310:IBS524310 ILN524310:ILO524310 IVJ524310:IVK524310 JFF524310:JFG524310 JPB524310:JPC524310 JYX524310:JYY524310 KIT524310:KIU524310 KSP524310:KSQ524310 LCL524310:LCM524310 LMH524310:LMI524310 LWD524310:LWE524310 MFZ524310:MGA524310 MPV524310:MPW524310 MZR524310:MZS524310 NJN524310:NJO524310 NTJ524310:NTK524310 ODF524310:ODG524310 ONB524310:ONC524310 OWX524310:OWY524310 PGT524310:PGU524310 PQP524310:PQQ524310 QAL524310:QAM524310 QKH524310:QKI524310 QUD524310:QUE524310 RDZ524310:REA524310 RNV524310:RNW524310 RXR524310:RXS524310 SHN524310:SHO524310 SRJ524310:SRK524310 TBF524310:TBG524310 TLB524310:TLC524310 TUX524310:TUY524310 UET524310:UEU524310 UOP524310:UOQ524310 UYL524310:UYM524310 VIH524310:VII524310 VSD524310:VSE524310 WBZ524310:WCA524310 WLV524310:WLW524310 WVR524310:WVS524310 J589846:K589846 JF589846:JG589846 TB589846:TC589846 ACX589846:ACY589846 AMT589846:AMU589846 AWP589846:AWQ589846 BGL589846:BGM589846 BQH589846:BQI589846 CAD589846:CAE589846 CJZ589846:CKA589846 CTV589846:CTW589846 DDR589846:DDS589846 DNN589846:DNO589846 DXJ589846:DXK589846 EHF589846:EHG589846 ERB589846:ERC589846 FAX589846:FAY589846 FKT589846:FKU589846 FUP589846:FUQ589846 GEL589846:GEM589846 GOH589846:GOI589846 GYD589846:GYE589846 HHZ589846:HIA589846 HRV589846:HRW589846 IBR589846:IBS589846 ILN589846:ILO589846 IVJ589846:IVK589846 JFF589846:JFG589846 JPB589846:JPC589846 JYX589846:JYY589846 KIT589846:KIU589846 KSP589846:KSQ589846 LCL589846:LCM589846 LMH589846:LMI589846 LWD589846:LWE589846 MFZ589846:MGA589846 MPV589846:MPW589846 MZR589846:MZS589846 NJN589846:NJO589846 NTJ589846:NTK589846 ODF589846:ODG589846 ONB589846:ONC589846 OWX589846:OWY589846 PGT589846:PGU589846 PQP589846:PQQ589846 QAL589846:QAM589846 QKH589846:QKI589846 QUD589846:QUE589846 RDZ589846:REA589846 RNV589846:RNW589846 RXR589846:RXS589846 SHN589846:SHO589846 SRJ589846:SRK589846 TBF589846:TBG589846 TLB589846:TLC589846 TUX589846:TUY589846 UET589846:UEU589846 UOP589846:UOQ589846 UYL589846:UYM589846 VIH589846:VII589846 VSD589846:VSE589846 WBZ589846:WCA589846 WLV589846:WLW589846 WVR589846:WVS589846 J655382:K655382 JF655382:JG655382 TB655382:TC655382 ACX655382:ACY655382 AMT655382:AMU655382 AWP655382:AWQ655382 BGL655382:BGM655382 BQH655382:BQI655382 CAD655382:CAE655382 CJZ655382:CKA655382 CTV655382:CTW655382 DDR655382:DDS655382 DNN655382:DNO655382 DXJ655382:DXK655382 EHF655382:EHG655382 ERB655382:ERC655382 FAX655382:FAY655382 FKT655382:FKU655382 FUP655382:FUQ655382 GEL655382:GEM655382 GOH655382:GOI655382 GYD655382:GYE655382 HHZ655382:HIA655382 HRV655382:HRW655382 IBR655382:IBS655382 ILN655382:ILO655382 IVJ655382:IVK655382 JFF655382:JFG655382 JPB655382:JPC655382 JYX655382:JYY655382 KIT655382:KIU655382 KSP655382:KSQ655382 LCL655382:LCM655382 LMH655382:LMI655382 LWD655382:LWE655382 MFZ655382:MGA655382 MPV655382:MPW655382 MZR655382:MZS655382 NJN655382:NJO655382 NTJ655382:NTK655382 ODF655382:ODG655382 ONB655382:ONC655382 OWX655382:OWY655382 PGT655382:PGU655382 PQP655382:PQQ655382 QAL655382:QAM655382 QKH655382:QKI655382 QUD655382:QUE655382 RDZ655382:REA655382 RNV655382:RNW655382 RXR655382:RXS655382 SHN655382:SHO655382 SRJ655382:SRK655382 TBF655382:TBG655382 TLB655382:TLC655382 TUX655382:TUY655382 UET655382:UEU655382 UOP655382:UOQ655382 UYL655382:UYM655382 VIH655382:VII655382 VSD655382:VSE655382 WBZ655382:WCA655382 WLV655382:WLW655382 WVR655382:WVS655382 J720918:K720918 JF720918:JG720918 TB720918:TC720918 ACX720918:ACY720918 AMT720918:AMU720918 AWP720918:AWQ720918 BGL720918:BGM720918 BQH720918:BQI720918 CAD720918:CAE720918 CJZ720918:CKA720918 CTV720918:CTW720918 DDR720918:DDS720918 DNN720918:DNO720918 DXJ720918:DXK720918 EHF720918:EHG720918 ERB720918:ERC720918 FAX720918:FAY720918 FKT720918:FKU720918 FUP720918:FUQ720918 GEL720918:GEM720918 GOH720918:GOI720918 GYD720918:GYE720918 HHZ720918:HIA720918 HRV720918:HRW720918 IBR720918:IBS720918 ILN720918:ILO720918 IVJ720918:IVK720918 JFF720918:JFG720918 JPB720918:JPC720918 JYX720918:JYY720918 KIT720918:KIU720918 KSP720918:KSQ720918 LCL720918:LCM720918 LMH720918:LMI720918 LWD720918:LWE720918 MFZ720918:MGA720918 MPV720918:MPW720918 MZR720918:MZS720918 NJN720918:NJO720918 NTJ720918:NTK720918 ODF720918:ODG720918 ONB720918:ONC720918 OWX720918:OWY720918 PGT720918:PGU720918 PQP720918:PQQ720918 QAL720918:QAM720918 QKH720918:QKI720918 QUD720918:QUE720918 RDZ720918:REA720918 RNV720918:RNW720918 RXR720918:RXS720918 SHN720918:SHO720918 SRJ720918:SRK720918 TBF720918:TBG720918 TLB720918:TLC720918 TUX720918:TUY720918 UET720918:UEU720918 UOP720918:UOQ720918 UYL720918:UYM720918 VIH720918:VII720918 VSD720918:VSE720918 WBZ720918:WCA720918 WLV720918:WLW720918 WVR720918:WVS720918 J786454:K786454 JF786454:JG786454 TB786454:TC786454 ACX786454:ACY786454 AMT786454:AMU786454 AWP786454:AWQ786454 BGL786454:BGM786454 BQH786454:BQI786454 CAD786454:CAE786454 CJZ786454:CKA786454 CTV786454:CTW786454 DDR786454:DDS786454 DNN786454:DNO786454 DXJ786454:DXK786454 EHF786454:EHG786454 ERB786454:ERC786454 FAX786454:FAY786454 FKT786454:FKU786454 FUP786454:FUQ786454 GEL786454:GEM786454 GOH786454:GOI786454 GYD786454:GYE786454 HHZ786454:HIA786454 HRV786454:HRW786454 IBR786454:IBS786454 ILN786454:ILO786454 IVJ786454:IVK786454 JFF786454:JFG786454 JPB786454:JPC786454 JYX786454:JYY786454 KIT786454:KIU786454 KSP786454:KSQ786454 LCL786454:LCM786454 LMH786454:LMI786454 LWD786454:LWE786454 MFZ786454:MGA786454 MPV786454:MPW786454 MZR786454:MZS786454 NJN786454:NJO786454 NTJ786454:NTK786454 ODF786454:ODG786454 ONB786454:ONC786454 OWX786454:OWY786454 PGT786454:PGU786454 PQP786454:PQQ786454 QAL786454:QAM786454 QKH786454:QKI786454 QUD786454:QUE786454 RDZ786454:REA786454 RNV786454:RNW786454 RXR786454:RXS786454 SHN786454:SHO786454 SRJ786454:SRK786454 TBF786454:TBG786454 TLB786454:TLC786454 TUX786454:TUY786454 UET786454:UEU786454 UOP786454:UOQ786454 UYL786454:UYM786454 VIH786454:VII786454 VSD786454:VSE786454 WBZ786454:WCA786454 WLV786454:WLW786454 WVR786454:WVS786454 J851990:K851990 JF851990:JG851990 TB851990:TC851990 ACX851990:ACY851990 AMT851990:AMU851990 AWP851990:AWQ851990 BGL851990:BGM851990 BQH851990:BQI851990 CAD851990:CAE851990 CJZ851990:CKA851990 CTV851990:CTW851990 DDR851990:DDS851990 DNN851990:DNO851990 DXJ851990:DXK851990 EHF851990:EHG851990 ERB851990:ERC851990 FAX851990:FAY851990 FKT851990:FKU851990 FUP851990:FUQ851990 GEL851990:GEM851990 GOH851990:GOI851990 GYD851990:GYE851990 HHZ851990:HIA851990 HRV851990:HRW851990 IBR851990:IBS851990 ILN851990:ILO851990 IVJ851990:IVK851990 JFF851990:JFG851990 JPB851990:JPC851990 JYX851990:JYY851990 KIT851990:KIU851990 KSP851990:KSQ851990 LCL851990:LCM851990 LMH851990:LMI851990 LWD851990:LWE851990 MFZ851990:MGA851990 MPV851990:MPW851990 MZR851990:MZS851990 NJN851990:NJO851990 NTJ851990:NTK851990 ODF851990:ODG851990 ONB851990:ONC851990 OWX851990:OWY851990 PGT851990:PGU851990 PQP851990:PQQ851990 QAL851990:QAM851990 QKH851990:QKI851990 QUD851990:QUE851990 RDZ851990:REA851990 RNV851990:RNW851990 RXR851990:RXS851990 SHN851990:SHO851990 SRJ851990:SRK851990 TBF851990:TBG851990 TLB851990:TLC851990 TUX851990:TUY851990 UET851990:UEU851990 UOP851990:UOQ851990 UYL851990:UYM851990 VIH851990:VII851990 VSD851990:VSE851990 WBZ851990:WCA851990 WLV851990:WLW851990 WVR851990:WVS851990 J917526:K917526 JF917526:JG917526 TB917526:TC917526 ACX917526:ACY917526 AMT917526:AMU917526 AWP917526:AWQ917526 BGL917526:BGM917526 BQH917526:BQI917526 CAD917526:CAE917526 CJZ917526:CKA917526 CTV917526:CTW917526 DDR917526:DDS917526 DNN917526:DNO917526 DXJ917526:DXK917526 EHF917526:EHG917526 ERB917526:ERC917526 FAX917526:FAY917526 FKT917526:FKU917526 FUP917526:FUQ917526 GEL917526:GEM917526 GOH917526:GOI917526 GYD917526:GYE917526 HHZ917526:HIA917526 HRV917526:HRW917526 IBR917526:IBS917526 ILN917526:ILO917526 IVJ917526:IVK917526 JFF917526:JFG917526 JPB917526:JPC917526 JYX917526:JYY917526 KIT917526:KIU917526 KSP917526:KSQ917526 LCL917526:LCM917526 LMH917526:LMI917526 LWD917526:LWE917526 MFZ917526:MGA917526 MPV917526:MPW917526 MZR917526:MZS917526 NJN917526:NJO917526 NTJ917526:NTK917526 ODF917526:ODG917526 ONB917526:ONC917526 OWX917526:OWY917526 PGT917526:PGU917526 PQP917526:PQQ917526 QAL917526:QAM917526 QKH917526:QKI917526 QUD917526:QUE917526 RDZ917526:REA917526 RNV917526:RNW917526 RXR917526:RXS917526 SHN917526:SHO917526 SRJ917526:SRK917526 TBF917526:TBG917526 TLB917526:TLC917526 TUX917526:TUY917526 UET917526:UEU917526 UOP917526:UOQ917526 UYL917526:UYM917526 VIH917526:VII917526 VSD917526:VSE917526 WBZ917526:WCA917526 WLV917526:WLW917526 WVR917526:WVS917526 J983062:K983062 JF983062:JG983062 TB983062:TC983062 ACX983062:ACY983062 AMT983062:AMU983062 AWP983062:AWQ983062 BGL983062:BGM983062 BQH983062:BQI983062 CAD983062:CAE983062 CJZ983062:CKA983062 CTV983062:CTW983062 DDR983062:DDS983062 DNN983062:DNO983062 DXJ983062:DXK983062 EHF983062:EHG983062 ERB983062:ERC983062 FAX983062:FAY983062 FKT983062:FKU983062 FUP983062:FUQ983062 GEL983062:GEM983062 GOH983062:GOI983062 GYD983062:GYE983062 HHZ983062:HIA983062 HRV983062:HRW983062 IBR983062:IBS983062 ILN983062:ILO983062 IVJ983062:IVK983062 JFF983062:JFG983062 JPB983062:JPC983062 JYX983062:JYY983062 KIT983062:KIU983062 KSP983062:KSQ983062 LCL983062:LCM983062 LMH983062:LMI983062 LWD983062:LWE983062 MFZ983062:MGA983062 MPV983062:MPW983062 MZR983062:MZS983062 NJN983062:NJO983062 NTJ983062:NTK983062 ODF983062:ODG983062 ONB983062:ONC983062 OWX983062:OWY983062 PGT983062:PGU983062 PQP983062:PQQ983062 QAL983062:QAM983062 QKH983062:QKI983062 QUD983062:QUE983062 RDZ983062:REA983062 RNV983062:RNW983062 RXR983062:RXS983062 SHN983062:SHO983062 SRJ983062:SRK983062 TBF983062:TBG983062 TLB983062:TLC983062 TUX983062:TUY983062 UET983062:UEU983062 UOP983062:UOQ983062 UYL983062:UYM983062 VIH983062:VII983062 VSD983062:VSE983062 WBZ983062:WCA983062 WLV983062:WLW983062 WVR983062:WVS983062 I36:J36 JE36:JF36 TA36:TB36 ACW36:ACX36 AMS36:AMT36 AWO36:AWP36 BGK36:BGL36 BQG36:BQH36 CAC36:CAD36 CJY36:CJZ36 CTU36:CTV36 DDQ36:DDR36 DNM36:DNN36 DXI36:DXJ36 EHE36:EHF36 ERA36:ERB36 FAW36:FAX36 FKS36:FKT36 FUO36:FUP36 GEK36:GEL36 GOG36:GOH36 GYC36:GYD36 HHY36:HHZ36 HRU36:HRV36 IBQ36:IBR36 ILM36:ILN36 IVI36:IVJ36 JFE36:JFF36 JPA36:JPB36 JYW36:JYX36 KIS36:KIT36 KSO36:KSP36 LCK36:LCL36 LMG36:LMH36 LWC36:LWD36 MFY36:MFZ36 MPU36:MPV36 MZQ36:MZR36 NJM36:NJN36 NTI36:NTJ36 ODE36:ODF36 ONA36:ONB36 OWW36:OWX36 PGS36:PGT36 PQO36:PQP36 QAK36:QAL36 QKG36:QKH36 QUC36:QUD36 RDY36:RDZ36 RNU36:RNV36 RXQ36:RXR36 SHM36:SHN36 SRI36:SRJ36 TBE36:TBF36 TLA36:TLB36 TUW36:TUX36 UES36:UET36 UOO36:UOP36 UYK36:UYL36 VIG36:VIH36 VSC36:VSD36 WBY36:WBZ36 WLU36:WLV36 WVQ36:WVR36 I65572:J65572 JE65572:JF65572 TA65572:TB65572 ACW65572:ACX65572 AMS65572:AMT65572 AWO65572:AWP65572 BGK65572:BGL65572 BQG65572:BQH65572 CAC65572:CAD65572 CJY65572:CJZ65572 CTU65572:CTV65572 DDQ65572:DDR65572 DNM65572:DNN65572 DXI65572:DXJ65572 EHE65572:EHF65572 ERA65572:ERB65572 FAW65572:FAX65572 FKS65572:FKT65572 FUO65572:FUP65572 GEK65572:GEL65572 GOG65572:GOH65572 GYC65572:GYD65572 HHY65572:HHZ65572 HRU65572:HRV65572 IBQ65572:IBR65572 ILM65572:ILN65572 IVI65572:IVJ65572 JFE65572:JFF65572 JPA65572:JPB65572 JYW65572:JYX65572 KIS65572:KIT65572 KSO65572:KSP65572 LCK65572:LCL65572 LMG65572:LMH65572 LWC65572:LWD65572 MFY65572:MFZ65572 MPU65572:MPV65572 MZQ65572:MZR65572 NJM65572:NJN65572 NTI65572:NTJ65572 ODE65572:ODF65572 ONA65572:ONB65572 OWW65572:OWX65572 PGS65572:PGT65572 PQO65572:PQP65572 QAK65572:QAL65572 QKG65572:QKH65572 QUC65572:QUD65572 RDY65572:RDZ65572 RNU65572:RNV65572 RXQ65572:RXR65572 SHM65572:SHN65572 SRI65572:SRJ65572 TBE65572:TBF65572 TLA65572:TLB65572 TUW65572:TUX65572 UES65572:UET65572 UOO65572:UOP65572 UYK65572:UYL65572 VIG65572:VIH65572 VSC65572:VSD65572 WBY65572:WBZ65572 WLU65572:WLV65572 WVQ65572:WVR65572 I131108:J131108 JE131108:JF131108 TA131108:TB131108 ACW131108:ACX131108 AMS131108:AMT131108 AWO131108:AWP131108 BGK131108:BGL131108 BQG131108:BQH131108 CAC131108:CAD131108 CJY131108:CJZ131108 CTU131108:CTV131108 DDQ131108:DDR131108 DNM131108:DNN131108 DXI131108:DXJ131108 EHE131108:EHF131108 ERA131108:ERB131108 FAW131108:FAX131108 FKS131108:FKT131108 FUO131108:FUP131108 GEK131108:GEL131108 GOG131108:GOH131108 GYC131108:GYD131108 HHY131108:HHZ131108 HRU131108:HRV131108 IBQ131108:IBR131108 ILM131108:ILN131108 IVI131108:IVJ131108 JFE131108:JFF131108 JPA131108:JPB131108 JYW131108:JYX131108 KIS131108:KIT131108 KSO131108:KSP131108 LCK131108:LCL131108 LMG131108:LMH131108 LWC131108:LWD131108 MFY131108:MFZ131108 MPU131108:MPV131108 MZQ131108:MZR131108 NJM131108:NJN131108 NTI131108:NTJ131108 ODE131108:ODF131108 ONA131108:ONB131108 OWW131108:OWX131108 PGS131108:PGT131108 PQO131108:PQP131108 QAK131108:QAL131108 QKG131108:QKH131108 QUC131108:QUD131108 RDY131108:RDZ131108 RNU131108:RNV131108 RXQ131108:RXR131108 SHM131108:SHN131108 SRI131108:SRJ131108 TBE131108:TBF131108 TLA131108:TLB131108 TUW131108:TUX131108 UES131108:UET131108 UOO131108:UOP131108 UYK131108:UYL131108 VIG131108:VIH131108 VSC131108:VSD131108 WBY131108:WBZ131108 WLU131108:WLV131108 WVQ131108:WVR131108 I196644:J196644 JE196644:JF196644 TA196644:TB196644 ACW196644:ACX196644 AMS196644:AMT196644 AWO196644:AWP196644 BGK196644:BGL196644 BQG196644:BQH196644 CAC196644:CAD196644 CJY196644:CJZ196644 CTU196644:CTV196644 DDQ196644:DDR196644 DNM196644:DNN196644 DXI196644:DXJ196644 EHE196644:EHF196644 ERA196644:ERB196644 FAW196644:FAX196644 FKS196644:FKT196644 FUO196644:FUP196644 GEK196644:GEL196644 GOG196644:GOH196644 GYC196644:GYD196644 HHY196644:HHZ196644 HRU196644:HRV196644 IBQ196644:IBR196644 ILM196644:ILN196644 IVI196644:IVJ196644 JFE196644:JFF196644 JPA196644:JPB196644 JYW196644:JYX196644 KIS196644:KIT196644 KSO196644:KSP196644 LCK196644:LCL196644 LMG196644:LMH196644 LWC196644:LWD196644 MFY196644:MFZ196644 MPU196644:MPV196644 MZQ196644:MZR196644 NJM196644:NJN196644 NTI196644:NTJ196644 ODE196644:ODF196644 ONA196644:ONB196644 OWW196644:OWX196644 PGS196644:PGT196644 PQO196644:PQP196644 QAK196644:QAL196644 QKG196644:QKH196644 QUC196644:QUD196644 RDY196644:RDZ196644 RNU196644:RNV196644 RXQ196644:RXR196644 SHM196644:SHN196644 SRI196644:SRJ196644 TBE196644:TBF196644 TLA196644:TLB196644 TUW196644:TUX196644 UES196644:UET196644 UOO196644:UOP196644 UYK196644:UYL196644 VIG196644:VIH196644 VSC196644:VSD196644 WBY196644:WBZ196644 WLU196644:WLV196644 WVQ196644:WVR196644 I262180:J262180 JE262180:JF262180 TA262180:TB262180 ACW262180:ACX262180 AMS262180:AMT262180 AWO262180:AWP262180 BGK262180:BGL262180 BQG262180:BQH262180 CAC262180:CAD262180 CJY262180:CJZ262180 CTU262180:CTV262180 DDQ262180:DDR262180 DNM262180:DNN262180 DXI262180:DXJ262180 EHE262180:EHF262180 ERA262180:ERB262180 FAW262180:FAX262180 FKS262180:FKT262180 FUO262180:FUP262180 GEK262180:GEL262180 GOG262180:GOH262180 GYC262180:GYD262180 HHY262180:HHZ262180 HRU262180:HRV262180 IBQ262180:IBR262180 ILM262180:ILN262180 IVI262180:IVJ262180 JFE262180:JFF262180 JPA262180:JPB262180 JYW262180:JYX262180 KIS262180:KIT262180 KSO262180:KSP262180 LCK262180:LCL262180 LMG262180:LMH262180 LWC262180:LWD262180 MFY262180:MFZ262180 MPU262180:MPV262180 MZQ262180:MZR262180 NJM262180:NJN262180 NTI262180:NTJ262180 ODE262180:ODF262180 ONA262180:ONB262180 OWW262180:OWX262180 PGS262180:PGT262180 PQO262180:PQP262180 QAK262180:QAL262180 QKG262180:QKH262180 QUC262180:QUD262180 RDY262180:RDZ262180 RNU262180:RNV262180 RXQ262180:RXR262180 SHM262180:SHN262180 SRI262180:SRJ262180 TBE262180:TBF262180 TLA262180:TLB262180 TUW262180:TUX262180 UES262180:UET262180 UOO262180:UOP262180 UYK262180:UYL262180 VIG262180:VIH262180 VSC262180:VSD262180 WBY262180:WBZ262180 WLU262180:WLV262180 WVQ262180:WVR262180 I327716:J327716 JE327716:JF327716 TA327716:TB327716 ACW327716:ACX327716 AMS327716:AMT327716 AWO327716:AWP327716 BGK327716:BGL327716 BQG327716:BQH327716 CAC327716:CAD327716 CJY327716:CJZ327716 CTU327716:CTV327716 DDQ327716:DDR327716 DNM327716:DNN327716 DXI327716:DXJ327716 EHE327716:EHF327716 ERA327716:ERB327716 FAW327716:FAX327716 FKS327716:FKT327716 FUO327716:FUP327716 GEK327716:GEL327716 GOG327716:GOH327716 GYC327716:GYD327716 HHY327716:HHZ327716 HRU327716:HRV327716 IBQ327716:IBR327716 ILM327716:ILN327716 IVI327716:IVJ327716 JFE327716:JFF327716 JPA327716:JPB327716 JYW327716:JYX327716 KIS327716:KIT327716 KSO327716:KSP327716 LCK327716:LCL327716 LMG327716:LMH327716 LWC327716:LWD327716 MFY327716:MFZ327716 MPU327716:MPV327716 MZQ327716:MZR327716 NJM327716:NJN327716 NTI327716:NTJ327716 ODE327716:ODF327716 ONA327716:ONB327716 OWW327716:OWX327716 PGS327716:PGT327716 PQO327716:PQP327716 QAK327716:QAL327716 QKG327716:QKH327716 QUC327716:QUD327716 RDY327716:RDZ327716 RNU327716:RNV327716 RXQ327716:RXR327716 SHM327716:SHN327716 SRI327716:SRJ327716 TBE327716:TBF327716 TLA327716:TLB327716 TUW327716:TUX327716 UES327716:UET327716 UOO327716:UOP327716 UYK327716:UYL327716 VIG327716:VIH327716 VSC327716:VSD327716 WBY327716:WBZ327716 WLU327716:WLV327716 WVQ327716:WVR327716 I393252:J393252 JE393252:JF393252 TA393252:TB393252 ACW393252:ACX393252 AMS393252:AMT393252 AWO393252:AWP393252 BGK393252:BGL393252 BQG393252:BQH393252 CAC393252:CAD393252 CJY393252:CJZ393252 CTU393252:CTV393252 DDQ393252:DDR393252 DNM393252:DNN393252 DXI393252:DXJ393252 EHE393252:EHF393252 ERA393252:ERB393252 FAW393252:FAX393252 FKS393252:FKT393252 FUO393252:FUP393252 GEK393252:GEL393252 GOG393252:GOH393252 GYC393252:GYD393252 HHY393252:HHZ393252 HRU393252:HRV393252 IBQ393252:IBR393252 ILM393252:ILN393252 IVI393252:IVJ393252 JFE393252:JFF393252 JPA393252:JPB393252 JYW393252:JYX393252 KIS393252:KIT393252 KSO393252:KSP393252 LCK393252:LCL393252 LMG393252:LMH393252 LWC393252:LWD393252 MFY393252:MFZ393252 MPU393252:MPV393252 MZQ393252:MZR393252 NJM393252:NJN393252 NTI393252:NTJ393252 ODE393252:ODF393252 ONA393252:ONB393252 OWW393252:OWX393252 PGS393252:PGT393252 PQO393252:PQP393252 QAK393252:QAL393252 QKG393252:QKH393252 QUC393252:QUD393252 RDY393252:RDZ393252 RNU393252:RNV393252 RXQ393252:RXR393252 SHM393252:SHN393252 SRI393252:SRJ393252 TBE393252:TBF393252 TLA393252:TLB393252 TUW393252:TUX393252 UES393252:UET393252 UOO393252:UOP393252 UYK393252:UYL393252 VIG393252:VIH393252 VSC393252:VSD393252 WBY393252:WBZ393252 WLU393252:WLV393252 WVQ393252:WVR393252 I458788:J458788 JE458788:JF458788 TA458788:TB458788 ACW458788:ACX458788 AMS458788:AMT458788 AWO458788:AWP458788 BGK458788:BGL458788 BQG458788:BQH458788 CAC458788:CAD458788 CJY458788:CJZ458788 CTU458788:CTV458788 DDQ458788:DDR458788 DNM458788:DNN458788 DXI458788:DXJ458788 EHE458788:EHF458788 ERA458788:ERB458788 FAW458788:FAX458788 FKS458788:FKT458788 FUO458788:FUP458788 GEK458788:GEL458788 GOG458788:GOH458788 GYC458788:GYD458788 HHY458788:HHZ458788 HRU458788:HRV458788 IBQ458788:IBR458788 ILM458788:ILN458788 IVI458788:IVJ458788 JFE458788:JFF458788 JPA458788:JPB458788 JYW458788:JYX458788 KIS458788:KIT458788 KSO458788:KSP458788 LCK458788:LCL458788 LMG458788:LMH458788 LWC458788:LWD458788 MFY458788:MFZ458788 MPU458788:MPV458788 MZQ458788:MZR458788 NJM458788:NJN458788 NTI458788:NTJ458788 ODE458788:ODF458788 ONA458788:ONB458788 OWW458788:OWX458788 PGS458788:PGT458788 PQO458788:PQP458788 QAK458788:QAL458788 QKG458788:QKH458788 QUC458788:QUD458788 RDY458788:RDZ458788 RNU458788:RNV458788 RXQ458788:RXR458788 SHM458788:SHN458788 SRI458788:SRJ458788 TBE458788:TBF458788 TLA458788:TLB458788 TUW458788:TUX458788 UES458788:UET458788 UOO458788:UOP458788 UYK458788:UYL458788 VIG458788:VIH458788 VSC458788:VSD458788 WBY458788:WBZ458788 WLU458788:WLV458788 WVQ458788:WVR458788 I524324:J524324 JE524324:JF524324 TA524324:TB524324 ACW524324:ACX524324 AMS524324:AMT524324 AWO524324:AWP524324 BGK524324:BGL524324 BQG524324:BQH524324 CAC524324:CAD524324 CJY524324:CJZ524324 CTU524324:CTV524324 DDQ524324:DDR524324 DNM524324:DNN524324 DXI524324:DXJ524324 EHE524324:EHF524324 ERA524324:ERB524324 FAW524324:FAX524324 FKS524324:FKT524324 FUO524324:FUP524324 GEK524324:GEL524324 GOG524324:GOH524324 GYC524324:GYD524324 HHY524324:HHZ524324 HRU524324:HRV524324 IBQ524324:IBR524324 ILM524324:ILN524324 IVI524324:IVJ524324 JFE524324:JFF524324 JPA524324:JPB524324 JYW524324:JYX524324 KIS524324:KIT524324 KSO524324:KSP524324 LCK524324:LCL524324 LMG524324:LMH524324 LWC524324:LWD524324 MFY524324:MFZ524324 MPU524324:MPV524324 MZQ524324:MZR524324 NJM524324:NJN524324 NTI524324:NTJ524324 ODE524324:ODF524324 ONA524324:ONB524324 OWW524324:OWX524324 PGS524324:PGT524324 PQO524324:PQP524324 QAK524324:QAL524324 QKG524324:QKH524324 QUC524324:QUD524324 RDY524324:RDZ524324 RNU524324:RNV524324 RXQ524324:RXR524324 SHM524324:SHN524324 SRI524324:SRJ524324 TBE524324:TBF524324 TLA524324:TLB524324 TUW524324:TUX524324 UES524324:UET524324 UOO524324:UOP524324 UYK524324:UYL524324 VIG524324:VIH524324 VSC524324:VSD524324 WBY524324:WBZ524324 WLU524324:WLV524324 WVQ524324:WVR524324 I589860:J589860 JE589860:JF589860 TA589860:TB589860 ACW589860:ACX589860 AMS589860:AMT589860 AWO589860:AWP589860 BGK589860:BGL589860 BQG589860:BQH589860 CAC589860:CAD589860 CJY589860:CJZ589860 CTU589860:CTV589860 DDQ589860:DDR589860 DNM589860:DNN589860 DXI589860:DXJ589860 EHE589860:EHF589860 ERA589860:ERB589860 FAW589860:FAX589860 FKS589860:FKT589860 FUO589860:FUP589860 GEK589860:GEL589860 GOG589860:GOH589860 GYC589860:GYD589860 HHY589860:HHZ589860 HRU589860:HRV589860 IBQ589860:IBR589860 ILM589860:ILN589860 IVI589860:IVJ589860 JFE589860:JFF589860 JPA589860:JPB589860 JYW589860:JYX589860 KIS589860:KIT589860 KSO589860:KSP589860 LCK589860:LCL589860 LMG589860:LMH589860 LWC589860:LWD589860 MFY589860:MFZ589860 MPU589860:MPV589860 MZQ589860:MZR589860 NJM589860:NJN589860 NTI589860:NTJ589860 ODE589860:ODF589860 ONA589860:ONB589860 OWW589860:OWX589860 PGS589860:PGT589860 PQO589860:PQP589860 QAK589860:QAL589860 QKG589860:QKH589860 QUC589860:QUD589860 RDY589860:RDZ589860 RNU589860:RNV589860 RXQ589860:RXR589860 SHM589860:SHN589860 SRI589860:SRJ589860 TBE589860:TBF589860 TLA589860:TLB589860 TUW589860:TUX589860 UES589860:UET589860 UOO589860:UOP589860 UYK589860:UYL589860 VIG589860:VIH589860 VSC589860:VSD589860 WBY589860:WBZ589860 WLU589860:WLV589860 WVQ589860:WVR589860 I655396:J655396 JE655396:JF655396 TA655396:TB655396 ACW655396:ACX655396 AMS655396:AMT655396 AWO655396:AWP655396 BGK655396:BGL655396 BQG655396:BQH655396 CAC655396:CAD655396 CJY655396:CJZ655396 CTU655396:CTV655396 DDQ655396:DDR655396 DNM655396:DNN655396 DXI655396:DXJ655396 EHE655396:EHF655396 ERA655396:ERB655396 FAW655396:FAX655396 FKS655396:FKT655396 FUO655396:FUP655396 GEK655396:GEL655396 GOG655396:GOH655396 GYC655396:GYD655396 HHY655396:HHZ655396 HRU655396:HRV655396 IBQ655396:IBR655396 ILM655396:ILN655396 IVI655396:IVJ655396 JFE655396:JFF655396 JPA655396:JPB655396 JYW655396:JYX655396 KIS655396:KIT655396 KSO655396:KSP655396 LCK655396:LCL655396 LMG655396:LMH655396 LWC655396:LWD655396 MFY655396:MFZ655396 MPU655396:MPV655396 MZQ655396:MZR655396 NJM655396:NJN655396 NTI655396:NTJ655396 ODE655396:ODF655396 ONA655396:ONB655396 OWW655396:OWX655396 PGS655396:PGT655396 PQO655396:PQP655396 QAK655396:QAL655396 QKG655396:QKH655396 QUC655396:QUD655396 RDY655396:RDZ655396 RNU655396:RNV655396 RXQ655396:RXR655396 SHM655396:SHN655396 SRI655396:SRJ655396 TBE655396:TBF655396 TLA655396:TLB655396 TUW655396:TUX655396 UES655396:UET655396 UOO655396:UOP655396 UYK655396:UYL655396 VIG655396:VIH655396 VSC655396:VSD655396 WBY655396:WBZ655396 WLU655396:WLV655396 WVQ655396:WVR655396 I720932:J720932 JE720932:JF720932 TA720932:TB720932 ACW720932:ACX720932 AMS720932:AMT720932 AWO720932:AWP720932 BGK720932:BGL720932 BQG720932:BQH720932 CAC720932:CAD720932 CJY720932:CJZ720932 CTU720932:CTV720932 DDQ720932:DDR720932 DNM720932:DNN720932 DXI720932:DXJ720932 EHE720932:EHF720932 ERA720932:ERB720932 FAW720932:FAX720932 FKS720932:FKT720932 FUO720932:FUP720932 GEK720932:GEL720932 GOG720932:GOH720932 GYC720932:GYD720932 HHY720932:HHZ720932 HRU720932:HRV720932 IBQ720932:IBR720932 ILM720932:ILN720932 IVI720932:IVJ720932 JFE720932:JFF720932 JPA720932:JPB720932 JYW720932:JYX720932 KIS720932:KIT720932 KSO720932:KSP720932 LCK720932:LCL720932 LMG720932:LMH720932 LWC720932:LWD720932 MFY720932:MFZ720932 MPU720932:MPV720932 MZQ720932:MZR720932 NJM720932:NJN720932 NTI720932:NTJ720932 ODE720932:ODF720932 ONA720932:ONB720932 OWW720932:OWX720932 PGS720932:PGT720932 PQO720932:PQP720932 QAK720932:QAL720932 QKG720932:QKH720932 QUC720932:QUD720932 RDY720932:RDZ720932 RNU720932:RNV720932 RXQ720932:RXR720932 SHM720932:SHN720932 SRI720932:SRJ720932 TBE720932:TBF720932 TLA720932:TLB720932 TUW720932:TUX720932 UES720932:UET720932 UOO720932:UOP720932 UYK720932:UYL720932 VIG720932:VIH720932 VSC720932:VSD720932 WBY720932:WBZ720932 WLU720932:WLV720932 WVQ720932:WVR720932 I786468:J786468 JE786468:JF786468 TA786468:TB786468 ACW786468:ACX786468 AMS786468:AMT786468 AWO786468:AWP786468 BGK786468:BGL786468 BQG786468:BQH786468 CAC786468:CAD786468 CJY786468:CJZ786468 CTU786468:CTV786468 DDQ786468:DDR786468 DNM786468:DNN786468 DXI786468:DXJ786468 EHE786468:EHF786468 ERA786468:ERB786468 FAW786468:FAX786468 FKS786468:FKT786468 FUO786468:FUP786468 GEK786468:GEL786468 GOG786468:GOH786468 GYC786468:GYD786468 HHY786468:HHZ786468 HRU786468:HRV786468 IBQ786468:IBR786468 ILM786468:ILN786468 IVI786468:IVJ786468 JFE786468:JFF786468 JPA786468:JPB786468 JYW786468:JYX786468 KIS786468:KIT786468 KSO786468:KSP786468 LCK786468:LCL786468 LMG786468:LMH786468 LWC786468:LWD786468 MFY786468:MFZ786468 MPU786468:MPV786468 MZQ786468:MZR786468 NJM786468:NJN786468 NTI786468:NTJ786468 ODE786468:ODF786468 ONA786468:ONB786468 OWW786468:OWX786468 PGS786468:PGT786468 PQO786468:PQP786468 QAK786468:QAL786468 QKG786468:QKH786468 QUC786468:QUD786468 RDY786468:RDZ786468 RNU786468:RNV786468 RXQ786468:RXR786468 SHM786468:SHN786468 SRI786468:SRJ786468 TBE786468:TBF786468 TLA786468:TLB786468 TUW786468:TUX786468 UES786468:UET786468 UOO786468:UOP786468 UYK786468:UYL786468 VIG786468:VIH786468 VSC786468:VSD786468 WBY786468:WBZ786468 WLU786468:WLV786468 WVQ786468:WVR786468 I852004:J852004 JE852004:JF852004 TA852004:TB852004 ACW852004:ACX852004 AMS852004:AMT852004 AWO852004:AWP852004 BGK852004:BGL852004 BQG852004:BQH852004 CAC852004:CAD852004 CJY852004:CJZ852004 CTU852004:CTV852004 DDQ852004:DDR852004 DNM852004:DNN852004 DXI852004:DXJ852004 EHE852004:EHF852004 ERA852004:ERB852004 FAW852004:FAX852004 FKS852004:FKT852004 FUO852004:FUP852004 GEK852004:GEL852004 GOG852004:GOH852004 GYC852004:GYD852004 HHY852004:HHZ852004 HRU852004:HRV852004 IBQ852004:IBR852004 ILM852004:ILN852004 IVI852004:IVJ852004 JFE852004:JFF852004 JPA852004:JPB852004 JYW852004:JYX852004 KIS852004:KIT852004 KSO852004:KSP852004 LCK852004:LCL852004 LMG852004:LMH852004 LWC852004:LWD852004 MFY852004:MFZ852004 MPU852004:MPV852004 MZQ852004:MZR852004 NJM852004:NJN852004 NTI852004:NTJ852004 ODE852004:ODF852004 ONA852004:ONB852004 OWW852004:OWX852004 PGS852004:PGT852004 PQO852004:PQP852004 QAK852004:QAL852004 QKG852004:QKH852004 QUC852004:QUD852004 RDY852004:RDZ852004 RNU852004:RNV852004 RXQ852004:RXR852004 SHM852004:SHN852004 SRI852004:SRJ852004 TBE852004:TBF852004 TLA852004:TLB852004 TUW852004:TUX852004 UES852004:UET852004 UOO852004:UOP852004 UYK852004:UYL852004 VIG852004:VIH852004 VSC852004:VSD852004 WBY852004:WBZ852004 WLU852004:WLV852004 WVQ852004:WVR852004 I917540:J917540 JE917540:JF917540 TA917540:TB917540 ACW917540:ACX917540 AMS917540:AMT917540 AWO917540:AWP917540 BGK917540:BGL917540 BQG917540:BQH917540 CAC917540:CAD917540 CJY917540:CJZ917540 CTU917540:CTV917540 DDQ917540:DDR917540 DNM917540:DNN917540 DXI917540:DXJ917540 EHE917540:EHF917540 ERA917540:ERB917540 FAW917540:FAX917540 FKS917540:FKT917540 FUO917540:FUP917540 GEK917540:GEL917540 GOG917540:GOH917540 GYC917540:GYD917540 HHY917540:HHZ917540 HRU917540:HRV917540 IBQ917540:IBR917540 ILM917540:ILN917540 IVI917540:IVJ917540 JFE917540:JFF917540 JPA917540:JPB917540 JYW917540:JYX917540 KIS917540:KIT917540 KSO917540:KSP917540 LCK917540:LCL917540 LMG917540:LMH917540 LWC917540:LWD917540 MFY917540:MFZ917540 MPU917540:MPV917540 MZQ917540:MZR917540 NJM917540:NJN917540 NTI917540:NTJ917540 ODE917540:ODF917540 ONA917540:ONB917540 OWW917540:OWX917540 PGS917540:PGT917540 PQO917540:PQP917540 QAK917540:QAL917540 QKG917540:QKH917540 QUC917540:QUD917540 RDY917540:RDZ917540 RNU917540:RNV917540 RXQ917540:RXR917540 SHM917540:SHN917540 SRI917540:SRJ917540 TBE917540:TBF917540 TLA917540:TLB917540 TUW917540:TUX917540 UES917540:UET917540 UOO917540:UOP917540 UYK917540:UYL917540 VIG917540:VIH917540 VSC917540:VSD917540 WBY917540:WBZ917540 WLU917540:WLV917540 WVQ917540:WVR917540 I983076:J983076 JE983076:JF983076 TA983076:TB983076 ACW983076:ACX983076 AMS983076:AMT983076 AWO983076:AWP983076 BGK983076:BGL983076 BQG983076:BQH983076 CAC983076:CAD983076 CJY983076:CJZ983076 CTU983076:CTV983076 DDQ983076:DDR983076 DNM983076:DNN983076 DXI983076:DXJ983076 EHE983076:EHF983076 ERA983076:ERB983076 FAW983076:FAX983076 FKS983076:FKT983076 FUO983076:FUP983076 GEK983076:GEL983076 GOG983076:GOH983076 GYC983076:GYD983076 HHY983076:HHZ983076 HRU983076:HRV983076 IBQ983076:IBR983076 ILM983076:ILN983076 IVI983076:IVJ983076 JFE983076:JFF983076 JPA983076:JPB983076 JYW983076:JYX983076 KIS983076:KIT983076 KSO983076:KSP983076 LCK983076:LCL983076 LMG983076:LMH983076 LWC983076:LWD983076 MFY983076:MFZ983076 MPU983076:MPV983076 MZQ983076:MZR983076 NJM983076:NJN983076 NTI983076:NTJ983076 ODE983076:ODF983076 ONA983076:ONB983076 OWW983076:OWX983076 PGS983076:PGT983076 PQO983076:PQP983076 QAK983076:QAL983076 QKG983076:QKH983076 QUC983076:QUD983076 RDY983076:RDZ983076 RNU983076:RNV983076 RXQ983076:RXR983076 SHM983076:SHN983076 SRI983076:SRJ983076 TBE983076:TBF983076 TLA983076:TLB983076 TUW983076:TUX983076 UES983076:UET983076 UOO983076:UOP983076 UYK983076:UYL983076 VIG983076:VIH983076 VSC983076:VSD983076 WBY983076:WBZ983076 WLU983076:WLV983076 WVQ983076:WVR983076">
      <formula1>$Y$3:$Y$27</formula1>
    </dataValidation>
    <dataValidation type="list" allowBlank="1" showInputMessage="1" showErrorMessage="1" sqref="I10:L10 JE10:JH10 TA10:TD10 ACW10:ACZ10 AMS10:AMV10 AWO10:AWR10 BGK10:BGN10 BQG10:BQJ10 CAC10:CAF10 CJY10:CKB10 CTU10:CTX10 DDQ10:DDT10 DNM10:DNP10 DXI10:DXL10 EHE10:EHH10 ERA10:ERD10 FAW10:FAZ10 FKS10:FKV10 FUO10:FUR10 GEK10:GEN10 GOG10:GOJ10 GYC10:GYF10 HHY10:HIB10 HRU10:HRX10 IBQ10:IBT10 ILM10:ILP10 IVI10:IVL10 JFE10:JFH10 JPA10:JPD10 JYW10:JYZ10 KIS10:KIV10 KSO10:KSR10 LCK10:LCN10 LMG10:LMJ10 LWC10:LWF10 MFY10:MGB10 MPU10:MPX10 MZQ10:MZT10 NJM10:NJP10 NTI10:NTL10 ODE10:ODH10 ONA10:OND10 OWW10:OWZ10 PGS10:PGV10 PQO10:PQR10 QAK10:QAN10 QKG10:QKJ10 QUC10:QUF10 RDY10:REB10 RNU10:RNX10 RXQ10:RXT10 SHM10:SHP10 SRI10:SRL10 TBE10:TBH10 TLA10:TLD10 TUW10:TUZ10 UES10:UEV10 UOO10:UOR10 UYK10:UYN10 VIG10:VIJ10 VSC10:VSF10 WBY10:WCB10 WLU10:WLX10 WVQ10:WVT10 I65546:L65546 JE65546:JH65546 TA65546:TD65546 ACW65546:ACZ65546 AMS65546:AMV65546 AWO65546:AWR65546 BGK65546:BGN65546 BQG65546:BQJ65546 CAC65546:CAF65546 CJY65546:CKB65546 CTU65546:CTX65546 DDQ65546:DDT65546 DNM65546:DNP65546 DXI65546:DXL65546 EHE65546:EHH65546 ERA65546:ERD65546 FAW65546:FAZ65546 FKS65546:FKV65546 FUO65546:FUR65546 GEK65546:GEN65546 GOG65546:GOJ65546 GYC65546:GYF65546 HHY65546:HIB65546 HRU65546:HRX65546 IBQ65546:IBT65546 ILM65546:ILP65546 IVI65546:IVL65546 JFE65546:JFH65546 JPA65546:JPD65546 JYW65546:JYZ65546 KIS65546:KIV65546 KSO65546:KSR65546 LCK65546:LCN65546 LMG65546:LMJ65546 LWC65546:LWF65546 MFY65546:MGB65546 MPU65546:MPX65546 MZQ65546:MZT65546 NJM65546:NJP65546 NTI65546:NTL65546 ODE65546:ODH65546 ONA65546:OND65546 OWW65546:OWZ65546 PGS65546:PGV65546 PQO65546:PQR65546 QAK65546:QAN65546 QKG65546:QKJ65546 QUC65546:QUF65546 RDY65546:REB65546 RNU65546:RNX65546 RXQ65546:RXT65546 SHM65546:SHP65546 SRI65546:SRL65546 TBE65546:TBH65546 TLA65546:TLD65546 TUW65546:TUZ65546 UES65546:UEV65546 UOO65546:UOR65546 UYK65546:UYN65546 VIG65546:VIJ65546 VSC65546:VSF65546 WBY65546:WCB65546 WLU65546:WLX65546 WVQ65546:WVT65546 I131082:L131082 JE131082:JH131082 TA131082:TD131082 ACW131082:ACZ131082 AMS131082:AMV131082 AWO131082:AWR131082 BGK131082:BGN131082 BQG131082:BQJ131082 CAC131082:CAF131082 CJY131082:CKB131082 CTU131082:CTX131082 DDQ131082:DDT131082 DNM131082:DNP131082 DXI131082:DXL131082 EHE131082:EHH131082 ERA131082:ERD131082 FAW131082:FAZ131082 FKS131082:FKV131082 FUO131082:FUR131082 GEK131082:GEN131082 GOG131082:GOJ131082 GYC131082:GYF131082 HHY131082:HIB131082 HRU131082:HRX131082 IBQ131082:IBT131082 ILM131082:ILP131082 IVI131082:IVL131082 JFE131082:JFH131082 JPA131082:JPD131082 JYW131082:JYZ131082 KIS131082:KIV131082 KSO131082:KSR131082 LCK131082:LCN131082 LMG131082:LMJ131082 LWC131082:LWF131082 MFY131082:MGB131082 MPU131082:MPX131082 MZQ131082:MZT131082 NJM131082:NJP131082 NTI131082:NTL131082 ODE131082:ODH131082 ONA131082:OND131082 OWW131082:OWZ131082 PGS131082:PGV131082 PQO131082:PQR131082 QAK131082:QAN131082 QKG131082:QKJ131082 QUC131082:QUF131082 RDY131082:REB131082 RNU131082:RNX131082 RXQ131082:RXT131082 SHM131082:SHP131082 SRI131082:SRL131082 TBE131082:TBH131082 TLA131082:TLD131082 TUW131082:TUZ131082 UES131082:UEV131082 UOO131082:UOR131082 UYK131082:UYN131082 VIG131082:VIJ131082 VSC131082:VSF131082 WBY131082:WCB131082 WLU131082:WLX131082 WVQ131082:WVT131082 I196618:L196618 JE196618:JH196618 TA196618:TD196618 ACW196618:ACZ196618 AMS196618:AMV196618 AWO196618:AWR196618 BGK196618:BGN196618 BQG196618:BQJ196618 CAC196618:CAF196618 CJY196618:CKB196618 CTU196618:CTX196618 DDQ196618:DDT196618 DNM196618:DNP196618 DXI196618:DXL196618 EHE196618:EHH196618 ERA196618:ERD196618 FAW196618:FAZ196618 FKS196618:FKV196618 FUO196618:FUR196618 GEK196618:GEN196618 GOG196618:GOJ196618 GYC196618:GYF196618 HHY196618:HIB196618 HRU196618:HRX196618 IBQ196618:IBT196618 ILM196618:ILP196618 IVI196618:IVL196618 JFE196618:JFH196618 JPA196618:JPD196618 JYW196618:JYZ196618 KIS196618:KIV196618 KSO196618:KSR196618 LCK196618:LCN196618 LMG196618:LMJ196618 LWC196618:LWF196618 MFY196618:MGB196618 MPU196618:MPX196618 MZQ196618:MZT196618 NJM196618:NJP196618 NTI196618:NTL196618 ODE196618:ODH196618 ONA196618:OND196618 OWW196618:OWZ196618 PGS196618:PGV196618 PQO196618:PQR196618 QAK196618:QAN196618 QKG196618:QKJ196618 QUC196618:QUF196618 RDY196618:REB196618 RNU196618:RNX196618 RXQ196618:RXT196618 SHM196618:SHP196618 SRI196618:SRL196618 TBE196618:TBH196618 TLA196618:TLD196618 TUW196618:TUZ196618 UES196618:UEV196618 UOO196618:UOR196618 UYK196618:UYN196618 VIG196618:VIJ196618 VSC196618:VSF196618 WBY196618:WCB196618 WLU196618:WLX196618 WVQ196618:WVT196618 I262154:L262154 JE262154:JH262154 TA262154:TD262154 ACW262154:ACZ262154 AMS262154:AMV262154 AWO262154:AWR262154 BGK262154:BGN262154 BQG262154:BQJ262154 CAC262154:CAF262154 CJY262154:CKB262154 CTU262154:CTX262154 DDQ262154:DDT262154 DNM262154:DNP262154 DXI262154:DXL262154 EHE262154:EHH262154 ERA262154:ERD262154 FAW262154:FAZ262154 FKS262154:FKV262154 FUO262154:FUR262154 GEK262154:GEN262154 GOG262154:GOJ262154 GYC262154:GYF262154 HHY262154:HIB262154 HRU262154:HRX262154 IBQ262154:IBT262154 ILM262154:ILP262154 IVI262154:IVL262154 JFE262154:JFH262154 JPA262154:JPD262154 JYW262154:JYZ262154 KIS262154:KIV262154 KSO262154:KSR262154 LCK262154:LCN262154 LMG262154:LMJ262154 LWC262154:LWF262154 MFY262154:MGB262154 MPU262154:MPX262154 MZQ262154:MZT262154 NJM262154:NJP262154 NTI262154:NTL262154 ODE262154:ODH262154 ONA262154:OND262154 OWW262154:OWZ262154 PGS262154:PGV262154 PQO262154:PQR262154 QAK262154:QAN262154 QKG262154:QKJ262154 QUC262154:QUF262154 RDY262154:REB262154 RNU262154:RNX262154 RXQ262154:RXT262154 SHM262154:SHP262154 SRI262154:SRL262154 TBE262154:TBH262154 TLA262154:TLD262154 TUW262154:TUZ262154 UES262154:UEV262154 UOO262154:UOR262154 UYK262154:UYN262154 VIG262154:VIJ262154 VSC262154:VSF262154 WBY262154:WCB262154 WLU262154:WLX262154 WVQ262154:WVT262154 I327690:L327690 JE327690:JH327690 TA327690:TD327690 ACW327690:ACZ327690 AMS327690:AMV327690 AWO327690:AWR327690 BGK327690:BGN327690 BQG327690:BQJ327690 CAC327690:CAF327690 CJY327690:CKB327690 CTU327690:CTX327690 DDQ327690:DDT327690 DNM327690:DNP327690 DXI327690:DXL327690 EHE327690:EHH327690 ERA327690:ERD327690 FAW327690:FAZ327690 FKS327690:FKV327690 FUO327690:FUR327690 GEK327690:GEN327690 GOG327690:GOJ327690 GYC327690:GYF327690 HHY327690:HIB327690 HRU327690:HRX327690 IBQ327690:IBT327690 ILM327690:ILP327690 IVI327690:IVL327690 JFE327690:JFH327690 JPA327690:JPD327690 JYW327690:JYZ327690 KIS327690:KIV327690 KSO327690:KSR327690 LCK327690:LCN327690 LMG327690:LMJ327690 LWC327690:LWF327690 MFY327690:MGB327690 MPU327690:MPX327690 MZQ327690:MZT327690 NJM327690:NJP327690 NTI327690:NTL327690 ODE327690:ODH327690 ONA327690:OND327690 OWW327690:OWZ327690 PGS327690:PGV327690 PQO327690:PQR327690 QAK327690:QAN327690 QKG327690:QKJ327690 QUC327690:QUF327690 RDY327690:REB327690 RNU327690:RNX327690 RXQ327690:RXT327690 SHM327690:SHP327690 SRI327690:SRL327690 TBE327690:TBH327690 TLA327690:TLD327690 TUW327690:TUZ327690 UES327690:UEV327690 UOO327690:UOR327690 UYK327690:UYN327690 VIG327690:VIJ327690 VSC327690:VSF327690 WBY327690:WCB327690 WLU327690:WLX327690 WVQ327690:WVT327690 I393226:L393226 JE393226:JH393226 TA393226:TD393226 ACW393226:ACZ393226 AMS393226:AMV393226 AWO393226:AWR393226 BGK393226:BGN393226 BQG393226:BQJ393226 CAC393226:CAF393226 CJY393226:CKB393226 CTU393226:CTX393226 DDQ393226:DDT393226 DNM393226:DNP393226 DXI393226:DXL393226 EHE393226:EHH393226 ERA393226:ERD393226 FAW393226:FAZ393226 FKS393226:FKV393226 FUO393226:FUR393226 GEK393226:GEN393226 GOG393226:GOJ393226 GYC393226:GYF393226 HHY393226:HIB393226 HRU393226:HRX393226 IBQ393226:IBT393226 ILM393226:ILP393226 IVI393226:IVL393226 JFE393226:JFH393226 JPA393226:JPD393226 JYW393226:JYZ393226 KIS393226:KIV393226 KSO393226:KSR393226 LCK393226:LCN393226 LMG393226:LMJ393226 LWC393226:LWF393226 MFY393226:MGB393226 MPU393226:MPX393226 MZQ393226:MZT393226 NJM393226:NJP393226 NTI393226:NTL393226 ODE393226:ODH393226 ONA393226:OND393226 OWW393226:OWZ393226 PGS393226:PGV393226 PQO393226:PQR393226 QAK393226:QAN393226 QKG393226:QKJ393226 QUC393226:QUF393226 RDY393226:REB393226 RNU393226:RNX393226 RXQ393226:RXT393226 SHM393226:SHP393226 SRI393226:SRL393226 TBE393226:TBH393226 TLA393226:TLD393226 TUW393226:TUZ393226 UES393226:UEV393226 UOO393226:UOR393226 UYK393226:UYN393226 VIG393226:VIJ393226 VSC393226:VSF393226 WBY393226:WCB393226 WLU393226:WLX393226 WVQ393226:WVT393226 I458762:L458762 JE458762:JH458762 TA458762:TD458762 ACW458762:ACZ458762 AMS458762:AMV458762 AWO458762:AWR458762 BGK458762:BGN458762 BQG458762:BQJ458762 CAC458762:CAF458762 CJY458762:CKB458762 CTU458762:CTX458762 DDQ458762:DDT458762 DNM458762:DNP458762 DXI458762:DXL458762 EHE458762:EHH458762 ERA458762:ERD458762 FAW458762:FAZ458762 FKS458762:FKV458762 FUO458762:FUR458762 GEK458762:GEN458762 GOG458762:GOJ458762 GYC458762:GYF458762 HHY458762:HIB458762 HRU458762:HRX458762 IBQ458762:IBT458762 ILM458762:ILP458762 IVI458762:IVL458762 JFE458762:JFH458762 JPA458762:JPD458762 JYW458762:JYZ458762 KIS458762:KIV458762 KSO458762:KSR458762 LCK458762:LCN458762 LMG458762:LMJ458762 LWC458762:LWF458762 MFY458762:MGB458762 MPU458762:MPX458762 MZQ458762:MZT458762 NJM458762:NJP458762 NTI458762:NTL458762 ODE458762:ODH458762 ONA458762:OND458762 OWW458762:OWZ458762 PGS458762:PGV458762 PQO458762:PQR458762 QAK458762:QAN458762 QKG458762:QKJ458762 QUC458762:QUF458762 RDY458762:REB458762 RNU458762:RNX458762 RXQ458762:RXT458762 SHM458762:SHP458762 SRI458762:SRL458762 TBE458762:TBH458762 TLA458762:TLD458762 TUW458762:TUZ458762 UES458762:UEV458762 UOO458762:UOR458762 UYK458762:UYN458762 VIG458762:VIJ458762 VSC458762:VSF458762 WBY458762:WCB458762 WLU458762:WLX458762 WVQ458762:WVT458762 I524298:L524298 JE524298:JH524298 TA524298:TD524298 ACW524298:ACZ524298 AMS524298:AMV524298 AWO524298:AWR524298 BGK524298:BGN524298 BQG524298:BQJ524298 CAC524298:CAF524298 CJY524298:CKB524298 CTU524298:CTX524298 DDQ524298:DDT524298 DNM524298:DNP524298 DXI524298:DXL524298 EHE524298:EHH524298 ERA524298:ERD524298 FAW524298:FAZ524298 FKS524298:FKV524298 FUO524298:FUR524298 GEK524298:GEN524298 GOG524298:GOJ524298 GYC524298:GYF524298 HHY524298:HIB524298 HRU524298:HRX524298 IBQ524298:IBT524298 ILM524298:ILP524298 IVI524298:IVL524298 JFE524298:JFH524298 JPA524298:JPD524298 JYW524298:JYZ524298 KIS524298:KIV524298 KSO524298:KSR524298 LCK524298:LCN524298 LMG524298:LMJ524298 LWC524298:LWF524298 MFY524298:MGB524298 MPU524298:MPX524298 MZQ524298:MZT524298 NJM524298:NJP524298 NTI524298:NTL524298 ODE524298:ODH524298 ONA524298:OND524298 OWW524298:OWZ524298 PGS524298:PGV524298 PQO524298:PQR524298 QAK524298:QAN524298 QKG524298:QKJ524298 QUC524298:QUF524298 RDY524298:REB524298 RNU524298:RNX524298 RXQ524298:RXT524298 SHM524298:SHP524298 SRI524298:SRL524298 TBE524298:TBH524298 TLA524298:TLD524298 TUW524298:TUZ524298 UES524298:UEV524298 UOO524298:UOR524298 UYK524298:UYN524298 VIG524298:VIJ524298 VSC524298:VSF524298 WBY524298:WCB524298 WLU524298:WLX524298 WVQ524298:WVT524298 I589834:L589834 JE589834:JH589834 TA589834:TD589834 ACW589834:ACZ589834 AMS589834:AMV589834 AWO589834:AWR589834 BGK589834:BGN589834 BQG589834:BQJ589834 CAC589834:CAF589834 CJY589834:CKB589834 CTU589834:CTX589834 DDQ589834:DDT589834 DNM589834:DNP589834 DXI589834:DXL589834 EHE589834:EHH589834 ERA589834:ERD589834 FAW589834:FAZ589834 FKS589834:FKV589834 FUO589834:FUR589834 GEK589834:GEN589834 GOG589834:GOJ589834 GYC589834:GYF589834 HHY589834:HIB589834 HRU589834:HRX589834 IBQ589834:IBT589834 ILM589834:ILP589834 IVI589834:IVL589834 JFE589834:JFH589834 JPA589834:JPD589834 JYW589834:JYZ589834 KIS589834:KIV589834 KSO589834:KSR589834 LCK589834:LCN589834 LMG589834:LMJ589834 LWC589834:LWF589834 MFY589834:MGB589834 MPU589834:MPX589834 MZQ589834:MZT589834 NJM589834:NJP589834 NTI589834:NTL589834 ODE589834:ODH589834 ONA589834:OND589834 OWW589834:OWZ589834 PGS589834:PGV589834 PQO589834:PQR589834 QAK589834:QAN589834 QKG589834:QKJ589834 QUC589834:QUF589834 RDY589834:REB589834 RNU589834:RNX589834 RXQ589834:RXT589834 SHM589834:SHP589834 SRI589834:SRL589834 TBE589834:TBH589834 TLA589834:TLD589834 TUW589834:TUZ589834 UES589834:UEV589834 UOO589834:UOR589834 UYK589834:UYN589834 VIG589834:VIJ589834 VSC589834:VSF589834 WBY589834:WCB589834 WLU589834:WLX589834 WVQ589834:WVT589834 I655370:L655370 JE655370:JH655370 TA655370:TD655370 ACW655370:ACZ655370 AMS655370:AMV655370 AWO655370:AWR655370 BGK655370:BGN655370 BQG655370:BQJ655370 CAC655370:CAF655370 CJY655370:CKB655370 CTU655370:CTX655370 DDQ655370:DDT655370 DNM655370:DNP655370 DXI655370:DXL655370 EHE655370:EHH655370 ERA655370:ERD655370 FAW655370:FAZ655370 FKS655370:FKV655370 FUO655370:FUR655370 GEK655370:GEN655370 GOG655370:GOJ655370 GYC655370:GYF655370 HHY655370:HIB655370 HRU655370:HRX655370 IBQ655370:IBT655370 ILM655370:ILP655370 IVI655370:IVL655370 JFE655370:JFH655370 JPA655370:JPD655370 JYW655370:JYZ655370 KIS655370:KIV655370 KSO655370:KSR655370 LCK655370:LCN655370 LMG655370:LMJ655370 LWC655370:LWF655370 MFY655370:MGB655370 MPU655370:MPX655370 MZQ655370:MZT655370 NJM655370:NJP655370 NTI655370:NTL655370 ODE655370:ODH655370 ONA655370:OND655370 OWW655370:OWZ655370 PGS655370:PGV655370 PQO655370:PQR655370 QAK655370:QAN655370 QKG655370:QKJ655370 QUC655370:QUF655370 RDY655370:REB655370 RNU655370:RNX655370 RXQ655370:RXT655370 SHM655370:SHP655370 SRI655370:SRL655370 TBE655370:TBH655370 TLA655370:TLD655370 TUW655370:TUZ655370 UES655370:UEV655370 UOO655370:UOR655370 UYK655370:UYN655370 VIG655370:VIJ655370 VSC655370:VSF655370 WBY655370:WCB655370 WLU655370:WLX655370 WVQ655370:WVT655370 I720906:L720906 JE720906:JH720906 TA720906:TD720906 ACW720906:ACZ720906 AMS720906:AMV720906 AWO720906:AWR720906 BGK720906:BGN720906 BQG720906:BQJ720906 CAC720906:CAF720906 CJY720906:CKB720906 CTU720906:CTX720906 DDQ720906:DDT720906 DNM720906:DNP720906 DXI720906:DXL720906 EHE720906:EHH720906 ERA720906:ERD720906 FAW720906:FAZ720906 FKS720906:FKV720906 FUO720906:FUR720906 GEK720906:GEN720906 GOG720906:GOJ720906 GYC720906:GYF720906 HHY720906:HIB720906 HRU720906:HRX720906 IBQ720906:IBT720906 ILM720906:ILP720906 IVI720906:IVL720906 JFE720906:JFH720906 JPA720906:JPD720906 JYW720906:JYZ720906 KIS720906:KIV720906 KSO720906:KSR720906 LCK720906:LCN720906 LMG720906:LMJ720906 LWC720906:LWF720906 MFY720906:MGB720906 MPU720906:MPX720906 MZQ720906:MZT720906 NJM720906:NJP720906 NTI720906:NTL720906 ODE720906:ODH720906 ONA720906:OND720906 OWW720906:OWZ720906 PGS720906:PGV720906 PQO720906:PQR720906 QAK720906:QAN720906 QKG720906:QKJ720906 QUC720906:QUF720906 RDY720906:REB720906 RNU720906:RNX720906 RXQ720906:RXT720906 SHM720906:SHP720906 SRI720906:SRL720906 TBE720906:TBH720906 TLA720906:TLD720906 TUW720906:TUZ720906 UES720906:UEV720906 UOO720906:UOR720906 UYK720906:UYN720906 VIG720906:VIJ720906 VSC720906:VSF720906 WBY720906:WCB720906 WLU720906:WLX720906 WVQ720906:WVT720906 I786442:L786442 JE786442:JH786442 TA786442:TD786442 ACW786442:ACZ786442 AMS786442:AMV786442 AWO786442:AWR786442 BGK786442:BGN786442 BQG786442:BQJ786442 CAC786442:CAF786442 CJY786442:CKB786442 CTU786442:CTX786442 DDQ786442:DDT786442 DNM786442:DNP786442 DXI786442:DXL786442 EHE786442:EHH786442 ERA786442:ERD786442 FAW786442:FAZ786442 FKS786442:FKV786442 FUO786442:FUR786442 GEK786442:GEN786442 GOG786442:GOJ786442 GYC786442:GYF786442 HHY786442:HIB786442 HRU786442:HRX786442 IBQ786442:IBT786442 ILM786442:ILP786442 IVI786442:IVL786442 JFE786442:JFH786442 JPA786442:JPD786442 JYW786442:JYZ786442 KIS786442:KIV786442 KSO786442:KSR786442 LCK786442:LCN786442 LMG786442:LMJ786442 LWC786442:LWF786442 MFY786442:MGB786442 MPU786442:MPX786442 MZQ786442:MZT786442 NJM786442:NJP786442 NTI786442:NTL786442 ODE786442:ODH786442 ONA786442:OND786442 OWW786442:OWZ786442 PGS786442:PGV786442 PQO786442:PQR786442 QAK786442:QAN786442 QKG786442:QKJ786442 QUC786442:QUF786442 RDY786442:REB786442 RNU786442:RNX786442 RXQ786442:RXT786442 SHM786442:SHP786442 SRI786442:SRL786442 TBE786442:TBH786442 TLA786442:TLD786442 TUW786442:TUZ786442 UES786442:UEV786442 UOO786442:UOR786442 UYK786442:UYN786442 VIG786442:VIJ786442 VSC786442:VSF786442 WBY786442:WCB786442 WLU786442:WLX786442 WVQ786442:WVT786442 I851978:L851978 JE851978:JH851978 TA851978:TD851978 ACW851978:ACZ851978 AMS851978:AMV851978 AWO851978:AWR851978 BGK851978:BGN851978 BQG851978:BQJ851978 CAC851978:CAF851978 CJY851978:CKB851978 CTU851978:CTX851978 DDQ851978:DDT851978 DNM851978:DNP851978 DXI851978:DXL851978 EHE851978:EHH851978 ERA851978:ERD851978 FAW851978:FAZ851978 FKS851978:FKV851978 FUO851978:FUR851978 GEK851978:GEN851978 GOG851978:GOJ851978 GYC851978:GYF851978 HHY851978:HIB851978 HRU851978:HRX851978 IBQ851978:IBT851978 ILM851978:ILP851978 IVI851978:IVL851978 JFE851978:JFH851978 JPA851978:JPD851978 JYW851978:JYZ851978 KIS851978:KIV851978 KSO851978:KSR851978 LCK851978:LCN851978 LMG851978:LMJ851978 LWC851978:LWF851978 MFY851978:MGB851978 MPU851978:MPX851978 MZQ851978:MZT851978 NJM851978:NJP851978 NTI851978:NTL851978 ODE851978:ODH851978 ONA851978:OND851978 OWW851978:OWZ851978 PGS851978:PGV851978 PQO851978:PQR851978 QAK851978:QAN851978 QKG851978:QKJ851978 QUC851978:QUF851978 RDY851978:REB851978 RNU851978:RNX851978 RXQ851978:RXT851978 SHM851978:SHP851978 SRI851978:SRL851978 TBE851978:TBH851978 TLA851978:TLD851978 TUW851978:TUZ851978 UES851978:UEV851978 UOO851978:UOR851978 UYK851978:UYN851978 VIG851978:VIJ851978 VSC851978:VSF851978 WBY851978:WCB851978 WLU851978:WLX851978 WVQ851978:WVT851978 I917514:L917514 JE917514:JH917514 TA917514:TD917514 ACW917514:ACZ917514 AMS917514:AMV917514 AWO917514:AWR917514 BGK917514:BGN917514 BQG917514:BQJ917514 CAC917514:CAF917514 CJY917514:CKB917514 CTU917514:CTX917514 DDQ917514:DDT917514 DNM917514:DNP917514 DXI917514:DXL917514 EHE917514:EHH917514 ERA917514:ERD917514 FAW917514:FAZ917514 FKS917514:FKV917514 FUO917514:FUR917514 GEK917514:GEN917514 GOG917514:GOJ917514 GYC917514:GYF917514 HHY917514:HIB917514 HRU917514:HRX917514 IBQ917514:IBT917514 ILM917514:ILP917514 IVI917514:IVL917514 JFE917514:JFH917514 JPA917514:JPD917514 JYW917514:JYZ917514 KIS917514:KIV917514 KSO917514:KSR917514 LCK917514:LCN917514 LMG917514:LMJ917514 LWC917514:LWF917514 MFY917514:MGB917514 MPU917514:MPX917514 MZQ917514:MZT917514 NJM917514:NJP917514 NTI917514:NTL917514 ODE917514:ODH917514 ONA917514:OND917514 OWW917514:OWZ917514 PGS917514:PGV917514 PQO917514:PQR917514 QAK917514:QAN917514 QKG917514:QKJ917514 QUC917514:QUF917514 RDY917514:REB917514 RNU917514:RNX917514 RXQ917514:RXT917514 SHM917514:SHP917514 SRI917514:SRL917514 TBE917514:TBH917514 TLA917514:TLD917514 TUW917514:TUZ917514 UES917514:UEV917514 UOO917514:UOR917514 UYK917514:UYN917514 VIG917514:VIJ917514 VSC917514:VSF917514 WBY917514:WCB917514 WLU917514:WLX917514 WVQ917514:WVT917514 I983050:L983050 JE983050:JH983050 TA983050:TD983050 ACW983050:ACZ983050 AMS983050:AMV983050 AWO983050:AWR983050 BGK983050:BGN983050 BQG983050:BQJ983050 CAC983050:CAF983050 CJY983050:CKB983050 CTU983050:CTX983050 DDQ983050:DDT983050 DNM983050:DNP983050 DXI983050:DXL983050 EHE983050:EHH983050 ERA983050:ERD983050 FAW983050:FAZ983050 FKS983050:FKV983050 FUO983050:FUR983050 GEK983050:GEN983050 GOG983050:GOJ983050 GYC983050:GYF983050 HHY983050:HIB983050 HRU983050:HRX983050 IBQ983050:IBT983050 ILM983050:ILP983050 IVI983050:IVL983050 JFE983050:JFH983050 JPA983050:JPD983050 JYW983050:JYZ983050 KIS983050:KIV983050 KSO983050:KSR983050 LCK983050:LCN983050 LMG983050:LMJ983050 LWC983050:LWF983050 MFY983050:MGB983050 MPU983050:MPX983050 MZQ983050:MZT983050 NJM983050:NJP983050 NTI983050:NTL983050 ODE983050:ODH983050 ONA983050:OND983050 OWW983050:OWZ983050 PGS983050:PGV983050 PQO983050:PQR983050 QAK983050:QAN983050 QKG983050:QKJ983050 QUC983050:QUF983050 RDY983050:REB983050 RNU983050:RNX983050 RXQ983050:RXT983050 SHM983050:SHP983050 SRI983050:SRL983050 TBE983050:TBH983050 TLA983050:TLD983050 TUW983050:TUZ983050 UES983050:UEV983050 UOO983050:UOR983050 UYK983050:UYN983050 VIG983050:VIJ983050 VSC983050:VSF983050 WBY983050:WCB983050 WLU983050:WLX983050 WVQ983050:WVT983050">
      <formula1>$W$2:$W$27</formula1>
    </dataValidation>
    <dataValidation type="list" operator="lessThan" allowBlank="1" showInputMessage="1" showErrorMessage="1" sqref="J28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4 JF65564 TB65564 ACX65564 AMT65564 AWP65564 BGL65564 BQH65564 CAD65564 CJZ65564 CTV65564 DDR65564 DNN65564 DXJ65564 EHF65564 ERB65564 FAX65564 FKT65564 FUP65564 GEL65564 GOH65564 GYD65564 HHZ65564 HRV65564 IBR65564 ILN65564 IVJ65564 JFF65564 JPB65564 JYX65564 KIT65564 KSP65564 LCL65564 LMH65564 LWD65564 MFZ65564 MPV65564 MZR65564 NJN65564 NTJ65564 ODF65564 ONB65564 OWX65564 PGT65564 PQP65564 QAL65564 QKH65564 QUD65564 RDZ65564 RNV65564 RXR65564 SHN65564 SRJ65564 TBF65564 TLB65564 TUX65564 UET65564 UOP65564 UYL65564 VIH65564 VSD65564 WBZ65564 WLV65564 WVR65564 J131100 JF131100 TB131100 ACX131100 AMT131100 AWP131100 BGL131100 BQH131100 CAD131100 CJZ131100 CTV131100 DDR131100 DNN131100 DXJ131100 EHF131100 ERB131100 FAX131100 FKT131100 FUP131100 GEL131100 GOH131100 GYD131100 HHZ131100 HRV131100 IBR131100 ILN131100 IVJ131100 JFF131100 JPB131100 JYX131100 KIT131100 KSP131100 LCL131100 LMH131100 LWD131100 MFZ131100 MPV131100 MZR131100 NJN131100 NTJ131100 ODF131100 ONB131100 OWX131100 PGT131100 PQP131100 QAL131100 QKH131100 QUD131100 RDZ131100 RNV131100 RXR131100 SHN131100 SRJ131100 TBF131100 TLB131100 TUX131100 UET131100 UOP131100 UYL131100 VIH131100 VSD131100 WBZ131100 WLV131100 WVR131100 J196636 JF196636 TB196636 ACX196636 AMT196636 AWP196636 BGL196636 BQH196636 CAD196636 CJZ196636 CTV196636 DDR196636 DNN196636 DXJ196636 EHF196636 ERB196636 FAX196636 FKT196636 FUP196636 GEL196636 GOH196636 GYD196636 HHZ196636 HRV196636 IBR196636 ILN196636 IVJ196636 JFF196636 JPB196636 JYX196636 KIT196636 KSP196636 LCL196636 LMH196636 LWD196636 MFZ196636 MPV196636 MZR196636 NJN196636 NTJ196636 ODF196636 ONB196636 OWX196636 PGT196636 PQP196636 QAL196636 QKH196636 QUD196636 RDZ196636 RNV196636 RXR196636 SHN196636 SRJ196636 TBF196636 TLB196636 TUX196636 UET196636 UOP196636 UYL196636 VIH196636 VSD196636 WBZ196636 WLV196636 WVR196636 J262172 JF262172 TB262172 ACX262172 AMT262172 AWP262172 BGL262172 BQH262172 CAD262172 CJZ262172 CTV262172 DDR262172 DNN262172 DXJ262172 EHF262172 ERB262172 FAX262172 FKT262172 FUP262172 GEL262172 GOH262172 GYD262172 HHZ262172 HRV262172 IBR262172 ILN262172 IVJ262172 JFF262172 JPB262172 JYX262172 KIT262172 KSP262172 LCL262172 LMH262172 LWD262172 MFZ262172 MPV262172 MZR262172 NJN262172 NTJ262172 ODF262172 ONB262172 OWX262172 PGT262172 PQP262172 QAL262172 QKH262172 QUD262172 RDZ262172 RNV262172 RXR262172 SHN262172 SRJ262172 TBF262172 TLB262172 TUX262172 UET262172 UOP262172 UYL262172 VIH262172 VSD262172 WBZ262172 WLV262172 WVR262172 J327708 JF327708 TB327708 ACX327708 AMT327708 AWP327708 BGL327708 BQH327708 CAD327708 CJZ327708 CTV327708 DDR327708 DNN327708 DXJ327708 EHF327708 ERB327708 FAX327708 FKT327708 FUP327708 GEL327708 GOH327708 GYD327708 HHZ327708 HRV327708 IBR327708 ILN327708 IVJ327708 JFF327708 JPB327708 JYX327708 KIT327708 KSP327708 LCL327708 LMH327708 LWD327708 MFZ327708 MPV327708 MZR327708 NJN327708 NTJ327708 ODF327708 ONB327708 OWX327708 PGT327708 PQP327708 QAL327708 QKH327708 QUD327708 RDZ327708 RNV327708 RXR327708 SHN327708 SRJ327708 TBF327708 TLB327708 TUX327708 UET327708 UOP327708 UYL327708 VIH327708 VSD327708 WBZ327708 WLV327708 WVR327708 J393244 JF393244 TB393244 ACX393244 AMT393244 AWP393244 BGL393244 BQH393244 CAD393244 CJZ393244 CTV393244 DDR393244 DNN393244 DXJ393244 EHF393244 ERB393244 FAX393244 FKT393244 FUP393244 GEL393244 GOH393244 GYD393244 HHZ393244 HRV393244 IBR393244 ILN393244 IVJ393244 JFF393244 JPB393244 JYX393244 KIT393244 KSP393244 LCL393244 LMH393244 LWD393244 MFZ393244 MPV393244 MZR393244 NJN393244 NTJ393244 ODF393244 ONB393244 OWX393244 PGT393244 PQP393244 QAL393244 QKH393244 QUD393244 RDZ393244 RNV393244 RXR393244 SHN393244 SRJ393244 TBF393244 TLB393244 TUX393244 UET393244 UOP393244 UYL393244 VIH393244 VSD393244 WBZ393244 WLV393244 WVR393244 J458780 JF458780 TB458780 ACX458780 AMT458780 AWP458780 BGL458780 BQH458780 CAD458780 CJZ458780 CTV458780 DDR458780 DNN458780 DXJ458780 EHF458780 ERB458780 FAX458780 FKT458780 FUP458780 GEL458780 GOH458780 GYD458780 HHZ458780 HRV458780 IBR458780 ILN458780 IVJ458780 JFF458780 JPB458780 JYX458780 KIT458780 KSP458780 LCL458780 LMH458780 LWD458780 MFZ458780 MPV458780 MZR458780 NJN458780 NTJ458780 ODF458780 ONB458780 OWX458780 PGT458780 PQP458780 QAL458780 QKH458780 QUD458780 RDZ458780 RNV458780 RXR458780 SHN458780 SRJ458780 TBF458780 TLB458780 TUX458780 UET458780 UOP458780 UYL458780 VIH458780 VSD458780 WBZ458780 WLV458780 WVR458780 J524316 JF524316 TB524316 ACX524316 AMT524316 AWP524316 BGL524316 BQH524316 CAD524316 CJZ524316 CTV524316 DDR524316 DNN524316 DXJ524316 EHF524316 ERB524316 FAX524316 FKT524316 FUP524316 GEL524316 GOH524316 GYD524316 HHZ524316 HRV524316 IBR524316 ILN524316 IVJ524316 JFF524316 JPB524316 JYX524316 KIT524316 KSP524316 LCL524316 LMH524316 LWD524316 MFZ524316 MPV524316 MZR524316 NJN524316 NTJ524316 ODF524316 ONB524316 OWX524316 PGT524316 PQP524316 QAL524316 QKH524316 QUD524316 RDZ524316 RNV524316 RXR524316 SHN524316 SRJ524316 TBF524316 TLB524316 TUX524316 UET524316 UOP524316 UYL524316 VIH524316 VSD524316 WBZ524316 WLV524316 WVR524316 J589852 JF589852 TB589852 ACX589852 AMT589852 AWP589852 BGL589852 BQH589852 CAD589852 CJZ589852 CTV589852 DDR589852 DNN589852 DXJ589852 EHF589852 ERB589852 FAX589852 FKT589852 FUP589852 GEL589852 GOH589852 GYD589852 HHZ589852 HRV589852 IBR589852 ILN589852 IVJ589852 JFF589852 JPB589852 JYX589852 KIT589852 KSP589852 LCL589852 LMH589852 LWD589852 MFZ589852 MPV589852 MZR589852 NJN589852 NTJ589852 ODF589852 ONB589852 OWX589852 PGT589852 PQP589852 QAL589852 QKH589852 QUD589852 RDZ589852 RNV589852 RXR589852 SHN589852 SRJ589852 TBF589852 TLB589852 TUX589852 UET589852 UOP589852 UYL589852 VIH589852 VSD589852 WBZ589852 WLV589852 WVR589852 J655388 JF655388 TB655388 ACX655388 AMT655388 AWP655388 BGL655388 BQH655388 CAD655388 CJZ655388 CTV655388 DDR655388 DNN655388 DXJ655388 EHF655388 ERB655388 FAX655388 FKT655388 FUP655388 GEL655388 GOH655388 GYD655388 HHZ655388 HRV655388 IBR655388 ILN655388 IVJ655388 JFF655388 JPB655388 JYX655388 KIT655388 KSP655388 LCL655388 LMH655388 LWD655388 MFZ655388 MPV655388 MZR655388 NJN655388 NTJ655388 ODF655388 ONB655388 OWX655388 PGT655388 PQP655388 QAL655388 QKH655388 QUD655388 RDZ655388 RNV655388 RXR655388 SHN655388 SRJ655388 TBF655388 TLB655388 TUX655388 UET655388 UOP655388 UYL655388 VIH655388 VSD655388 WBZ655388 WLV655388 WVR655388 J720924 JF720924 TB720924 ACX720924 AMT720924 AWP720924 BGL720924 BQH720924 CAD720924 CJZ720924 CTV720924 DDR720924 DNN720924 DXJ720924 EHF720924 ERB720924 FAX720924 FKT720924 FUP720924 GEL720924 GOH720924 GYD720924 HHZ720924 HRV720924 IBR720924 ILN720924 IVJ720924 JFF720924 JPB720924 JYX720924 KIT720924 KSP720924 LCL720924 LMH720924 LWD720924 MFZ720924 MPV720924 MZR720924 NJN720924 NTJ720924 ODF720924 ONB720924 OWX720924 PGT720924 PQP720924 QAL720924 QKH720924 QUD720924 RDZ720924 RNV720924 RXR720924 SHN720924 SRJ720924 TBF720924 TLB720924 TUX720924 UET720924 UOP720924 UYL720924 VIH720924 VSD720924 WBZ720924 WLV720924 WVR720924 J786460 JF786460 TB786460 ACX786460 AMT786460 AWP786460 BGL786460 BQH786460 CAD786460 CJZ786460 CTV786460 DDR786460 DNN786460 DXJ786460 EHF786460 ERB786460 FAX786460 FKT786460 FUP786460 GEL786460 GOH786460 GYD786460 HHZ786460 HRV786460 IBR786460 ILN786460 IVJ786460 JFF786460 JPB786460 JYX786460 KIT786460 KSP786460 LCL786460 LMH786460 LWD786460 MFZ786460 MPV786460 MZR786460 NJN786460 NTJ786460 ODF786460 ONB786460 OWX786460 PGT786460 PQP786460 QAL786460 QKH786460 QUD786460 RDZ786460 RNV786460 RXR786460 SHN786460 SRJ786460 TBF786460 TLB786460 TUX786460 UET786460 UOP786460 UYL786460 VIH786460 VSD786460 WBZ786460 WLV786460 WVR786460 J851996 JF851996 TB851996 ACX851996 AMT851996 AWP851996 BGL851996 BQH851996 CAD851996 CJZ851996 CTV851996 DDR851996 DNN851996 DXJ851996 EHF851996 ERB851996 FAX851996 FKT851996 FUP851996 GEL851996 GOH851996 GYD851996 HHZ851996 HRV851996 IBR851996 ILN851996 IVJ851996 JFF851996 JPB851996 JYX851996 KIT851996 KSP851996 LCL851996 LMH851996 LWD851996 MFZ851996 MPV851996 MZR851996 NJN851996 NTJ851996 ODF851996 ONB851996 OWX851996 PGT851996 PQP851996 QAL851996 QKH851996 QUD851996 RDZ851996 RNV851996 RXR851996 SHN851996 SRJ851996 TBF851996 TLB851996 TUX851996 UET851996 UOP851996 UYL851996 VIH851996 VSD851996 WBZ851996 WLV851996 WVR851996 J917532 JF917532 TB917532 ACX917532 AMT917532 AWP917532 BGL917532 BQH917532 CAD917532 CJZ917532 CTV917532 DDR917532 DNN917532 DXJ917532 EHF917532 ERB917532 FAX917532 FKT917532 FUP917532 GEL917532 GOH917532 GYD917532 HHZ917532 HRV917532 IBR917532 ILN917532 IVJ917532 JFF917532 JPB917532 JYX917532 KIT917532 KSP917532 LCL917532 LMH917532 LWD917532 MFZ917532 MPV917532 MZR917532 NJN917532 NTJ917532 ODF917532 ONB917532 OWX917532 PGT917532 PQP917532 QAL917532 QKH917532 QUD917532 RDZ917532 RNV917532 RXR917532 SHN917532 SRJ917532 TBF917532 TLB917532 TUX917532 UET917532 UOP917532 UYL917532 VIH917532 VSD917532 WBZ917532 WLV917532 WVR917532 J983068 JF983068 TB983068 ACX983068 AMT983068 AWP983068 BGL983068 BQH983068 CAD983068 CJZ983068 CTV983068 DDR983068 DNN983068 DXJ983068 EHF983068 ERB983068 FAX983068 FKT983068 FUP983068 GEL983068 GOH983068 GYD983068 HHZ983068 HRV983068 IBR983068 ILN983068 IVJ983068 JFF983068 JPB983068 JYX983068 KIT983068 KSP983068 LCL983068 LMH983068 LWD983068 MFZ983068 MPV983068 MZR983068 NJN983068 NTJ983068 ODF983068 ONB983068 OWX983068 PGT983068 PQP983068 QAL983068 QKH983068 QUD983068 RDZ983068 RNV983068 RXR983068 SHN983068 SRJ983068 TBF983068 TLB983068 TUX983068 UET983068 UOP983068 UYL983068 VIH983068 VSD983068 WBZ983068 WLV983068 WVR983068">
      <formula1>$X$3:$X$12</formula1>
    </dataValidation>
    <dataValidation type="whole" operator="lessThan" allowBlank="1" showInputMessage="1" showErrorMessage="1" sqref="J12 JF12 TB12 ACX12 AMT12 AWP12 BGL12 BQH12 CAD12 CJZ12 CTV12 DDR12 DNN12 DXJ12 EHF12 ERB12 FAX12 FKT12 FUP12 GEL12 GOH12 GYD12 HHZ12 HRV12 IBR12 ILN12 IVJ12 JFF12 JPB12 JYX12 KIT12 KSP12 LCL12 LMH12 LWD12 MFZ12 MPV12 MZR12 NJN12 NTJ12 ODF12 ONB12 OWX12 PGT12 PQP12 QAL12 QKH12 QUD12 RDZ12 RNV12 RXR12 SHN12 SRJ12 TBF12 TLB12 TUX12 UET12 UOP12 UYL12 VIH12 VSD12 WBZ12 WLV12 WVR12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H32 JD32 SZ32 ACV32 AMR32 AWN32 BGJ32 BQF32 CAB32 CJX32 CTT32 DDP32 DNL32 DXH32 EHD32 EQZ32 FAV32 FKR32 FUN32 GEJ32 GOF32 GYB32 HHX32 HRT32 IBP32 ILL32 IVH32 JFD32 JOZ32 JYV32 KIR32 KSN32 LCJ32 LMF32 LWB32 MFX32 MPT32 MZP32 NJL32 NTH32 ODD32 OMZ32 OWV32 PGR32 PQN32 QAJ32 QKF32 QUB32 RDX32 RNT32 RXP32 SHL32 SRH32 TBD32 TKZ32 TUV32 UER32 UON32 UYJ32 VIF32 VSB32 WBX32 WLT32 WVP32 H65568 JD65568 SZ65568 ACV65568 AMR65568 AWN65568 BGJ65568 BQF65568 CAB65568 CJX65568 CTT65568 DDP65568 DNL65568 DXH65568 EHD65568 EQZ65568 FAV65568 FKR65568 FUN65568 GEJ65568 GOF65568 GYB65568 HHX65568 HRT65568 IBP65568 ILL65568 IVH65568 JFD65568 JOZ65568 JYV65568 KIR65568 KSN65568 LCJ65568 LMF65568 LWB65568 MFX65568 MPT65568 MZP65568 NJL65568 NTH65568 ODD65568 OMZ65568 OWV65568 PGR65568 PQN65568 QAJ65568 QKF65568 QUB65568 RDX65568 RNT65568 RXP65568 SHL65568 SRH65568 TBD65568 TKZ65568 TUV65568 UER65568 UON65568 UYJ65568 VIF65568 VSB65568 WBX65568 WLT65568 WVP65568 H131104 JD131104 SZ131104 ACV131104 AMR131104 AWN131104 BGJ131104 BQF131104 CAB131104 CJX131104 CTT131104 DDP131104 DNL131104 DXH131104 EHD131104 EQZ131104 FAV131104 FKR131104 FUN131104 GEJ131104 GOF131104 GYB131104 HHX131104 HRT131104 IBP131104 ILL131104 IVH131104 JFD131104 JOZ131104 JYV131104 KIR131104 KSN131104 LCJ131104 LMF131104 LWB131104 MFX131104 MPT131104 MZP131104 NJL131104 NTH131104 ODD131104 OMZ131104 OWV131104 PGR131104 PQN131104 QAJ131104 QKF131104 QUB131104 RDX131104 RNT131104 RXP131104 SHL131104 SRH131104 TBD131104 TKZ131104 TUV131104 UER131104 UON131104 UYJ131104 VIF131104 VSB131104 WBX131104 WLT131104 WVP131104 H196640 JD196640 SZ196640 ACV196640 AMR196640 AWN196640 BGJ196640 BQF196640 CAB196640 CJX196640 CTT196640 DDP196640 DNL196640 DXH196640 EHD196640 EQZ196640 FAV196640 FKR196640 FUN196640 GEJ196640 GOF196640 GYB196640 HHX196640 HRT196640 IBP196640 ILL196640 IVH196640 JFD196640 JOZ196640 JYV196640 KIR196640 KSN196640 LCJ196640 LMF196640 LWB196640 MFX196640 MPT196640 MZP196640 NJL196640 NTH196640 ODD196640 OMZ196640 OWV196640 PGR196640 PQN196640 QAJ196640 QKF196640 QUB196640 RDX196640 RNT196640 RXP196640 SHL196640 SRH196640 TBD196640 TKZ196640 TUV196640 UER196640 UON196640 UYJ196640 VIF196640 VSB196640 WBX196640 WLT196640 WVP196640 H262176 JD262176 SZ262176 ACV262176 AMR262176 AWN262176 BGJ262176 BQF262176 CAB262176 CJX262176 CTT262176 DDP262176 DNL262176 DXH262176 EHD262176 EQZ262176 FAV262176 FKR262176 FUN262176 GEJ262176 GOF262176 GYB262176 HHX262176 HRT262176 IBP262176 ILL262176 IVH262176 JFD262176 JOZ262176 JYV262176 KIR262176 KSN262176 LCJ262176 LMF262176 LWB262176 MFX262176 MPT262176 MZP262176 NJL262176 NTH262176 ODD262176 OMZ262176 OWV262176 PGR262176 PQN262176 QAJ262176 QKF262176 QUB262176 RDX262176 RNT262176 RXP262176 SHL262176 SRH262176 TBD262176 TKZ262176 TUV262176 UER262176 UON262176 UYJ262176 VIF262176 VSB262176 WBX262176 WLT262176 WVP262176 H327712 JD327712 SZ327712 ACV327712 AMR327712 AWN327712 BGJ327712 BQF327712 CAB327712 CJX327712 CTT327712 DDP327712 DNL327712 DXH327712 EHD327712 EQZ327712 FAV327712 FKR327712 FUN327712 GEJ327712 GOF327712 GYB327712 HHX327712 HRT327712 IBP327712 ILL327712 IVH327712 JFD327712 JOZ327712 JYV327712 KIR327712 KSN327712 LCJ327712 LMF327712 LWB327712 MFX327712 MPT327712 MZP327712 NJL327712 NTH327712 ODD327712 OMZ327712 OWV327712 PGR327712 PQN327712 QAJ327712 QKF327712 QUB327712 RDX327712 RNT327712 RXP327712 SHL327712 SRH327712 TBD327712 TKZ327712 TUV327712 UER327712 UON327712 UYJ327712 VIF327712 VSB327712 WBX327712 WLT327712 WVP327712 H393248 JD393248 SZ393248 ACV393248 AMR393248 AWN393248 BGJ393248 BQF393248 CAB393248 CJX393248 CTT393248 DDP393248 DNL393248 DXH393248 EHD393248 EQZ393248 FAV393248 FKR393248 FUN393248 GEJ393248 GOF393248 GYB393248 HHX393248 HRT393248 IBP393248 ILL393248 IVH393248 JFD393248 JOZ393248 JYV393248 KIR393248 KSN393248 LCJ393248 LMF393248 LWB393248 MFX393248 MPT393248 MZP393248 NJL393248 NTH393248 ODD393248 OMZ393248 OWV393248 PGR393248 PQN393248 QAJ393248 QKF393248 QUB393248 RDX393248 RNT393248 RXP393248 SHL393248 SRH393248 TBD393248 TKZ393248 TUV393248 UER393248 UON393248 UYJ393248 VIF393248 VSB393248 WBX393248 WLT393248 WVP393248 H458784 JD458784 SZ458784 ACV458784 AMR458784 AWN458784 BGJ458784 BQF458784 CAB458784 CJX458784 CTT458784 DDP458784 DNL458784 DXH458784 EHD458784 EQZ458784 FAV458784 FKR458784 FUN458784 GEJ458784 GOF458784 GYB458784 HHX458784 HRT458784 IBP458784 ILL458784 IVH458784 JFD458784 JOZ458784 JYV458784 KIR458784 KSN458784 LCJ458784 LMF458784 LWB458784 MFX458784 MPT458784 MZP458784 NJL458784 NTH458784 ODD458784 OMZ458784 OWV458784 PGR458784 PQN458784 QAJ458784 QKF458784 QUB458784 RDX458784 RNT458784 RXP458784 SHL458784 SRH458784 TBD458784 TKZ458784 TUV458784 UER458784 UON458784 UYJ458784 VIF458784 VSB458784 WBX458784 WLT458784 WVP458784 H524320 JD524320 SZ524320 ACV524320 AMR524320 AWN524320 BGJ524320 BQF524320 CAB524320 CJX524320 CTT524320 DDP524320 DNL524320 DXH524320 EHD524320 EQZ524320 FAV524320 FKR524320 FUN524320 GEJ524320 GOF524320 GYB524320 HHX524320 HRT524320 IBP524320 ILL524320 IVH524320 JFD524320 JOZ524320 JYV524320 KIR524320 KSN524320 LCJ524320 LMF524320 LWB524320 MFX524320 MPT524320 MZP524320 NJL524320 NTH524320 ODD524320 OMZ524320 OWV524320 PGR524320 PQN524320 QAJ524320 QKF524320 QUB524320 RDX524320 RNT524320 RXP524320 SHL524320 SRH524320 TBD524320 TKZ524320 TUV524320 UER524320 UON524320 UYJ524320 VIF524320 VSB524320 WBX524320 WLT524320 WVP524320 H589856 JD589856 SZ589856 ACV589856 AMR589856 AWN589856 BGJ589856 BQF589856 CAB589856 CJX589856 CTT589856 DDP589856 DNL589856 DXH589856 EHD589856 EQZ589856 FAV589856 FKR589856 FUN589856 GEJ589856 GOF589856 GYB589856 HHX589856 HRT589856 IBP589856 ILL589856 IVH589856 JFD589856 JOZ589856 JYV589856 KIR589856 KSN589856 LCJ589856 LMF589856 LWB589856 MFX589856 MPT589856 MZP589856 NJL589856 NTH589856 ODD589856 OMZ589856 OWV589856 PGR589856 PQN589856 QAJ589856 QKF589856 QUB589856 RDX589856 RNT589856 RXP589856 SHL589856 SRH589856 TBD589856 TKZ589856 TUV589856 UER589856 UON589856 UYJ589856 VIF589856 VSB589856 WBX589856 WLT589856 WVP589856 H655392 JD655392 SZ655392 ACV655392 AMR655392 AWN655392 BGJ655392 BQF655392 CAB655392 CJX655392 CTT655392 DDP655392 DNL655392 DXH655392 EHD655392 EQZ655392 FAV655392 FKR655392 FUN655392 GEJ655392 GOF655392 GYB655392 HHX655392 HRT655392 IBP655392 ILL655392 IVH655392 JFD655392 JOZ655392 JYV655392 KIR655392 KSN655392 LCJ655392 LMF655392 LWB655392 MFX655392 MPT655392 MZP655392 NJL655392 NTH655392 ODD655392 OMZ655392 OWV655392 PGR655392 PQN655392 QAJ655392 QKF655392 QUB655392 RDX655392 RNT655392 RXP655392 SHL655392 SRH655392 TBD655392 TKZ655392 TUV655392 UER655392 UON655392 UYJ655392 VIF655392 VSB655392 WBX655392 WLT655392 WVP655392 H720928 JD720928 SZ720928 ACV720928 AMR720928 AWN720928 BGJ720928 BQF720928 CAB720928 CJX720928 CTT720928 DDP720928 DNL720928 DXH720928 EHD720928 EQZ720928 FAV720928 FKR720928 FUN720928 GEJ720928 GOF720928 GYB720928 HHX720928 HRT720928 IBP720928 ILL720928 IVH720928 JFD720928 JOZ720928 JYV720928 KIR720928 KSN720928 LCJ720928 LMF720928 LWB720928 MFX720928 MPT720928 MZP720928 NJL720928 NTH720928 ODD720928 OMZ720928 OWV720928 PGR720928 PQN720928 QAJ720928 QKF720928 QUB720928 RDX720928 RNT720928 RXP720928 SHL720928 SRH720928 TBD720928 TKZ720928 TUV720928 UER720928 UON720928 UYJ720928 VIF720928 VSB720928 WBX720928 WLT720928 WVP720928 H786464 JD786464 SZ786464 ACV786464 AMR786464 AWN786464 BGJ786464 BQF786464 CAB786464 CJX786464 CTT786464 DDP786464 DNL786464 DXH786464 EHD786464 EQZ786464 FAV786464 FKR786464 FUN786464 GEJ786464 GOF786464 GYB786464 HHX786464 HRT786464 IBP786464 ILL786464 IVH786464 JFD786464 JOZ786464 JYV786464 KIR786464 KSN786464 LCJ786464 LMF786464 LWB786464 MFX786464 MPT786464 MZP786464 NJL786464 NTH786464 ODD786464 OMZ786464 OWV786464 PGR786464 PQN786464 QAJ786464 QKF786464 QUB786464 RDX786464 RNT786464 RXP786464 SHL786464 SRH786464 TBD786464 TKZ786464 TUV786464 UER786464 UON786464 UYJ786464 VIF786464 VSB786464 WBX786464 WLT786464 WVP786464 H852000 JD852000 SZ852000 ACV852000 AMR852000 AWN852000 BGJ852000 BQF852000 CAB852000 CJX852000 CTT852000 DDP852000 DNL852000 DXH852000 EHD852000 EQZ852000 FAV852000 FKR852000 FUN852000 GEJ852000 GOF852000 GYB852000 HHX852000 HRT852000 IBP852000 ILL852000 IVH852000 JFD852000 JOZ852000 JYV852000 KIR852000 KSN852000 LCJ852000 LMF852000 LWB852000 MFX852000 MPT852000 MZP852000 NJL852000 NTH852000 ODD852000 OMZ852000 OWV852000 PGR852000 PQN852000 QAJ852000 QKF852000 QUB852000 RDX852000 RNT852000 RXP852000 SHL852000 SRH852000 TBD852000 TKZ852000 TUV852000 UER852000 UON852000 UYJ852000 VIF852000 VSB852000 WBX852000 WLT852000 WVP852000 H917536 JD917536 SZ917536 ACV917536 AMR917536 AWN917536 BGJ917536 BQF917536 CAB917536 CJX917536 CTT917536 DDP917536 DNL917536 DXH917536 EHD917536 EQZ917536 FAV917536 FKR917536 FUN917536 GEJ917536 GOF917536 GYB917536 HHX917536 HRT917536 IBP917536 ILL917536 IVH917536 JFD917536 JOZ917536 JYV917536 KIR917536 KSN917536 LCJ917536 LMF917536 LWB917536 MFX917536 MPT917536 MZP917536 NJL917536 NTH917536 ODD917536 OMZ917536 OWV917536 PGR917536 PQN917536 QAJ917536 QKF917536 QUB917536 RDX917536 RNT917536 RXP917536 SHL917536 SRH917536 TBD917536 TKZ917536 TUV917536 UER917536 UON917536 UYJ917536 VIF917536 VSB917536 WBX917536 WLT917536 WVP917536 H983072 JD983072 SZ983072 ACV983072 AMR983072 AWN983072 BGJ983072 BQF983072 CAB983072 CJX983072 CTT983072 DDP983072 DNL983072 DXH983072 EHD983072 EQZ983072 FAV983072 FKR983072 FUN983072 GEJ983072 GOF983072 GYB983072 HHX983072 HRT983072 IBP983072 ILL983072 IVH983072 JFD983072 JOZ983072 JYV983072 KIR983072 KSN983072 LCJ983072 LMF983072 LWB983072 MFX983072 MPT983072 MZP983072 NJL983072 NTH983072 ODD983072 OMZ983072 OWV983072 PGR983072 PQN983072 QAJ983072 QKF983072 QUB983072 RDX983072 RNT983072 RXP983072 SHL983072 SRH983072 TBD983072 TKZ983072 TUV983072 UER983072 UON983072 UYJ983072 VIF983072 VSB983072 WBX983072 WLT983072 WVP983072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I26 JE26 TA26 ACW26 AMS26 AWO26 BGK26 BQG26 CAC26 CJY26 CTU26 DDQ26 DNM26 DXI26 EHE26 ERA26 FAW26 FKS26 FUO26 GEK26 GOG26 GYC26 HHY26 HRU26 IBQ26 ILM26 IVI26 JFE26 JPA26 JYW26 KIS26 KSO26 LCK26 LMG26 LWC26 MFY26 MPU26 MZQ26 NJM26 NTI26 ODE26 ONA26 OWW26 PGS26 PQO26 QAK26 QKG26 QUC26 RDY26 RNU26 RXQ26 SHM26 SRI26 TBE26 TLA26 TUW26 UES26 UOO26 UYK26 VIG26 VSC26 WBY26 WLU26 WVQ26 I65562 JE65562 TA65562 ACW65562 AMS65562 AWO65562 BGK65562 BQG65562 CAC65562 CJY65562 CTU65562 DDQ65562 DNM65562 DXI65562 EHE65562 ERA65562 FAW65562 FKS65562 FUO65562 GEK65562 GOG65562 GYC65562 HHY65562 HRU65562 IBQ65562 ILM65562 IVI65562 JFE65562 JPA65562 JYW65562 KIS65562 KSO65562 LCK65562 LMG65562 LWC65562 MFY65562 MPU65562 MZQ65562 NJM65562 NTI65562 ODE65562 ONA65562 OWW65562 PGS65562 PQO65562 QAK65562 QKG65562 QUC65562 RDY65562 RNU65562 RXQ65562 SHM65562 SRI65562 TBE65562 TLA65562 TUW65562 UES65562 UOO65562 UYK65562 VIG65562 VSC65562 WBY65562 WLU65562 WVQ65562 I131098 JE131098 TA131098 ACW131098 AMS131098 AWO131098 BGK131098 BQG131098 CAC131098 CJY131098 CTU131098 DDQ131098 DNM131098 DXI131098 EHE131098 ERA131098 FAW131098 FKS131098 FUO131098 GEK131098 GOG131098 GYC131098 HHY131098 HRU131098 IBQ131098 ILM131098 IVI131098 JFE131098 JPA131098 JYW131098 KIS131098 KSO131098 LCK131098 LMG131098 LWC131098 MFY131098 MPU131098 MZQ131098 NJM131098 NTI131098 ODE131098 ONA131098 OWW131098 PGS131098 PQO131098 QAK131098 QKG131098 QUC131098 RDY131098 RNU131098 RXQ131098 SHM131098 SRI131098 TBE131098 TLA131098 TUW131098 UES131098 UOO131098 UYK131098 VIG131098 VSC131098 WBY131098 WLU131098 WVQ131098 I196634 JE196634 TA196634 ACW196634 AMS196634 AWO196634 BGK196634 BQG196634 CAC196634 CJY196634 CTU196634 DDQ196634 DNM196634 DXI196634 EHE196634 ERA196634 FAW196634 FKS196634 FUO196634 GEK196634 GOG196634 GYC196634 HHY196634 HRU196634 IBQ196634 ILM196634 IVI196634 JFE196634 JPA196634 JYW196634 KIS196634 KSO196634 LCK196634 LMG196634 LWC196634 MFY196634 MPU196634 MZQ196634 NJM196634 NTI196634 ODE196634 ONA196634 OWW196634 PGS196634 PQO196634 QAK196634 QKG196634 QUC196634 RDY196634 RNU196634 RXQ196634 SHM196634 SRI196634 TBE196634 TLA196634 TUW196634 UES196634 UOO196634 UYK196634 VIG196634 VSC196634 WBY196634 WLU196634 WVQ196634 I262170 JE262170 TA262170 ACW262170 AMS262170 AWO262170 BGK262170 BQG262170 CAC262170 CJY262170 CTU262170 DDQ262170 DNM262170 DXI262170 EHE262170 ERA262170 FAW262170 FKS262170 FUO262170 GEK262170 GOG262170 GYC262170 HHY262170 HRU262170 IBQ262170 ILM262170 IVI262170 JFE262170 JPA262170 JYW262170 KIS262170 KSO262170 LCK262170 LMG262170 LWC262170 MFY262170 MPU262170 MZQ262170 NJM262170 NTI262170 ODE262170 ONA262170 OWW262170 PGS262170 PQO262170 QAK262170 QKG262170 QUC262170 RDY262170 RNU262170 RXQ262170 SHM262170 SRI262170 TBE262170 TLA262170 TUW262170 UES262170 UOO262170 UYK262170 VIG262170 VSC262170 WBY262170 WLU262170 WVQ262170 I327706 JE327706 TA327706 ACW327706 AMS327706 AWO327706 BGK327706 BQG327706 CAC327706 CJY327706 CTU327706 DDQ327706 DNM327706 DXI327706 EHE327706 ERA327706 FAW327706 FKS327706 FUO327706 GEK327706 GOG327706 GYC327706 HHY327706 HRU327706 IBQ327706 ILM327706 IVI327706 JFE327706 JPA327706 JYW327706 KIS327706 KSO327706 LCK327706 LMG327706 LWC327706 MFY327706 MPU327706 MZQ327706 NJM327706 NTI327706 ODE327706 ONA327706 OWW327706 PGS327706 PQO327706 QAK327706 QKG327706 QUC327706 RDY327706 RNU327706 RXQ327706 SHM327706 SRI327706 TBE327706 TLA327706 TUW327706 UES327706 UOO327706 UYK327706 VIG327706 VSC327706 WBY327706 WLU327706 WVQ327706 I393242 JE393242 TA393242 ACW393242 AMS393242 AWO393242 BGK393242 BQG393242 CAC393242 CJY393242 CTU393242 DDQ393242 DNM393242 DXI393242 EHE393242 ERA393242 FAW393242 FKS393242 FUO393242 GEK393242 GOG393242 GYC393242 HHY393242 HRU393242 IBQ393242 ILM393242 IVI393242 JFE393242 JPA393242 JYW393242 KIS393242 KSO393242 LCK393242 LMG393242 LWC393242 MFY393242 MPU393242 MZQ393242 NJM393242 NTI393242 ODE393242 ONA393242 OWW393242 PGS393242 PQO393242 QAK393242 QKG393242 QUC393242 RDY393242 RNU393242 RXQ393242 SHM393242 SRI393242 TBE393242 TLA393242 TUW393242 UES393242 UOO393242 UYK393242 VIG393242 VSC393242 WBY393242 WLU393242 WVQ393242 I458778 JE458778 TA458778 ACW458778 AMS458778 AWO458778 BGK458778 BQG458778 CAC458778 CJY458778 CTU458778 DDQ458778 DNM458778 DXI458778 EHE458778 ERA458778 FAW458778 FKS458778 FUO458778 GEK458778 GOG458778 GYC458778 HHY458778 HRU458778 IBQ458778 ILM458778 IVI458778 JFE458778 JPA458778 JYW458778 KIS458778 KSO458778 LCK458778 LMG458778 LWC458778 MFY458778 MPU458778 MZQ458778 NJM458778 NTI458778 ODE458778 ONA458778 OWW458778 PGS458778 PQO458778 QAK458778 QKG458778 QUC458778 RDY458778 RNU458778 RXQ458778 SHM458778 SRI458778 TBE458778 TLA458778 TUW458778 UES458778 UOO458778 UYK458778 VIG458778 VSC458778 WBY458778 WLU458778 WVQ458778 I524314 JE524314 TA524314 ACW524314 AMS524314 AWO524314 BGK524314 BQG524314 CAC524314 CJY524314 CTU524314 DDQ524314 DNM524314 DXI524314 EHE524314 ERA524314 FAW524314 FKS524314 FUO524314 GEK524314 GOG524314 GYC524314 HHY524314 HRU524314 IBQ524314 ILM524314 IVI524314 JFE524314 JPA524314 JYW524314 KIS524314 KSO524314 LCK524314 LMG524314 LWC524314 MFY524314 MPU524314 MZQ524314 NJM524314 NTI524314 ODE524314 ONA524314 OWW524314 PGS524314 PQO524314 QAK524314 QKG524314 QUC524314 RDY524314 RNU524314 RXQ524314 SHM524314 SRI524314 TBE524314 TLA524314 TUW524314 UES524314 UOO524314 UYK524314 VIG524314 VSC524314 WBY524314 WLU524314 WVQ524314 I589850 JE589850 TA589850 ACW589850 AMS589850 AWO589850 BGK589850 BQG589850 CAC589850 CJY589850 CTU589850 DDQ589850 DNM589850 DXI589850 EHE589850 ERA589850 FAW589850 FKS589850 FUO589850 GEK589850 GOG589850 GYC589850 HHY589850 HRU589850 IBQ589850 ILM589850 IVI589850 JFE589850 JPA589850 JYW589850 KIS589850 KSO589850 LCK589850 LMG589850 LWC589850 MFY589850 MPU589850 MZQ589850 NJM589850 NTI589850 ODE589850 ONA589850 OWW589850 PGS589850 PQO589850 QAK589850 QKG589850 QUC589850 RDY589850 RNU589850 RXQ589850 SHM589850 SRI589850 TBE589850 TLA589850 TUW589850 UES589850 UOO589850 UYK589850 VIG589850 VSC589850 WBY589850 WLU589850 WVQ589850 I655386 JE655386 TA655386 ACW655386 AMS655386 AWO655386 BGK655386 BQG655386 CAC655386 CJY655386 CTU655386 DDQ655386 DNM655386 DXI655386 EHE655386 ERA655386 FAW655386 FKS655386 FUO655386 GEK655386 GOG655386 GYC655386 HHY655386 HRU655386 IBQ655386 ILM655386 IVI655386 JFE655386 JPA655386 JYW655386 KIS655386 KSO655386 LCK655386 LMG655386 LWC655386 MFY655386 MPU655386 MZQ655386 NJM655386 NTI655386 ODE655386 ONA655386 OWW655386 PGS655386 PQO655386 QAK655386 QKG655386 QUC655386 RDY655386 RNU655386 RXQ655386 SHM655386 SRI655386 TBE655386 TLA655386 TUW655386 UES655386 UOO655386 UYK655386 VIG655386 VSC655386 WBY655386 WLU655386 WVQ655386 I720922 JE720922 TA720922 ACW720922 AMS720922 AWO720922 BGK720922 BQG720922 CAC720922 CJY720922 CTU720922 DDQ720922 DNM720922 DXI720922 EHE720922 ERA720922 FAW720922 FKS720922 FUO720922 GEK720922 GOG720922 GYC720922 HHY720922 HRU720922 IBQ720922 ILM720922 IVI720922 JFE720922 JPA720922 JYW720922 KIS720922 KSO720922 LCK720922 LMG720922 LWC720922 MFY720922 MPU720922 MZQ720922 NJM720922 NTI720922 ODE720922 ONA720922 OWW720922 PGS720922 PQO720922 QAK720922 QKG720922 QUC720922 RDY720922 RNU720922 RXQ720922 SHM720922 SRI720922 TBE720922 TLA720922 TUW720922 UES720922 UOO720922 UYK720922 VIG720922 VSC720922 WBY720922 WLU720922 WVQ720922 I786458 JE786458 TA786458 ACW786458 AMS786458 AWO786458 BGK786458 BQG786458 CAC786458 CJY786458 CTU786458 DDQ786458 DNM786458 DXI786458 EHE786458 ERA786458 FAW786458 FKS786458 FUO786458 GEK786458 GOG786458 GYC786458 HHY786458 HRU786458 IBQ786458 ILM786458 IVI786458 JFE786458 JPA786458 JYW786458 KIS786458 KSO786458 LCK786458 LMG786458 LWC786458 MFY786458 MPU786458 MZQ786458 NJM786458 NTI786458 ODE786458 ONA786458 OWW786458 PGS786458 PQO786458 QAK786458 QKG786458 QUC786458 RDY786458 RNU786458 RXQ786458 SHM786458 SRI786458 TBE786458 TLA786458 TUW786458 UES786458 UOO786458 UYK786458 VIG786458 VSC786458 WBY786458 WLU786458 WVQ786458 I851994 JE851994 TA851994 ACW851994 AMS851994 AWO851994 BGK851994 BQG851994 CAC851994 CJY851994 CTU851994 DDQ851994 DNM851994 DXI851994 EHE851994 ERA851994 FAW851994 FKS851994 FUO851994 GEK851994 GOG851994 GYC851994 HHY851994 HRU851994 IBQ851994 ILM851994 IVI851994 JFE851994 JPA851994 JYW851994 KIS851994 KSO851994 LCK851994 LMG851994 LWC851994 MFY851994 MPU851994 MZQ851994 NJM851994 NTI851994 ODE851994 ONA851994 OWW851994 PGS851994 PQO851994 QAK851994 QKG851994 QUC851994 RDY851994 RNU851994 RXQ851994 SHM851994 SRI851994 TBE851994 TLA851994 TUW851994 UES851994 UOO851994 UYK851994 VIG851994 VSC851994 WBY851994 WLU851994 WVQ851994 I917530 JE917530 TA917530 ACW917530 AMS917530 AWO917530 BGK917530 BQG917530 CAC917530 CJY917530 CTU917530 DDQ917530 DNM917530 DXI917530 EHE917530 ERA917530 FAW917530 FKS917530 FUO917530 GEK917530 GOG917530 GYC917530 HHY917530 HRU917530 IBQ917530 ILM917530 IVI917530 JFE917530 JPA917530 JYW917530 KIS917530 KSO917530 LCK917530 LMG917530 LWC917530 MFY917530 MPU917530 MZQ917530 NJM917530 NTI917530 ODE917530 ONA917530 OWW917530 PGS917530 PQO917530 QAK917530 QKG917530 QUC917530 RDY917530 RNU917530 RXQ917530 SHM917530 SRI917530 TBE917530 TLA917530 TUW917530 UES917530 UOO917530 UYK917530 VIG917530 VSC917530 WBY917530 WLU917530 WVQ917530 I983066 JE983066 TA983066 ACW983066 AMS983066 AWO983066 BGK983066 BQG983066 CAC983066 CJY983066 CTU983066 DDQ983066 DNM983066 DXI983066 EHE983066 ERA983066 FAW983066 FKS983066 FUO983066 GEK983066 GOG983066 GYC983066 HHY983066 HRU983066 IBQ983066 ILM983066 IVI983066 JFE983066 JPA983066 JYW983066 KIS983066 KSO983066 LCK983066 LMG983066 LWC983066 MFY983066 MPU983066 MZQ983066 NJM983066 NTI983066 ODE983066 ONA983066 OWW983066 PGS983066 PQO983066 QAK983066 QKG983066 QUC983066 RDY983066 RNU983066 RXQ983066 SHM983066 SRI983066 TBE983066 TLA983066 TUW983066 UES983066 UOO983066 UYK983066 VIG983066 VSC983066 WBY983066 WLU983066 WVQ983066">
      <formula1>100</formula1>
    </dataValidation>
    <dataValidation type="list" allowBlank="1" showInputMessage="1" showErrorMessage="1" sqref="Q4 JM4 TI4 ADE4 ANA4 AWW4 BGS4 BQO4 CAK4 CKG4 CUC4 DDY4 DNU4 DXQ4 EHM4 ERI4 FBE4 FLA4 FUW4 GES4 GOO4 GYK4 HIG4 HSC4 IBY4 ILU4 IVQ4 JFM4 JPI4 JZE4 KJA4 KSW4 LCS4 LMO4 LWK4 MGG4 MQC4 MZY4 NJU4 NTQ4 ODM4 ONI4 OXE4 PHA4 PQW4 QAS4 QKO4 QUK4 REG4 ROC4 RXY4 SHU4 SRQ4 TBM4 TLI4 TVE4 UFA4 UOW4 UYS4 VIO4 VSK4 WCG4 WMC4 WVY4 Q65540 JM65540 TI65540 ADE65540 ANA65540 AWW65540 BGS65540 BQO65540 CAK65540 CKG65540 CUC65540 DDY65540 DNU65540 DXQ65540 EHM65540 ERI65540 FBE65540 FLA65540 FUW65540 GES65540 GOO65540 GYK65540 HIG65540 HSC65540 IBY65540 ILU65540 IVQ65540 JFM65540 JPI65540 JZE65540 KJA65540 KSW65540 LCS65540 LMO65540 LWK65540 MGG65540 MQC65540 MZY65540 NJU65540 NTQ65540 ODM65540 ONI65540 OXE65540 PHA65540 PQW65540 QAS65540 QKO65540 QUK65540 REG65540 ROC65540 RXY65540 SHU65540 SRQ65540 TBM65540 TLI65540 TVE65540 UFA65540 UOW65540 UYS65540 VIO65540 VSK65540 WCG65540 WMC65540 WVY65540 Q131076 JM131076 TI131076 ADE131076 ANA131076 AWW131076 BGS131076 BQO131076 CAK131076 CKG131076 CUC131076 DDY131076 DNU131076 DXQ131076 EHM131076 ERI131076 FBE131076 FLA131076 FUW131076 GES131076 GOO131076 GYK131076 HIG131076 HSC131076 IBY131076 ILU131076 IVQ131076 JFM131076 JPI131076 JZE131076 KJA131076 KSW131076 LCS131076 LMO131076 LWK131076 MGG131076 MQC131076 MZY131076 NJU131076 NTQ131076 ODM131076 ONI131076 OXE131076 PHA131076 PQW131076 QAS131076 QKO131076 QUK131076 REG131076 ROC131076 RXY131076 SHU131076 SRQ131076 TBM131076 TLI131076 TVE131076 UFA131076 UOW131076 UYS131076 VIO131076 VSK131076 WCG131076 WMC131076 WVY131076 Q196612 JM196612 TI196612 ADE196612 ANA196612 AWW196612 BGS196612 BQO196612 CAK196612 CKG196612 CUC196612 DDY196612 DNU196612 DXQ196612 EHM196612 ERI196612 FBE196612 FLA196612 FUW196612 GES196612 GOO196612 GYK196612 HIG196612 HSC196612 IBY196612 ILU196612 IVQ196612 JFM196612 JPI196612 JZE196612 KJA196612 KSW196612 LCS196612 LMO196612 LWK196612 MGG196612 MQC196612 MZY196612 NJU196612 NTQ196612 ODM196612 ONI196612 OXE196612 PHA196612 PQW196612 QAS196612 QKO196612 QUK196612 REG196612 ROC196612 RXY196612 SHU196612 SRQ196612 TBM196612 TLI196612 TVE196612 UFA196612 UOW196612 UYS196612 VIO196612 VSK196612 WCG196612 WMC196612 WVY196612 Q262148 JM262148 TI262148 ADE262148 ANA262148 AWW262148 BGS262148 BQO262148 CAK262148 CKG262148 CUC262148 DDY262148 DNU262148 DXQ262148 EHM262148 ERI262148 FBE262148 FLA262148 FUW262148 GES262148 GOO262148 GYK262148 HIG262148 HSC262148 IBY262148 ILU262148 IVQ262148 JFM262148 JPI262148 JZE262148 KJA262148 KSW262148 LCS262148 LMO262148 LWK262148 MGG262148 MQC262148 MZY262148 NJU262148 NTQ262148 ODM262148 ONI262148 OXE262148 PHA262148 PQW262148 QAS262148 QKO262148 QUK262148 REG262148 ROC262148 RXY262148 SHU262148 SRQ262148 TBM262148 TLI262148 TVE262148 UFA262148 UOW262148 UYS262148 VIO262148 VSK262148 WCG262148 WMC262148 WVY262148 Q327684 JM327684 TI327684 ADE327684 ANA327684 AWW327684 BGS327684 BQO327684 CAK327684 CKG327684 CUC327684 DDY327684 DNU327684 DXQ327684 EHM327684 ERI327684 FBE327684 FLA327684 FUW327684 GES327684 GOO327684 GYK327684 HIG327684 HSC327684 IBY327684 ILU327684 IVQ327684 JFM327684 JPI327684 JZE327684 KJA327684 KSW327684 LCS327684 LMO327684 LWK327684 MGG327684 MQC327684 MZY327684 NJU327684 NTQ327684 ODM327684 ONI327684 OXE327684 PHA327684 PQW327684 QAS327684 QKO327684 QUK327684 REG327684 ROC327684 RXY327684 SHU327684 SRQ327684 TBM327684 TLI327684 TVE327684 UFA327684 UOW327684 UYS327684 VIO327684 VSK327684 WCG327684 WMC327684 WVY327684 Q393220 JM393220 TI393220 ADE393220 ANA393220 AWW393220 BGS393220 BQO393220 CAK393220 CKG393220 CUC393220 DDY393220 DNU393220 DXQ393220 EHM393220 ERI393220 FBE393220 FLA393220 FUW393220 GES393220 GOO393220 GYK393220 HIG393220 HSC393220 IBY393220 ILU393220 IVQ393220 JFM393220 JPI393220 JZE393220 KJA393220 KSW393220 LCS393220 LMO393220 LWK393220 MGG393220 MQC393220 MZY393220 NJU393220 NTQ393220 ODM393220 ONI393220 OXE393220 PHA393220 PQW393220 QAS393220 QKO393220 QUK393220 REG393220 ROC393220 RXY393220 SHU393220 SRQ393220 TBM393220 TLI393220 TVE393220 UFA393220 UOW393220 UYS393220 VIO393220 VSK393220 WCG393220 WMC393220 WVY393220 Q458756 JM458756 TI458756 ADE458756 ANA458756 AWW458756 BGS458756 BQO458756 CAK458756 CKG458756 CUC458756 DDY458756 DNU458756 DXQ458756 EHM458756 ERI458756 FBE458756 FLA458756 FUW458756 GES458756 GOO458756 GYK458756 HIG458756 HSC458756 IBY458756 ILU458756 IVQ458756 JFM458756 JPI458756 JZE458756 KJA458756 KSW458756 LCS458756 LMO458756 LWK458756 MGG458756 MQC458756 MZY458756 NJU458756 NTQ458756 ODM458756 ONI458756 OXE458756 PHA458756 PQW458756 QAS458756 QKO458756 QUK458756 REG458756 ROC458756 RXY458756 SHU458756 SRQ458756 TBM458756 TLI458756 TVE458756 UFA458756 UOW458756 UYS458756 VIO458756 VSK458756 WCG458756 WMC458756 WVY458756 Q524292 JM524292 TI524292 ADE524292 ANA524292 AWW524292 BGS524292 BQO524292 CAK524292 CKG524292 CUC524292 DDY524292 DNU524292 DXQ524292 EHM524292 ERI524292 FBE524292 FLA524292 FUW524292 GES524292 GOO524292 GYK524292 HIG524292 HSC524292 IBY524292 ILU524292 IVQ524292 JFM524292 JPI524292 JZE524292 KJA524292 KSW524292 LCS524292 LMO524292 LWK524292 MGG524292 MQC524292 MZY524292 NJU524292 NTQ524292 ODM524292 ONI524292 OXE524292 PHA524292 PQW524292 QAS524292 QKO524292 QUK524292 REG524292 ROC524292 RXY524292 SHU524292 SRQ524292 TBM524292 TLI524292 TVE524292 UFA524292 UOW524292 UYS524292 VIO524292 VSK524292 WCG524292 WMC524292 WVY524292 Q589828 JM589828 TI589828 ADE589828 ANA589828 AWW589828 BGS589828 BQO589828 CAK589828 CKG589828 CUC589828 DDY589828 DNU589828 DXQ589828 EHM589828 ERI589828 FBE589828 FLA589828 FUW589828 GES589828 GOO589828 GYK589828 HIG589828 HSC589828 IBY589828 ILU589828 IVQ589828 JFM589828 JPI589828 JZE589828 KJA589828 KSW589828 LCS589828 LMO589828 LWK589828 MGG589828 MQC589828 MZY589828 NJU589828 NTQ589828 ODM589828 ONI589828 OXE589828 PHA589828 PQW589828 QAS589828 QKO589828 QUK589828 REG589828 ROC589828 RXY589828 SHU589828 SRQ589828 TBM589828 TLI589828 TVE589828 UFA589828 UOW589828 UYS589828 VIO589828 VSK589828 WCG589828 WMC589828 WVY589828 Q655364 JM655364 TI655364 ADE655364 ANA655364 AWW655364 BGS655364 BQO655364 CAK655364 CKG655364 CUC655364 DDY655364 DNU655364 DXQ655364 EHM655364 ERI655364 FBE655364 FLA655364 FUW655364 GES655364 GOO655364 GYK655364 HIG655364 HSC655364 IBY655364 ILU655364 IVQ655364 JFM655364 JPI655364 JZE655364 KJA655364 KSW655364 LCS655364 LMO655364 LWK655364 MGG655364 MQC655364 MZY655364 NJU655364 NTQ655364 ODM655364 ONI655364 OXE655364 PHA655364 PQW655364 QAS655364 QKO655364 QUK655364 REG655364 ROC655364 RXY655364 SHU655364 SRQ655364 TBM655364 TLI655364 TVE655364 UFA655364 UOW655364 UYS655364 VIO655364 VSK655364 WCG655364 WMC655364 WVY655364 Q720900 JM720900 TI720900 ADE720900 ANA720900 AWW720900 BGS720900 BQO720900 CAK720900 CKG720900 CUC720900 DDY720900 DNU720900 DXQ720900 EHM720900 ERI720900 FBE720900 FLA720900 FUW720900 GES720900 GOO720900 GYK720900 HIG720900 HSC720900 IBY720900 ILU720900 IVQ720900 JFM720900 JPI720900 JZE720900 KJA720900 KSW720900 LCS720900 LMO720900 LWK720900 MGG720900 MQC720900 MZY720900 NJU720900 NTQ720900 ODM720900 ONI720900 OXE720900 PHA720900 PQW720900 QAS720900 QKO720900 QUK720900 REG720900 ROC720900 RXY720900 SHU720900 SRQ720900 TBM720900 TLI720900 TVE720900 UFA720900 UOW720900 UYS720900 VIO720900 VSK720900 WCG720900 WMC720900 WVY720900 Q786436 JM786436 TI786436 ADE786436 ANA786436 AWW786436 BGS786436 BQO786436 CAK786436 CKG786436 CUC786436 DDY786436 DNU786436 DXQ786436 EHM786436 ERI786436 FBE786436 FLA786436 FUW786436 GES786436 GOO786436 GYK786436 HIG786436 HSC786436 IBY786436 ILU786436 IVQ786436 JFM786436 JPI786436 JZE786436 KJA786436 KSW786436 LCS786436 LMO786436 LWK786436 MGG786436 MQC786436 MZY786436 NJU786436 NTQ786436 ODM786436 ONI786436 OXE786436 PHA786436 PQW786436 QAS786436 QKO786436 QUK786436 REG786436 ROC786436 RXY786436 SHU786436 SRQ786436 TBM786436 TLI786436 TVE786436 UFA786436 UOW786436 UYS786436 VIO786436 VSK786436 WCG786436 WMC786436 WVY786436 Q851972 JM851972 TI851972 ADE851972 ANA851972 AWW851972 BGS851972 BQO851972 CAK851972 CKG851972 CUC851972 DDY851972 DNU851972 DXQ851972 EHM851972 ERI851972 FBE851972 FLA851972 FUW851972 GES851972 GOO851972 GYK851972 HIG851972 HSC851972 IBY851972 ILU851972 IVQ851972 JFM851972 JPI851972 JZE851972 KJA851972 KSW851972 LCS851972 LMO851972 LWK851972 MGG851972 MQC851972 MZY851972 NJU851972 NTQ851972 ODM851972 ONI851972 OXE851972 PHA851972 PQW851972 QAS851972 QKO851972 QUK851972 REG851972 ROC851972 RXY851972 SHU851972 SRQ851972 TBM851972 TLI851972 TVE851972 UFA851972 UOW851972 UYS851972 VIO851972 VSK851972 WCG851972 WMC851972 WVY851972 Q917508 JM917508 TI917508 ADE917508 ANA917508 AWW917508 BGS917508 BQO917508 CAK917508 CKG917508 CUC917508 DDY917508 DNU917508 DXQ917508 EHM917508 ERI917508 FBE917508 FLA917508 FUW917508 GES917508 GOO917508 GYK917508 HIG917508 HSC917508 IBY917508 ILU917508 IVQ917508 JFM917508 JPI917508 JZE917508 KJA917508 KSW917508 LCS917508 LMO917508 LWK917508 MGG917508 MQC917508 MZY917508 NJU917508 NTQ917508 ODM917508 ONI917508 OXE917508 PHA917508 PQW917508 QAS917508 QKO917508 QUK917508 REG917508 ROC917508 RXY917508 SHU917508 SRQ917508 TBM917508 TLI917508 TVE917508 UFA917508 UOW917508 UYS917508 VIO917508 VSK917508 WCG917508 WMC917508 WVY917508 Q983044 JM983044 TI983044 ADE983044 ANA983044 AWW983044 BGS983044 BQO983044 CAK983044 CKG983044 CUC983044 DDY983044 DNU983044 DXQ983044 EHM983044 ERI983044 FBE983044 FLA983044 FUW983044 GES983044 GOO983044 GYK983044 HIG983044 HSC983044 IBY983044 ILU983044 IVQ983044 JFM983044 JPI983044 JZE983044 KJA983044 KSW983044 LCS983044 LMO983044 LWK983044 MGG983044 MQC983044 MZY983044 NJU983044 NTQ983044 ODM983044 ONI983044 OXE983044 PHA983044 PQW983044 QAS983044 QKO983044 QUK983044 REG983044 ROC983044 RXY983044 SHU983044 SRQ983044 TBM983044 TLI983044 TVE983044 UFA983044 UOW983044 UYS983044 VIO983044 VSK983044 WCG983044 WMC983044 WVY983044">
      <formula1>$T$2:$T$12</formula1>
    </dataValidation>
    <dataValidation type="list" allowBlank="1" showInputMessage="1" showErrorMessage="1" sqref="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52 JG65552 TC65552 ACY65552 AMU65552 AWQ65552 BGM65552 BQI65552 CAE65552 CKA65552 CTW65552 DDS65552 DNO65552 DXK65552 EHG65552 ERC65552 FAY65552 FKU65552 FUQ65552 GEM65552 GOI65552 GYE65552 HIA65552 HRW65552 IBS65552 ILO65552 IVK65552 JFG65552 JPC65552 JYY65552 KIU65552 KSQ65552 LCM65552 LMI65552 LWE65552 MGA65552 MPW65552 MZS65552 NJO65552 NTK65552 ODG65552 ONC65552 OWY65552 PGU65552 PQQ65552 QAM65552 QKI65552 QUE65552 REA65552 RNW65552 RXS65552 SHO65552 SRK65552 TBG65552 TLC65552 TUY65552 UEU65552 UOQ65552 UYM65552 VII65552 VSE65552 WCA65552 WLW65552 WVS65552 K131088 JG131088 TC131088 ACY131088 AMU131088 AWQ131088 BGM131088 BQI131088 CAE131088 CKA131088 CTW131088 DDS131088 DNO131088 DXK131088 EHG131088 ERC131088 FAY131088 FKU131088 FUQ131088 GEM131088 GOI131088 GYE131088 HIA131088 HRW131088 IBS131088 ILO131088 IVK131088 JFG131088 JPC131088 JYY131088 KIU131088 KSQ131088 LCM131088 LMI131088 LWE131088 MGA131088 MPW131088 MZS131088 NJO131088 NTK131088 ODG131088 ONC131088 OWY131088 PGU131088 PQQ131088 QAM131088 QKI131088 QUE131088 REA131088 RNW131088 RXS131088 SHO131088 SRK131088 TBG131088 TLC131088 TUY131088 UEU131088 UOQ131088 UYM131088 VII131088 VSE131088 WCA131088 WLW131088 WVS131088 K196624 JG196624 TC196624 ACY196624 AMU196624 AWQ196624 BGM196624 BQI196624 CAE196624 CKA196624 CTW196624 DDS196624 DNO196624 DXK196624 EHG196624 ERC196624 FAY196624 FKU196624 FUQ196624 GEM196624 GOI196624 GYE196624 HIA196624 HRW196624 IBS196624 ILO196624 IVK196624 JFG196624 JPC196624 JYY196624 KIU196624 KSQ196624 LCM196624 LMI196624 LWE196624 MGA196624 MPW196624 MZS196624 NJO196624 NTK196624 ODG196624 ONC196624 OWY196624 PGU196624 PQQ196624 QAM196624 QKI196624 QUE196624 REA196624 RNW196624 RXS196624 SHO196624 SRK196624 TBG196624 TLC196624 TUY196624 UEU196624 UOQ196624 UYM196624 VII196624 VSE196624 WCA196624 WLW196624 WVS196624 K262160 JG262160 TC262160 ACY262160 AMU262160 AWQ262160 BGM262160 BQI262160 CAE262160 CKA262160 CTW262160 DDS262160 DNO262160 DXK262160 EHG262160 ERC262160 FAY262160 FKU262160 FUQ262160 GEM262160 GOI262160 GYE262160 HIA262160 HRW262160 IBS262160 ILO262160 IVK262160 JFG262160 JPC262160 JYY262160 KIU262160 KSQ262160 LCM262160 LMI262160 LWE262160 MGA262160 MPW262160 MZS262160 NJO262160 NTK262160 ODG262160 ONC262160 OWY262160 PGU262160 PQQ262160 QAM262160 QKI262160 QUE262160 REA262160 RNW262160 RXS262160 SHO262160 SRK262160 TBG262160 TLC262160 TUY262160 UEU262160 UOQ262160 UYM262160 VII262160 VSE262160 WCA262160 WLW262160 WVS262160 K327696 JG327696 TC327696 ACY327696 AMU327696 AWQ327696 BGM327696 BQI327696 CAE327696 CKA327696 CTW327696 DDS327696 DNO327696 DXK327696 EHG327696 ERC327696 FAY327696 FKU327696 FUQ327696 GEM327696 GOI327696 GYE327696 HIA327696 HRW327696 IBS327696 ILO327696 IVK327696 JFG327696 JPC327696 JYY327696 KIU327696 KSQ327696 LCM327696 LMI327696 LWE327696 MGA327696 MPW327696 MZS327696 NJO327696 NTK327696 ODG327696 ONC327696 OWY327696 PGU327696 PQQ327696 QAM327696 QKI327696 QUE327696 REA327696 RNW327696 RXS327696 SHO327696 SRK327696 TBG327696 TLC327696 TUY327696 UEU327696 UOQ327696 UYM327696 VII327696 VSE327696 WCA327696 WLW327696 WVS327696 K393232 JG393232 TC393232 ACY393232 AMU393232 AWQ393232 BGM393232 BQI393232 CAE393232 CKA393232 CTW393232 DDS393232 DNO393232 DXK393232 EHG393232 ERC393232 FAY393232 FKU393232 FUQ393232 GEM393232 GOI393232 GYE393232 HIA393232 HRW393232 IBS393232 ILO393232 IVK393232 JFG393232 JPC393232 JYY393232 KIU393232 KSQ393232 LCM393232 LMI393232 LWE393232 MGA393232 MPW393232 MZS393232 NJO393232 NTK393232 ODG393232 ONC393232 OWY393232 PGU393232 PQQ393232 QAM393232 QKI393232 QUE393232 REA393232 RNW393232 RXS393232 SHO393232 SRK393232 TBG393232 TLC393232 TUY393232 UEU393232 UOQ393232 UYM393232 VII393232 VSE393232 WCA393232 WLW393232 WVS393232 K458768 JG458768 TC458768 ACY458768 AMU458768 AWQ458768 BGM458768 BQI458768 CAE458768 CKA458768 CTW458768 DDS458768 DNO458768 DXK458768 EHG458768 ERC458768 FAY458768 FKU458768 FUQ458768 GEM458768 GOI458768 GYE458768 HIA458768 HRW458768 IBS458768 ILO458768 IVK458768 JFG458768 JPC458768 JYY458768 KIU458768 KSQ458768 LCM458768 LMI458768 LWE458768 MGA458768 MPW458768 MZS458768 NJO458768 NTK458768 ODG458768 ONC458768 OWY458768 PGU458768 PQQ458768 QAM458768 QKI458768 QUE458768 REA458768 RNW458768 RXS458768 SHO458768 SRK458768 TBG458768 TLC458768 TUY458768 UEU458768 UOQ458768 UYM458768 VII458768 VSE458768 WCA458768 WLW458768 WVS458768 K524304 JG524304 TC524304 ACY524304 AMU524304 AWQ524304 BGM524304 BQI524304 CAE524304 CKA524304 CTW524304 DDS524304 DNO524304 DXK524304 EHG524304 ERC524304 FAY524304 FKU524304 FUQ524304 GEM524304 GOI524304 GYE524304 HIA524304 HRW524304 IBS524304 ILO524304 IVK524304 JFG524304 JPC524304 JYY524304 KIU524304 KSQ524304 LCM524304 LMI524304 LWE524304 MGA524304 MPW524304 MZS524304 NJO524304 NTK524304 ODG524304 ONC524304 OWY524304 PGU524304 PQQ524304 QAM524304 QKI524304 QUE524304 REA524304 RNW524304 RXS524304 SHO524304 SRK524304 TBG524304 TLC524304 TUY524304 UEU524304 UOQ524304 UYM524304 VII524304 VSE524304 WCA524304 WLW524304 WVS524304 K589840 JG589840 TC589840 ACY589840 AMU589840 AWQ589840 BGM589840 BQI589840 CAE589840 CKA589840 CTW589840 DDS589840 DNO589840 DXK589840 EHG589840 ERC589840 FAY589840 FKU589840 FUQ589840 GEM589840 GOI589840 GYE589840 HIA589840 HRW589840 IBS589840 ILO589840 IVK589840 JFG589840 JPC589840 JYY589840 KIU589840 KSQ589840 LCM589840 LMI589840 LWE589840 MGA589840 MPW589840 MZS589840 NJO589840 NTK589840 ODG589840 ONC589840 OWY589840 PGU589840 PQQ589840 QAM589840 QKI589840 QUE589840 REA589840 RNW589840 RXS589840 SHO589840 SRK589840 TBG589840 TLC589840 TUY589840 UEU589840 UOQ589840 UYM589840 VII589840 VSE589840 WCA589840 WLW589840 WVS589840 K655376 JG655376 TC655376 ACY655376 AMU655376 AWQ655376 BGM655376 BQI655376 CAE655376 CKA655376 CTW655376 DDS655376 DNO655376 DXK655376 EHG655376 ERC655376 FAY655376 FKU655376 FUQ655376 GEM655376 GOI655376 GYE655376 HIA655376 HRW655376 IBS655376 ILO655376 IVK655376 JFG655376 JPC655376 JYY655376 KIU655376 KSQ655376 LCM655376 LMI655376 LWE655376 MGA655376 MPW655376 MZS655376 NJO655376 NTK655376 ODG655376 ONC655376 OWY655376 PGU655376 PQQ655376 QAM655376 QKI655376 QUE655376 REA655376 RNW655376 RXS655376 SHO655376 SRK655376 TBG655376 TLC655376 TUY655376 UEU655376 UOQ655376 UYM655376 VII655376 VSE655376 WCA655376 WLW655376 WVS655376 K720912 JG720912 TC720912 ACY720912 AMU720912 AWQ720912 BGM720912 BQI720912 CAE720912 CKA720912 CTW720912 DDS720912 DNO720912 DXK720912 EHG720912 ERC720912 FAY720912 FKU720912 FUQ720912 GEM720912 GOI720912 GYE720912 HIA720912 HRW720912 IBS720912 ILO720912 IVK720912 JFG720912 JPC720912 JYY720912 KIU720912 KSQ720912 LCM720912 LMI720912 LWE720912 MGA720912 MPW720912 MZS720912 NJO720912 NTK720912 ODG720912 ONC720912 OWY720912 PGU720912 PQQ720912 QAM720912 QKI720912 QUE720912 REA720912 RNW720912 RXS720912 SHO720912 SRK720912 TBG720912 TLC720912 TUY720912 UEU720912 UOQ720912 UYM720912 VII720912 VSE720912 WCA720912 WLW720912 WVS720912 K786448 JG786448 TC786448 ACY786448 AMU786448 AWQ786448 BGM786448 BQI786448 CAE786448 CKA786448 CTW786448 DDS786448 DNO786448 DXK786448 EHG786448 ERC786448 FAY786448 FKU786448 FUQ786448 GEM786448 GOI786448 GYE786448 HIA786448 HRW786448 IBS786448 ILO786448 IVK786448 JFG786448 JPC786448 JYY786448 KIU786448 KSQ786448 LCM786448 LMI786448 LWE786448 MGA786448 MPW786448 MZS786448 NJO786448 NTK786448 ODG786448 ONC786448 OWY786448 PGU786448 PQQ786448 QAM786448 QKI786448 QUE786448 REA786448 RNW786448 RXS786448 SHO786448 SRK786448 TBG786448 TLC786448 TUY786448 UEU786448 UOQ786448 UYM786448 VII786448 VSE786448 WCA786448 WLW786448 WVS786448 K851984 JG851984 TC851984 ACY851984 AMU851984 AWQ851984 BGM851984 BQI851984 CAE851984 CKA851984 CTW851984 DDS851984 DNO851984 DXK851984 EHG851984 ERC851984 FAY851984 FKU851984 FUQ851984 GEM851984 GOI851984 GYE851984 HIA851984 HRW851984 IBS851984 ILO851984 IVK851984 JFG851984 JPC851984 JYY851984 KIU851984 KSQ851984 LCM851984 LMI851984 LWE851984 MGA851984 MPW851984 MZS851984 NJO851984 NTK851984 ODG851984 ONC851984 OWY851984 PGU851984 PQQ851984 QAM851984 QKI851984 QUE851984 REA851984 RNW851984 RXS851984 SHO851984 SRK851984 TBG851984 TLC851984 TUY851984 UEU851984 UOQ851984 UYM851984 VII851984 VSE851984 WCA851984 WLW851984 WVS851984 K917520 JG917520 TC917520 ACY917520 AMU917520 AWQ917520 BGM917520 BQI917520 CAE917520 CKA917520 CTW917520 DDS917520 DNO917520 DXK917520 EHG917520 ERC917520 FAY917520 FKU917520 FUQ917520 GEM917520 GOI917520 GYE917520 HIA917520 HRW917520 IBS917520 ILO917520 IVK917520 JFG917520 JPC917520 JYY917520 KIU917520 KSQ917520 LCM917520 LMI917520 LWE917520 MGA917520 MPW917520 MZS917520 NJO917520 NTK917520 ODG917520 ONC917520 OWY917520 PGU917520 PQQ917520 QAM917520 QKI917520 QUE917520 REA917520 RNW917520 RXS917520 SHO917520 SRK917520 TBG917520 TLC917520 TUY917520 UEU917520 UOQ917520 UYM917520 VII917520 VSE917520 WCA917520 WLW917520 WVS917520 K983056 JG983056 TC983056 ACY983056 AMU983056 AWQ983056 BGM983056 BQI983056 CAE983056 CKA983056 CTW983056 DDS983056 DNO983056 DXK983056 EHG983056 ERC983056 FAY983056 FKU983056 FUQ983056 GEM983056 GOI983056 GYE983056 HIA983056 HRW983056 IBS983056 ILO983056 IVK983056 JFG983056 JPC983056 JYY983056 KIU983056 KSQ983056 LCM983056 LMI983056 LWE983056 MGA983056 MPW983056 MZS983056 NJO983056 NTK983056 ODG983056 ONC983056 OWY983056 PGU983056 PQQ983056 QAM983056 QKI983056 QUE983056 REA983056 RNW983056 RXS983056 SHO983056 SRK983056 TBG983056 TLC983056 TUY983056 UEU983056 UOQ983056 UYM983056 VII983056 VSE983056 WCA983056 WLW983056 WVS983056 K14 JG14 TC14 ACY14 AMU14 AWQ14 BGM14 BQI14 CAE14 CKA14 CTW14 DDS14 DNO14 DXK14 EHG14 ERC14 FAY14 FKU14 FUQ14 GEM14 GOI14 GYE14 HIA14 HRW14 IBS14 ILO14 IVK14 JFG14 JPC14 JYY14 KIU14 KSQ14 LCM14 LMI14 LWE14 MGA14 MPW14 MZS14 NJO14 NTK14 ODG14 ONC14 OWY14 PGU14 PQQ14 QAM14 QKI14 QUE14 REA14 RNW14 RXS14 SHO14 SRK14 TBG14 TLC14 TUY14 UEU14 UOQ14 UYM14 VII14 VSE14 WCA14 WLW14 WVS14 K65550 JG65550 TC65550 ACY65550 AMU65550 AWQ65550 BGM65550 BQI65550 CAE65550 CKA65550 CTW65550 DDS65550 DNO65550 DXK65550 EHG65550 ERC65550 FAY65550 FKU65550 FUQ65550 GEM65550 GOI65550 GYE65550 HIA65550 HRW65550 IBS65550 ILO65550 IVK65550 JFG65550 JPC65550 JYY65550 KIU65550 KSQ65550 LCM65550 LMI65550 LWE65550 MGA65550 MPW65550 MZS65550 NJO65550 NTK65550 ODG65550 ONC65550 OWY65550 PGU65550 PQQ65550 QAM65550 QKI65550 QUE65550 REA65550 RNW65550 RXS65550 SHO65550 SRK65550 TBG65550 TLC65550 TUY65550 UEU65550 UOQ65550 UYM65550 VII65550 VSE65550 WCA65550 WLW65550 WVS65550 K131086 JG131086 TC131086 ACY131086 AMU131086 AWQ131086 BGM131086 BQI131086 CAE131086 CKA131086 CTW131086 DDS131086 DNO131086 DXK131086 EHG131086 ERC131086 FAY131086 FKU131086 FUQ131086 GEM131086 GOI131086 GYE131086 HIA131086 HRW131086 IBS131086 ILO131086 IVK131086 JFG131086 JPC131086 JYY131086 KIU131086 KSQ131086 LCM131086 LMI131086 LWE131086 MGA131086 MPW131086 MZS131086 NJO131086 NTK131086 ODG131086 ONC131086 OWY131086 PGU131086 PQQ131086 QAM131086 QKI131086 QUE131086 REA131086 RNW131086 RXS131086 SHO131086 SRK131086 TBG131086 TLC131086 TUY131086 UEU131086 UOQ131086 UYM131086 VII131086 VSE131086 WCA131086 WLW131086 WVS131086 K196622 JG196622 TC196622 ACY196622 AMU196622 AWQ196622 BGM196622 BQI196622 CAE196622 CKA196622 CTW196622 DDS196622 DNO196622 DXK196622 EHG196622 ERC196622 FAY196622 FKU196622 FUQ196622 GEM196622 GOI196622 GYE196622 HIA196622 HRW196622 IBS196622 ILO196622 IVK196622 JFG196622 JPC196622 JYY196622 KIU196622 KSQ196622 LCM196622 LMI196622 LWE196622 MGA196622 MPW196622 MZS196622 NJO196622 NTK196622 ODG196622 ONC196622 OWY196622 PGU196622 PQQ196622 QAM196622 QKI196622 QUE196622 REA196622 RNW196622 RXS196622 SHO196622 SRK196622 TBG196622 TLC196622 TUY196622 UEU196622 UOQ196622 UYM196622 VII196622 VSE196622 WCA196622 WLW196622 WVS196622 K262158 JG262158 TC262158 ACY262158 AMU262158 AWQ262158 BGM262158 BQI262158 CAE262158 CKA262158 CTW262158 DDS262158 DNO262158 DXK262158 EHG262158 ERC262158 FAY262158 FKU262158 FUQ262158 GEM262158 GOI262158 GYE262158 HIA262158 HRW262158 IBS262158 ILO262158 IVK262158 JFG262158 JPC262158 JYY262158 KIU262158 KSQ262158 LCM262158 LMI262158 LWE262158 MGA262158 MPW262158 MZS262158 NJO262158 NTK262158 ODG262158 ONC262158 OWY262158 PGU262158 PQQ262158 QAM262158 QKI262158 QUE262158 REA262158 RNW262158 RXS262158 SHO262158 SRK262158 TBG262158 TLC262158 TUY262158 UEU262158 UOQ262158 UYM262158 VII262158 VSE262158 WCA262158 WLW262158 WVS262158 K327694 JG327694 TC327694 ACY327694 AMU327694 AWQ327694 BGM327694 BQI327694 CAE327694 CKA327694 CTW327694 DDS327694 DNO327694 DXK327694 EHG327694 ERC327694 FAY327694 FKU327694 FUQ327694 GEM327694 GOI327694 GYE327694 HIA327694 HRW327694 IBS327694 ILO327694 IVK327694 JFG327694 JPC327694 JYY327694 KIU327694 KSQ327694 LCM327694 LMI327694 LWE327694 MGA327694 MPW327694 MZS327694 NJO327694 NTK327694 ODG327694 ONC327694 OWY327694 PGU327694 PQQ327694 QAM327694 QKI327694 QUE327694 REA327694 RNW327694 RXS327694 SHO327694 SRK327694 TBG327694 TLC327694 TUY327694 UEU327694 UOQ327694 UYM327694 VII327694 VSE327694 WCA327694 WLW327694 WVS327694 K393230 JG393230 TC393230 ACY393230 AMU393230 AWQ393230 BGM393230 BQI393230 CAE393230 CKA393230 CTW393230 DDS393230 DNO393230 DXK393230 EHG393230 ERC393230 FAY393230 FKU393230 FUQ393230 GEM393230 GOI393230 GYE393230 HIA393230 HRW393230 IBS393230 ILO393230 IVK393230 JFG393230 JPC393230 JYY393230 KIU393230 KSQ393230 LCM393230 LMI393230 LWE393230 MGA393230 MPW393230 MZS393230 NJO393230 NTK393230 ODG393230 ONC393230 OWY393230 PGU393230 PQQ393230 QAM393230 QKI393230 QUE393230 REA393230 RNW393230 RXS393230 SHO393230 SRK393230 TBG393230 TLC393230 TUY393230 UEU393230 UOQ393230 UYM393230 VII393230 VSE393230 WCA393230 WLW393230 WVS393230 K458766 JG458766 TC458766 ACY458766 AMU458766 AWQ458766 BGM458766 BQI458766 CAE458766 CKA458766 CTW458766 DDS458766 DNO458766 DXK458766 EHG458766 ERC458766 FAY458766 FKU458766 FUQ458766 GEM458766 GOI458766 GYE458766 HIA458766 HRW458766 IBS458766 ILO458766 IVK458766 JFG458766 JPC458766 JYY458766 KIU458766 KSQ458766 LCM458766 LMI458766 LWE458766 MGA458766 MPW458766 MZS458766 NJO458766 NTK458766 ODG458766 ONC458766 OWY458766 PGU458766 PQQ458766 QAM458766 QKI458766 QUE458766 REA458766 RNW458766 RXS458766 SHO458766 SRK458766 TBG458766 TLC458766 TUY458766 UEU458766 UOQ458766 UYM458766 VII458766 VSE458766 WCA458766 WLW458766 WVS458766 K524302 JG524302 TC524302 ACY524302 AMU524302 AWQ524302 BGM524302 BQI524302 CAE524302 CKA524302 CTW524302 DDS524302 DNO524302 DXK524302 EHG524302 ERC524302 FAY524302 FKU524302 FUQ524302 GEM524302 GOI524302 GYE524302 HIA524302 HRW524302 IBS524302 ILO524302 IVK524302 JFG524302 JPC524302 JYY524302 KIU524302 KSQ524302 LCM524302 LMI524302 LWE524302 MGA524302 MPW524302 MZS524302 NJO524302 NTK524302 ODG524302 ONC524302 OWY524302 PGU524302 PQQ524302 QAM524302 QKI524302 QUE524302 REA524302 RNW524302 RXS524302 SHO524302 SRK524302 TBG524302 TLC524302 TUY524302 UEU524302 UOQ524302 UYM524302 VII524302 VSE524302 WCA524302 WLW524302 WVS524302 K589838 JG589838 TC589838 ACY589838 AMU589838 AWQ589838 BGM589838 BQI589838 CAE589838 CKA589838 CTW589838 DDS589838 DNO589838 DXK589838 EHG589838 ERC589838 FAY589838 FKU589838 FUQ589838 GEM589838 GOI589838 GYE589838 HIA589838 HRW589838 IBS589838 ILO589838 IVK589838 JFG589838 JPC589838 JYY589838 KIU589838 KSQ589838 LCM589838 LMI589838 LWE589838 MGA589838 MPW589838 MZS589838 NJO589838 NTK589838 ODG589838 ONC589838 OWY589838 PGU589838 PQQ589838 QAM589838 QKI589838 QUE589838 REA589838 RNW589838 RXS589838 SHO589838 SRK589838 TBG589838 TLC589838 TUY589838 UEU589838 UOQ589838 UYM589838 VII589838 VSE589838 WCA589838 WLW589838 WVS589838 K655374 JG655374 TC655374 ACY655374 AMU655374 AWQ655374 BGM655374 BQI655374 CAE655374 CKA655374 CTW655374 DDS655374 DNO655374 DXK655374 EHG655374 ERC655374 FAY655374 FKU655374 FUQ655374 GEM655374 GOI655374 GYE655374 HIA655374 HRW655374 IBS655374 ILO655374 IVK655374 JFG655374 JPC655374 JYY655374 KIU655374 KSQ655374 LCM655374 LMI655374 LWE655374 MGA655374 MPW655374 MZS655374 NJO655374 NTK655374 ODG655374 ONC655374 OWY655374 PGU655374 PQQ655374 QAM655374 QKI655374 QUE655374 REA655374 RNW655374 RXS655374 SHO655374 SRK655374 TBG655374 TLC655374 TUY655374 UEU655374 UOQ655374 UYM655374 VII655374 VSE655374 WCA655374 WLW655374 WVS655374 K720910 JG720910 TC720910 ACY720910 AMU720910 AWQ720910 BGM720910 BQI720910 CAE720910 CKA720910 CTW720910 DDS720910 DNO720910 DXK720910 EHG720910 ERC720910 FAY720910 FKU720910 FUQ720910 GEM720910 GOI720910 GYE720910 HIA720910 HRW720910 IBS720910 ILO720910 IVK720910 JFG720910 JPC720910 JYY720910 KIU720910 KSQ720910 LCM720910 LMI720910 LWE720910 MGA720910 MPW720910 MZS720910 NJO720910 NTK720910 ODG720910 ONC720910 OWY720910 PGU720910 PQQ720910 QAM720910 QKI720910 QUE720910 REA720910 RNW720910 RXS720910 SHO720910 SRK720910 TBG720910 TLC720910 TUY720910 UEU720910 UOQ720910 UYM720910 VII720910 VSE720910 WCA720910 WLW720910 WVS720910 K786446 JG786446 TC786446 ACY786446 AMU786446 AWQ786446 BGM786446 BQI786446 CAE786446 CKA786446 CTW786446 DDS786446 DNO786446 DXK786446 EHG786446 ERC786446 FAY786446 FKU786446 FUQ786446 GEM786446 GOI786446 GYE786446 HIA786446 HRW786446 IBS786446 ILO786446 IVK786446 JFG786446 JPC786446 JYY786446 KIU786446 KSQ786446 LCM786446 LMI786446 LWE786446 MGA786446 MPW786446 MZS786446 NJO786446 NTK786446 ODG786446 ONC786446 OWY786446 PGU786446 PQQ786446 QAM786446 QKI786446 QUE786446 REA786446 RNW786446 RXS786446 SHO786446 SRK786446 TBG786446 TLC786446 TUY786446 UEU786446 UOQ786446 UYM786446 VII786446 VSE786446 WCA786446 WLW786446 WVS786446 K851982 JG851982 TC851982 ACY851982 AMU851982 AWQ851982 BGM851982 BQI851982 CAE851982 CKA851982 CTW851982 DDS851982 DNO851982 DXK851982 EHG851982 ERC851982 FAY851982 FKU851982 FUQ851982 GEM851982 GOI851982 GYE851982 HIA851982 HRW851982 IBS851982 ILO851982 IVK851982 JFG851982 JPC851982 JYY851982 KIU851982 KSQ851982 LCM851982 LMI851982 LWE851982 MGA851982 MPW851982 MZS851982 NJO851982 NTK851982 ODG851982 ONC851982 OWY851982 PGU851982 PQQ851982 QAM851982 QKI851982 QUE851982 REA851982 RNW851982 RXS851982 SHO851982 SRK851982 TBG851982 TLC851982 TUY851982 UEU851982 UOQ851982 UYM851982 VII851982 VSE851982 WCA851982 WLW851982 WVS851982 K917518 JG917518 TC917518 ACY917518 AMU917518 AWQ917518 BGM917518 BQI917518 CAE917518 CKA917518 CTW917518 DDS917518 DNO917518 DXK917518 EHG917518 ERC917518 FAY917518 FKU917518 FUQ917518 GEM917518 GOI917518 GYE917518 HIA917518 HRW917518 IBS917518 ILO917518 IVK917518 JFG917518 JPC917518 JYY917518 KIU917518 KSQ917518 LCM917518 LMI917518 LWE917518 MGA917518 MPW917518 MZS917518 NJO917518 NTK917518 ODG917518 ONC917518 OWY917518 PGU917518 PQQ917518 QAM917518 QKI917518 QUE917518 REA917518 RNW917518 RXS917518 SHO917518 SRK917518 TBG917518 TLC917518 TUY917518 UEU917518 UOQ917518 UYM917518 VII917518 VSE917518 WCA917518 WLW917518 WVS917518 K983054 JG983054 TC983054 ACY983054 AMU983054 AWQ983054 BGM983054 BQI983054 CAE983054 CKA983054 CTW983054 DDS983054 DNO983054 DXK983054 EHG983054 ERC983054 FAY983054 FKU983054 FUQ983054 GEM983054 GOI983054 GYE983054 HIA983054 HRW983054 IBS983054 ILO983054 IVK983054 JFG983054 JPC983054 JYY983054 KIU983054 KSQ983054 LCM983054 LMI983054 LWE983054 MGA983054 MPW983054 MZS983054 NJO983054 NTK983054 ODG983054 ONC983054 OWY983054 PGU983054 PQQ983054 QAM983054 QKI983054 QUE983054 REA983054 RNW983054 RXS983054 SHO983054 SRK983054 TBG983054 TLC983054 TUY983054 UEU983054 UOQ983054 UYM983054 VII983054 VSE983054 WCA983054 WLW983054 WVS983054">
      <formula1>$U$2:$U$27</formula1>
    </dataValidation>
    <dataValidation type="list" allowBlank="1" showInputMessage="1" showErrorMessage="1" sqref="I6:L6 JE6:JH6 TA6:TD6 ACW6:ACZ6 AMS6:AMV6 AWO6:AWR6 BGK6:BGN6 BQG6:BQJ6 CAC6:CAF6 CJY6:CKB6 CTU6:CTX6 DDQ6:DDT6 DNM6:DNP6 DXI6:DXL6 EHE6:EHH6 ERA6:ERD6 FAW6:FAZ6 FKS6:FKV6 FUO6:FUR6 GEK6:GEN6 GOG6:GOJ6 GYC6:GYF6 HHY6:HIB6 HRU6:HRX6 IBQ6:IBT6 ILM6:ILP6 IVI6:IVL6 JFE6:JFH6 JPA6:JPD6 JYW6:JYZ6 KIS6:KIV6 KSO6:KSR6 LCK6:LCN6 LMG6:LMJ6 LWC6:LWF6 MFY6:MGB6 MPU6:MPX6 MZQ6:MZT6 NJM6:NJP6 NTI6:NTL6 ODE6:ODH6 ONA6:OND6 OWW6:OWZ6 PGS6:PGV6 PQO6:PQR6 QAK6:QAN6 QKG6:QKJ6 QUC6:QUF6 RDY6:REB6 RNU6:RNX6 RXQ6:RXT6 SHM6:SHP6 SRI6:SRL6 TBE6:TBH6 TLA6:TLD6 TUW6:TUZ6 UES6:UEV6 UOO6:UOR6 UYK6:UYN6 VIG6:VIJ6 VSC6:VSF6 WBY6:WCB6 WLU6:WLX6 WVQ6:WVT6 I65542:L65542 JE65542:JH65542 TA65542:TD65542 ACW65542:ACZ65542 AMS65542:AMV65542 AWO65542:AWR65542 BGK65542:BGN65542 BQG65542:BQJ65542 CAC65542:CAF65542 CJY65542:CKB65542 CTU65542:CTX65542 DDQ65542:DDT65542 DNM65542:DNP65542 DXI65542:DXL65542 EHE65542:EHH65542 ERA65542:ERD65542 FAW65542:FAZ65542 FKS65542:FKV65542 FUO65542:FUR65542 GEK65542:GEN65542 GOG65542:GOJ65542 GYC65542:GYF65542 HHY65542:HIB65542 HRU65542:HRX65542 IBQ65542:IBT65542 ILM65542:ILP65542 IVI65542:IVL65542 JFE65542:JFH65542 JPA65542:JPD65542 JYW65542:JYZ65542 KIS65542:KIV65542 KSO65542:KSR65542 LCK65542:LCN65542 LMG65542:LMJ65542 LWC65542:LWF65542 MFY65542:MGB65542 MPU65542:MPX65542 MZQ65542:MZT65542 NJM65542:NJP65542 NTI65542:NTL65542 ODE65542:ODH65542 ONA65542:OND65542 OWW65542:OWZ65542 PGS65542:PGV65542 PQO65542:PQR65542 QAK65542:QAN65542 QKG65542:QKJ65542 QUC65542:QUF65542 RDY65542:REB65542 RNU65542:RNX65542 RXQ65542:RXT65542 SHM65542:SHP65542 SRI65542:SRL65542 TBE65542:TBH65542 TLA65542:TLD65542 TUW65542:TUZ65542 UES65542:UEV65542 UOO65542:UOR65542 UYK65542:UYN65542 VIG65542:VIJ65542 VSC65542:VSF65542 WBY65542:WCB65542 WLU65542:WLX65542 WVQ65542:WVT65542 I131078:L131078 JE131078:JH131078 TA131078:TD131078 ACW131078:ACZ131078 AMS131078:AMV131078 AWO131078:AWR131078 BGK131078:BGN131078 BQG131078:BQJ131078 CAC131078:CAF131078 CJY131078:CKB131078 CTU131078:CTX131078 DDQ131078:DDT131078 DNM131078:DNP131078 DXI131078:DXL131078 EHE131078:EHH131078 ERA131078:ERD131078 FAW131078:FAZ131078 FKS131078:FKV131078 FUO131078:FUR131078 GEK131078:GEN131078 GOG131078:GOJ131078 GYC131078:GYF131078 HHY131078:HIB131078 HRU131078:HRX131078 IBQ131078:IBT131078 ILM131078:ILP131078 IVI131078:IVL131078 JFE131078:JFH131078 JPA131078:JPD131078 JYW131078:JYZ131078 KIS131078:KIV131078 KSO131078:KSR131078 LCK131078:LCN131078 LMG131078:LMJ131078 LWC131078:LWF131078 MFY131078:MGB131078 MPU131078:MPX131078 MZQ131078:MZT131078 NJM131078:NJP131078 NTI131078:NTL131078 ODE131078:ODH131078 ONA131078:OND131078 OWW131078:OWZ131078 PGS131078:PGV131078 PQO131078:PQR131078 QAK131078:QAN131078 QKG131078:QKJ131078 QUC131078:QUF131078 RDY131078:REB131078 RNU131078:RNX131078 RXQ131078:RXT131078 SHM131078:SHP131078 SRI131078:SRL131078 TBE131078:TBH131078 TLA131078:TLD131078 TUW131078:TUZ131078 UES131078:UEV131078 UOO131078:UOR131078 UYK131078:UYN131078 VIG131078:VIJ131078 VSC131078:VSF131078 WBY131078:WCB131078 WLU131078:WLX131078 WVQ131078:WVT131078 I196614:L196614 JE196614:JH196614 TA196614:TD196614 ACW196614:ACZ196614 AMS196614:AMV196614 AWO196614:AWR196614 BGK196614:BGN196614 BQG196614:BQJ196614 CAC196614:CAF196614 CJY196614:CKB196614 CTU196614:CTX196614 DDQ196614:DDT196614 DNM196614:DNP196614 DXI196614:DXL196614 EHE196614:EHH196614 ERA196614:ERD196614 FAW196614:FAZ196614 FKS196614:FKV196614 FUO196614:FUR196614 GEK196614:GEN196614 GOG196614:GOJ196614 GYC196614:GYF196614 HHY196614:HIB196614 HRU196614:HRX196614 IBQ196614:IBT196614 ILM196614:ILP196614 IVI196614:IVL196614 JFE196614:JFH196614 JPA196614:JPD196614 JYW196614:JYZ196614 KIS196614:KIV196614 KSO196614:KSR196614 LCK196614:LCN196614 LMG196614:LMJ196614 LWC196614:LWF196614 MFY196614:MGB196614 MPU196614:MPX196614 MZQ196614:MZT196614 NJM196614:NJP196614 NTI196614:NTL196614 ODE196614:ODH196614 ONA196614:OND196614 OWW196614:OWZ196614 PGS196614:PGV196614 PQO196614:PQR196614 QAK196614:QAN196614 QKG196614:QKJ196614 QUC196614:QUF196614 RDY196614:REB196614 RNU196614:RNX196614 RXQ196614:RXT196614 SHM196614:SHP196614 SRI196614:SRL196614 TBE196614:TBH196614 TLA196614:TLD196614 TUW196614:TUZ196614 UES196614:UEV196614 UOO196614:UOR196614 UYK196614:UYN196614 VIG196614:VIJ196614 VSC196614:VSF196614 WBY196614:WCB196614 WLU196614:WLX196614 WVQ196614:WVT196614 I262150:L262150 JE262150:JH262150 TA262150:TD262150 ACW262150:ACZ262150 AMS262150:AMV262150 AWO262150:AWR262150 BGK262150:BGN262150 BQG262150:BQJ262150 CAC262150:CAF262150 CJY262150:CKB262150 CTU262150:CTX262150 DDQ262150:DDT262150 DNM262150:DNP262150 DXI262150:DXL262150 EHE262150:EHH262150 ERA262150:ERD262150 FAW262150:FAZ262150 FKS262150:FKV262150 FUO262150:FUR262150 GEK262150:GEN262150 GOG262150:GOJ262150 GYC262150:GYF262150 HHY262150:HIB262150 HRU262150:HRX262150 IBQ262150:IBT262150 ILM262150:ILP262150 IVI262150:IVL262150 JFE262150:JFH262150 JPA262150:JPD262150 JYW262150:JYZ262150 KIS262150:KIV262150 KSO262150:KSR262150 LCK262150:LCN262150 LMG262150:LMJ262150 LWC262150:LWF262150 MFY262150:MGB262150 MPU262150:MPX262150 MZQ262150:MZT262150 NJM262150:NJP262150 NTI262150:NTL262150 ODE262150:ODH262150 ONA262150:OND262150 OWW262150:OWZ262150 PGS262150:PGV262150 PQO262150:PQR262150 QAK262150:QAN262150 QKG262150:QKJ262150 QUC262150:QUF262150 RDY262150:REB262150 RNU262150:RNX262150 RXQ262150:RXT262150 SHM262150:SHP262150 SRI262150:SRL262150 TBE262150:TBH262150 TLA262150:TLD262150 TUW262150:TUZ262150 UES262150:UEV262150 UOO262150:UOR262150 UYK262150:UYN262150 VIG262150:VIJ262150 VSC262150:VSF262150 WBY262150:WCB262150 WLU262150:WLX262150 WVQ262150:WVT262150 I327686:L327686 JE327686:JH327686 TA327686:TD327686 ACW327686:ACZ327686 AMS327686:AMV327686 AWO327686:AWR327686 BGK327686:BGN327686 BQG327686:BQJ327686 CAC327686:CAF327686 CJY327686:CKB327686 CTU327686:CTX327686 DDQ327686:DDT327686 DNM327686:DNP327686 DXI327686:DXL327686 EHE327686:EHH327686 ERA327686:ERD327686 FAW327686:FAZ327686 FKS327686:FKV327686 FUO327686:FUR327686 GEK327686:GEN327686 GOG327686:GOJ327686 GYC327686:GYF327686 HHY327686:HIB327686 HRU327686:HRX327686 IBQ327686:IBT327686 ILM327686:ILP327686 IVI327686:IVL327686 JFE327686:JFH327686 JPA327686:JPD327686 JYW327686:JYZ327686 KIS327686:KIV327686 KSO327686:KSR327686 LCK327686:LCN327686 LMG327686:LMJ327686 LWC327686:LWF327686 MFY327686:MGB327686 MPU327686:MPX327686 MZQ327686:MZT327686 NJM327686:NJP327686 NTI327686:NTL327686 ODE327686:ODH327686 ONA327686:OND327686 OWW327686:OWZ327686 PGS327686:PGV327686 PQO327686:PQR327686 QAK327686:QAN327686 QKG327686:QKJ327686 QUC327686:QUF327686 RDY327686:REB327686 RNU327686:RNX327686 RXQ327686:RXT327686 SHM327686:SHP327686 SRI327686:SRL327686 TBE327686:TBH327686 TLA327686:TLD327686 TUW327686:TUZ327686 UES327686:UEV327686 UOO327686:UOR327686 UYK327686:UYN327686 VIG327686:VIJ327686 VSC327686:VSF327686 WBY327686:WCB327686 WLU327686:WLX327686 WVQ327686:WVT327686 I393222:L393222 JE393222:JH393222 TA393222:TD393222 ACW393222:ACZ393222 AMS393222:AMV393222 AWO393222:AWR393222 BGK393222:BGN393222 BQG393222:BQJ393222 CAC393222:CAF393222 CJY393222:CKB393222 CTU393222:CTX393222 DDQ393222:DDT393222 DNM393222:DNP393222 DXI393222:DXL393222 EHE393222:EHH393222 ERA393222:ERD393222 FAW393222:FAZ393222 FKS393222:FKV393222 FUO393222:FUR393222 GEK393222:GEN393222 GOG393222:GOJ393222 GYC393222:GYF393222 HHY393222:HIB393222 HRU393222:HRX393222 IBQ393222:IBT393222 ILM393222:ILP393222 IVI393222:IVL393222 JFE393222:JFH393222 JPA393222:JPD393222 JYW393222:JYZ393222 KIS393222:KIV393222 KSO393222:KSR393222 LCK393222:LCN393222 LMG393222:LMJ393222 LWC393222:LWF393222 MFY393222:MGB393222 MPU393222:MPX393222 MZQ393222:MZT393222 NJM393222:NJP393222 NTI393222:NTL393222 ODE393222:ODH393222 ONA393222:OND393222 OWW393222:OWZ393222 PGS393222:PGV393222 PQO393222:PQR393222 QAK393222:QAN393222 QKG393222:QKJ393222 QUC393222:QUF393222 RDY393222:REB393222 RNU393222:RNX393222 RXQ393222:RXT393222 SHM393222:SHP393222 SRI393222:SRL393222 TBE393222:TBH393222 TLA393222:TLD393222 TUW393222:TUZ393222 UES393222:UEV393222 UOO393222:UOR393222 UYK393222:UYN393222 VIG393222:VIJ393222 VSC393222:VSF393222 WBY393222:WCB393222 WLU393222:WLX393222 WVQ393222:WVT393222 I458758:L458758 JE458758:JH458758 TA458758:TD458758 ACW458758:ACZ458758 AMS458758:AMV458758 AWO458758:AWR458758 BGK458758:BGN458758 BQG458758:BQJ458758 CAC458758:CAF458758 CJY458758:CKB458758 CTU458758:CTX458758 DDQ458758:DDT458758 DNM458758:DNP458758 DXI458758:DXL458758 EHE458758:EHH458758 ERA458758:ERD458758 FAW458758:FAZ458758 FKS458758:FKV458758 FUO458758:FUR458758 GEK458758:GEN458758 GOG458758:GOJ458758 GYC458758:GYF458758 HHY458758:HIB458758 HRU458758:HRX458758 IBQ458758:IBT458758 ILM458758:ILP458758 IVI458758:IVL458758 JFE458758:JFH458758 JPA458758:JPD458758 JYW458758:JYZ458758 KIS458758:KIV458758 KSO458758:KSR458758 LCK458758:LCN458758 LMG458758:LMJ458758 LWC458758:LWF458758 MFY458758:MGB458758 MPU458758:MPX458758 MZQ458758:MZT458758 NJM458758:NJP458758 NTI458758:NTL458758 ODE458758:ODH458758 ONA458758:OND458758 OWW458758:OWZ458758 PGS458758:PGV458758 PQO458758:PQR458758 QAK458758:QAN458758 QKG458758:QKJ458758 QUC458758:QUF458758 RDY458758:REB458758 RNU458758:RNX458758 RXQ458758:RXT458758 SHM458758:SHP458758 SRI458758:SRL458758 TBE458758:TBH458758 TLA458758:TLD458758 TUW458758:TUZ458758 UES458758:UEV458758 UOO458758:UOR458758 UYK458758:UYN458758 VIG458758:VIJ458758 VSC458758:VSF458758 WBY458758:WCB458758 WLU458758:WLX458758 WVQ458758:WVT458758 I524294:L524294 JE524294:JH524294 TA524294:TD524294 ACW524294:ACZ524294 AMS524294:AMV524294 AWO524294:AWR524294 BGK524294:BGN524294 BQG524294:BQJ524294 CAC524294:CAF524294 CJY524294:CKB524294 CTU524294:CTX524294 DDQ524294:DDT524294 DNM524294:DNP524294 DXI524294:DXL524294 EHE524294:EHH524294 ERA524294:ERD524294 FAW524294:FAZ524294 FKS524294:FKV524294 FUO524294:FUR524294 GEK524294:GEN524294 GOG524294:GOJ524294 GYC524294:GYF524294 HHY524294:HIB524294 HRU524294:HRX524294 IBQ524294:IBT524294 ILM524294:ILP524294 IVI524294:IVL524294 JFE524294:JFH524294 JPA524294:JPD524294 JYW524294:JYZ524294 KIS524294:KIV524294 KSO524294:KSR524294 LCK524294:LCN524294 LMG524294:LMJ524294 LWC524294:LWF524294 MFY524294:MGB524294 MPU524294:MPX524294 MZQ524294:MZT524294 NJM524294:NJP524294 NTI524294:NTL524294 ODE524294:ODH524294 ONA524294:OND524294 OWW524294:OWZ524294 PGS524294:PGV524294 PQO524294:PQR524294 QAK524294:QAN524294 QKG524294:QKJ524294 QUC524294:QUF524294 RDY524294:REB524294 RNU524294:RNX524294 RXQ524294:RXT524294 SHM524294:SHP524294 SRI524294:SRL524294 TBE524294:TBH524294 TLA524294:TLD524294 TUW524294:TUZ524294 UES524294:UEV524294 UOO524294:UOR524294 UYK524294:UYN524294 VIG524294:VIJ524294 VSC524294:VSF524294 WBY524294:WCB524294 WLU524294:WLX524294 WVQ524294:WVT524294 I589830:L589830 JE589830:JH589830 TA589830:TD589830 ACW589830:ACZ589830 AMS589830:AMV589830 AWO589830:AWR589830 BGK589830:BGN589830 BQG589830:BQJ589830 CAC589830:CAF589830 CJY589830:CKB589830 CTU589830:CTX589830 DDQ589830:DDT589830 DNM589830:DNP589830 DXI589830:DXL589830 EHE589830:EHH589830 ERA589830:ERD589830 FAW589830:FAZ589830 FKS589830:FKV589830 FUO589830:FUR589830 GEK589830:GEN589830 GOG589830:GOJ589830 GYC589830:GYF589830 HHY589830:HIB589830 HRU589830:HRX589830 IBQ589830:IBT589830 ILM589830:ILP589830 IVI589830:IVL589830 JFE589830:JFH589830 JPA589830:JPD589830 JYW589830:JYZ589830 KIS589830:KIV589830 KSO589830:KSR589830 LCK589830:LCN589830 LMG589830:LMJ589830 LWC589830:LWF589830 MFY589830:MGB589830 MPU589830:MPX589830 MZQ589830:MZT589830 NJM589830:NJP589830 NTI589830:NTL589830 ODE589830:ODH589830 ONA589830:OND589830 OWW589830:OWZ589830 PGS589830:PGV589830 PQO589830:PQR589830 QAK589830:QAN589830 QKG589830:QKJ589830 QUC589830:QUF589830 RDY589830:REB589830 RNU589830:RNX589830 RXQ589830:RXT589830 SHM589830:SHP589830 SRI589830:SRL589830 TBE589830:TBH589830 TLA589830:TLD589830 TUW589830:TUZ589830 UES589830:UEV589830 UOO589830:UOR589830 UYK589830:UYN589830 VIG589830:VIJ589830 VSC589830:VSF589830 WBY589830:WCB589830 WLU589830:WLX589830 WVQ589830:WVT589830 I655366:L655366 JE655366:JH655366 TA655366:TD655366 ACW655366:ACZ655366 AMS655366:AMV655366 AWO655366:AWR655366 BGK655366:BGN655366 BQG655366:BQJ655366 CAC655366:CAF655366 CJY655366:CKB655366 CTU655366:CTX655366 DDQ655366:DDT655366 DNM655366:DNP655366 DXI655366:DXL655366 EHE655366:EHH655366 ERA655366:ERD655366 FAW655366:FAZ655366 FKS655366:FKV655366 FUO655366:FUR655366 GEK655366:GEN655366 GOG655366:GOJ655366 GYC655366:GYF655366 HHY655366:HIB655366 HRU655366:HRX655366 IBQ655366:IBT655366 ILM655366:ILP655366 IVI655366:IVL655366 JFE655366:JFH655366 JPA655366:JPD655366 JYW655366:JYZ655366 KIS655366:KIV655366 KSO655366:KSR655366 LCK655366:LCN655366 LMG655366:LMJ655366 LWC655366:LWF655366 MFY655366:MGB655366 MPU655366:MPX655366 MZQ655366:MZT655366 NJM655366:NJP655366 NTI655366:NTL655366 ODE655366:ODH655366 ONA655366:OND655366 OWW655366:OWZ655366 PGS655366:PGV655366 PQO655366:PQR655366 QAK655366:QAN655366 QKG655366:QKJ655366 QUC655366:QUF655366 RDY655366:REB655366 RNU655366:RNX655366 RXQ655366:RXT655366 SHM655366:SHP655366 SRI655366:SRL655366 TBE655366:TBH655366 TLA655366:TLD655366 TUW655366:TUZ655366 UES655366:UEV655366 UOO655366:UOR655366 UYK655366:UYN655366 VIG655366:VIJ655366 VSC655366:VSF655366 WBY655366:WCB655366 WLU655366:WLX655366 WVQ655366:WVT655366 I720902:L720902 JE720902:JH720902 TA720902:TD720902 ACW720902:ACZ720902 AMS720902:AMV720902 AWO720902:AWR720902 BGK720902:BGN720902 BQG720902:BQJ720902 CAC720902:CAF720902 CJY720902:CKB720902 CTU720902:CTX720902 DDQ720902:DDT720902 DNM720902:DNP720902 DXI720902:DXL720902 EHE720902:EHH720902 ERA720902:ERD720902 FAW720902:FAZ720902 FKS720902:FKV720902 FUO720902:FUR720902 GEK720902:GEN720902 GOG720902:GOJ720902 GYC720902:GYF720902 HHY720902:HIB720902 HRU720902:HRX720902 IBQ720902:IBT720902 ILM720902:ILP720902 IVI720902:IVL720902 JFE720902:JFH720902 JPA720902:JPD720902 JYW720902:JYZ720902 KIS720902:KIV720902 KSO720902:KSR720902 LCK720902:LCN720902 LMG720902:LMJ720902 LWC720902:LWF720902 MFY720902:MGB720902 MPU720902:MPX720902 MZQ720902:MZT720902 NJM720902:NJP720902 NTI720902:NTL720902 ODE720902:ODH720902 ONA720902:OND720902 OWW720902:OWZ720902 PGS720902:PGV720902 PQO720902:PQR720902 QAK720902:QAN720902 QKG720902:QKJ720902 QUC720902:QUF720902 RDY720902:REB720902 RNU720902:RNX720902 RXQ720902:RXT720902 SHM720902:SHP720902 SRI720902:SRL720902 TBE720902:TBH720902 TLA720902:TLD720902 TUW720902:TUZ720902 UES720902:UEV720902 UOO720902:UOR720902 UYK720902:UYN720902 VIG720902:VIJ720902 VSC720902:VSF720902 WBY720902:WCB720902 WLU720902:WLX720902 WVQ720902:WVT720902 I786438:L786438 JE786438:JH786438 TA786438:TD786438 ACW786438:ACZ786438 AMS786438:AMV786438 AWO786438:AWR786438 BGK786438:BGN786438 BQG786438:BQJ786438 CAC786438:CAF786438 CJY786438:CKB786438 CTU786438:CTX786438 DDQ786438:DDT786438 DNM786438:DNP786438 DXI786438:DXL786438 EHE786438:EHH786438 ERA786438:ERD786438 FAW786438:FAZ786438 FKS786438:FKV786438 FUO786438:FUR786438 GEK786438:GEN786438 GOG786438:GOJ786438 GYC786438:GYF786438 HHY786438:HIB786438 HRU786438:HRX786438 IBQ786438:IBT786438 ILM786438:ILP786438 IVI786438:IVL786438 JFE786438:JFH786438 JPA786438:JPD786438 JYW786438:JYZ786438 KIS786438:KIV786438 KSO786438:KSR786438 LCK786438:LCN786438 LMG786438:LMJ786438 LWC786438:LWF786438 MFY786438:MGB786438 MPU786438:MPX786438 MZQ786438:MZT786438 NJM786438:NJP786438 NTI786438:NTL786438 ODE786438:ODH786438 ONA786438:OND786438 OWW786438:OWZ786438 PGS786438:PGV786438 PQO786438:PQR786438 QAK786438:QAN786438 QKG786438:QKJ786438 QUC786438:QUF786438 RDY786438:REB786438 RNU786438:RNX786438 RXQ786438:RXT786438 SHM786438:SHP786438 SRI786438:SRL786438 TBE786438:TBH786438 TLA786438:TLD786438 TUW786438:TUZ786438 UES786438:UEV786438 UOO786438:UOR786438 UYK786438:UYN786438 VIG786438:VIJ786438 VSC786438:VSF786438 WBY786438:WCB786438 WLU786438:WLX786438 WVQ786438:WVT786438 I851974:L851974 JE851974:JH851974 TA851974:TD851974 ACW851974:ACZ851974 AMS851974:AMV851974 AWO851974:AWR851974 BGK851974:BGN851974 BQG851974:BQJ851974 CAC851974:CAF851974 CJY851974:CKB851974 CTU851974:CTX851974 DDQ851974:DDT851974 DNM851974:DNP851974 DXI851974:DXL851974 EHE851974:EHH851974 ERA851974:ERD851974 FAW851974:FAZ851974 FKS851974:FKV851974 FUO851974:FUR851974 GEK851974:GEN851974 GOG851974:GOJ851974 GYC851974:GYF851974 HHY851974:HIB851974 HRU851974:HRX851974 IBQ851974:IBT851974 ILM851974:ILP851974 IVI851974:IVL851974 JFE851974:JFH851974 JPA851974:JPD851974 JYW851974:JYZ851974 KIS851974:KIV851974 KSO851974:KSR851974 LCK851974:LCN851974 LMG851974:LMJ851974 LWC851974:LWF851974 MFY851974:MGB851974 MPU851974:MPX851974 MZQ851974:MZT851974 NJM851974:NJP851974 NTI851974:NTL851974 ODE851974:ODH851974 ONA851974:OND851974 OWW851974:OWZ851974 PGS851974:PGV851974 PQO851974:PQR851974 QAK851974:QAN851974 QKG851974:QKJ851974 QUC851974:QUF851974 RDY851974:REB851974 RNU851974:RNX851974 RXQ851974:RXT851974 SHM851974:SHP851974 SRI851974:SRL851974 TBE851974:TBH851974 TLA851974:TLD851974 TUW851974:TUZ851974 UES851974:UEV851974 UOO851974:UOR851974 UYK851974:UYN851974 VIG851974:VIJ851974 VSC851974:VSF851974 WBY851974:WCB851974 WLU851974:WLX851974 WVQ851974:WVT851974 I917510:L917510 JE917510:JH917510 TA917510:TD917510 ACW917510:ACZ917510 AMS917510:AMV917510 AWO917510:AWR917510 BGK917510:BGN917510 BQG917510:BQJ917510 CAC917510:CAF917510 CJY917510:CKB917510 CTU917510:CTX917510 DDQ917510:DDT917510 DNM917510:DNP917510 DXI917510:DXL917510 EHE917510:EHH917510 ERA917510:ERD917510 FAW917510:FAZ917510 FKS917510:FKV917510 FUO917510:FUR917510 GEK917510:GEN917510 GOG917510:GOJ917510 GYC917510:GYF917510 HHY917510:HIB917510 HRU917510:HRX917510 IBQ917510:IBT917510 ILM917510:ILP917510 IVI917510:IVL917510 JFE917510:JFH917510 JPA917510:JPD917510 JYW917510:JYZ917510 KIS917510:KIV917510 KSO917510:KSR917510 LCK917510:LCN917510 LMG917510:LMJ917510 LWC917510:LWF917510 MFY917510:MGB917510 MPU917510:MPX917510 MZQ917510:MZT917510 NJM917510:NJP917510 NTI917510:NTL917510 ODE917510:ODH917510 ONA917510:OND917510 OWW917510:OWZ917510 PGS917510:PGV917510 PQO917510:PQR917510 QAK917510:QAN917510 QKG917510:QKJ917510 QUC917510:QUF917510 RDY917510:REB917510 RNU917510:RNX917510 RXQ917510:RXT917510 SHM917510:SHP917510 SRI917510:SRL917510 TBE917510:TBH917510 TLA917510:TLD917510 TUW917510:TUZ917510 UES917510:UEV917510 UOO917510:UOR917510 UYK917510:UYN917510 VIG917510:VIJ917510 VSC917510:VSF917510 WBY917510:WCB917510 WLU917510:WLX917510 WVQ917510:WVT917510 I983046:L983046 JE983046:JH983046 TA983046:TD983046 ACW983046:ACZ983046 AMS983046:AMV983046 AWO983046:AWR983046 BGK983046:BGN983046 BQG983046:BQJ983046 CAC983046:CAF983046 CJY983046:CKB983046 CTU983046:CTX983046 DDQ983046:DDT983046 DNM983046:DNP983046 DXI983046:DXL983046 EHE983046:EHH983046 ERA983046:ERD983046 FAW983046:FAZ983046 FKS983046:FKV983046 FUO983046:FUR983046 GEK983046:GEN983046 GOG983046:GOJ983046 GYC983046:GYF983046 HHY983046:HIB983046 HRU983046:HRX983046 IBQ983046:IBT983046 ILM983046:ILP983046 IVI983046:IVL983046 JFE983046:JFH983046 JPA983046:JPD983046 JYW983046:JYZ983046 KIS983046:KIV983046 KSO983046:KSR983046 LCK983046:LCN983046 LMG983046:LMJ983046 LWC983046:LWF983046 MFY983046:MGB983046 MPU983046:MPX983046 MZQ983046:MZT983046 NJM983046:NJP983046 NTI983046:NTL983046 ODE983046:ODH983046 ONA983046:OND983046 OWW983046:OWZ983046 PGS983046:PGV983046 PQO983046:PQR983046 QAK983046:QAN983046 QKG983046:QKJ983046 QUC983046:QUF983046 RDY983046:REB983046 RNU983046:RNX983046 RXQ983046:RXT983046 SHM983046:SHP983046 SRI983046:SRL983046 TBE983046:TBH983046 TLA983046:TLD983046 TUW983046:TUZ983046 UES983046:UEV983046 UOO983046:UOR983046 UYK983046:UYN983046 VIG983046:VIJ983046 VSC983046:VSF983046 WBY983046:WCB983046 WLU983046:WLX983046 WVQ983046:WVT983046">
      <formula1>$V$2:$V$27</formula1>
    </dataValidation>
    <dataValidation type="list" allowBlank="1" showInputMessage="1" showErrorMessage="1" sqref="J4:M4 JF4:JI4 TB4:TE4 ACX4:ADA4 AMT4:AMW4 AWP4:AWS4 BGL4:BGO4 BQH4:BQK4 CAD4:CAG4 CJZ4:CKC4 CTV4:CTY4 DDR4:DDU4 DNN4:DNQ4 DXJ4:DXM4 EHF4:EHI4 ERB4:ERE4 FAX4:FBA4 FKT4:FKW4 FUP4:FUS4 GEL4:GEO4 GOH4:GOK4 GYD4:GYG4 HHZ4:HIC4 HRV4:HRY4 IBR4:IBU4 ILN4:ILQ4 IVJ4:IVM4 JFF4:JFI4 JPB4:JPE4 JYX4:JZA4 KIT4:KIW4 KSP4:KSS4 LCL4:LCO4 LMH4:LMK4 LWD4:LWG4 MFZ4:MGC4 MPV4:MPY4 MZR4:MZU4 NJN4:NJQ4 NTJ4:NTM4 ODF4:ODI4 ONB4:ONE4 OWX4:OXA4 PGT4:PGW4 PQP4:PQS4 QAL4:QAO4 QKH4:QKK4 QUD4:QUG4 RDZ4:REC4 RNV4:RNY4 RXR4:RXU4 SHN4:SHQ4 SRJ4:SRM4 TBF4:TBI4 TLB4:TLE4 TUX4:TVA4 UET4:UEW4 UOP4:UOS4 UYL4:UYO4 VIH4:VIK4 VSD4:VSG4 WBZ4:WCC4 WLV4:WLY4 WVR4:WVU4 J65540:M65540 JF65540:JI65540 TB65540:TE65540 ACX65540:ADA65540 AMT65540:AMW65540 AWP65540:AWS65540 BGL65540:BGO65540 BQH65540:BQK65540 CAD65540:CAG65540 CJZ65540:CKC65540 CTV65540:CTY65540 DDR65540:DDU65540 DNN65540:DNQ65540 DXJ65540:DXM65540 EHF65540:EHI65540 ERB65540:ERE65540 FAX65540:FBA65540 FKT65540:FKW65540 FUP65540:FUS65540 GEL65540:GEO65540 GOH65540:GOK65540 GYD65540:GYG65540 HHZ65540:HIC65540 HRV65540:HRY65540 IBR65540:IBU65540 ILN65540:ILQ65540 IVJ65540:IVM65540 JFF65540:JFI65540 JPB65540:JPE65540 JYX65540:JZA65540 KIT65540:KIW65540 KSP65540:KSS65540 LCL65540:LCO65540 LMH65540:LMK65540 LWD65540:LWG65540 MFZ65540:MGC65540 MPV65540:MPY65540 MZR65540:MZU65540 NJN65540:NJQ65540 NTJ65540:NTM65540 ODF65540:ODI65540 ONB65540:ONE65540 OWX65540:OXA65540 PGT65540:PGW65540 PQP65540:PQS65540 QAL65540:QAO65540 QKH65540:QKK65540 QUD65540:QUG65540 RDZ65540:REC65540 RNV65540:RNY65540 RXR65540:RXU65540 SHN65540:SHQ65540 SRJ65540:SRM65540 TBF65540:TBI65540 TLB65540:TLE65540 TUX65540:TVA65540 UET65540:UEW65540 UOP65540:UOS65540 UYL65540:UYO65540 VIH65540:VIK65540 VSD65540:VSG65540 WBZ65540:WCC65540 WLV65540:WLY65540 WVR65540:WVU65540 J131076:M131076 JF131076:JI131076 TB131076:TE131076 ACX131076:ADA131076 AMT131076:AMW131076 AWP131076:AWS131076 BGL131076:BGO131076 BQH131076:BQK131076 CAD131076:CAG131076 CJZ131076:CKC131076 CTV131076:CTY131076 DDR131076:DDU131076 DNN131076:DNQ131076 DXJ131076:DXM131076 EHF131076:EHI131076 ERB131076:ERE131076 FAX131076:FBA131076 FKT131076:FKW131076 FUP131076:FUS131076 GEL131076:GEO131076 GOH131076:GOK131076 GYD131076:GYG131076 HHZ131076:HIC131076 HRV131076:HRY131076 IBR131076:IBU131076 ILN131076:ILQ131076 IVJ131076:IVM131076 JFF131076:JFI131076 JPB131076:JPE131076 JYX131076:JZA131076 KIT131076:KIW131076 KSP131076:KSS131076 LCL131076:LCO131076 LMH131076:LMK131076 LWD131076:LWG131076 MFZ131076:MGC131076 MPV131076:MPY131076 MZR131076:MZU131076 NJN131076:NJQ131076 NTJ131076:NTM131076 ODF131076:ODI131076 ONB131076:ONE131076 OWX131076:OXA131076 PGT131076:PGW131076 PQP131076:PQS131076 QAL131076:QAO131076 QKH131076:QKK131076 QUD131076:QUG131076 RDZ131076:REC131076 RNV131076:RNY131076 RXR131076:RXU131076 SHN131076:SHQ131076 SRJ131076:SRM131076 TBF131076:TBI131076 TLB131076:TLE131076 TUX131076:TVA131076 UET131076:UEW131076 UOP131076:UOS131076 UYL131076:UYO131076 VIH131076:VIK131076 VSD131076:VSG131076 WBZ131076:WCC131076 WLV131076:WLY131076 WVR131076:WVU131076 J196612:M196612 JF196612:JI196612 TB196612:TE196612 ACX196612:ADA196612 AMT196612:AMW196612 AWP196612:AWS196612 BGL196612:BGO196612 BQH196612:BQK196612 CAD196612:CAG196612 CJZ196612:CKC196612 CTV196612:CTY196612 DDR196612:DDU196612 DNN196612:DNQ196612 DXJ196612:DXM196612 EHF196612:EHI196612 ERB196612:ERE196612 FAX196612:FBA196612 FKT196612:FKW196612 FUP196612:FUS196612 GEL196612:GEO196612 GOH196612:GOK196612 GYD196612:GYG196612 HHZ196612:HIC196612 HRV196612:HRY196612 IBR196612:IBU196612 ILN196612:ILQ196612 IVJ196612:IVM196612 JFF196612:JFI196612 JPB196612:JPE196612 JYX196612:JZA196612 KIT196612:KIW196612 KSP196612:KSS196612 LCL196612:LCO196612 LMH196612:LMK196612 LWD196612:LWG196612 MFZ196612:MGC196612 MPV196612:MPY196612 MZR196612:MZU196612 NJN196612:NJQ196612 NTJ196612:NTM196612 ODF196612:ODI196612 ONB196612:ONE196612 OWX196612:OXA196612 PGT196612:PGW196612 PQP196612:PQS196612 QAL196612:QAO196612 QKH196612:QKK196612 QUD196612:QUG196612 RDZ196612:REC196612 RNV196612:RNY196612 RXR196612:RXU196612 SHN196612:SHQ196612 SRJ196612:SRM196612 TBF196612:TBI196612 TLB196612:TLE196612 TUX196612:TVA196612 UET196612:UEW196612 UOP196612:UOS196612 UYL196612:UYO196612 VIH196612:VIK196612 VSD196612:VSG196612 WBZ196612:WCC196612 WLV196612:WLY196612 WVR196612:WVU196612 J262148:M262148 JF262148:JI262148 TB262148:TE262148 ACX262148:ADA262148 AMT262148:AMW262148 AWP262148:AWS262148 BGL262148:BGO262148 BQH262148:BQK262148 CAD262148:CAG262148 CJZ262148:CKC262148 CTV262148:CTY262148 DDR262148:DDU262148 DNN262148:DNQ262148 DXJ262148:DXM262148 EHF262148:EHI262148 ERB262148:ERE262148 FAX262148:FBA262148 FKT262148:FKW262148 FUP262148:FUS262148 GEL262148:GEO262148 GOH262148:GOK262148 GYD262148:GYG262148 HHZ262148:HIC262148 HRV262148:HRY262148 IBR262148:IBU262148 ILN262148:ILQ262148 IVJ262148:IVM262148 JFF262148:JFI262148 JPB262148:JPE262148 JYX262148:JZA262148 KIT262148:KIW262148 KSP262148:KSS262148 LCL262148:LCO262148 LMH262148:LMK262148 LWD262148:LWG262148 MFZ262148:MGC262148 MPV262148:MPY262148 MZR262148:MZU262148 NJN262148:NJQ262148 NTJ262148:NTM262148 ODF262148:ODI262148 ONB262148:ONE262148 OWX262148:OXA262148 PGT262148:PGW262148 PQP262148:PQS262148 QAL262148:QAO262148 QKH262148:QKK262148 QUD262148:QUG262148 RDZ262148:REC262148 RNV262148:RNY262148 RXR262148:RXU262148 SHN262148:SHQ262148 SRJ262148:SRM262148 TBF262148:TBI262148 TLB262148:TLE262148 TUX262148:TVA262148 UET262148:UEW262148 UOP262148:UOS262148 UYL262148:UYO262148 VIH262148:VIK262148 VSD262148:VSG262148 WBZ262148:WCC262148 WLV262148:WLY262148 WVR262148:WVU262148 J327684:M327684 JF327684:JI327684 TB327684:TE327684 ACX327684:ADA327684 AMT327684:AMW327684 AWP327684:AWS327684 BGL327684:BGO327684 BQH327684:BQK327684 CAD327684:CAG327684 CJZ327684:CKC327684 CTV327684:CTY327684 DDR327684:DDU327684 DNN327684:DNQ327684 DXJ327684:DXM327684 EHF327684:EHI327684 ERB327684:ERE327684 FAX327684:FBA327684 FKT327684:FKW327684 FUP327684:FUS327684 GEL327684:GEO327684 GOH327684:GOK327684 GYD327684:GYG327684 HHZ327684:HIC327684 HRV327684:HRY327684 IBR327684:IBU327684 ILN327684:ILQ327684 IVJ327684:IVM327684 JFF327684:JFI327684 JPB327684:JPE327684 JYX327684:JZA327684 KIT327684:KIW327684 KSP327684:KSS327684 LCL327684:LCO327684 LMH327684:LMK327684 LWD327684:LWG327684 MFZ327684:MGC327684 MPV327684:MPY327684 MZR327684:MZU327684 NJN327684:NJQ327684 NTJ327684:NTM327684 ODF327684:ODI327684 ONB327684:ONE327684 OWX327684:OXA327684 PGT327684:PGW327684 PQP327684:PQS327684 QAL327684:QAO327684 QKH327684:QKK327684 QUD327684:QUG327684 RDZ327684:REC327684 RNV327684:RNY327684 RXR327684:RXU327684 SHN327684:SHQ327684 SRJ327684:SRM327684 TBF327684:TBI327684 TLB327684:TLE327684 TUX327684:TVA327684 UET327684:UEW327684 UOP327684:UOS327684 UYL327684:UYO327684 VIH327684:VIK327684 VSD327684:VSG327684 WBZ327684:WCC327684 WLV327684:WLY327684 WVR327684:WVU327684 J393220:M393220 JF393220:JI393220 TB393220:TE393220 ACX393220:ADA393220 AMT393220:AMW393220 AWP393220:AWS393220 BGL393220:BGO393220 BQH393220:BQK393220 CAD393220:CAG393220 CJZ393220:CKC393220 CTV393220:CTY393220 DDR393220:DDU393220 DNN393220:DNQ393220 DXJ393220:DXM393220 EHF393220:EHI393220 ERB393220:ERE393220 FAX393220:FBA393220 FKT393220:FKW393220 FUP393220:FUS393220 GEL393220:GEO393220 GOH393220:GOK393220 GYD393220:GYG393220 HHZ393220:HIC393220 HRV393220:HRY393220 IBR393220:IBU393220 ILN393220:ILQ393220 IVJ393220:IVM393220 JFF393220:JFI393220 JPB393220:JPE393220 JYX393220:JZA393220 KIT393220:KIW393220 KSP393220:KSS393220 LCL393220:LCO393220 LMH393220:LMK393220 LWD393220:LWG393220 MFZ393220:MGC393220 MPV393220:MPY393220 MZR393220:MZU393220 NJN393220:NJQ393220 NTJ393220:NTM393220 ODF393220:ODI393220 ONB393220:ONE393220 OWX393220:OXA393220 PGT393220:PGW393220 PQP393220:PQS393220 QAL393220:QAO393220 QKH393220:QKK393220 QUD393220:QUG393220 RDZ393220:REC393220 RNV393220:RNY393220 RXR393220:RXU393220 SHN393220:SHQ393220 SRJ393220:SRM393220 TBF393220:TBI393220 TLB393220:TLE393220 TUX393220:TVA393220 UET393220:UEW393220 UOP393220:UOS393220 UYL393220:UYO393220 VIH393220:VIK393220 VSD393220:VSG393220 WBZ393220:WCC393220 WLV393220:WLY393220 WVR393220:WVU393220 J458756:M458756 JF458756:JI458756 TB458756:TE458756 ACX458756:ADA458756 AMT458756:AMW458756 AWP458756:AWS458756 BGL458756:BGO458756 BQH458756:BQK458756 CAD458756:CAG458756 CJZ458756:CKC458756 CTV458756:CTY458756 DDR458756:DDU458756 DNN458756:DNQ458756 DXJ458756:DXM458756 EHF458756:EHI458756 ERB458756:ERE458756 FAX458756:FBA458756 FKT458756:FKW458756 FUP458756:FUS458756 GEL458756:GEO458756 GOH458756:GOK458756 GYD458756:GYG458756 HHZ458756:HIC458756 HRV458756:HRY458756 IBR458756:IBU458756 ILN458756:ILQ458756 IVJ458756:IVM458756 JFF458756:JFI458756 JPB458756:JPE458756 JYX458756:JZA458756 KIT458756:KIW458756 KSP458756:KSS458756 LCL458756:LCO458756 LMH458756:LMK458756 LWD458756:LWG458756 MFZ458756:MGC458756 MPV458756:MPY458756 MZR458756:MZU458756 NJN458756:NJQ458756 NTJ458756:NTM458756 ODF458756:ODI458756 ONB458756:ONE458756 OWX458756:OXA458756 PGT458756:PGW458756 PQP458756:PQS458756 QAL458756:QAO458756 QKH458756:QKK458756 QUD458756:QUG458756 RDZ458756:REC458756 RNV458756:RNY458756 RXR458756:RXU458756 SHN458756:SHQ458756 SRJ458756:SRM458756 TBF458756:TBI458756 TLB458756:TLE458756 TUX458756:TVA458756 UET458756:UEW458756 UOP458756:UOS458756 UYL458756:UYO458756 VIH458756:VIK458756 VSD458756:VSG458756 WBZ458756:WCC458756 WLV458756:WLY458756 WVR458756:WVU458756 J524292:M524292 JF524292:JI524292 TB524292:TE524292 ACX524292:ADA524292 AMT524292:AMW524292 AWP524292:AWS524292 BGL524292:BGO524292 BQH524292:BQK524292 CAD524292:CAG524292 CJZ524292:CKC524292 CTV524292:CTY524292 DDR524292:DDU524292 DNN524292:DNQ524292 DXJ524292:DXM524292 EHF524292:EHI524292 ERB524292:ERE524292 FAX524292:FBA524292 FKT524292:FKW524292 FUP524292:FUS524292 GEL524292:GEO524292 GOH524292:GOK524292 GYD524292:GYG524292 HHZ524292:HIC524292 HRV524292:HRY524292 IBR524292:IBU524292 ILN524292:ILQ524292 IVJ524292:IVM524292 JFF524292:JFI524292 JPB524292:JPE524292 JYX524292:JZA524292 KIT524292:KIW524292 KSP524292:KSS524292 LCL524292:LCO524292 LMH524292:LMK524292 LWD524292:LWG524292 MFZ524292:MGC524292 MPV524292:MPY524292 MZR524292:MZU524292 NJN524292:NJQ524292 NTJ524292:NTM524292 ODF524292:ODI524292 ONB524292:ONE524292 OWX524292:OXA524292 PGT524292:PGW524292 PQP524292:PQS524292 QAL524292:QAO524292 QKH524292:QKK524292 QUD524292:QUG524292 RDZ524292:REC524292 RNV524292:RNY524292 RXR524292:RXU524292 SHN524292:SHQ524292 SRJ524292:SRM524292 TBF524292:TBI524292 TLB524292:TLE524292 TUX524292:TVA524292 UET524292:UEW524292 UOP524292:UOS524292 UYL524292:UYO524292 VIH524292:VIK524292 VSD524292:VSG524292 WBZ524292:WCC524292 WLV524292:WLY524292 WVR524292:WVU524292 J589828:M589828 JF589828:JI589828 TB589828:TE589828 ACX589828:ADA589828 AMT589828:AMW589828 AWP589828:AWS589828 BGL589828:BGO589828 BQH589828:BQK589828 CAD589828:CAG589828 CJZ589828:CKC589828 CTV589828:CTY589828 DDR589828:DDU589828 DNN589828:DNQ589828 DXJ589828:DXM589828 EHF589828:EHI589828 ERB589828:ERE589828 FAX589828:FBA589828 FKT589828:FKW589828 FUP589828:FUS589828 GEL589828:GEO589828 GOH589828:GOK589828 GYD589828:GYG589828 HHZ589828:HIC589828 HRV589828:HRY589828 IBR589828:IBU589828 ILN589828:ILQ589828 IVJ589828:IVM589828 JFF589828:JFI589828 JPB589828:JPE589828 JYX589828:JZA589828 KIT589828:KIW589828 KSP589828:KSS589828 LCL589828:LCO589828 LMH589828:LMK589828 LWD589828:LWG589828 MFZ589828:MGC589828 MPV589828:MPY589828 MZR589828:MZU589828 NJN589828:NJQ589828 NTJ589828:NTM589828 ODF589828:ODI589828 ONB589828:ONE589828 OWX589828:OXA589828 PGT589828:PGW589828 PQP589828:PQS589828 QAL589828:QAO589828 QKH589828:QKK589828 QUD589828:QUG589828 RDZ589828:REC589828 RNV589828:RNY589828 RXR589828:RXU589828 SHN589828:SHQ589828 SRJ589828:SRM589828 TBF589828:TBI589828 TLB589828:TLE589828 TUX589828:TVA589828 UET589828:UEW589828 UOP589828:UOS589828 UYL589828:UYO589828 VIH589828:VIK589828 VSD589828:VSG589828 WBZ589828:WCC589828 WLV589828:WLY589828 WVR589828:WVU589828 J655364:M655364 JF655364:JI655364 TB655364:TE655364 ACX655364:ADA655364 AMT655364:AMW655364 AWP655364:AWS655364 BGL655364:BGO655364 BQH655364:BQK655364 CAD655364:CAG655364 CJZ655364:CKC655364 CTV655364:CTY655364 DDR655364:DDU655364 DNN655364:DNQ655364 DXJ655364:DXM655364 EHF655364:EHI655364 ERB655364:ERE655364 FAX655364:FBA655364 FKT655364:FKW655364 FUP655364:FUS655364 GEL655364:GEO655364 GOH655364:GOK655364 GYD655364:GYG655364 HHZ655364:HIC655364 HRV655364:HRY655364 IBR655364:IBU655364 ILN655364:ILQ655364 IVJ655364:IVM655364 JFF655364:JFI655364 JPB655364:JPE655364 JYX655364:JZA655364 KIT655364:KIW655364 KSP655364:KSS655364 LCL655364:LCO655364 LMH655364:LMK655364 LWD655364:LWG655364 MFZ655364:MGC655364 MPV655364:MPY655364 MZR655364:MZU655364 NJN655364:NJQ655364 NTJ655364:NTM655364 ODF655364:ODI655364 ONB655364:ONE655364 OWX655364:OXA655364 PGT655364:PGW655364 PQP655364:PQS655364 QAL655364:QAO655364 QKH655364:QKK655364 QUD655364:QUG655364 RDZ655364:REC655364 RNV655364:RNY655364 RXR655364:RXU655364 SHN655364:SHQ655364 SRJ655364:SRM655364 TBF655364:TBI655364 TLB655364:TLE655364 TUX655364:TVA655364 UET655364:UEW655364 UOP655364:UOS655364 UYL655364:UYO655364 VIH655364:VIK655364 VSD655364:VSG655364 WBZ655364:WCC655364 WLV655364:WLY655364 WVR655364:WVU655364 J720900:M720900 JF720900:JI720900 TB720900:TE720900 ACX720900:ADA720900 AMT720900:AMW720900 AWP720900:AWS720900 BGL720900:BGO720900 BQH720900:BQK720900 CAD720900:CAG720900 CJZ720900:CKC720900 CTV720900:CTY720900 DDR720900:DDU720900 DNN720900:DNQ720900 DXJ720900:DXM720900 EHF720900:EHI720900 ERB720900:ERE720900 FAX720900:FBA720900 FKT720900:FKW720900 FUP720900:FUS720900 GEL720900:GEO720900 GOH720900:GOK720900 GYD720900:GYG720900 HHZ720900:HIC720900 HRV720900:HRY720900 IBR720900:IBU720900 ILN720900:ILQ720900 IVJ720900:IVM720900 JFF720900:JFI720900 JPB720900:JPE720900 JYX720900:JZA720900 KIT720900:KIW720900 KSP720900:KSS720900 LCL720900:LCO720900 LMH720900:LMK720900 LWD720900:LWG720900 MFZ720900:MGC720900 MPV720900:MPY720900 MZR720900:MZU720900 NJN720900:NJQ720900 NTJ720900:NTM720900 ODF720900:ODI720900 ONB720900:ONE720900 OWX720900:OXA720900 PGT720900:PGW720900 PQP720900:PQS720900 QAL720900:QAO720900 QKH720900:QKK720900 QUD720900:QUG720900 RDZ720900:REC720900 RNV720900:RNY720900 RXR720900:RXU720900 SHN720900:SHQ720900 SRJ720900:SRM720900 TBF720900:TBI720900 TLB720900:TLE720900 TUX720900:TVA720900 UET720900:UEW720900 UOP720900:UOS720900 UYL720900:UYO720900 VIH720900:VIK720900 VSD720900:VSG720900 WBZ720900:WCC720900 WLV720900:WLY720900 WVR720900:WVU720900 J786436:M786436 JF786436:JI786436 TB786436:TE786436 ACX786436:ADA786436 AMT786436:AMW786436 AWP786436:AWS786436 BGL786436:BGO786436 BQH786436:BQK786436 CAD786436:CAG786436 CJZ786436:CKC786436 CTV786436:CTY786436 DDR786436:DDU786436 DNN786436:DNQ786436 DXJ786436:DXM786436 EHF786436:EHI786436 ERB786436:ERE786436 FAX786436:FBA786436 FKT786436:FKW786436 FUP786436:FUS786436 GEL786436:GEO786436 GOH786436:GOK786436 GYD786436:GYG786436 HHZ786436:HIC786436 HRV786436:HRY786436 IBR786436:IBU786436 ILN786436:ILQ786436 IVJ786436:IVM786436 JFF786436:JFI786436 JPB786436:JPE786436 JYX786436:JZA786436 KIT786436:KIW786436 KSP786436:KSS786436 LCL786436:LCO786436 LMH786436:LMK786436 LWD786436:LWG786436 MFZ786436:MGC786436 MPV786436:MPY786436 MZR786436:MZU786436 NJN786436:NJQ786436 NTJ786436:NTM786436 ODF786436:ODI786436 ONB786436:ONE786436 OWX786436:OXA786436 PGT786436:PGW786436 PQP786436:PQS786436 QAL786436:QAO786436 QKH786436:QKK786436 QUD786436:QUG786436 RDZ786436:REC786436 RNV786436:RNY786436 RXR786436:RXU786436 SHN786436:SHQ786436 SRJ786436:SRM786436 TBF786436:TBI786436 TLB786436:TLE786436 TUX786436:TVA786436 UET786436:UEW786436 UOP786436:UOS786436 UYL786436:UYO786436 VIH786436:VIK786436 VSD786436:VSG786436 WBZ786436:WCC786436 WLV786436:WLY786436 WVR786436:WVU786436 J851972:M851972 JF851972:JI851972 TB851972:TE851972 ACX851972:ADA851972 AMT851972:AMW851972 AWP851972:AWS851972 BGL851972:BGO851972 BQH851972:BQK851972 CAD851972:CAG851972 CJZ851972:CKC851972 CTV851972:CTY851972 DDR851972:DDU851972 DNN851972:DNQ851972 DXJ851972:DXM851972 EHF851972:EHI851972 ERB851972:ERE851972 FAX851972:FBA851972 FKT851972:FKW851972 FUP851972:FUS851972 GEL851972:GEO851972 GOH851972:GOK851972 GYD851972:GYG851972 HHZ851972:HIC851972 HRV851972:HRY851972 IBR851972:IBU851972 ILN851972:ILQ851972 IVJ851972:IVM851972 JFF851972:JFI851972 JPB851972:JPE851972 JYX851972:JZA851972 KIT851972:KIW851972 KSP851972:KSS851972 LCL851972:LCO851972 LMH851972:LMK851972 LWD851972:LWG851972 MFZ851972:MGC851972 MPV851972:MPY851972 MZR851972:MZU851972 NJN851972:NJQ851972 NTJ851972:NTM851972 ODF851972:ODI851972 ONB851972:ONE851972 OWX851972:OXA851972 PGT851972:PGW851972 PQP851972:PQS851972 QAL851972:QAO851972 QKH851972:QKK851972 QUD851972:QUG851972 RDZ851972:REC851972 RNV851972:RNY851972 RXR851972:RXU851972 SHN851972:SHQ851972 SRJ851972:SRM851972 TBF851972:TBI851972 TLB851972:TLE851972 TUX851972:TVA851972 UET851972:UEW851972 UOP851972:UOS851972 UYL851972:UYO851972 VIH851972:VIK851972 VSD851972:VSG851972 WBZ851972:WCC851972 WLV851972:WLY851972 WVR851972:WVU851972 J917508:M917508 JF917508:JI917508 TB917508:TE917508 ACX917508:ADA917508 AMT917508:AMW917508 AWP917508:AWS917508 BGL917508:BGO917508 BQH917508:BQK917508 CAD917508:CAG917508 CJZ917508:CKC917508 CTV917508:CTY917508 DDR917508:DDU917508 DNN917508:DNQ917508 DXJ917508:DXM917508 EHF917508:EHI917508 ERB917508:ERE917508 FAX917508:FBA917508 FKT917508:FKW917508 FUP917508:FUS917508 GEL917508:GEO917508 GOH917508:GOK917508 GYD917508:GYG917508 HHZ917508:HIC917508 HRV917508:HRY917508 IBR917508:IBU917508 ILN917508:ILQ917508 IVJ917508:IVM917508 JFF917508:JFI917508 JPB917508:JPE917508 JYX917508:JZA917508 KIT917508:KIW917508 KSP917508:KSS917508 LCL917508:LCO917508 LMH917508:LMK917508 LWD917508:LWG917508 MFZ917508:MGC917508 MPV917508:MPY917508 MZR917508:MZU917508 NJN917508:NJQ917508 NTJ917508:NTM917508 ODF917508:ODI917508 ONB917508:ONE917508 OWX917508:OXA917508 PGT917508:PGW917508 PQP917508:PQS917508 QAL917508:QAO917508 QKH917508:QKK917508 QUD917508:QUG917508 RDZ917508:REC917508 RNV917508:RNY917508 RXR917508:RXU917508 SHN917508:SHQ917508 SRJ917508:SRM917508 TBF917508:TBI917508 TLB917508:TLE917508 TUX917508:TVA917508 UET917508:UEW917508 UOP917508:UOS917508 UYL917508:UYO917508 VIH917508:VIK917508 VSD917508:VSG917508 WBZ917508:WCC917508 WLV917508:WLY917508 WVR917508:WVU917508 J983044:M983044 JF983044:JI983044 TB983044:TE983044 ACX983044:ADA983044 AMT983044:AMW983044 AWP983044:AWS983044 BGL983044:BGO983044 BQH983044:BQK983044 CAD983044:CAG983044 CJZ983044:CKC983044 CTV983044:CTY983044 DDR983044:DDU983044 DNN983044:DNQ983044 DXJ983044:DXM983044 EHF983044:EHI983044 ERB983044:ERE983044 FAX983044:FBA983044 FKT983044:FKW983044 FUP983044:FUS983044 GEL983044:GEO983044 GOH983044:GOK983044 GYD983044:GYG983044 HHZ983044:HIC983044 HRV983044:HRY983044 IBR983044:IBU983044 ILN983044:ILQ983044 IVJ983044:IVM983044 JFF983044:JFI983044 JPB983044:JPE983044 JYX983044:JZA983044 KIT983044:KIW983044 KSP983044:KSS983044 LCL983044:LCO983044 LMH983044:LMK983044 LWD983044:LWG983044 MFZ983044:MGC983044 MPV983044:MPY983044 MZR983044:MZU983044 NJN983044:NJQ983044 NTJ983044:NTM983044 ODF983044:ODI983044 ONB983044:ONE983044 OWX983044:OXA983044 PGT983044:PGW983044 PQP983044:PQS983044 QAL983044:QAO983044 QKH983044:QKK983044 QUD983044:QUG983044 RDZ983044:REC983044 RNV983044:RNY983044 RXR983044:RXU983044 SHN983044:SHQ983044 SRJ983044:SRM983044 TBF983044:TBI983044 TLB983044:TLE983044 TUX983044:TVA983044 UET983044:UEW983044 UOP983044:UOS983044 UYL983044:UYO983044 VIH983044:VIK983044 VSD983044:VSG983044 WBZ983044:WCC983044 WLV983044:WLY983044 WVR983044:WVU983044">
      <formula1>$T$2:$T$27</formula1>
    </dataValidation>
    <dataValidation type="list" allowBlank="1" showInputMessage="1" showErrorMessage="1" sqref="N4">
      <formula1>A_Team1</formula1>
    </dataValidation>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UEFA EURO 2024</vt:lpstr>
      <vt:lpstr>Lucky Bonus</vt:lpstr>
      <vt:lpstr>A_Team1</vt:lpstr>
      <vt:lpstr>A_Team2</vt:lpstr>
      <vt:lpstr>A_Team3</vt:lpstr>
      <vt:lpstr>A_Team4</vt:lpstr>
      <vt:lpstr>B_Team1</vt:lpstr>
      <vt:lpstr>B_Team2</vt:lpstr>
      <vt:lpstr>B_Team3</vt:lpstr>
      <vt:lpstr>B_Team4</vt:lpstr>
      <vt:lpstr>C_Team1</vt:lpstr>
      <vt:lpstr>C_Team2</vt:lpstr>
      <vt:lpstr>C_Team3</vt:lpstr>
      <vt:lpstr>C_Team4</vt:lpstr>
      <vt:lpstr>D_Team1</vt:lpstr>
      <vt:lpstr>D_Team2</vt:lpstr>
      <vt:lpstr>D_Team3</vt:lpstr>
      <vt:lpstr>D_Team4</vt:lpstr>
      <vt:lpstr>db_fifarank</vt:lpstr>
      <vt:lpstr>E_Team1</vt:lpstr>
      <vt:lpstr>E_Team2</vt:lpstr>
      <vt:lpstr>E_Team3</vt:lpstr>
      <vt:lpstr>E_Team4</vt:lpstr>
      <vt:lpstr>F_Team1</vt:lpstr>
      <vt:lpstr>F_Team2</vt:lpstr>
      <vt:lpstr>F_Team3</vt:lpstr>
      <vt:lpstr>F_Team4</vt:lpstr>
      <vt:lpstr>gmt_delta</vt:lpstr>
      <vt:lpstr>itype</vt:lpstr>
      <vt:lpstr>lang</vt:lpstr>
      <vt:lpstr>lang_list</vt:lpstr>
      <vt:lpstr>lookup_3rd</vt:lpstr>
      <vt:lpstr>'UEFA EURO 2024'!Print_Area</vt:lpstr>
      <vt:lpstr>T</vt:lpstr>
      <vt:lpstr>tbl_lookup_3rd</vt:lpstr>
    </vt:vector>
  </TitlesOfParts>
  <Company>Excely.com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Eufa Euro 2024 Schedule</dc:title>
  <dc:subject/>
  <dc:creator>Denys Kozyr</dc:creator>
  <dc:description/>
  <cp:lastModifiedBy>Bob</cp:lastModifiedBy>
  <cp:revision>12</cp:revision>
  <cp:lastPrinted>2016-04-03T12:59:36Z</cp:lastPrinted>
  <dcterms:created xsi:type="dcterms:W3CDTF">2008-09-24T12:14:29Z</dcterms:created>
  <dcterms:modified xsi:type="dcterms:W3CDTF">2024-06-03T15:41:51Z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Excely.com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