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X:\4. CGIME-CGEE\[1_MONITORAMENTO_PNE]\2023_Painel\7. Quadro Resumo\Versão para o Painel\"/>
    </mc:Choice>
  </mc:AlternateContent>
  <xr:revisionPtr revIDLastSave="0" documentId="13_ncr:1_{45898906-77EB-403C-87A9-64D265DC0DF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Quadro" sheetId="1" r:id="rId1"/>
  </sheets>
  <definedNames>
    <definedName name="_xlnm._FilterDatabase" localSheetId="0" hidden="1">Quadro!$A$3:$M$61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1" i="1" l="1"/>
  <c r="J58" i="1"/>
  <c r="J59" i="1"/>
  <c r="J56" i="1"/>
  <c r="J57" i="1"/>
  <c r="S55" i="1"/>
  <c r="T55" i="1"/>
  <c r="J55" i="1"/>
  <c r="S53" i="1"/>
  <c r="T53" i="1"/>
  <c r="J53" i="1"/>
  <c r="J54" i="1"/>
  <c r="J51" i="1"/>
  <c r="J52" i="1"/>
  <c r="J49" i="1"/>
  <c r="J50" i="1"/>
  <c r="J47" i="1"/>
  <c r="J48" i="1"/>
  <c r="J46" i="1"/>
  <c r="J45" i="1"/>
  <c r="J44" i="1"/>
  <c r="J43" i="1"/>
  <c r="J42" i="1"/>
  <c r="J41" i="1"/>
  <c r="J40" i="1"/>
  <c r="J39" i="1"/>
  <c r="J38" i="1"/>
  <c r="J37" i="1"/>
  <c r="J36" i="1"/>
  <c r="J35" i="1"/>
  <c r="J33" i="1"/>
  <c r="J34" i="1"/>
  <c r="J31" i="1"/>
  <c r="J32" i="1"/>
  <c r="J30" i="1"/>
  <c r="J28" i="1"/>
  <c r="J27" i="1"/>
  <c r="J24" i="1"/>
  <c r="J25" i="1"/>
  <c r="J26" i="1"/>
  <c r="S23" i="1"/>
  <c r="T23" i="1"/>
  <c r="J23" i="1"/>
  <c r="S21" i="1"/>
  <c r="S22" i="1"/>
  <c r="T21" i="1"/>
  <c r="J21" i="1"/>
  <c r="T22" i="1"/>
  <c r="J22" i="1"/>
  <c r="J20" i="1"/>
  <c r="S20" i="1"/>
  <c r="F18" i="1"/>
  <c r="J18" i="1"/>
  <c r="J16" i="1"/>
  <c r="S15" i="1"/>
  <c r="T15" i="1"/>
  <c r="J15" i="1"/>
  <c r="J12" i="1"/>
  <c r="J10" i="1"/>
  <c r="J9" i="1"/>
  <c r="J8" i="1"/>
  <c r="J7" i="1"/>
  <c r="J6" i="1"/>
  <c r="J5" i="1"/>
  <c r="T5" i="1"/>
  <c r="T6" i="1"/>
  <c r="T7" i="1"/>
  <c r="T8" i="1"/>
  <c r="T9" i="1"/>
  <c r="T10" i="1"/>
  <c r="T11" i="1"/>
  <c r="T12" i="1"/>
  <c r="T13" i="1"/>
  <c r="T14" i="1"/>
  <c r="T16" i="1"/>
  <c r="T17" i="1"/>
  <c r="T18" i="1"/>
  <c r="T19" i="1"/>
  <c r="T20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4" i="1"/>
  <c r="T56" i="1"/>
  <c r="T57" i="1"/>
  <c r="T58" i="1"/>
  <c r="T59" i="1"/>
  <c r="T60" i="1"/>
  <c r="S5" i="1"/>
  <c r="S6" i="1"/>
  <c r="S7" i="1"/>
  <c r="S8" i="1"/>
  <c r="S9" i="1"/>
  <c r="S10" i="1"/>
  <c r="S12" i="1"/>
  <c r="S13" i="1"/>
  <c r="S14" i="1"/>
  <c r="S16" i="1"/>
  <c r="S17" i="1"/>
  <c r="S18" i="1"/>
  <c r="S19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4" i="1"/>
  <c r="S56" i="1"/>
  <c r="S57" i="1"/>
  <c r="S58" i="1"/>
  <c r="S59" i="1"/>
  <c r="S60" i="1"/>
  <c r="J4" i="1"/>
  <c r="T4" i="1"/>
  <c r="S4" i="1"/>
  <c r="L59" i="1"/>
  <c r="L11" i="1"/>
  <c r="L10" i="1"/>
  <c r="L12" i="1"/>
  <c r="M5" i="1"/>
  <c r="M6" i="1"/>
  <c r="M7" i="1"/>
  <c r="M8" i="1"/>
  <c r="M9" i="1"/>
  <c r="M12" i="1"/>
  <c r="M15" i="1"/>
  <c r="M16" i="1"/>
  <c r="M17" i="1"/>
  <c r="M18" i="1"/>
  <c r="M19" i="1"/>
  <c r="M20" i="1"/>
  <c r="M21" i="1"/>
  <c r="M22" i="1"/>
  <c r="M23" i="1"/>
  <c r="M24" i="1"/>
  <c r="M25" i="1"/>
  <c r="L9" i="1"/>
  <c r="L8" i="1"/>
  <c r="L7" i="1"/>
  <c r="L6" i="1"/>
  <c r="L5" i="1"/>
  <c r="Q53" i="1"/>
  <c r="R53" i="1"/>
  <c r="K53" i="1"/>
  <c r="K58" i="1"/>
  <c r="K59" i="1"/>
  <c r="K52" i="1"/>
  <c r="K48" i="1"/>
  <c r="K43" i="1"/>
  <c r="K44" i="1"/>
  <c r="K38" i="1"/>
  <c r="K39" i="1"/>
  <c r="K40" i="1"/>
  <c r="K41" i="1"/>
  <c r="K42" i="1"/>
  <c r="K37" i="1"/>
  <c r="K36" i="1"/>
  <c r="K35" i="1"/>
  <c r="K33" i="1"/>
  <c r="K34" i="1"/>
  <c r="K32" i="1"/>
  <c r="K30" i="1"/>
  <c r="K31" i="1"/>
  <c r="K29" i="1"/>
  <c r="K28" i="1"/>
  <c r="K27" i="1"/>
  <c r="K26" i="1"/>
  <c r="K25" i="1"/>
  <c r="K24" i="1"/>
  <c r="N25" i="1"/>
  <c r="L22" i="1"/>
  <c r="L23" i="1"/>
  <c r="L24" i="1"/>
  <c r="L25" i="1"/>
  <c r="L26" i="1"/>
  <c r="N26" i="1"/>
  <c r="Q25" i="1"/>
  <c r="R25" i="1"/>
  <c r="Q23" i="1"/>
  <c r="R23" i="1"/>
  <c r="K23" i="1"/>
  <c r="Q21" i="1"/>
  <c r="Q22" i="1"/>
  <c r="R21" i="1"/>
  <c r="K21" i="1"/>
  <c r="R22" i="1"/>
  <c r="K22" i="1"/>
  <c r="K20" i="1"/>
  <c r="Q20" i="1"/>
  <c r="K18" i="1"/>
  <c r="K19" i="1"/>
  <c r="K17" i="1"/>
  <c r="K16" i="1"/>
  <c r="Q15" i="1"/>
  <c r="R15" i="1"/>
  <c r="K15" i="1"/>
  <c r="K12" i="1"/>
  <c r="K5" i="1"/>
  <c r="K6" i="1"/>
  <c r="K7" i="1"/>
  <c r="K8" i="1"/>
  <c r="K9" i="1"/>
  <c r="Q11" i="1"/>
  <c r="R11" i="1"/>
  <c r="K11" i="1"/>
  <c r="R5" i="1"/>
  <c r="R6" i="1"/>
  <c r="R7" i="1"/>
  <c r="R8" i="1"/>
  <c r="R9" i="1"/>
  <c r="R10" i="1"/>
  <c r="R12" i="1"/>
  <c r="R13" i="1"/>
  <c r="R14" i="1"/>
  <c r="R16" i="1"/>
  <c r="R17" i="1"/>
  <c r="R18" i="1"/>
  <c r="R19" i="1"/>
  <c r="R20" i="1"/>
  <c r="R24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4" i="1"/>
  <c r="Q55" i="1"/>
  <c r="R55" i="1"/>
  <c r="R56" i="1"/>
  <c r="R57" i="1"/>
  <c r="R58" i="1"/>
  <c r="R59" i="1"/>
  <c r="R60" i="1"/>
  <c r="Q5" i="1"/>
  <c r="Q6" i="1"/>
  <c r="Q7" i="1"/>
  <c r="Q8" i="1"/>
  <c r="Q9" i="1"/>
  <c r="Q10" i="1"/>
  <c r="Q12" i="1"/>
  <c r="Q13" i="1"/>
  <c r="Q14" i="1"/>
  <c r="Q16" i="1"/>
  <c r="Q17" i="1"/>
  <c r="Q18" i="1"/>
  <c r="Q19" i="1"/>
  <c r="Q24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6" i="1"/>
  <c r="Q57" i="1"/>
  <c r="Q58" i="1"/>
  <c r="Q59" i="1"/>
  <c r="Q60" i="1"/>
  <c r="K4" i="1"/>
  <c r="Q4" i="1"/>
  <c r="R4" i="1"/>
  <c r="N59" i="1"/>
  <c r="O59" i="1"/>
  <c r="F59" i="1"/>
  <c r="N55" i="1"/>
  <c r="O55" i="1"/>
  <c r="F55" i="1"/>
  <c r="N56" i="1"/>
  <c r="O56" i="1"/>
  <c r="F56" i="1"/>
  <c r="N57" i="1"/>
  <c r="O57" i="1"/>
  <c r="F57" i="1"/>
  <c r="N58" i="1"/>
  <c r="O58" i="1"/>
  <c r="F58" i="1"/>
  <c r="N53" i="1"/>
  <c r="O53" i="1"/>
  <c r="F53" i="1"/>
  <c r="N51" i="1"/>
  <c r="O51" i="1"/>
  <c r="F51" i="1"/>
  <c r="N52" i="1"/>
  <c r="O52" i="1"/>
  <c r="F52" i="1"/>
  <c r="N50" i="1"/>
  <c r="O50" i="1"/>
  <c r="F50" i="1"/>
  <c r="N48" i="1"/>
  <c r="O48" i="1"/>
  <c r="F48" i="1"/>
  <c r="N49" i="1"/>
  <c r="O49" i="1"/>
  <c r="F49" i="1"/>
  <c r="N47" i="1"/>
  <c r="O47" i="1"/>
  <c r="F47" i="1"/>
  <c r="N45" i="1"/>
  <c r="O45" i="1"/>
  <c r="F45" i="1"/>
  <c r="N46" i="1"/>
  <c r="O46" i="1"/>
  <c r="F46" i="1"/>
  <c r="N43" i="1"/>
  <c r="O43" i="1"/>
  <c r="F43" i="1"/>
  <c r="N38" i="1"/>
  <c r="O38" i="1"/>
  <c r="F38" i="1"/>
  <c r="N39" i="1"/>
  <c r="O39" i="1"/>
  <c r="F39" i="1"/>
  <c r="N40" i="1"/>
  <c r="O40" i="1"/>
  <c r="F40" i="1"/>
  <c r="N41" i="1"/>
  <c r="O41" i="1"/>
  <c r="F41" i="1"/>
  <c r="N42" i="1"/>
  <c r="O42" i="1"/>
  <c r="F42" i="1"/>
  <c r="N37" i="1"/>
  <c r="O37" i="1"/>
  <c r="F37" i="1"/>
  <c r="F36" i="1"/>
  <c r="N31" i="1"/>
  <c r="O31" i="1"/>
  <c r="F31" i="1"/>
  <c r="N32" i="1"/>
  <c r="O32" i="1"/>
  <c r="F32" i="1"/>
  <c r="N30" i="1"/>
  <c r="O30" i="1"/>
  <c r="F30" i="1"/>
  <c r="F27" i="1"/>
  <c r="O26" i="1"/>
  <c r="F26" i="1"/>
  <c r="N24" i="1"/>
  <c r="O24" i="1"/>
  <c r="F24" i="1"/>
  <c r="O25" i="1"/>
  <c r="F25" i="1"/>
  <c r="N23" i="1"/>
  <c r="O23" i="1"/>
  <c r="F23" i="1"/>
  <c r="N21" i="1"/>
  <c r="O21" i="1"/>
  <c r="N22" i="1"/>
  <c r="O22" i="1"/>
  <c r="F22" i="1"/>
  <c r="F21" i="1"/>
  <c r="N20" i="1"/>
  <c r="O20" i="1"/>
  <c r="F20" i="1"/>
  <c r="N16" i="1"/>
  <c r="O16" i="1"/>
  <c r="F16" i="1"/>
  <c r="F19" i="1"/>
  <c r="F17" i="1"/>
  <c r="F13" i="1"/>
  <c r="F14" i="1"/>
  <c r="N15" i="1"/>
  <c r="O15" i="1"/>
  <c r="F15" i="1"/>
  <c r="N12" i="1"/>
  <c r="O12" i="1"/>
  <c r="F12" i="1"/>
  <c r="N27" i="1"/>
  <c r="O27" i="1"/>
  <c r="N10" i="1"/>
  <c r="O10" i="1"/>
  <c r="F10" i="1"/>
  <c r="N8" i="1"/>
  <c r="O8" i="1"/>
  <c r="F8" i="1"/>
  <c r="N9" i="1"/>
  <c r="O9" i="1"/>
  <c r="F9" i="1"/>
  <c r="N7" i="1"/>
  <c r="O7" i="1"/>
  <c r="F7" i="1"/>
  <c r="N6" i="1"/>
  <c r="O6" i="1"/>
  <c r="F6" i="1"/>
  <c r="N5" i="1"/>
  <c r="O5" i="1"/>
  <c r="F5" i="1"/>
  <c r="N28" i="1"/>
  <c r="O28" i="1"/>
  <c r="N36" i="1"/>
  <c r="O36" i="1"/>
  <c r="N60" i="1"/>
  <c r="O60" i="1"/>
  <c r="N4" i="1"/>
  <c r="O4" i="1"/>
  <c r="F4" i="1"/>
  <c r="M4" i="1"/>
  <c r="G25" i="1"/>
  <c r="M48" i="1"/>
  <c r="L48" i="1"/>
  <c r="L44" i="1"/>
  <c r="L41" i="1"/>
  <c r="L42" i="1"/>
  <c r="L43" i="1"/>
  <c r="L37" i="1"/>
  <c r="L38" i="1"/>
  <c r="L39" i="1"/>
  <c r="L40" i="1"/>
  <c r="L34" i="1"/>
  <c r="L35" i="1"/>
  <c r="L36" i="1"/>
  <c r="L33" i="1"/>
  <c r="L31" i="1"/>
  <c r="L30" i="1"/>
  <c r="L27" i="1"/>
  <c r="L16" i="1"/>
  <c r="L17" i="1"/>
  <c r="L18" i="1"/>
  <c r="L19" i="1"/>
  <c r="L20" i="1"/>
  <c r="L21" i="1"/>
  <c r="L15" i="1"/>
  <c r="L4" i="1"/>
  <c r="M59" i="1"/>
  <c r="M53" i="1"/>
  <c r="M52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8" i="1"/>
  <c r="M27" i="1"/>
  <c r="M26" i="1"/>
  <c r="G59" i="1"/>
  <c r="G55" i="1"/>
  <c r="G56" i="1"/>
  <c r="G57" i="1"/>
  <c r="G54" i="1"/>
  <c r="G53" i="1"/>
  <c r="G52" i="1"/>
  <c r="G44" i="1"/>
  <c r="G45" i="1"/>
  <c r="G46" i="1"/>
  <c r="G47" i="1"/>
  <c r="G48" i="1"/>
  <c r="G49" i="1"/>
  <c r="G50" i="1"/>
  <c r="G51" i="1"/>
  <c r="G43" i="1"/>
  <c r="G41" i="1"/>
  <c r="G42" i="1"/>
  <c r="G40" i="1"/>
  <c r="G37" i="1"/>
  <c r="G38" i="1"/>
  <c r="G39" i="1"/>
  <c r="G36" i="1"/>
  <c r="G35" i="1"/>
  <c r="G28" i="1"/>
  <c r="G27" i="1"/>
  <c r="G26" i="1"/>
  <c r="G24" i="1"/>
  <c r="G16" i="1"/>
  <c r="G15" i="1"/>
  <c r="G12" i="1"/>
  <c r="G5" i="1"/>
  <c r="G6" i="1"/>
  <c r="G7" i="1"/>
  <c r="G8" i="1"/>
  <c r="G9" i="1"/>
  <c r="G10" i="1"/>
  <c r="G4" i="1"/>
  <c r="G34" i="1"/>
  <c r="G33" i="1"/>
  <c r="G32" i="1"/>
  <c r="G31" i="1"/>
  <c r="G30" i="1"/>
  <c r="M58" i="1"/>
  <c r="G58" i="1"/>
  <c r="J19" i="1"/>
  <c r="G17" i="1"/>
  <c r="G19" i="1"/>
  <c r="G18" i="1"/>
  <c r="G23" i="1"/>
  <c r="G21" i="1"/>
  <c r="G22" i="1"/>
  <c r="G20" i="1"/>
  <c r="L58" i="1"/>
</calcChain>
</file>

<file path=xl/sharedStrings.xml><?xml version="1.0" encoding="utf-8"?>
<sst xmlns="http://schemas.openxmlformats.org/spreadsheetml/2006/main" count="226" uniqueCount="108">
  <si>
    <t>QUADRO RESUMO DOS INDICADORES DO PNE</t>
  </si>
  <si>
    <t>Ordem</t>
  </si>
  <si>
    <t>INDICADOR</t>
  </si>
  <si>
    <t>Alcance da Meta</t>
  </si>
  <si>
    <t>Execução do PNE</t>
  </si>
  <si>
    <r>
      <t>Meta</t>
    </r>
    <r>
      <rPr>
        <b/>
        <vertAlign val="superscript"/>
        <sz val="11"/>
        <rFont val="Calibri"/>
        <family val="2"/>
        <scheme val="minor"/>
      </rPr>
      <t>a</t>
    </r>
  </si>
  <si>
    <r>
      <t>Último Resultado</t>
    </r>
    <r>
      <rPr>
        <b/>
        <vertAlign val="superscript"/>
        <sz val="11"/>
        <rFont val="Calibri"/>
        <family val="2"/>
        <scheme val="minor"/>
      </rPr>
      <t>b</t>
    </r>
  </si>
  <si>
    <r>
      <t>Ano do Resultado</t>
    </r>
    <r>
      <rPr>
        <b/>
        <vertAlign val="superscript"/>
        <sz val="11"/>
        <rFont val="Calibri"/>
        <family val="2"/>
        <scheme val="minor"/>
      </rPr>
      <t>c</t>
    </r>
  </si>
  <si>
    <r>
      <t>Distância para Cumprimento da Meta</t>
    </r>
    <r>
      <rPr>
        <b/>
        <vertAlign val="superscript"/>
        <sz val="11"/>
        <rFont val="Calibri"/>
        <family val="2"/>
        <scheme val="minor"/>
      </rPr>
      <t>d</t>
    </r>
  </si>
  <si>
    <r>
      <t>Nível de Alcance da Meta</t>
    </r>
    <r>
      <rPr>
        <b/>
        <vertAlign val="superscript"/>
        <sz val="11"/>
        <rFont val="Calibri"/>
        <family val="2"/>
        <scheme val="minor"/>
      </rPr>
      <t>e</t>
    </r>
  </si>
  <si>
    <r>
      <t>Valor de Referência PNE</t>
    </r>
    <r>
      <rPr>
        <b/>
        <vertAlign val="superscript"/>
        <sz val="11"/>
        <rFont val="Calibri"/>
        <family val="2"/>
        <scheme val="minor"/>
      </rPr>
      <t>f</t>
    </r>
  </si>
  <si>
    <r>
      <t>Ano de Referência</t>
    </r>
    <r>
      <rPr>
        <b/>
        <vertAlign val="superscript"/>
        <sz val="11"/>
        <rFont val="Calibri"/>
        <family val="2"/>
        <scheme val="minor"/>
      </rPr>
      <t>g</t>
    </r>
  </si>
  <si>
    <r>
      <t>Esforço PNE</t>
    </r>
    <r>
      <rPr>
        <b/>
        <vertAlign val="superscript"/>
        <sz val="11"/>
        <rFont val="Calibri"/>
        <family val="2"/>
        <scheme val="minor"/>
      </rPr>
      <t>h</t>
    </r>
  </si>
  <si>
    <r>
      <t>Progresso PNE</t>
    </r>
    <r>
      <rPr>
        <b/>
        <vertAlign val="superscript"/>
        <sz val="11"/>
        <rFont val="Calibri"/>
        <family val="2"/>
        <scheme val="minor"/>
      </rPr>
      <t>i</t>
    </r>
  </si>
  <si>
    <r>
      <t>Progresso PNE [%]</t>
    </r>
    <r>
      <rPr>
        <b/>
        <vertAlign val="superscript"/>
        <sz val="11"/>
        <rFont val="Calibri"/>
        <family val="2"/>
        <scheme val="minor"/>
      </rPr>
      <t>j</t>
    </r>
  </si>
  <si>
    <r>
      <t>Nível de Execução do PNE</t>
    </r>
    <r>
      <rPr>
        <b/>
        <vertAlign val="superscript"/>
        <sz val="11"/>
        <rFont val="Calibri"/>
        <family val="2"/>
        <scheme val="minor"/>
      </rPr>
      <t>k</t>
    </r>
  </si>
  <si>
    <t>Indicador 1A: Percentual da população de 4 a 5 anos que frequenta a escola/creche (Segundo o PNE, a universalização desta etapa deveria ocorrer até 2016)</t>
  </si>
  <si>
    <t>87,9%</t>
  </si>
  <si>
    <t>Indicador 1B: Percentual da população de 0 a 3 anos que frequenta a escola/creche</t>
  </si>
  <si>
    <t>27,9%</t>
  </si>
  <si>
    <t>Indicador 2A: Percentual de pessoas de 6 a 14 anos que frequentam ou que já concluíram o ensino fundamental (taxa de escolarização líquida ajustada)</t>
  </si>
  <si>
    <t>96,9%</t>
  </si>
  <si>
    <t>Indicador 2B: Percentual de pessoas de 16 anos com pelo menos o ensino fundamental concluído</t>
  </si>
  <si>
    <t>71,2%</t>
  </si>
  <si>
    <t>Indicador 3A: Percentual da população de 15 a 17 anos que frequenta a escola ou já concluiu a educação básica (Segundo o PNE, a universalização desta etapa deveria ocorrer até 2016)</t>
  </si>
  <si>
    <t>88,7%</t>
  </si>
  <si>
    <t>Indicador 3B: Percentual da população de 15 a 17 anos que frequenta o ensino médio ou possui educação básica completa</t>
  </si>
  <si>
    <t>64,8%</t>
  </si>
  <si>
    <t>Indicador 4A: Percentual da população de 4 a 17 anos de idade com deficiência que frequenta a escola</t>
  </si>
  <si>
    <t>82,5%</t>
  </si>
  <si>
    <t>NA</t>
  </si>
  <si>
    <t>Indicador 4B: Percentual de matrículas em classes comuns da Educação Básica de alunos de 4 a 17 anos de idade com deficiência, TGD e altas habilidades ou superdotação</t>
  </si>
  <si>
    <t xml:space="preserve">Indicador 4C: Percentual de matrículas na Educação Básica de alunos de 4 a 17 anos de idade com deficiência, transtornos globais do desenvolvimento (TGD), altas habilidades ou superdotação que recebem Atendimento Educacional Especializado </t>
  </si>
  <si>
    <t>Indicador 5A*: Percentual de estudantes alfabetizados até o final do 2º ano do ensino fundamental em Língua Portuguesa no Saeb</t>
  </si>
  <si>
    <t>Indicador 5B*: Percentual de estudantes alfabetizados até o final do 2º ano do ensino fundamental em Matemática no Saeb</t>
  </si>
  <si>
    <t>Indicador 6A: Percentual de alunos da educação básica pública que pertencem ao público alvo da ETI e que estão em jornada de tempo integral</t>
  </si>
  <si>
    <t>Indicador 6B: Percentual de escolas públicas da educação básica que possuem, pelo menos, 25% dos alunos do público alvo da ETI em jornada de tempo integral</t>
  </si>
  <si>
    <t>Indicador 7A: Ideb dos anos iniciais do ensino fundamental</t>
  </si>
  <si>
    <t>Indicador 7B: Ideb dos anos finais do ensino fundamental</t>
  </si>
  <si>
    <t xml:space="preserve">Indicador 7C: Ideb do ensino médio </t>
  </si>
  <si>
    <t>Indicador 8A: Escolaridade média, em anos de estudo, da população de 18 a 29 anos de idade</t>
  </si>
  <si>
    <t>Indicador 8B: Escolaridade média, em anos de estudo, da população de 18 a 29 anos de idade residente na área rural</t>
  </si>
  <si>
    <t>Indicador 8C: Escolaridade média, em anos de estudo, da população de 18 a 29 anos de idade pertencente aos 25% mais pobres (renda domiciliar per capita)</t>
  </si>
  <si>
    <t>Indicador 8D: Razão percentual entre a escolaridade média de negros e não negros na faixa etária de 18 a 29 anos</t>
  </si>
  <si>
    <t>Indicador 9A: Taxa de alfabetização da população de 15 anos ou mais de idade  (Segundo o PNE, a meta deveria ser atingida até 2015)</t>
  </si>
  <si>
    <t>91,8%</t>
  </si>
  <si>
    <t>Indicador 9B: Taxa de analfabetismo funcional da população de 15 anos ou mais de idade</t>
  </si>
  <si>
    <t>8,9%</t>
  </si>
  <si>
    <t>17,7%</t>
  </si>
  <si>
    <t xml:space="preserve">Indicador 10A: Percentual de matrículas da educação de jovens e adultos na forma integrada à educação profissional </t>
  </si>
  <si>
    <t>2,8%</t>
  </si>
  <si>
    <t>Indicador 11A: Número absoluto de matrículas em EPT de nível médio</t>
  </si>
  <si>
    <t xml:space="preserve">Indicador 11B: Participação do segmento público na expansão da EPT de nível médio </t>
  </si>
  <si>
    <t>-</t>
  </si>
  <si>
    <t>Indicador 11C: Expansão acumulada da EPT de nível médio pública</t>
  </si>
  <si>
    <t xml:space="preserve">Indicador 12A: Taxa bruta de matrículas na graduação (TBM) </t>
  </si>
  <si>
    <t>Indicador 12B: Taxa Líquida de Escolarização na Educação Superior (TLE)</t>
  </si>
  <si>
    <t>Indicador 12C: Participação do segmento público na expansão das matrículas de graduação</t>
  </si>
  <si>
    <t>Indicador 13A: Percentual de docentes da educação superior com mestrado ou doutorado</t>
  </si>
  <si>
    <t>Indicador 13B: Percentual de docentes da educação superior com doutorado</t>
  </si>
  <si>
    <t>Indicador 14A: Títulos de mestrado concedidos por ano no País</t>
  </si>
  <si>
    <t>Indicador 14B: Títulos de doutorado concedidos por ano no País</t>
  </si>
  <si>
    <t>Indicador 15A: Proporção de docências da educação infantil com professores cuja formação superior está adequada à área de conhecimento que lecionam </t>
  </si>
  <si>
    <t>42,2%</t>
  </si>
  <si>
    <t>Indicador 15B: Proporção de docências dos anos iniciais do ensino fundamental com professores cuja formação superior está adequada à área de conhecimento que lecionam </t>
  </si>
  <si>
    <t>54,0%</t>
  </si>
  <si>
    <t>Indicador 15C: Proporção de docências dos anos finais do ensino fundamental com professores cuja formação superior está adequada à área de conhecimento que lecionam </t>
  </si>
  <si>
    <t>48,0%</t>
  </si>
  <si>
    <t>Indicador 15D: Proporção de docências do ensino médio com professores cuja formação superior está adequada à área de conhecimento que lecionam</t>
  </si>
  <si>
    <t>57,8%</t>
  </si>
  <si>
    <t>Indicador 16A: Percentual de professores da educação básica com pós-graduação lato sensu ou stricto sensu</t>
  </si>
  <si>
    <t>30,2%</t>
  </si>
  <si>
    <t>Indicador 16B: Percentual de professores da educação básica que realizaram cursos de formação continuada</t>
  </si>
  <si>
    <t>30,6%</t>
  </si>
  <si>
    <t>Indicador 17A:Relação percentual entre o rendimento bruto médio mensal dos profissionais do
magistério das redes públicas da educação básica, com nível superior completo, e o rendimento bruto médio mensal dos demais profissionais assalariados, com nível superior completo. (Segundo o PNE, a equiparação dessas categorias deveria ocorrer até 2020)</t>
  </si>
  <si>
    <t>Indicador 18A: Percentual de UFs que possuem PCR dos profissionais do magistério</t>
  </si>
  <si>
    <t>Indicador 18B: Percentual de UFs que preveem o limite máximo de 2/3 da carga horária para atividades de interação com os educandos</t>
  </si>
  <si>
    <t>Indicador 18C: Percentual de UFs que atendem ao PSNP</t>
  </si>
  <si>
    <t>Indicador 18D: Percentual de UFs que possuem PCR dos profissionais da educação que não integram o magistério</t>
  </si>
  <si>
    <t>Indicador 18E: Percentual de municípios que possuem PCR dos profissionais do magistério</t>
  </si>
  <si>
    <t xml:space="preserve">Indicador 18F: Percentual de municípios que preveem o limite máximo de 2/3 da carga horária para atividades de interação com os educandos </t>
  </si>
  <si>
    <t>Indicador 18G: Percentual de municípios que atendem ao PSNP</t>
  </si>
  <si>
    <t xml:space="preserve">Indicador 18H: Percentual de municípios que possuem PCR dos profissionais da educação que não integram o magistério </t>
  </si>
  <si>
    <t>Indicador 19A: Percentual de escolas públicas que selecionam diretores por meio de processo seletivo qualificado e eleição com participação da comunidade escolar</t>
  </si>
  <si>
    <t>Indicador 19B: Percentual de existência de colegiados intraescolares (Conselho Escolar, Associação de Pais e Mestres, Grêmio Estudantil) nas escolas públicas brasileiras</t>
  </si>
  <si>
    <t>Indicador 19C: Percentual de existência de colegiados extraescolares (Conselho Estadual de Educação, Conselhos de Acompanhamento e Controle Social do Fundeb, Conselhos de Alimentação Escolar e Fórum Permanentes de Educação) nas unidades Federativas</t>
  </si>
  <si>
    <t>Indicador 19D: Percentual de oferta de infraestrutura e capacitação aos membros dos Conselhos Estaduais de Educação, Conselhos de Acompanhamento e Controle Social do Fundeb, Conselhos de Alimentação Escolar pelas unidades Federativas</t>
  </si>
  <si>
    <t>Indicador 19E: Percentual de existência de colegiados extraescolares (Conselho Municipal de Educação, Conselhos de Acompanhamento e Controle Social do Fundeb, Conselhos de Alimentação Escolar e Fórum Permanentes de Educação) nos municípios</t>
  </si>
  <si>
    <t>Indicador 19F: Percentual de oferta de infraestrutura e capacitação aos membros do Conselho Municipal de Educação, Conselhos de Acompanhamento e Controle Social do Fundeb, Conselhos de Alimentação Escolar pelos municípios</t>
  </si>
  <si>
    <t>Indicador 20A: Gasto Público em Educação Pública em proporção ao PIB * (Segundo o PNE, o Gasto público em educação pública deveria ser de 7,0% do PIB até 2019 e 10% do PIB até 2024)</t>
  </si>
  <si>
    <t>Indicador 20B: Gasto Público em Educação em proporção ao PIB</t>
  </si>
  <si>
    <t>* NA = Não se aplica. Utilizado quando não há meta definida para o indicador ou quando não se pode calcular o Nível de Progresso ou de Execução, por falta de um valor de referência ou de mais de uma mensuração.</t>
  </si>
  <si>
    <t>(a) Definida peça Lei 13.005/14;</t>
  </si>
  <si>
    <t>(b) Resultado do Indicador para o Relatório do 4o Ciclo de Monitoramento do PNE</t>
  </si>
  <si>
    <t>(c) Ano do Último Resultado disponível para o indicador;</t>
  </si>
  <si>
    <t>(d)d= a-b;</t>
  </si>
  <si>
    <t>(e) e= b/a [%];</t>
  </si>
  <si>
    <t>(f) Resultado do Indicador no Ano de Referência;</t>
  </si>
  <si>
    <t>(g) Ano de Referência para monitoramento da meta;</t>
  </si>
  <si>
    <t>(h) Esforço exigido para o alcance da Meta durante a execução do PNE (2014-2024) (h= a-f);</t>
  </si>
  <si>
    <t>(i) Variação atual do indicador (i= b-f);</t>
  </si>
  <si>
    <t>(j) Variação percentual atual do indicador (j=(b-f)/f) [%];</t>
  </si>
  <si>
    <t>(k) k= i/h [%];</t>
  </si>
  <si>
    <t xml:space="preserve"> p.p</t>
  </si>
  <si>
    <t xml:space="preserve"> anos de estudo</t>
  </si>
  <si>
    <t>cálculo distância para cumprimento da Meta</t>
  </si>
  <si>
    <t>cálculo progresso pne</t>
  </si>
  <si>
    <t xml:space="preserve"> cálculoesforço pne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</si>
</sst>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%"/>
    <numFmt numFmtId="166" formatCode="_(* #,##0.0_);_(* \(#,##0.0\);_(* &quot;-&quot;??_);_(@_)"/>
    <numFmt numFmtId="167" formatCode="0.0"/>
    <numFmt numFmtId="168" formatCode="_-* #,##0.0_-;\-* #,##0.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33CC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8"/>
      <name val="Calibri"/>
      <family val="2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8"/>
      <color theme="1"/>
      <name val="Calibri"/>
      <family val="2"/>
      <scheme val="minor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9" fontId="3" fillId="2" borderId="1" xfId="2" applyFont="1" applyFill="1" applyBorder="1" applyAlignment="1">
      <alignment horizontal="center" vertical="center" wrapText="1"/>
    </xf>
    <xf numFmtId="0" fontId="6" fillId="0" borderId="0" xfId="0" applyFont="1"/>
    <xf numFmtId="9" fontId="0" fillId="0" borderId="0" xfId="2" applyFont="1"/>
    <xf numFmtId="0" fontId="4" fillId="0" borderId="0" xfId="0" applyFont="1"/>
    <xf numFmtId="0" fontId="2" fillId="0" borderId="0" xfId="0" applyFont="1"/>
    <xf numFmtId="164" fontId="0" fillId="0" borderId="0" xfId="1" applyFont="1"/>
    <xf numFmtId="0" fontId="3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0" fillId="3" borderId="0" xfId="0" applyFill="1"/>
    <xf numFmtId="0" fontId="4" fillId="3" borderId="0" xfId="0" applyFont="1" applyFill="1" applyAlignment="1">
      <alignment horizontal="left" vertical="center" wrapText="1"/>
    </xf>
    <xf numFmtId="0" fontId="13" fillId="3" borderId="1" xfId="0" applyFont="1" applyFill="1" applyBorder="1" applyAlignment="1">
      <alignment horizontal="center" vertical="center"/>
    </xf>
    <xf numFmtId="9" fontId="13" fillId="3" borderId="4" xfId="2" applyFont="1" applyFill="1" applyBorder="1" applyAlignment="1">
      <alignment horizontal="center" vertical="center"/>
    </xf>
    <xf numFmtId="165" fontId="14" fillId="3" borderId="1" xfId="0" applyNumberFormat="1" applyFont="1" applyFill="1" applyBorder="1" applyAlignment="1">
      <alignment horizontal="center" vertical="center"/>
    </xf>
    <xf numFmtId="165" fontId="13" fillId="3" borderId="1" xfId="2" applyNumberFormat="1" applyFont="1" applyFill="1" applyBorder="1" applyAlignment="1">
      <alignment horizontal="center" vertical="center"/>
    </xf>
    <xf numFmtId="164" fontId="13" fillId="3" borderId="1" xfId="1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 wrapText="1"/>
    </xf>
    <xf numFmtId="9" fontId="15" fillId="7" borderId="8" xfId="0" applyNumberFormat="1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9" fontId="13" fillId="3" borderId="1" xfId="2" applyFont="1" applyFill="1" applyBorder="1" applyAlignment="1">
      <alignment horizontal="center" vertical="center"/>
    </xf>
    <xf numFmtId="166" fontId="13" fillId="3" borderId="1" xfId="1" applyNumberFormat="1" applyFont="1" applyFill="1" applyBorder="1" applyAlignment="1">
      <alignment horizontal="center" vertical="center"/>
    </xf>
    <xf numFmtId="165" fontId="13" fillId="3" borderId="1" xfId="0" applyNumberFormat="1" applyFont="1" applyFill="1" applyBorder="1" applyAlignment="1">
      <alignment horizontal="center" vertical="center"/>
    </xf>
    <xf numFmtId="9" fontId="13" fillId="3" borderId="9" xfId="2" applyFont="1" applyFill="1" applyBorder="1" applyAlignment="1">
      <alignment horizontal="center" vertical="center"/>
    </xf>
    <xf numFmtId="165" fontId="13" fillId="3" borderId="10" xfId="0" applyNumberFormat="1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164" fontId="13" fillId="3" borderId="10" xfId="1" applyFont="1" applyFill="1" applyBorder="1" applyAlignment="1">
      <alignment horizontal="center" vertical="center"/>
    </xf>
    <xf numFmtId="167" fontId="13" fillId="3" borderId="1" xfId="2" applyNumberFormat="1" applyFont="1" applyFill="1" applyBorder="1" applyAlignment="1">
      <alignment horizontal="center" vertical="center"/>
    </xf>
    <xf numFmtId="166" fontId="13" fillId="3" borderId="1" xfId="1" applyNumberFormat="1" applyFont="1" applyFill="1" applyBorder="1" applyAlignment="1">
      <alignment horizontal="center" vertical="center" wrapText="1"/>
    </xf>
    <xf numFmtId="168" fontId="14" fillId="3" borderId="4" xfId="1" applyNumberFormat="1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165" fontId="14" fillId="3" borderId="10" xfId="0" applyNumberFormat="1" applyFont="1" applyFill="1" applyBorder="1" applyAlignment="1">
      <alignment horizontal="center" vertical="center"/>
    </xf>
    <xf numFmtId="165" fontId="14" fillId="3" borderId="1" xfId="2" applyNumberFormat="1" applyFont="1" applyFill="1" applyBorder="1" applyAlignment="1">
      <alignment horizontal="center" vertical="center"/>
    </xf>
    <xf numFmtId="167" fontId="13" fillId="3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166" fontId="15" fillId="3" borderId="1" xfId="1" applyNumberFormat="1" applyFont="1" applyFill="1" applyBorder="1" applyAlignment="1">
      <alignment horizontal="center" vertical="center"/>
    </xf>
    <xf numFmtId="9" fontId="13" fillId="0" borderId="1" xfId="2" applyFont="1" applyFill="1" applyBorder="1" applyAlignment="1">
      <alignment horizontal="center" vertical="center"/>
    </xf>
    <xf numFmtId="165" fontId="13" fillId="0" borderId="3" xfId="2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165" fontId="13" fillId="0" borderId="1" xfId="2" applyNumberFormat="1" applyFont="1" applyFill="1" applyBorder="1" applyAlignment="1">
      <alignment horizontal="center" vertical="center"/>
    </xf>
    <xf numFmtId="167" fontId="14" fillId="3" borderId="4" xfId="1" applyNumberFormat="1" applyFont="1" applyFill="1" applyBorder="1" applyAlignment="1">
      <alignment horizontal="center" vertical="center"/>
    </xf>
    <xf numFmtId="165" fontId="15" fillId="3" borderId="1" xfId="2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9" fontId="15" fillId="3" borderId="1" xfId="2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168" fontId="13" fillId="3" borderId="4" xfId="1" applyNumberFormat="1" applyFont="1" applyFill="1" applyBorder="1" applyAlignment="1">
      <alignment horizontal="center" vertical="center"/>
    </xf>
    <xf numFmtId="165" fontId="0" fillId="0" borderId="0" xfId="0" applyNumberFormat="1"/>
    <xf numFmtId="3" fontId="13" fillId="3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165" fontId="5" fillId="3" borderId="1" xfId="2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9" fontId="5" fillId="3" borderId="4" xfId="2" applyFont="1" applyFill="1" applyBorder="1" applyAlignment="1">
      <alignment horizontal="center" vertical="center"/>
    </xf>
    <xf numFmtId="3" fontId="5" fillId="3" borderId="1" xfId="2" applyNumberFormat="1" applyFont="1" applyFill="1" applyBorder="1" applyAlignment="1">
      <alignment horizontal="center" vertical="center" wrapText="1"/>
    </xf>
    <xf numFmtId="165" fontId="13" fillId="7" borderId="8" xfId="2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5" fillId="0" borderId="1" xfId="2" applyNumberFormat="1" applyFont="1" applyFill="1" applyBorder="1" applyAlignment="1">
      <alignment horizontal="center" vertical="center" wrapText="1"/>
    </xf>
    <xf numFmtId="1" fontId="14" fillId="3" borderId="1" xfId="0" applyNumberFormat="1" applyFont="1" applyFill="1" applyBorder="1" applyAlignment="1">
      <alignment horizontal="center" vertical="center"/>
    </xf>
    <xf numFmtId="165" fontId="5" fillId="0" borderId="7" xfId="2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165" fontId="15" fillId="7" borderId="8" xfId="0" applyNumberFormat="1" applyFont="1" applyFill="1" applyBorder="1" applyAlignment="1">
      <alignment horizontal="center" vertical="center"/>
    </xf>
    <xf numFmtId="165" fontId="13" fillId="0" borderId="7" xfId="0" applyNumberFormat="1" applyFont="1" applyBorder="1" applyAlignment="1">
      <alignment horizontal="center" vertical="center"/>
    </xf>
    <xf numFmtId="165" fontId="14" fillId="3" borderId="2" xfId="0" applyNumberFormat="1" applyFont="1" applyFill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4" fillId="3" borderId="2" xfId="0" applyNumberFormat="1" applyFont="1" applyFill="1" applyBorder="1" applyAlignment="1">
      <alignment horizontal="center" vertical="center"/>
    </xf>
    <xf numFmtId="165" fontId="14" fillId="3" borderId="11" xfId="0" applyNumberFormat="1" applyFont="1" applyFill="1" applyBorder="1" applyAlignment="1">
      <alignment horizontal="center" vertical="center"/>
    </xf>
    <xf numFmtId="9" fontId="14" fillId="3" borderId="6" xfId="2" applyFont="1" applyFill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7" fontId="0" fillId="0" borderId="12" xfId="0" applyNumberForma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0" fontId="3" fillId="4" borderId="2" xfId="0" quotePrefix="1" applyFont="1" applyFill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3" borderId="0" xfId="0" applyFont="1" applyFill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1" fillId="5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9" fontId="12" fillId="0" borderId="2" xfId="2" applyFont="1" applyBorder="1" applyAlignment="1">
      <alignment horizontal="center"/>
    </xf>
    <xf numFmtId="9" fontId="12" fillId="0" borderId="6" xfId="2" applyFont="1" applyBorder="1" applyAlignment="1">
      <alignment horizontal="center"/>
    </xf>
    <xf numFmtId="9" fontId="12" fillId="0" borderId="4" xfId="2" applyFont="1" applyBorder="1" applyAlignment="1">
      <alignment horizontal="center"/>
    </xf>
    <xf numFmtId="9" fontId="12" fillId="0" borderId="1" xfId="2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</cellXfs>
  <cellStyles count="9">
    <cellStyle name="Hiperlink" xfId="3" builtinId="8" hidden="1"/>
    <cellStyle name="Hiperlink" xfId="5" builtinId="8" hidden="1"/>
    <cellStyle name="Hiperlink" xfId="7" builtinId="8" hidden="1"/>
    <cellStyle name="Hiperlink Visitado" xfId="6" builtinId="9" hidden="1"/>
    <cellStyle name="Hiperlink Visitado" xfId="4" builtinId="9" hidden="1"/>
    <cellStyle name="Hiperlink Visitado" xfId="8" builtinId="9" hidden="1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00FFCC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"/>
  <sheetViews>
    <sheetView showGridLines="0" tabSelected="1" zoomScale="90" zoomScaleNormal="90" zoomScalePageLayoutView="13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M1"/>
    </sheetView>
  </sheetViews>
  <sheetFormatPr defaultColWidth="0" defaultRowHeight="15" zeroHeight="1" x14ac:dyDescent="0.25"/>
  <cols>
    <col min="1" max="1" width="6.42578125" bestFit="1" customWidth="1"/>
    <col min="2" max="2" width="84" customWidth="1"/>
    <col min="3" max="3" width="10.28515625" style="4" customWidth="1"/>
    <col min="4" max="5" width="10.28515625" customWidth="1"/>
    <col min="6" max="6" width="15.7109375" style="85" customWidth="1"/>
    <col min="7" max="7" width="15.7109375" customWidth="1"/>
    <col min="8" max="8" width="10.42578125" customWidth="1"/>
    <col min="9" max="9" width="10.85546875" customWidth="1"/>
    <col min="10" max="12" width="10.42578125" customWidth="1"/>
    <col min="13" max="13" width="15.42578125" customWidth="1"/>
    <col min="14" max="14" width="17.28515625" style="78" hidden="1" customWidth="1"/>
    <col min="15" max="15" width="8.85546875" style="78" hidden="1" customWidth="1"/>
    <col min="16" max="16" width="12.5703125" style="78" hidden="1" customWidth="1"/>
    <col min="17" max="18" width="8.85546875" hidden="1" customWidth="1"/>
    <col min="19" max="19" width="8.85546875" style="87" hidden="1" customWidth="1"/>
    <col min="20" max="20" width="12.28515625" style="87" hidden="1" customWidth="1"/>
    <col min="21" max="16384" width="8.85546875" hidden="1"/>
  </cols>
  <sheetData>
    <row r="1" spans="1:20" ht="23.25" x14ac:dyDescent="0.3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20" ht="21.95" customHeight="1" x14ac:dyDescent="0.35">
      <c r="A2" s="102" t="s">
        <v>1</v>
      </c>
      <c r="B2" s="96" t="s">
        <v>2</v>
      </c>
      <c r="C2" s="98" t="s">
        <v>3</v>
      </c>
      <c r="D2" s="99"/>
      <c r="E2" s="99"/>
      <c r="F2" s="99"/>
      <c r="G2" s="100"/>
      <c r="H2" s="101" t="s">
        <v>4</v>
      </c>
      <c r="I2" s="101"/>
      <c r="J2" s="101"/>
      <c r="K2" s="101"/>
      <c r="L2" s="101"/>
      <c r="M2" s="101"/>
    </row>
    <row r="3" spans="1:20" ht="47.25" x14ac:dyDescent="0.25">
      <c r="A3" s="102"/>
      <c r="B3" s="97"/>
      <c r="C3" s="2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1" t="s">
        <v>15</v>
      </c>
      <c r="N3" s="89" t="s">
        <v>105</v>
      </c>
      <c r="O3" s="89"/>
      <c r="P3" s="89"/>
      <c r="Q3" s="90" t="s">
        <v>106</v>
      </c>
      <c r="R3" s="91"/>
      <c r="S3" s="92" t="s">
        <v>107</v>
      </c>
      <c r="T3" s="92"/>
    </row>
    <row r="4" spans="1:20" ht="44.1" customHeight="1" x14ac:dyDescent="0.25">
      <c r="A4" s="11">
        <v>1</v>
      </c>
      <c r="B4" s="9" t="s">
        <v>16</v>
      </c>
      <c r="C4" s="24">
        <v>1</v>
      </c>
      <c r="D4" s="17">
        <v>0.93</v>
      </c>
      <c r="E4" s="14">
        <v>2022</v>
      </c>
      <c r="F4" s="25" t="str">
        <f t="shared" ref="F4:F10" si="0">_xlfn.CONCAT(O4,P4)</f>
        <v>7,0 p.p</v>
      </c>
      <c r="G4" s="16">
        <f>D4/C4</f>
        <v>0.93</v>
      </c>
      <c r="H4" s="16" t="s">
        <v>17</v>
      </c>
      <c r="I4" s="14">
        <v>2013</v>
      </c>
      <c r="J4" s="19" t="str">
        <f t="shared" ref="J4:J10" si="1">_xlfn.CONCAT(T4,P4)</f>
        <v>12,1 p.p</v>
      </c>
      <c r="K4" s="19" t="str">
        <f>_xlfn.CONCAT(R4,P4)</f>
        <v>5,1 p.p</v>
      </c>
      <c r="L4" s="46">
        <f t="shared" ref="L4:L12" si="2">(D4-H4)/H4</f>
        <v>5.802047781569971E-2</v>
      </c>
      <c r="M4" s="71">
        <f>(D4-H4)/(C4-H4)</f>
        <v>0.4214876033057855</v>
      </c>
      <c r="N4" s="79">
        <f t="shared" ref="N4:N10" si="3">(C4-D4)*100</f>
        <v>6.9999999999999947</v>
      </c>
      <c r="O4" s="79" t="str">
        <f>FIXED(N4,1)</f>
        <v>7,0</v>
      </c>
      <c r="P4" s="79" t="s">
        <v>103</v>
      </c>
      <c r="Q4" s="82">
        <f>(D4-H4)*100</f>
        <v>5.100000000000005</v>
      </c>
      <c r="R4" s="83" t="str">
        <f>FIXED(Q4,1)</f>
        <v>5,1</v>
      </c>
      <c r="S4" s="79">
        <f>((1-H4)-(1-C4))*100</f>
        <v>12.1</v>
      </c>
      <c r="T4" s="86" t="str">
        <f>FIXED(S4,1)</f>
        <v>12,1</v>
      </c>
    </row>
    <row r="5" spans="1:20" ht="44.1" customHeight="1" x14ac:dyDescent="0.25">
      <c r="A5" s="11">
        <v>2</v>
      </c>
      <c r="B5" s="9" t="s">
        <v>18</v>
      </c>
      <c r="C5" s="24">
        <v>0.5</v>
      </c>
      <c r="D5" s="17">
        <v>0.373</v>
      </c>
      <c r="E5" s="14">
        <v>2022</v>
      </c>
      <c r="F5" s="25" t="str">
        <f t="shared" si="0"/>
        <v>12,7 p.p</v>
      </c>
      <c r="G5" s="16">
        <f t="shared" ref="G5:G10" si="4">D5/C5</f>
        <v>0.746</v>
      </c>
      <c r="H5" s="16" t="s">
        <v>19</v>
      </c>
      <c r="I5" s="14">
        <v>2013</v>
      </c>
      <c r="J5" s="19" t="str">
        <f t="shared" si="1"/>
        <v>22,1 p.p</v>
      </c>
      <c r="K5" s="19" t="str">
        <f t="shared" ref="K5:K16" si="5">_xlfn.CONCAT(R5,P5)</f>
        <v>9,4 p.p</v>
      </c>
      <c r="L5" s="46">
        <f t="shared" si="2"/>
        <v>0.33691756272401419</v>
      </c>
      <c r="M5" s="71">
        <f t="shared" ref="M5:M9" si="6">(D5-H5)/(C5-H5)</f>
        <v>0.42533936651583704</v>
      </c>
      <c r="N5" s="79">
        <f t="shared" si="3"/>
        <v>12.7</v>
      </c>
      <c r="O5" s="79" t="str">
        <f t="shared" ref="O5:O60" si="7">FIXED(N5,1)</f>
        <v>12,7</v>
      </c>
      <c r="P5" s="79" t="s">
        <v>103</v>
      </c>
      <c r="Q5" s="82">
        <f t="shared" ref="Q5:Q60" si="8">(D5-H5)*100</f>
        <v>9.3999999999999968</v>
      </c>
      <c r="R5" s="83" t="str">
        <f t="shared" ref="R5:R60" si="9">FIXED(Q5,1)</f>
        <v>9,4</v>
      </c>
      <c r="S5" s="79">
        <f t="shared" ref="S5:S60" si="10">((1-H5)-(1-C5))*100</f>
        <v>22.099999999999998</v>
      </c>
      <c r="T5" s="86" t="str">
        <f t="shared" ref="T5:T60" si="11">FIXED(S5,1)</f>
        <v>22,1</v>
      </c>
    </row>
    <row r="6" spans="1:20" ht="44.1" customHeight="1" x14ac:dyDescent="0.25">
      <c r="A6" s="11">
        <v>3</v>
      </c>
      <c r="B6" s="9" t="s">
        <v>20</v>
      </c>
      <c r="C6" s="51">
        <v>1</v>
      </c>
      <c r="D6" s="48">
        <v>0.96299999999999997</v>
      </c>
      <c r="E6" s="52">
        <v>2022</v>
      </c>
      <c r="F6" s="25" t="str">
        <f t="shared" si="0"/>
        <v>3,7 p.p</v>
      </c>
      <c r="G6" s="16">
        <f t="shared" si="4"/>
        <v>0.96299999999999997</v>
      </c>
      <c r="H6" s="16" t="s">
        <v>21</v>
      </c>
      <c r="I6" s="14">
        <v>2013</v>
      </c>
      <c r="J6" s="19" t="str">
        <f t="shared" si="1"/>
        <v>3,1 p.p</v>
      </c>
      <c r="K6" s="19" t="str">
        <f t="shared" si="5"/>
        <v>-0,6 p.p</v>
      </c>
      <c r="L6" s="46">
        <f t="shared" si="2"/>
        <v>-6.1919504643962904E-3</v>
      </c>
      <c r="M6" s="71">
        <f t="shared" si="6"/>
        <v>-0.19354838709677419</v>
      </c>
      <c r="N6" s="79">
        <f t="shared" si="3"/>
        <v>3.7000000000000033</v>
      </c>
      <c r="O6" s="79" t="str">
        <f t="shared" si="7"/>
        <v>3,7</v>
      </c>
      <c r="P6" s="79" t="s">
        <v>103</v>
      </c>
      <c r="Q6" s="82">
        <f t="shared" si="8"/>
        <v>-0.60000000000000053</v>
      </c>
      <c r="R6" s="83" t="str">
        <f t="shared" si="9"/>
        <v>-0,6</v>
      </c>
      <c r="S6" s="79">
        <f t="shared" si="10"/>
        <v>3.1000000000000028</v>
      </c>
      <c r="T6" s="86" t="str">
        <f t="shared" si="11"/>
        <v>3,1</v>
      </c>
    </row>
    <row r="7" spans="1:20" ht="44.1" customHeight="1" x14ac:dyDescent="0.25">
      <c r="A7" s="11">
        <v>4</v>
      </c>
      <c r="B7" s="9" t="s">
        <v>22</v>
      </c>
      <c r="C7" s="24">
        <v>0.95</v>
      </c>
      <c r="D7" s="17">
        <v>0.82899999999999996</v>
      </c>
      <c r="E7" s="14">
        <v>2022</v>
      </c>
      <c r="F7" s="25" t="str">
        <f t="shared" si="0"/>
        <v>12,1 p.p</v>
      </c>
      <c r="G7" s="16">
        <f t="shared" si="4"/>
        <v>0.87263157894736842</v>
      </c>
      <c r="H7" s="16" t="s">
        <v>23</v>
      </c>
      <c r="I7" s="14">
        <v>2013</v>
      </c>
      <c r="J7" s="19" t="str">
        <f t="shared" si="1"/>
        <v>23,8 p.p</v>
      </c>
      <c r="K7" s="19" t="str">
        <f t="shared" si="5"/>
        <v>11,7 p.p</v>
      </c>
      <c r="L7" s="46">
        <f t="shared" si="2"/>
        <v>0.1643258426966292</v>
      </c>
      <c r="M7" s="71">
        <f t="shared" si="6"/>
        <v>0.49159663865546216</v>
      </c>
      <c r="N7" s="79">
        <f t="shared" si="3"/>
        <v>12.1</v>
      </c>
      <c r="O7" s="79" t="str">
        <f t="shared" si="7"/>
        <v>12,1</v>
      </c>
      <c r="P7" s="79" t="s">
        <v>103</v>
      </c>
      <c r="Q7" s="82">
        <f t="shared" si="8"/>
        <v>11.7</v>
      </c>
      <c r="R7" s="83" t="str">
        <f t="shared" si="9"/>
        <v>11,7</v>
      </c>
      <c r="S7" s="79">
        <f t="shared" si="10"/>
        <v>23.799999999999997</v>
      </c>
      <c r="T7" s="86" t="str">
        <f t="shared" si="11"/>
        <v>23,8</v>
      </c>
    </row>
    <row r="8" spans="1:20" ht="44.1" customHeight="1" x14ac:dyDescent="0.25">
      <c r="A8" s="11">
        <v>5</v>
      </c>
      <c r="B8" s="9" t="s">
        <v>24</v>
      </c>
      <c r="C8" s="24">
        <v>1</v>
      </c>
      <c r="D8" s="17">
        <v>0.94399999999999995</v>
      </c>
      <c r="E8" s="14">
        <v>2022</v>
      </c>
      <c r="F8" s="25" t="str">
        <f t="shared" si="0"/>
        <v>5,6 p.p</v>
      </c>
      <c r="G8" s="16">
        <f t="shared" si="4"/>
        <v>0.94399999999999995</v>
      </c>
      <c r="H8" s="16" t="s">
        <v>25</v>
      </c>
      <c r="I8" s="14">
        <v>2013</v>
      </c>
      <c r="J8" s="19" t="str">
        <f t="shared" si="1"/>
        <v>11,3 p.p</v>
      </c>
      <c r="K8" s="19" t="str">
        <f t="shared" si="5"/>
        <v>5,7 p.p</v>
      </c>
      <c r="L8" s="46">
        <f t="shared" si="2"/>
        <v>6.4261555806087861E-2</v>
      </c>
      <c r="M8" s="71">
        <f t="shared" si="6"/>
        <v>0.50442477876106151</v>
      </c>
      <c r="N8" s="79">
        <f t="shared" si="3"/>
        <v>5.600000000000005</v>
      </c>
      <c r="O8" s="79" t="str">
        <f t="shared" si="7"/>
        <v>5,6</v>
      </c>
      <c r="P8" s="79" t="s">
        <v>103</v>
      </c>
      <c r="Q8" s="82">
        <f t="shared" si="8"/>
        <v>5.699999999999994</v>
      </c>
      <c r="R8" s="83" t="str">
        <f t="shared" si="9"/>
        <v>5,7</v>
      </c>
      <c r="S8" s="79">
        <f t="shared" si="10"/>
        <v>11.299999999999999</v>
      </c>
      <c r="T8" s="86" t="str">
        <f t="shared" si="11"/>
        <v>11,3</v>
      </c>
    </row>
    <row r="9" spans="1:20" ht="44.1" customHeight="1" x14ac:dyDescent="0.25">
      <c r="A9" s="11">
        <v>6</v>
      </c>
      <c r="B9" s="9" t="s">
        <v>26</v>
      </c>
      <c r="C9" s="24">
        <v>0.85</v>
      </c>
      <c r="D9" s="17">
        <v>0.76700000000000002</v>
      </c>
      <c r="E9" s="14">
        <v>2022</v>
      </c>
      <c r="F9" s="25" t="str">
        <f t="shared" si="0"/>
        <v>8,3 p.p</v>
      </c>
      <c r="G9" s="16">
        <f t="shared" si="4"/>
        <v>0.90235294117647058</v>
      </c>
      <c r="H9" s="16" t="s">
        <v>27</v>
      </c>
      <c r="I9" s="14">
        <v>2013</v>
      </c>
      <c r="J9" s="19" t="str">
        <f t="shared" si="1"/>
        <v>20,2 p.p</v>
      </c>
      <c r="K9" s="19" t="str">
        <f t="shared" si="5"/>
        <v>11,9 p.p</v>
      </c>
      <c r="L9" s="46">
        <f t="shared" si="2"/>
        <v>0.18364197530864196</v>
      </c>
      <c r="M9" s="71">
        <f t="shared" si="6"/>
        <v>0.58910891089108919</v>
      </c>
      <c r="N9" s="79">
        <f t="shared" si="3"/>
        <v>8.2999999999999972</v>
      </c>
      <c r="O9" s="79" t="str">
        <f t="shared" si="7"/>
        <v>8,3</v>
      </c>
      <c r="P9" s="79" t="s">
        <v>103</v>
      </c>
      <c r="Q9" s="82">
        <f t="shared" si="8"/>
        <v>11.899999999999999</v>
      </c>
      <c r="R9" s="83" t="str">
        <f t="shared" si="9"/>
        <v>11,9</v>
      </c>
      <c r="S9" s="79">
        <f t="shared" si="10"/>
        <v>20.199999999999996</v>
      </c>
      <c r="T9" s="86" t="str">
        <f t="shared" si="11"/>
        <v>20,2</v>
      </c>
    </row>
    <row r="10" spans="1:20" ht="44.1" customHeight="1" x14ac:dyDescent="0.25">
      <c r="A10" s="11">
        <v>7</v>
      </c>
      <c r="B10" s="9" t="s">
        <v>28</v>
      </c>
      <c r="C10" s="24">
        <v>1</v>
      </c>
      <c r="D10" s="17" t="s">
        <v>29</v>
      </c>
      <c r="E10" s="14">
        <v>2010</v>
      </c>
      <c r="F10" s="25" t="str">
        <f t="shared" si="0"/>
        <v>17,5 p.p</v>
      </c>
      <c r="G10" s="16">
        <f t="shared" si="4"/>
        <v>0.82499999999999996</v>
      </c>
      <c r="H10" s="37" t="s">
        <v>29</v>
      </c>
      <c r="I10" s="14">
        <v>2010</v>
      </c>
      <c r="J10" s="19" t="str">
        <f t="shared" si="1"/>
        <v>17,5 p.p</v>
      </c>
      <c r="K10" s="19" t="s">
        <v>30</v>
      </c>
      <c r="L10" s="46">
        <f t="shared" si="2"/>
        <v>0</v>
      </c>
      <c r="M10" s="71" t="s">
        <v>30</v>
      </c>
      <c r="N10" s="79">
        <f t="shared" si="3"/>
        <v>17.500000000000004</v>
      </c>
      <c r="O10" s="79" t="str">
        <f t="shared" si="7"/>
        <v>17,5</v>
      </c>
      <c r="P10" s="79" t="s">
        <v>103</v>
      </c>
      <c r="Q10" s="82">
        <f t="shared" si="8"/>
        <v>0</v>
      </c>
      <c r="R10" s="83" t="str">
        <f t="shared" si="9"/>
        <v>0,0</v>
      </c>
      <c r="S10" s="79">
        <f t="shared" si="10"/>
        <v>17.500000000000004</v>
      </c>
      <c r="T10" s="86" t="str">
        <f t="shared" si="11"/>
        <v>17,5</v>
      </c>
    </row>
    <row r="11" spans="1:20" s="3" customFormat="1" ht="44.1" customHeight="1" x14ac:dyDescent="0.25">
      <c r="A11" s="11">
        <v>8</v>
      </c>
      <c r="B11" s="9" t="s">
        <v>31</v>
      </c>
      <c r="C11" s="26" t="s">
        <v>30</v>
      </c>
      <c r="D11" s="17">
        <v>0.94199999999999995</v>
      </c>
      <c r="E11" s="14">
        <v>2022</v>
      </c>
      <c r="F11" s="25" t="s">
        <v>30</v>
      </c>
      <c r="G11" s="16" t="s">
        <v>30</v>
      </c>
      <c r="H11" s="16">
        <v>0.85299999999999998</v>
      </c>
      <c r="I11" s="66">
        <v>2013</v>
      </c>
      <c r="J11" s="19" t="s">
        <v>30</v>
      </c>
      <c r="K11" s="19" t="str">
        <f t="shared" si="5"/>
        <v>8,9 p.p</v>
      </c>
      <c r="L11" s="46">
        <f t="shared" si="2"/>
        <v>0.104337631887456</v>
      </c>
      <c r="M11" s="71" t="s">
        <v>30</v>
      </c>
      <c r="N11" s="79"/>
      <c r="O11" s="79"/>
      <c r="P11" s="79" t="s">
        <v>103</v>
      </c>
      <c r="Q11" s="82">
        <f t="shared" si="8"/>
        <v>8.8999999999999968</v>
      </c>
      <c r="R11" s="83" t="str">
        <f t="shared" si="9"/>
        <v>8,9</v>
      </c>
      <c r="S11" s="79" t="e">
        <f t="shared" si="10"/>
        <v>#VALUE!</v>
      </c>
      <c r="T11" s="86" t="e">
        <f t="shared" si="11"/>
        <v>#VALUE!</v>
      </c>
    </row>
    <row r="12" spans="1:20" ht="44.1" customHeight="1" x14ac:dyDescent="0.25">
      <c r="A12" s="11">
        <v>9</v>
      </c>
      <c r="B12" s="39" t="s">
        <v>32</v>
      </c>
      <c r="C12" s="41">
        <v>1</v>
      </c>
      <c r="D12" s="42">
        <v>0.45100000000000001</v>
      </c>
      <c r="E12" s="43">
        <v>2022</v>
      </c>
      <c r="F12" s="25" t="str">
        <f t="shared" ref="F12:F16" si="12">_xlfn.CONCAT(O12,P12)</f>
        <v>54,9 p.p</v>
      </c>
      <c r="G12" s="44">
        <f>D12/C12</f>
        <v>0.45100000000000001</v>
      </c>
      <c r="H12" s="44">
        <v>0.49693241206222405</v>
      </c>
      <c r="I12" s="43">
        <v>2013</v>
      </c>
      <c r="J12" s="19" t="str">
        <f>_xlfn.CONCAT(T12,P12)</f>
        <v>50,3 p.p</v>
      </c>
      <c r="K12" s="19" t="str">
        <f t="shared" si="5"/>
        <v>-4,6 p.p</v>
      </c>
      <c r="L12" s="46">
        <f t="shared" si="2"/>
        <v>-9.2431910149729873E-2</v>
      </c>
      <c r="M12" s="72">
        <f>-3.5/50.3</f>
        <v>-6.9582504970178927E-2</v>
      </c>
      <c r="N12" s="79">
        <f>(C12-D12)*100</f>
        <v>54.899999999999991</v>
      </c>
      <c r="O12" s="79" t="str">
        <f t="shared" si="7"/>
        <v>54,9</v>
      </c>
      <c r="P12" s="79" t="s">
        <v>103</v>
      </c>
      <c r="Q12" s="82">
        <f t="shared" si="8"/>
        <v>-4.5932412062224035</v>
      </c>
      <c r="R12" s="83" t="str">
        <f t="shared" si="9"/>
        <v>-4,6</v>
      </c>
      <c r="S12" s="79">
        <f t="shared" si="10"/>
        <v>50.306758793777597</v>
      </c>
      <c r="T12" s="86" t="str">
        <f t="shared" si="11"/>
        <v>50,3</v>
      </c>
    </row>
    <row r="13" spans="1:20" s="3" customFormat="1" ht="44.1" customHeight="1" x14ac:dyDescent="0.25">
      <c r="A13" s="11">
        <v>10</v>
      </c>
      <c r="B13" s="9" t="s">
        <v>33</v>
      </c>
      <c r="C13" s="68">
        <v>1</v>
      </c>
      <c r="D13" s="68" t="s">
        <v>30</v>
      </c>
      <c r="E13" s="58">
        <v>2021</v>
      </c>
      <c r="F13" s="25" t="str">
        <f t="shared" si="12"/>
        <v xml:space="preserve"> p.p</v>
      </c>
      <c r="G13" s="59" t="s">
        <v>30</v>
      </c>
      <c r="H13" s="68" t="s">
        <v>30</v>
      </c>
      <c r="I13" s="64">
        <v>2017</v>
      </c>
      <c r="J13" s="19" t="s">
        <v>30</v>
      </c>
      <c r="K13" s="19" t="s">
        <v>30</v>
      </c>
      <c r="L13" s="57" t="s">
        <v>30</v>
      </c>
      <c r="M13" s="73" t="s">
        <v>30</v>
      </c>
      <c r="N13" s="79"/>
      <c r="O13" s="79"/>
      <c r="P13" s="79" t="s">
        <v>103</v>
      </c>
      <c r="Q13" s="82" t="e">
        <f t="shared" si="8"/>
        <v>#VALUE!</v>
      </c>
      <c r="R13" s="83" t="e">
        <f t="shared" si="9"/>
        <v>#VALUE!</v>
      </c>
      <c r="S13" s="79" t="e">
        <f t="shared" si="10"/>
        <v>#VALUE!</v>
      </c>
      <c r="T13" s="86" t="e">
        <f t="shared" si="11"/>
        <v>#VALUE!</v>
      </c>
    </row>
    <row r="14" spans="1:20" s="3" customFormat="1" ht="44.1" customHeight="1" x14ac:dyDescent="0.25">
      <c r="A14" s="11">
        <v>11</v>
      </c>
      <c r="B14" s="9" t="s">
        <v>34</v>
      </c>
      <c r="C14" s="68">
        <v>1</v>
      </c>
      <c r="D14" s="68" t="s">
        <v>30</v>
      </c>
      <c r="E14" s="58">
        <v>2021</v>
      </c>
      <c r="F14" s="25" t="str">
        <f t="shared" si="12"/>
        <v xml:space="preserve"> p.p</v>
      </c>
      <c r="G14" s="59" t="s">
        <v>30</v>
      </c>
      <c r="H14" s="68" t="s">
        <v>30</v>
      </c>
      <c r="I14" s="64">
        <v>2017</v>
      </c>
      <c r="J14" s="19" t="s">
        <v>30</v>
      </c>
      <c r="K14" s="19" t="s">
        <v>30</v>
      </c>
      <c r="L14" s="57" t="s">
        <v>30</v>
      </c>
      <c r="M14" s="73" t="s">
        <v>30</v>
      </c>
      <c r="N14" s="79"/>
      <c r="O14" s="79"/>
      <c r="P14" s="79" t="s">
        <v>103</v>
      </c>
      <c r="Q14" s="82" t="e">
        <f t="shared" si="8"/>
        <v>#VALUE!</v>
      </c>
      <c r="R14" s="83" t="e">
        <f t="shared" si="9"/>
        <v>#VALUE!</v>
      </c>
      <c r="S14" s="79" t="e">
        <f t="shared" si="10"/>
        <v>#VALUE!</v>
      </c>
      <c r="T14" s="86" t="e">
        <f t="shared" si="11"/>
        <v>#VALUE!</v>
      </c>
    </row>
    <row r="15" spans="1:20" ht="44.1" customHeight="1" x14ac:dyDescent="0.25">
      <c r="A15" s="11">
        <v>12</v>
      </c>
      <c r="B15" s="9" t="s">
        <v>35</v>
      </c>
      <c r="C15" s="56">
        <v>0.25</v>
      </c>
      <c r="D15" s="57">
        <v>0.182</v>
      </c>
      <c r="E15" s="58">
        <v>2022</v>
      </c>
      <c r="F15" s="25" t="str">
        <f t="shared" si="12"/>
        <v>6,8 p.p</v>
      </c>
      <c r="G15" s="59">
        <f>D15/C15</f>
        <v>0.72799999999999998</v>
      </c>
      <c r="H15" s="59">
        <v>0.17599999999999999</v>
      </c>
      <c r="I15" s="58">
        <v>2014</v>
      </c>
      <c r="J15" s="19" t="str">
        <f t="shared" ref="J15:J16" si="13">_xlfn.CONCAT(T15,P15)</f>
        <v>7,4 p.p</v>
      </c>
      <c r="K15" s="19" t="str">
        <f t="shared" si="5"/>
        <v>0,6 p.p</v>
      </c>
      <c r="L15" s="57">
        <f>(D15-H15)/H15</f>
        <v>3.4090909090909123E-2</v>
      </c>
      <c r="M15" s="74">
        <f>-2.5/7.4</f>
        <v>-0.33783783783783783</v>
      </c>
      <c r="N15" s="79">
        <f>(C15-D15)*100</f>
        <v>6.8000000000000007</v>
      </c>
      <c r="O15" s="79" t="str">
        <f t="shared" si="7"/>
        <v>6,8</v>
      </c>
      <c r="P15" s="79" t="s">
        <v>103</v>
      </c>
      <c r="Q15" s="82">
        <f t="shared" si="8"/>
        <v>0.60000000000000053</v>
      </c>
      <c r="R15" s="83" t="str">
        <f t="shared" si="9"/>
        <v>0,6</v>
      </c>
      <c r="S15" s="79">
        <f t="shared" si="10"/>
        <v>7.4000000000000066</v>
      </c>
      <c r="T15" s="86" t="str">
        <f t="shared" si="11"/>
        <v>7,4</v>
      </c>
    </row>
    <row r="16" spans="1:20" ht="44.1" customHeight="1" x14ac:dyDescent="0.25">
      <c r="A16" s="11">
        <v>13</v>
      </c>
      <c r="B16" s="9" t="s">
        <v>36</v>
      </c>
      <c r="C16" s="60">
        <v>0.5</v>
      </c>
      <c r="D16" s="57">
        <v>0.27</v>
      </c>
      <c r="E16" s="58">
        <v>2022</v>
      </c>
      <c r="F16" s="25" t="str">
        <f t="shared" si="12"/>
        <v>23,0 p.p</v>
      </c>
      <c r="G16" s="59">
        <f>D16/C16</f>
        <v>0.54</v>
      </c>
      <c r="H16" s="59">
        <v>0.29019</v>
      </c>
      <c r="I16" s="58">
        <v>2014</v>
      </c>
      <c r="J16" s="19" t="str">
        <f t="shared" si="13"/>
        <v>21,0 p.p</v>
      </c>
      <c r="K16" s="19" t="str">
        <f t="shared" si="5"/>
        <v>-2,0 p.p</v>
      </c>
      <c r="L16" s="57">
        <f t="shared" ref="L16:L23" si="14">(D16-H16)/H16</f>
        <v>-6.9575105965057324E-2</v>
      </c>
      <c r="M16" s="74">
        <f>-6.6/21</f>
        <v>-0.31428571428571428</v>
      </c>
      <c r="N16" s="79">
        <f>(C16-D16)*100</f>
        <v>23</v>
      </c>
      <c r="O16" s="79" t="str">
        <f t="shared" si="7"/>
        <v>23,0</v>
      </c>
      <c r="P16" s="79" t="s">
        <v>103</v>
      </c>
      <c r="Q16" s="82">
        <f t="shared" si="8"/>
        <v>-2.0189999999999984</v>
      </c>
      <c r="R16" s="83" t="str">
        <f t="shared" si="9"/>
        <v>-2,0</v>
      </c>
      <c r="S16" s="79">
        <f t="shared" si="10"/>
        <v>20.981000000000005</v>
      </c>
      <c r="T16" s="86" t="str">
        <f t="shared" si="11"/>
        <v>21,0</v>
      </c>
    </row>
    <row r="17" spans="1:20" ht="44.1" customHeight="1" x14ac:dyDescent="0.25">
      <c r="A17" s="11">
        <v>14</v>
      </c>
      <c r="B17" s="9" t="s">
        <v>37</v>
      </c>
      <c r="C17" s="53">
        <v>6</v>
      </c>
      <c r="D17" s="31">
        <v>5.8</v>
      </c>
      <c r="E17" s="14">
        <v>2021</v>
      </c>
      <c r="F17" s="40">
        <f>C17-D17</f>
        <v>0.20000000000000018</v>
      </c>
      <c r="G17" s="16">
        <f>D17/C17</f>
        <v>0.96666666666666667</v>
      </c>
      <c r="H17" s="33">
        <v>5.2</v>
      </c>
      <c r="I17" s="14">
        <v>2013</v>
      </c>
      <c r="J17" s="38">
        <v>0.8</v>
      </c>
      <c r="K17" s="38">
        <f>D17-H17</f>
        <v>0.59999999999999964</v>
      </c>
      <c r="L17" s="57">
        <f t="shared" si="14"/>
        <v>0.11538461538461531</v>
      </c>
      <c r="M17" s="71">
        <f>K17/J17</f>
        <v>0.74999999999999956</v>
      </c>
      <c r="N17" s="79"/>
      <c r="O17" s="79"/>
      <c r="P17" s="79"/>
      <c r="Q17" s="82">
        <f t="shared" si="8"/>
        <v>59.999999999999964</v>
      </c>
      <c r="R17" s="83" t="str">
        <f t="shared" si="9"/>
        <v>60,0</v>
      </c>
      <c r="S17" s="79">
        <f t="shared" si="10"/>
        <v>79.999999999999986</v>
      </c>
      <c r="T17" s="86" t="str">
        <f t="shared" si="11"/>
        <v>80,0</v>
      </c>
    </row>
    <row r="18" spans="1:20" ht="44.1" customHeight="1" x14ac:dyDescent="0.25">
      <c r="A18" s="11">
        <v>15</v>
      </c>
      <c r="B18" s="9" t="s">
        <v>38</v>
      </c>
      <c r="C18" s="53">
        <v>5.5</v>
      </c>
      <c r="D18" s="31">
        <v>5.0999999999999996</v>
      </c>
      <c r="E18" s="14">
        <v>2021</v>
      </c>
      <c r="F18" s="40">
        <f>C18-D18</f>
        <v>0.40000000000000036</v>
      </c>
      <c r="G18" s="16">
        <f>D18/C18</f>
        <v>0.92727272727272725</v>
      </c>
      <c r="H18" s="33">
        <v>4.2</v>
      </c>
      <c r="I18" s="14">
        <v>2013</v>
      </c>
      <c r="J18" s="38">
        <f>C18-H18</f>
        <v>1.2999999999999998</v>
      </c>
      <c r="K18" s="38">
        <f t="shared" ref="K18:K19" si="15">D18-H18</f>
        <v>0.89999999999999947</v>
      </c>
      <c r="L18" s="57">
        <f t="shared" si="14"/>
        <v>0.21428571428571416</v>
      </c>
      <c r="M18" s="71">
        <f>K18/J18</f>
        <v>0.69230769230769196</v>
      </c>
      <c r="N18" s="79"/>
      <c r="O18" s="79"/>
      <c r="P18" s="79"/>
      <c r="Q18" s="82">
        <f t="shared" si="8"/>
        <v>89.999999999999943</v>
      </c>
      <c r="R18" s="83" t="str">
        <f t="shared" si="9"/>
        <v>90,0</v>
      </c>
      <c r="S18" s="79">
        <f t="shared" si="10"/>
        <v>129.99999999999997</v>
      </c>
      <c r="T18" s="86" t="str">
        <f t="shared" si="11"/>
        <v>130,0</v>
      </c>
    </row>
    <row r="19" spans="1:20" ht="44.1" customHeight="1" x14ac:dyDescent="0.25">
      <c r="A19" s="11">
        <v>16</v>
      </c>
      <c r="B19" s="9" t="s">
        <v>39</v>
      </c>
      <c r="C19" s="53">
        <v>5.2</v>
      </c>
      <c r="D19" s="31">
        <v>4.2</v>
      </c>
      <c r="E19" s="14">
        <v>2021</v>
      </c>
      <c r="F19" s="40">
        <f t="shared" ref="F19" si="16">C19-D19</f>
        <v>1</v>
      </c>
      <c r="G19" s="16">
        <f>D19/C19</f>
        <v>0.80769230769230771</v>
      </c>
      <c r="H19" s="33">
        <v>3.7</v>
      </c>
      <c r="I19" s="14">
        <v>2013</v>
      </c>
      <c r="J19" s="38">
        <f>C19-H19</f>
        <v>1.5</v>
      </c>
      <c r="K19" s="38">
        <f t="shared" si="15"/>
        <v>0.5</v>
      </c>
      <c r="L19" s="57">
        <f t="shared" si="14"/>
        <v>0.13513513513513511</v>
      </c>
      <c r="M19" s="71">
        <f>K19/J19</f>
        <v>0.33333333333333331</v>
      </c>
      <c r="N19" s="79"/>
      <c r="O19" s="79"/>
      <c r="P19" s="79"/>
      <c r="Q19" s="82">
        <f t="shared" si="8"/>
        <v>50</v>
      </c>
      <c r="R19" s="83" t="str">
        <f t="shared" si="9"/>
        <v>50,0</v>
      </c>
      <c r="S19" s="79">
        <f t="shared" si="10"/>
        <v>150</v>
      </c>
      <c r="T19" s="86" t="str">
        <f t="shared" si="11"/>
        <v>150,0</v>
      </c>
    </row>
    <row r="20" spans="1:20" s="5" customFormat="1" ht="44.1" customHeight="1" x14ac:dyDescent="0.25">
      <c r="A20" s="11">
        <v>17</v>
      </c>
      <c r="B20" s="9" t="s">
        <v>40</v>
      </c>
      <c r="C20" s="53">
        <v>12</v>
      </c>
      <c r="D20" s="31">
        <v>11.7</v>
      </c>
      <c r="E20" s="14">
        <v>2022</v>
      </c>
      <c r="F20" s="32" t="str">
        <f>_xlfn.CONCAT(O20,P20)</f>
        <v>0,3 anos de estudo</v>
      </c>
      <c r="G20" s="16">
        <f>(D20/C20)</f>
        <v>0.97499999999999998</v>
      </c>
      <c r="H20" s="33">
        <v>10.843830000000001</v>
      </c>
      <c r="I20" s="14">
        <v>2013</v>
      </c>
      <c r="J20" s="34" t="str">
        <f>_xlfn.CONCAT(T20,P20)</f>
        <v>1,2 anos de estudo</v>
      </c>
      <c r="K20" s="35" t="str">
        <f>_xlfn.CONCAT(R20,P20)</f>
        <v>0,9 anos de estudo</v>
      </c>
      <c r="L20" s="57">
        <f t="shared" si="14"/>
        <v>7.8954576012349759E-2</v>
      </c>
      <c r="M20" s="71">
        <f>(0.9/1.2)</f>
        <v>0.75</v>
      </c>
      <c r="N20" s="79">
        <f>C20-D20</f>
        <v>0.30000000000000071</v>
      </c>
      <c r="O20" s="79" t="str">
        <f t="shared" si="7"/>
        <v>0,3</v>
      </c>
      <c r="P20" s="79" t="s">
        <v>104</v>
      </c>
      <c r="Q20" s="82">
        <f>D20-H20</f>
        <v>0.85616999999999877</v>
      </c>
      <c r="R20" s="83" t="str">
        <f t="shared" si="9"/>
        <v>0,9</v>
      </c>
      <c r="S20" s="79">
        <f>C20-H20</f>
        <v>1.1561699999999995</v>
      </c>
      <c r="T20" s="86" t="str">
        <f t="shared" si="11"/>
        <v>1,2</v>
      </c>
    </row>
    <row r="21" spans="1:20" s="5" customFormat="1" ht="44.1" customHeight="1" x14ac:dyDescent="0.25">
      <c r="A21" s="11">
        <v>18</v>
      </c>
      <c r="B21" s="9" t="s">
        <v>41</v>
      </c>
      <c r="C21" s="53">
        <v>12</v>
      </c>
      <c r="D21" s="31">
        <v>10.3</v>
      </c>
      <c r="E21" s="14">
        <v>2022</v>
      </c>
      <c r="F21" s="32" t="str">
        <f>_xlfn.CONCAT(O21,P21)</f>
        <v>1,7 anos de estudo</v>
      </c>
      <c r="G21" s="16">
        <f>(D21/C21)</f>
        <v>0.85833333333333339</v>
      </c>
      <c r="H21" s="33">
        <v>8.8233370000000004</v>
      </c>
      <c r="I21" s="14">
        <v>2013</v>
      </c>
      <c r="J21" s="34" t="str">
        <f t="shared" ref="J21:J22" si="17">_xlfn.CONCAT(T21,P21)</f>
        <v>3,2 anos de estudo</v>
      </c>
      <c r="K21" s="35" t="str">
        <f t="shared" ref="K21:K22" si="18">_xlfn.CONCAT(R21,P21)</f>
        <v>1,5 anos de estudo</v>
      </c>
      <c r="L21" s="57">
        <f t="shared" si="14"/>
        <v>0.16735878953733721</v>
      </c>
      <c r="M21" s="71">
        <f>1.6/3.2</f>
        <v>0.5</v>
      </c>
      <c r="N21" s="79">
        <f>C21-D21</f>
        <v>1.6999999999999993</v>
      </c>
      <c r="O21" s="79" t="str">
        <f t="shared" si="7"/>
        <v>1,7</v>
      </c>
      <c r="P21" s="79" t="s">
        <v>104</v>
      </c>
      <c r="Q21" s="82">
        <f t="shared" ref="Q21:Q22" si="19">D21-H21</f>
        <v>1.4766630000000003</v>
      </c>
      <c r="R21" s="83" t="str">
        <f t="shared" si="9"/>
        <v>1,5</v>
      </c>
      <c r="S21" s="79">
        <f t="shared" ref="S21:S22" si="20">C21-H21</f>
        <v>3.1766629999999996</v>
      </c>
      <c r="T21" s="86" t="str">
        <f t="shared" si="11"/>
        <v>3,2</v>
      </c>
    </row>
    <row r="22" spans="1:20" s="5" customFormat="1" ht="44.1" customHeight="1" x14ac:dyDescent="0.25">
      <c r="A22" s="11">
        <v>19</v>
      </c>
      <c r="B22" s="9" t="s">
        <v>42</v>
      </c>
      <c r="C22" s="53">
        <v>12</v>
      </c>
      <c r="D22" s="38">
        <v>10.3</v>
      </c>
      <c r="E22" s="14">
        <v>2022</v>
      </c>
      <c r="F22" s="32" t="str">
        <f>_xlfn.CONCAT(O22,P22)</f>
        <v>1,7 anos de estudo</v>
      </c>
      <c r="G22" s="16">
        <f>(D22/C22)</f>
        <v>0.85833333333333339</v>
      </c>
      <c r="H22" s="47">
        <v>9.3000000000000007</v>
      </c>
      <c r="I22" s="14">
        <v>2016</v>
      </c>
      <c r="J22" s="34" t="str">
        <f t="shared" si="17"/>
        <v>2,7 anos de estudo</v>
      </c>
      <c r="K22" s="35" t="str">
        <f t="shared" si="18"/>
        <v>1,0 anos de estudo</v>
      </c>
      <c r="L22" s="57">
        <f t="shared" si="14"/>
        <v>0.1075268817204301</v>
      </c>
      <c r="M22" s="71">
        <f>(0.5/2.6)</f>
        <v>0.19230769230769229</v>
      </c>
      <c r="N22" s="79">
        <f>C22-D22</f>
        <v>1.6999999999999993</v>
      </c>
      <c r="O22" s="79" t="str">
        <f t="shared" si="7"/>
        <v>1,7</v>
      </c>
      <c r="P22" s="79" t="s">
        <v>104</v>
      </c>
      <c r="Q22" s="82">
        <f t="shared" si="19"/>
        <v>1</v>
      </c>
      <c r="R22" s="83" t="str">
        <f t="shared" si="9"/>
        <v>1,0</v>
      </c>
      <c r="S22" s="79">
        <f t="shared" si="20"/>
        <v>2.6999999999999993</v>
      </c>
      <c r="T22" s="86" t="str">
        <f t="shared" si="11"/>
        <v>2,7</v>
      </c>
    </row>
    <row r="23" spans="1:20" s="5" customFormat="1" ht="44.1" customHeight="1" x14ac:dyDescent="0.25">
      <c r="A23" s="11">
        <v>20</v>
      </c>
      <c r="B23" s="9" t="s">
        <v>43</v>
      </c>
      <c r="C23" s="15">
        <v>1</v>
      </c>
      <c r="D23" s="17">
        <v>0.91400000000000003</v>
      </c>
      <c r="E23" s="14">
        <v>2022</v>
      </c>
      <c r="F23" s="32" t="str">
        <f>_xlfn.CONCAT(O23,P23)</f>
        <v>8,6 p.p</v>
      </c>
      <c r="G23" s="16">
        <f>D23/C23</f>
        <v>0.91400000000000003</v>
      </c>
      <c r="H23" s="16">
        <v>0.86799999999999999</v>
      </c>
      <c r="I23" s="14">
        <v>2013</v>
      </c>
      <c r="J23" s="38" t="str">
        <f>_xlfn.CONCAT(T23,P23)</f>
        <v>13,2 p.p</v>
      </c>
      <c r="K23" s="19" t="str">
        <f>_xlfn.CONCAT(R23,P23)</f>
        <v>4,6 p.p</v>
      </c>
      <c r="L23" s="57">
        <f t="shared" si="14"/>
        <v>5.2995391705069173E-2</v>
      </c>
      <c r="M23" s="71">
        <f>4.8/13.7</f>
        <v>0.35036496350364965</v>
      </c>
      <c r="N23" s="79">
        <f>(C23-D23)*100</f>
        <v>8.5999999999999961</v>
      </c>
      <c r="O23" s="79" t="str">
        <f t="shared" si="7"/>
        <v>8,6</v>
      </c>
      <c r="P23" s="79" t="s">
        <v>103</v>
      </c>
      <c r="Q23" s="82">
        <f t="shared" si="8"/>
        <v>4.6000000000000041</v>
      </c>
      <c r="R23" s="83" t="str">
        <f t="shared" si="9"/>
        <v>4,6</v>
      </c>
      <c r="S23" s="79">
        <f t="shared" si="10"/>
        <v>13.200000000000001</v>
      </c>
      <c r="T23" s="86" t="str">
        <f t="shared" si="11"/>
        <v>13,2</v>
      </c>
    </row>
    <row r="24" spans="1:20" s="6" customFormat="1" ht="44.1" customHeight="1" x14ac:dyDescent="0.25">
      <c r="A24" s="11">
        <v>21</v>
      </c>
      <c r="B24" s="9" t="s">
        <v>44</v>
      </c>
      <c r="C24" s="22">
        <v>1</v>
      </c>
      <c r="D24" s="69">
        <v>0.94399999999999995</v>
      </c>
      <c r="E24" s="23">
        <v>2022</v>
      </c>
      <c r="F24" s="32" t="str">
        <f t="shared" ref="F24:F25" si="21">_xlfn.CONCAT(O24,P24)</f>
        <v>5,6 p.p</v>
      </c>
      <c r="G24" s="16">
        <f>D24/C24</f>
        <v>0.94399999999999995</v>
      </c>
      <c r="H24" s="23" t="s">
        <v>45</v>
      </c>
      <c r="I24" s="23">
        <v>2012</v>
      </c>
      <c r="J24" s="38" t="str">
        <f t="shared" ref="J24:J26" si="22">_xlfn.CONCAT(T24,P24)</f>
        <v>8,2 p.p</v>
      </c>
      <c r="K24" s="19" t="str">
        <f>_xlfn.CONCAT(R24,P24)</f>
        <v>2,6 p.p</v>
      </c>
      <c r="L24" s="62">
        <f>(D24-H24)/H24</f>
        <v>2.8322440087145871E-2</v>
      </c>
      <c r="M24" s="71">
        <f>3.2/8.2</f>
        <v>0.39024390243902446</v>
      </c>
      <c r="N24" s="79">
        <f>(C24-D24)*100</f>
        <v>5.600000000000005</v>
      </c>
      <c r="O24" s="79" t="str">
        <f t="shared" si="7"/>
        <v>5,6</v>
      </c>
      <c r="P24" s="79" t="s">
        <v>103</v>
      </c>
      <c r="Q24" s="82">
        <f t="shared" si="8"/>
        <v>2.5999999999999912</v>
      </c>
      <c r="R24" s="83" t="str">
        <f t="shared" si="9"/>
        <v>2,6</v>
      </c>
      <c r="S24" s="79">
        <f t="shared" si="10"/>
        <v>8.1999999999999957</v>
      </c>
      <c r="T24" s="86" t="str">
        <f t="shared" si="11"/>
        <v>8,2</v>
      </c>
    </row>
    <row r="25" spans="1:20" s="6" customFormat="1" ht="44.1" customHeight="1" x14ac:dyDescent="0.25">
      <c r="A25" s="11">
        <v>22</v>
      </c>
      <c r="B25" s="21" t="s">
        <v>46</v>
      </c>
      <c r="C25" s="20" t="s">
        <v>47</v>
      </c>
      <c r="D25" s="70">
        <v>0.123</v>
      </c>
      <c r="E25" s="20">
        <v>2022</v>
      </c>
      <c r="F25" s="32" t="str">
        <f t="shared" si="21"/>
        <v>3,4 p.p</v>
      </c>
      <c r="G25" s="67">
        <f>(1-D25)/(1-C25)</f>
        <v>0.96267837541163548</v>
      </c>
      <c r="H25" s="20" t="s">
        <v>48</v>
      </c>
      <c r="I25" s="20">
        <v>2012</v>
      </c>
      <c r="J25" s="38" t="str">
        <f t="shared" si="22"/>
        <v>-8,8 p.p</v>
      </c>
      <c r="K25" s="19" t="str">
        <f>_xlfn.CONCAT(R25,P25)</f>
        <v>5,4 p.p</v>
      </c>
      <c r="L25" s="62">
        <f>(H25-D25)/H25</f>
        <v>0.30508474576271183</v>
      </c>
      <c r="M25" s="71">
        <f>6.3/8.8</f>
        <v>0.71590909090909083</v>
      </c>
      <c r="N25" s="79">
        <f>((1-C25)-(1-D25))*100</f>
        <v>3.400000000000003</v>
      </c>
      <c r="O25" s="79" t="str">
        <f t="shared" si="7"/>
        <v>3,4</v>
      </c>
      <c r="P25" s="79" t="s">
        <v>103</v>
      </c>
      <c r="Q25" s="82">
        <f>((1-D25)-(1-H25))*100</f>
        <v>5.4000000000000048</v>
      </c>
      <c r="R25" s="83" t="str">
        <f t="shared" si="9"/>
        <v>5,4</v>
      </c>
      <c r="S25" s="79">
        <f t="shared" si="10"/>
        <v>-8.8000000000000078</v>
      </c>
      <c r="T25" s="86" t="str">
        <f t="shared" si="11"/>
        <v>-8,8</v>
      </c>
    </row>
    <row r="26" spans="1:20" ht="44.1" customHeight="1" x14ac:dyDescent="0.25">
      <c r="A26" s="11">
        <v>23</v>
      </c>
      <c r="B26" s="9" t="s">
        <v>49</v>
      </c>
      <c r="C26" s="27">
        <v>0.25</v>
      </c>
      <c r="D26" s="28">
        <v>3.5000000000000003E-2</v>
      </c>
      <c r="E26" s="29">
        <v>2022</v>
      </c>
      <c r="F26" s="30" t="str">
        <f>_xlfn.CONCAT(O26,P26)</f>
        <v>21,5 p.p</v>
      </c>
      <c r="G26" s="36">
        <f>D26/C26</f>
        <v>0.14000000000000001</v>
      </c>
      <c r="H26" s="36" t="s">
        <v>50</v>
      </c>
      <c r="I26" s="29">
        <v>2013</v>
      </c>
      <c r="J26" s="38" t="str">
        <f t="shared" si="22"/>
        <v>22,2 p.p</v>
      </c>
      <c r="K26" s="19" t="str">
        <f>_xlfn.CONCAT(R26,P26)</f>
        <v>0,7 p.p</v>
      </c>
      <c r="L26" s="36">
        <f>(D26-H26)/H26</f>
        <v>0.25000000000000011</v>
      </c>
      <c r="M26" s="75">
        <f>-0.6/22.2</f>
        <v>-2.7027027027027029E-2</v>
      </c>
      <c r="N26" s="79">
        <f>(C26-D26)*100</f>
        <v>21.5</v>
      </c>
      <c r="O26" s="79" t="str">
        <f t="shared" si="7"/>
        <v>21,5</v>
      </c>
      <c r="P26" s="79" t="s">
        <v>103</v>
      </c>
      <c r="Q26" s="82">
        <f t="shared" si="8"/>
        <v>0.70000000000000029</v>
      </c>
      <c r="R26" s="83" t="str">
        <f t="shared" si="9"/>
        <v>0,7</v>
      </c>
      <c r="S26" s="79">
        <f t="shared" si="10"/>
        <v>22.199999999999996</v>
      </c>
      <c r="T26" s="86" t="str">
        <f t="shared" si="11"/>
        <v>22,2</v>
      </c>
    </row>
    <row r="27" spans="1:20" s="6" customFormat="1" ht="44.1" customHeight="1" x14ac:dyDescent="0.25">
      <c r="A27" s="11">
        <v>24</v>
      </c>
      <c r="B27" s="9" t="s">
        <v>51</v>
      </c>
      <c r="C27" s="55">
        <v>4808838</v>
      </c>
      <c r="D27" s="55">
        <v>2069771</v>
      </c>
      <c r="E27" s="14">
        <v>2022</v>
      </c>
      <c r="F27" s="55">
        <f>C27-D27</f>
        <v>2739067</v>
      </c>
      <c r="G27" s="36">
        <f>D27/C27</f>
        <v>0.4304097996231106</v>
      </c>
      <c r="H27" s="55">
        <v>1602946</v>
      </c>
      <c r="I27" s="14">
        <v>2013</v>
      </c>
      <c r="J27" s="55">
        <f>C27-H27</f>
        <v>3205892</v>
      </c>
      <c r="K27" s="55">
        <f>D27-H27</f>
        <v>466825</v>
      </c>
      <c r="L27" s="36">
        <f>(D27-H27)/H27</f>
        <v>0.29122939886933186</v>
      </c>
      <c r="M27" s="71">
        <f>K27/J27</f>
        <v>0.14561469943466593</v>
      </c>
      <c r="N27" s="79">
        <f>(C27-D27)*100</f>
        <v>273906700</v>
      </c>
      <c r="O27" s="79" t="str">
        <f t="shared" si="7"/>
        <v>273.906.700,0</v>
      </c>
      <c r="P27" s="79" t="s">
        <v>103</v>
      </c>
      <c r="Q27" s="82">
        <f t="shared" si="8"/>
        <v>46682500</v>
      </c>
      <c r="R27" s="83" t="str">
        <f t="shared" si="9"/>
        <v>46.682.500,0</v>
      </c>
      <c r="S27" s="79">
        <f t="shared" si="10"/>
        <v>320589200</v>
      </c>
      <c r="T27" s="86" t="str">
        <f t="shared" si="11"/>
        <v>320.589.200,0</v>
      </c>
    </row>
    <row r="28" spans="1:20" s="6" customFormat="1" ht="44.1" customHeight="1" x14ac:dyDescent="0.25">
      <c r="A28" s="11">
        <v>25</v>
      </c>
      <c r="B28" s="9" t="s">
        <v>52</v>
      </c>
      <c r="C28" s="15">
        <v>0.5</v>
      </c>
      <c r="D28" s="17">
        <v>0.61</v>
      </c>
      <c r="E28" s="14">
        <v>2022</v>
      </c>
      <c r="F28" s="18" t="s">
        <v>53</v>
      </c>
      <c r="G28" s="36">
        <f>D28/C28</f>
        <v>1.22</v>
      </c>
      <c r="H28" s="16">
        <v>0</v>
      </c>
      <c r="I28" s="14">
        <v>2013</v>
      </c>
      <c r="J28" s="45" t="str">
        <f>_xlfn.CONCAT(T28,P28)</f>
        <v>50,0 p.p</v>
      </c>
      <c r="K28" s="45" t="str">
        <f t="shared" ref="K28:K34" si="23">_xlfn.CONCAT(R28,P28)</f>
        <v>61,0 p.p</v>
      </c>
      <c r="L28" s="17" t="s">
        <v>30</v>
      </c>
      <c r="M28" s="71">
        <f>101.2/50</f>
        <v>2.024</v>
      </c>
      <c r="N28" s="79">
        <f>(C28-D28)*100</f>
        <v>-10.999999999999998</v>
      </c>
      <c r="O28" s="79" t="str">
        <f t="shared" si="7"/>
        <v>-11,0</v>
      </c>
      <c r="P28" s="79" t="s">
        <v>103</v>
      </c>
      <c r="Q28" s="82">
        <f t="shared" si="8"/>
        <v>61</v>
      </c>
      <c r="R28" s="83" t="str">
        <f t="shared" si="9"/>
        <v>61,0</v>
      </c>
      <c r="S28" s="79">
        <f t="shared" si="10"/>
        <v>50</v>
      </c>
      <c r="T28" s="86" t="str">
        <f t="shared" si="11"/>
        <v>50,0</v>
      </c>
    </row>
    <row r="29" spans="1:20" s="3" customFormat="1" ht="44.1" customHeight="1" x14ac:dyDescent="0.25">
      <c r="A29" s="11">
        <v>26</v>
      </c>
      <c r="B29" s="9" t="s">
        <v>54</v>
      </c>
      <c r="C29" s="15" t="s">
        <v>30</v>
      </c>
      <c r="D29" s="17">
        <v>0.316</v>
      </c>
      <c r="E29" s="14">
        <v>2022</v>
      </c>
      <c r="F29" s="15" t="s">
        <v>30</v>
      </c>
      <c r="G29" s="15" t="s">
        <v>30</v>
      </c>
      <c r="H29" s="16">
        <v>0</v>
      </c>
      <c r="I29" s="14">
        <v>2013</v>
      </c>
      <c r="J29" s="45" t="s">
        <v>30</v>
      </c>
      <c r="K29" s="45" t="str">
        <f t="shared" si="23"/>
        <v>31,6 p.p</v>
      </c>
      <c r="L29" s="17" t="s">
        <v>30</v>
      </c>
      <c r="M29" s="76" t="s">
        <v>30</v>
      </c>
      <c r="N29" s="79"/>
      <c r="O29" s="79"/>
      <c r="P29" s="79" t="s">
        <v>103</v>
      </c>
      <c r="Q29" s="82">
        <f t="shared" si="8"/>
        <v>31.6</v>
      </c>
      <c r="R29" s="83" t="str">
        <f t="shared" si="9"/>
        <v>31,6</v>
      </c>
      <c r="S29" s="79" t="e">
        <f t="shared" si="10"/>
        <v>#VALUE!</v>
      </c>
      <c r="T29" s="86" t="e">
        <f t="shared" si="11"/>
        <v>#VALUE!</v>
      </c>
    </row>
    <row r="30" spans="1:20" ht="44.1" customHeight="1" x14ac:dyDescent="0.25">
      <c r="A30" s="11">
        <v>27</v>
      </c>
      <c r="B30" s="9" t="s">
        <v>55</v>
      </c>
      <c r="C30" s="15">
        <v>0.5</v>
      </c>
      <c r="D30" s="17">
        <v>0.38500000000000001</v>
      </c>
      <c r="E30" s="14">
        <v>2022</v>
      </c>
      <c r="F30" s="18" t="str">
        <f>_xlfn.CONCAT(O30,P30)</f>
        <v>11,5 p.p</v>
      </c>
      <c r="G30" s="16">
        <f t="shared" ref="G30:G36" si="24">D30/C30</f>
        <v>0.77</v>
      </c>
      <c r="H30" s="16">
        <v>0.3</v>
      </c>
      <c r="I30" s="14">
        <v>2012</v>
      </c>
      <c r="J30" s="45" t="str">
        <f t="shared" ref="J30:J34" si="25">_xlfn.CONCAT(T30,P30)</f>
        <v>20,0 p.p</v>
      </c>
      <c r="K30" s="45" t="str">
        <f t="shared" si="23"/>
        <v>8,5 p.p</v>
      </c>
      <c r="L30" s="17">
        <f>(D30-H30)/H30</f>
        <v>0.28333333333333344</v>
      </c>
      <c r="M30" s="71">
        <f>7.4/20</f>
        <v>0.37</v>
      </c>
      <c r="N30" s="79">
        <f>(C30-D30)*100</f>
        <v>11.5</v>
      </c>
      <c r="O30" s="79" t="str">
        <f t="shared" si="7"/>
        <v>11,5</v>
      </c>
      <c r="P30" s="79" t="s">
        <v>103</v>
      </c>
      <c r="Q30" s="82">
        <f t="shared" si="8"/>
        <v>8.5000000000000018</v>
      </c>
      <c r="R30" s="83" t="str">
        <f t="shared" si="9"/>
        <v>8,5</v>
      </c>
      <c r="S30" s="79">
        <f t="shared" si="10"/>
        <v>19.999999999999996</v>
      </c>
      <c r="T30" s="86" t="str">
        <f t="shared" si="11"/>
        <v>20,0</v>
      </c>
    </row>
    <row r="31" spans="1:20" ht="44.1" customHeight="1" x14ac:dyDescent="0.25">
      <c r="A31" s="11">
        <v>28</v>
      </c>
      <c r="B31" s="9" t="s">
        <v>56</v>
      </c>
      <c r="C31" s="15">
        <v>0.33</v>
      </c>
      <c r="D31" s="17">
        <v>0.25</v>
      </c>
      <c r="E31" s="14">
        <v>2022</v>
      </c>
      <c r="F31" s="18" t="str">
        <f t="shared" ref="F31:F32" si="26">_xlfn.CONCAT(O31,P31)</f>
        <v>8,0 p.p</v>
      </c>
      <c r="G31" s="16">
        <f t="shared" si="24"/>
        <v>0.75757575757575757</v>
      </c>
      <c r="H31" s="16">
        <v>0.19500000000000001</v>
      </c>
      <c r="I31" s="14">
        <v>2012</v>
      </c>
      <c r="J31" s="45" t="str">
        <f t="shared" si="25"/>
        <v>13,5 p.p</v>
      </c>
      <c r="K31" s="45" t="str">
        <f t="shared" si="23"/>
        <v>5,5 p.p</v>
      </c>
      <c r="L31" s="17">
        <f>(D31-H31)/H31</f>
        <v>0.28205128205128199</v>
      </c>
      <c r="M31" s="71">
        <f>6/13.5</f>
        <v>0.44444444444444442</v>
      </c>
      <c r="N31" s="79">
        <f>(C31-D31)*100</f>
        <v>8.0000000000000018</v>
      </c>
      <c r="O31" s="79" t="str">
        <f t="shared" si="7"/>
        <v>8,0</v>
      </c>
      <c r="P31" s="79" t="s">
        <v>103</v>
      </c>
      <c r="Q31" s="82">
        <f t="shared" si="8"/>
        <v>5.4999999999999991</v>
      </c>
      <c r="R31" s="83" t="str">
        <f t="shared" si="9"/>
        <v>5,5</v>
      </c>
      <c r="S31" s="79">
        <f t="shared" si="10"/>
        <v>13.5</v>
      </c>
      <c r="T31" s="86" t="str">
        <f t="shared" si="11"/>
        <v>13,5</v>
      </c>
    </row>
    <row r="32" spans="1:20" ht="44.1" customHeight="1" x14ac:dyDescent="0.25">
      <c r="A32" s="11">
        <v>29</v>
      </c>
      <c r="B32" s="9" t="s">
        <v>57</v>
      </c>
      <c r="C32" s="15">
        <v>0.4</v>
      </c>
      <c r="D32" s="17">
        <v>9.2999999999999999E-2</v>
      </c>
      <c r="E32" s="14">
        <v>2021</v>
      </c>
      <c r="F32" s="18" t="str">
        <f t="shared" si="26"/>
        <v>30,7 p.p</v>
      </c>
      <c r="G32" s="16">
        <f t="shared" si="24"/>
        <v>0.23249999999999998</v>
      </c>
      <c r="H32" s="16">
        <v>0</v>
      </c>
      <c r="I32" s="14">
        <v>2012</v>
      </c>
      <c r="J32" s="45" t="str">
        <f t="shared" si="25"/>
        <v>40,0 p.p</v>
      </c>
      <c r="K32" s="45" t="str">
        <f t="shared" si="23"/>
        <v>9,3 p.p</v>
      </c>
      <c r="L32" s="17" t="s">
        <v>30</v>
      </c>
      <c r="M32" s="71">
        <f>3.6/40</f>
        <v>0.09</v>
      </c>
      <c r="N32" s="79">
        <f>(C32-D32)*100</f>
        <v>30.700000000000006</v>
      </c>
      <c r="O32" s="79" t="str">
        <f t="shared" si="7"/>
        <v>30,7</v>
      </c>
      <c r="P32" s="79" t="s">
        <v>103</v>
      </c>
      <c r="Q32" s="82">
        <f t="shared" si="8"/>
        <v>9.3000000000000007</v>
      </c>
      <c r="R32" s="83" t="str">
        <f t="shared" si="9"/>
        <v>9,3</v>
      </c>
      <c r="S32" s="79">
        <f t="shared" si="10"/>
        <v>40</v>
      </c>
      <c r="T32" s="86" t="str">
        <f t="shared" si="11"/>
        <v>40,0</v>
      </c>
    </row>
    <row r="33" spans="1:20" ht="44.1" customHeight="1" x14ac:dyDescent="0.25">
      <c r="A33" s="11">
        <v>30</v>
      </c>
      <c r="B33" s="9" t="s">
        <v>58</v>
      </c>
      <c r="C33" s="15">
        <v>0.75</v>
      </c>
      <c r="D33" s="17">
        <v>0.84299999999999997</v>
      </c>
      <c r="E33" s="14">
        <v>2021</v>
      </c>
      <c r="F33" s="79" t="s">
        <v>53</v>
      </c>
      <c r="G33" s="16">
        <f t="shared" si="24"/>
        <v>1.1239999999999999</v>
      </c>
      <c r="H33" s="16">
        <v>0.70099999999999996</v>
      </c>
      <c r="I33" s="14">
        <v>2012</v>
      </c>
      <c r="J33" s="45" t="str">
        <f t="shared" si="25"/>
        <v>4,9 p.p</v>
      </c>
      <c r="K33" s="45" t="str">
        <f t="shared" si="23"/>
        <v>14,2 p.p</v>
      </c>
      <c r="L33" s="17">
        <f>(D33-H33)/H33</f>
        <v>0.20256776034236809</v>
      </c>
      <c r="M33" s="71">
        <f>13.7/4.9</f>
        <v>2.7959183673469385</v>
      </c>
      <c r="N33" s="79"/>
      <c r="O33" s="79"/>
      <c r="P33" s="79" t="s">
        <v>103</v>
      </c>
      <c r="Q33" s="82">
        <f t="shared" si="8"/>
        <v>14.200000000000001</v>
      </c>
      <c r="R33" s="83" t="str">
        <f t="shared" si="9"/>
        <v>14,2</v>
      </c>
      <c r="S33" s="79">
        <f t="shared" si="10"/>
        <v>4.9000000000000039</v>
      </c>
      <c r="T33" s="86" t="str">
        <f t="shared" si="11"/>
        <v>4,9</v>
      </c>
    </row>
    <row r="34" spans="1:20" ht="44.1" customHeight="1" x14ac:dyDescent="0.25">
      <c r="A34" s="11">
        <v>31</v>
      </c>
      <c r="B34" s="9" t="s">
        <v>59</v>
      </c>
      <c r="C34" s="15">
        <v>0.35</v>
      </c>
      <c r="D34" s="17">
        <v>0.50800000000000001</v>
      </c>
      <c r="E34" s="14">
        <v>2021</v>
      </c>
      <c r="F34" s="79" t="s">
        <v>53</v>
      </c>
      <c r="G34" s="16">
        <f t="shared" si="24"/>
        <v>1.4514285714285715</v>
      </c>
      <c r="H34" s="16">
        <v>0.32600000000000001</v>
      </c>
      <c r="I34" s="14">
        <v>2012</v>
      </c>
      <c r="J34" s="45" t="str">
        <f t="shared" si="25"/>
        <v>2,4 p.p</v>
      </c>
      <c r="K34" s="45" t="str">
        <f t="shared" si="23"/>
        <v>18,2 p.p</v>
      </c>
      <c r="L34" s="17">
        <f t="shared" ref="L34:L44" si="27">(D34-H34)/H34</f>
        <v>0.55828220858895705</v>
      </c>
      <c r="M34" s="71">
        <f>16.3/2.4</f>
        <v>6.791666666666667</v>
      </c>
      <c r="N34" s="79"/>
      <c r="O34" s="79"/>
      <c r="P34" s="79" t="s">
        <v>103</v>
      </c>
      <c r="Q34" s="82">
        <f t="shared" si="8"/>
        <v>18.2</v>
      </c>
      <c r="R34" s="83" t="str">
        <f t="shared" si="9"/>
        <v>18,2</v>
      </c>
      <c r="S34" s="79">
        <f t="shared" si="10"/>
        <v>2.399999999999991</v>
      </c>
      <c r="T34" s="86" t="str">
        <f t="shared" si="11"/>
        <v>2,4</v>
      </c>
    </row>
    <row r="35" spans="1:20" ht="44.1" customHeight="1" x14ac:dyDescent="0.25">
      <c r="A35" s="11">
        <v>32</v>
      </c>
      <c r="B35" s="9" t="s">
        <v>60</v>
      </c>
      <c r="C35" s="61">
        <v>60000</v>
      </c>
      <c r="D35" s="61">
        <v>60039</v>
      </c>
      <c r="E35" s="58">
        <v>2020</v>
      </c>
      <c r="F35" s="79" t="s">
        <v>53</v>
      </c>
      <c r="G35" s="59">
        <f t="shared" si="24"/>
        <v>1.00065</v>
      </c>
      <c r="H35" s="63">
        <v>51535</v>
      </c>
      <c r="I35" s="64">
        <v>2013</v>
      </c>
      <c r="J35" s="65">
        <f>C35-H35</f>
        <v>8465</v>
      </c>
      <c r="K35" s="65">
        <f>D35-H35</f>
        <v>8504</v>
      </c>
      <c r="L35" s="17">
        <f t="shared" si="27"/>
        <v>0.16501406810905209</v>
      </c>
      <c r="M35" s="77">
        <f>K35/J35</f>
        <v>1.0046072061429416</v>
      </c>
      <c r="N35" s="79"/>
      <c r="O35" s="79"/>
      <c r="P35" s="79" t="s">
        <v>103</v>
      </c>
      <c r="Q35" s="82">
        <f t="shared" si="8"/>
        <v>850400</v>
      </c>
      <c r="R35" s="83" t="str">
        <f t="shared" si="9"/>
        <v>850.400,0</v>
      </c>
      <c r="S35" s="79">
        <f t="shared" si="10"/>
        <v>846500</v>
      </c>
      <c r="T35" s="86" t="str">
        <f t="shared" si="11"/>
        <v>846.500,0</v>
      </c>
    </row>
    <row r="36" spans="1:20" ht="44.1" customHeight="1" x14ac:dyDescent="0.25">
      <c r="A36" s="11">
        <v>33</v>
      </c>
      <c r="B36" s="9" t="s">
        <v>61</v>
      </c>
      <c r="C36" s="61">
        <v>25000</v>
      </c>
      <c r="D36" s="61">
        <v>20075</v>
      </c>
      <c r="E36" s="58">
        <v>2020</v>
      </c>
      <c r="F36" s="61">
        <f>C36-D36</f>
        <v>4925</v>
      </c>
      <c r="G36" s="59">
        <f t="shared" si="24"/>
        <v>0.80300000000000005</v>
      </c>
      <c r="H36" s="63">
        <v>15650</v>
      </c>
      <c r="I36" s="64">
        <v>2013</v>
      </c>
      <c r="J36" s="65">
        <f>C36-H36</f>
        <v>9350</v>
      </c>
      <c r="K36" s="65">
        <f>D36-H36</f>
        <v>4425</v>
      </c>
      <c r="L36" s="17">
        <f t="shared" si="27"/>
        <v>0.28274760383386582</v>
      </c>
      <c r="M36" s="77">
        <f>K36/J36</f>
        <v>0.4732620320855615</v>
      </c>
      <c r="N36" s="79">
        <f t="shared" ref="N36:N43" si="28">(C36-D36)*100</f>
        <v>492500</v>
      </c>
      <c r="O36" s="79" t="str">
        <f t="shared" si="7"/>
        <v>492.500,0</v>
      </c>
      <c r="P36" s="79" t="s">
        <v>103</v>
      </c>
      <c r="Q36" s="82">
        <f t="shared" si="8"/>
        <v>442500</v>
      </c>
      <c r="R36" s="83" t="str">
        <f t="shared" si="9"/>
        <v>442.500,0</v>
      </c>
      <c r="S36" s="79">
        <f t="shared" si="10"/>
        <v>935000</v>
      </c>
      <c r="T36" s="86" t="str">
        <f t="shared" si="11"/>
        <v>935.000,0</v>
      </c>
    </row>
    <row r="37" spans="1:20" ht="44.1" customHeight="1" x14ac:dyDescent="0.25">
      <c r="A37" s="11">
        <v>34</v>
      </c>
      <c r="B37" s="9" t="s">
        <v>62</v>
      </c>
      <c r="C37" s="15">
        <v>1</v>
      </c>
      <c r="D37" s="17">
        <v>0.62</v>
      </c>
      <c r="E37" s="14">
        <v>2022</v>
      </c>
      <c r="F37" s="18" t="str">
        <f>_xlfn.CONCAT(O37,P37)</f>
        <v>38,0 p.p</v>
      </c>
      <c r="G37" s="59">
        <f t="shared" ref="G37:G57" si="29">D37/C37</f>
        <v>0.62</v>
      </c>
      <c r="H37" s="16" t="s">
        <v>63</v>
      </c>
      <c r="I37" s="14">
        <v>2013</v>
      </c>
      <c r="J37" s="19" t="str">
        <f t="shared" ref="J37:J59" si="30">_xlfn.CONCAT(T37,P37)</f>
        <v>57,8 p.p</v>
      </c>
      <c r="K37" s="19" t="str">
        <f>_xlfn.CONCAT(R37,P37)</f>
        <v>19,8 p.p</v>
      </c>
      <c r="L37" s="17">
        <f>(D37-H37)/H37</f>
        <v>0.46919431279620855</v>
      </c>
      <c r="M37" s="71">
        <f>18.5/57.8</f>
        <v>0.32006920415224915</v>
      </c>
      <c r="N37" s="79">
        <f t="shared" si="28"/>
        <v>38</v>
      </c>
      <c r="O37" s="79" t="str">
        <f t="shared" si="7"/>
        <v>38,0</v>
      </c>
      <c r="P37" s="79" t="s">
        <v>103</v>
      </c>
      <c r="Q37" s="82">
        <f t="shared" si="8"/>
        <v>19.8</v>
      </c>
      <c r="R37" s="83" t="str">
        <f t="shared" si="9"/>
        <v>19,8</v>
      </c>
      <c r="S37" s="79">
        <f t="shared" si="10"/>
        <v>57.800000000000004</v>
      </c>
      <c r="T37" s="86" t="str">
        <f t="shared" si="11"/>
        <v>57,8</v>
      </c>
    </row>
    <row r="38" spans="1:20" ht="44.1" customHeight="1" x14ac:dyDescent="0.25">
      <c r="A38" s="11">
        <v>35</v>
      </c>
      <c r="B38" s="9" t="s">
        <v>64</v>
      </c>
      <c r="C38" s="15">
        <v>1</v>
      </c>
      <c r="D38" s="17">
        <v>0.73799999999999999</v>
      </c>
      <c r="E38" s="14">
        <v>2022</v>
      </c>
      <c r="F38" s="18" t="str">
        <f t="shared" ref="F38:F42" si="31">_xlfn.CONCAT(O38,P38)</f>
        <v>26,2 p.p</v>
      </c>
      <c r="G38" s="59">
        <f t="shared" si="29"/>
        <v>0.73799999999999999</v>
      </c>
      <c r="H38" s="16" t="s">
        <v>65</v>
      </c>
      <c r="I38" s="14">
        <v>2013</v>
      </c>
      <c r="J38" s="19" t="str">
        <f t="shared" si="30"/>
        <v>46,0 p.p</v>
      </c>
      <c r="K38" s="19" t="str">
        <f t="shared" ref="K38:K59" si="32">_xlfn.CONCAT(R38,P38)</f>
        <v>19,8 p.p</v>
      </c>
      <c r="L38" s="17">
        <f t="shared" si="27"/>
        <v>0.36666666666666653</v>
      </c>
      <c r="M38" s="71">
        <f>17.2/46</f>
        <v>0.37391304347826088</v>
      </c>
      <c r="N38" s="79">
        <f t="shared" si="28"/>
        <v>26.200000000000003</v>
      </c>
      <c r="O38" s="79" t="str">
        <f t="shared" si="7"/>
        <v>26,2</v>
      </c>
      <c r="P38" s="79" t="s">
        <v>103</v>
      </c>
      <c r="Q38" s="82">
        <f t="shared" si="8"/>
        <v>19.799999999999997</v>
      </c>
      <c r="R38" s="83" t="str">
        <f t="shared" si="9"/>
        <v>19,8</v>
      </c>
      <c r="S38" s="79">
        <f t="shared" si="10"/>
        <v>46</v>
      </c>
      <c r="T38" s="86" t="str">
        <f t="shared" si="11"/>
        <v>46,0</v>
      </c>
    </row>
    <row r="39" spans="1:20" ht="44.1" customHeight="1" x14ac:dyDescent="0.25">
      <c r="A39" s="11">
        <v>36</v>
      </c>
      <c r="B39" s="9" t="s">
        <v>66</v>
      </c>
      <c r="C39" s="15">
        <v>1</v>
      </c>
      <c r="D39" s="17">
        <v>0.59899999999999998</v>
      </c>
      <c r="E39" s="14">
        <v>2022</v>
      </c>
      <c r="F39" s="18" t="str">
        <f t="shared" si="31"/>
        <v>40,1 p.p</v>
      </c>
      <c r="G39" s="59">
        <f t="shared" si="29"/>
        <v>0.59899999999999998</v>
      </c>
      <c r="H39" s="16" t="s">
        <v>67</v>
      </c>
      <c r="I39" s="14">
        <v>2013</v>
      </c>
      <c r="J39" s="19" t="str">
        <f t="shared" si="30"/>
        <v>52,0 p.p</v>
      </c>
      <c r="K39" s="19" t="str">
        <f t="shared" si="32"/>
        <v>11,9 p.p</v>
      </c>
      <c r="L39" s="17">
        <f t="shared" si="27"/>
        <v>0.24791666666666667</v>
      </c>
      <c r="M39" s="71">
        <f>10.5/52</f>
        <v>0.20192307692307693</v>
      </c>
      <c r="N39" s="79">
        <f t="shared" si="28"/>
        <v>40.1</v>
      </c>
      <c r="O39" s="79" t="str">
        <f t="shared" si="7"/>
        <v>40,1</v>
      </c>
      <c r="P39" s="79" t="s">
        <v>103</v>
      </c>
      <c r="Q39" s="82">
        <f t="shared" si="8"/>
        <v>11.899999999999999</v>
      </c>
      <c r="R39" s="83" t="str">
        <f t="shared" si="9"/>
        <v>11,9</v>
      </c>
      <c r="S39" s="79">
        <f t="shared" si="10"/>
        <v>52</v>
      </c>
      <c r="T39" s="86" t="str">
        <f t="shared" si="11"/>
        <v>52,0</v>
      </c>
    </row>
    <row r="40" spans="1:20" ht="44.1" customHeight="1" x14ac:dyDescent="0.25">
      <c r="A40" s="11">
        <v>37</v>
      </c>
      <c r="B40" s="9" t="s">
        <v>68</v>
      </c>
      <c r="C40" s="15">
        <v>1</v>
      </c>
      <c r="D40" s="17">
        <v>0.67600000000000005</v>
      </c>
      <c r="E40" s="14">
        <v>2022</v>
      </c>
      <c r="F40" s="18" t="str">
        <f t="shared" si="31"/>
        <v>32,4 p.p</v>
      </c>
      <c r="G40" s="59">
        <f t="shared" si="29"/>
        <v>0.67600000000000005</v>
      </c>
      <c r="H40" s="16" t="s">
        <v>69</v>
      </c>
      <c r="I40" s="14">
        <v>2013</v>
      </c>
      <c r="J40" s="19" t="str">
        <f t="shared" si="30"/>
        <v>42,2 p.p</v>
      </c>
      <c r="K40" s="19" t="str">
        <f t="shared" si="32"/>
        <v>9,8 p.p</v>
      </c>
      <c r="L40" s="17">
        <f t="shared" si="27"/>
        <v>0.16955017301038078</v>
      </c>
      <c r="M40" s="71">
        <f>8.8/42.2</f>
        <v>0.20853080568720381</v>
      </c>
      <c r="N40" s="79">
        <f t="shared" si="28"/>
        <v>32.4</v>
      </c>
      <c r="O40" s="79" t="str">
        <f t="shared" si="7"/>
        <v>32,4</v>
      </c>
      <c r="P40" s="79" t="s">
        <v>103</v>
      </c>
      <c r="Q40" s="82">
        <f t="shared" si="8"/>
        <v>9.8000000000000078</v>
      </c>
      <c r="R40" s="83" t="str">
        <f t="shared" si="9"/>
        <v>9,8</v>
      </c>
      <c r="S40" s="79">
        <f t="shared" si="10"/>
        <v>42.2</v>
      </c>
      <c r="T40" s="86" t="str">
        <f t="shared" si="11"/>
        <v>42,2</v>
      </c>
    </row>
    <row r="41" spans="1:20" ht="44.1" customHeight="1" x14ac:dyDescent="0.25">
      <c r="A41" s="11">
        <v>38</v>
      </c>
      <c r="B41" s="9" t="s">
        <v>70</v>
      </c>
      <c r="C41" s="15">
        <v>0.5</v>
      </c>
      <c r="D41" s="17">
        <v>0.47399999999999998</v>
      </c>
      <c r="E41" s="14">
        <v>2022</v>
      </c>
      <c r="F41" s="18" t="str">
        <f t="shared" si="31"/>
        <v>2,6 p.p</v>
      </c>
      <c r="G41" s="59">
        <f t="shared" si="29"/>
        <v>0.94799999999999995</v>
      </c>
      <c r="H41" s="16" t="s">
        <v>71</v>
      </c>
      <c r="I41" s="14">
        <v>2013</v>
      </c>
      <c r="J41" s="19" t="str">
        <f t="shared" si="30"/>
        <v>19,8 p.p</v>
      </c>
      <c r="K41" s="19" t="str">
        <f t="shared" si="32"/>
        <v>17,2 p.p</v>
      </c>
      <c r="L41" s="17">
        <f t="shared" si="27"/>
        <v>0.56953642384105962</v>
      </c>
      <c r="M41" s="71">
        <f>14.5/19.8</f>
        <v>0.73232323232323226</v>
      </c>
      <c r="N41" s="79">
        <f t="shared" si="28"/>
        <v>2.6000000000000023</v>
      </c>
      <c r="O41" s="79" t="str">
        <f t="shared" si="7"/>
        <v>2,6</v>
      </c>
      <c r="P41" s="79" t="s">
        <v>103</v>
      </c>
      <c r="Q41" s="82">
        <f t="shared" si="8"/>
        <v>17.2</v>
      </c>
      <c r="R41" s="83" t="str">
        <f t="shared" si="9"/>
        <v>17,2</v>
      </c>
      <c r="S41" s="79">
        <f t="shared" si="10"/>
        <v>19.799999999999997</v>
      </c>
      <c r="T41" s="86" t="str">
        <f t="shared" si="11"/>
        <v>19,8</v>
      </c>
    </row>
    <row r="42" spans="1:20" ht="44.1" customHeight="1" x14ac:dyDescent="0.25">
      <c r="A42" s="11">
        <v>39</v>
      </c>
      <c r="B42" s="9" t="s">
        <v>72</v>
      </c>
      <c r="C42" s="15">
        <v>1</v>
      </c>
      <c r="D42" s="17">
        <v>0.40899999999999997</v>
      </c>
      <c r="E42" s="14">
        <v>2022</v>
      </c>
      <c r="F42" s="18" t="str">
        <f t="shared" si="31"/>
        <v>59,1 p.p</v>
      </c>
      <c r="G42" s="59">
        <f t="shared" si="29"/>
        <v>0.40899999999999997</v>
      </c>
      <c r="H42" s="16" t="s">
        <v>73</v>
      </c>
      <c r="I42" s="14">
        <v>2013</v>
      </c>
      <c r="J42" s="19" t="str">
        <f t="shared" si="30"/>
        <v>69,4 p.p</v>
      </c>
      <c r="K42" s="19" t="str">
        <f t="shared" si="32"/>
        <v>10,3 p.p</v>
      </c>
      <c r="L42" s="17">
        <f t="shared" si="27"/>
        <v>0.33660130718954245</v>
      </c>
      <c r="M42" s="71">
        <f>9.4/69.4</f>
        <v>0.13544668587896252</v>
      </c>
      <c r="N42" s="79">
        <f t="shared" si="28"/>
        <v>59.099999999999994</v>
      </c>
      <c r="O42" s="79" t="str">
        <f t="shared" si="7"/>
        <v>59,1</v>
      </c>
      <c r="P42" s="79" t="s">
        <v>103</v>
      </c>
      <c r="Q42" s="82">
        <f t="shared" si="8"/>
        <v>10.299999999999997</v>
      </c>
      <c r="R42" s="83" t="str">
        <f t="shared" si="9"/>
        <v>10,3</v>
      </c>
      <c r="S42" s="79">
        <f t="shared" si="10"/>
        <v>69.399999999999991</v>
      </c>
      <c r="T42" s="86" t="str">
        <f t="shared" si="11"/>
        <v>69,4</v>
      </c>
    </row>
    <row r="43" spans="1:20" s="5" customFormat="1" ht="75" x14ac:dyDescent="0.25">
      <c r="A43" s="11">
        <v>40</v>
      </c>
      <c r="B43" s="9" t="s">
        <v>74</v>
      </c>
      <c r="C43" s="15">
        <v>1</v>
      </c>
      <c r="D43" s="26">
        <v>0.82599999999999996</v>
      </c>
      <c r="E43" s="14">
        <v>2022</v>
      </c>
      <c r="F43" s="18" t="str">
        <f>_xlfn.CONCAT(O43,P43)</f>
        <v>17,4 p.p</v>
      </c>
      <c r="G43" s="59">
        <f t="shared" si="29"/>
        <v>0.82599999999999996</v>
      </c>
      <c r="H43" s="16">
        <v>0.70499999999999996</v>
      </c>
      <c r="I43" s="14">
        <v>2013</v>
      </c>
      <c r="J43" s="19" t="str">
        <f t="shared" si="30"/>
        <v>29,5 p.p</v>
      </c>
      <c r="K43" s="19" t="str">
        <f>_xlfn.CONCAT(R43,P43)</f>
        <v>12,1 p.p</v>
      </c>
      <c r="L43" s="17">
        <f t="shared" si="27"/>
        <v>0.17163120567375886</v>
      </c>
      <c r="M43" s="71">
        <f>12/29.5</f>
        <v>0.40677966101694918</v>
      </c>
      <c r="N43" s="79">
        <f t="shared" si="28"/>
        <v>17.400000000000006</v>
      </c>
      <c r="O43" s="79" t="str">
        <f t="shared" si="7"/>
        <v>17,4</v>
      </c>
      <c r="P43" s="79" t="s">
        <v>103</v>
      </c>
      <c r="Q43" s="82">
        <f t="shared" si="8"/>
        <v>12.1</v>
      </c>
      <c r="R43" s="83" t="str">
        <f t="shared" si="9"/>
        <v>12,1</v>
      </c>
      <c r="S43" s="79">
        <f t="shared" si="10"/>
        <v>29.500000000000004</v>
      </c>
      <c r="T43" s="86" t="str">
        <f t="shared" si="11"/>
        <v>29,5</v>
      </c>
    </row>
    <row r="44" spans="1:20" ht="44.1" customHeight="1" x14ac:dyDescent="0.25">
      <c r="A44" s="11">
        <v>41</v>
      </c>
      <c r="B44" s="9" t="s">
        <v>75</v>
      </c>
      <c r="C44" s="15">
        <v>1</v>
      </c>
      <c r="D44" s="24">
        <v>1</v>
      </c>
      <c r="E44" s="14">
        <v>2021</v>
      </c>
      <c r="F44" s="79" t="s">
        <v>53</v>
      </c>
      <c r="G44" s="59">
        <f t="shared" si="29"/>
        <v>1</v>
      </c>
      <c r="H44" s="16">
        <v>1</v>
      </c>
      <c r="I44" s="14">
        <v>2014</v>
      </c>
      <c r="J44" s="19" t="str">
        <f t="shared" si="30"/>
        <v>0,0 p.p</v>
      </c>
      <c r="K44" s="19" t="str">
        <f t="shared" si="32"/>
        <v>0,0 p.p</v>
      </c>
      <c r="L44" s="17">
        <f t="shared" si="27"/>
        <v>0</v>
      </c>
      <c r="M44" s="71">
        <v>1</v>
      </c>
      <c r="N44" s="79"/>
      <c r="O44" s="79"/>
      <c r="P44" s="79" t="s">
        <v>103</v>
      </c>
      <c r="Q44" s="82">
        <f t="shared" si="8"/>
        <v>0</v>
      </c>
      <c r="R44" s="83" t="str">
        <f t="shared" si="9"/>
        <v>0,0</v>
      </c>
      <c r="S44" s="79">
        <f t="shared" si="10"/>
        <v>0</v>
      </c>
      <c r="T44" s="86" t="str">
        <f t="shared" si="11"/>
        <v>0,0</v>
      </c>
    </row>
    <row r="45" spans="1:20" ht="44.1" customHeight="1" x14ac:dyDescent="0.25">
      <c r="A45" s="11">
        <v>42</v>
      </c>
      <c r="B45" s="9" t="s">
        <v>76</v>
      </c>
      <c r="C45" s="15">
        <v>1</v>
      </c>
      <c r="D45" s="17">
        <v>0.85199999999999998</v>
      </c>
      <c r="E45" s="14">
        <v>2021</v>
      </c>
      <c r="F45" s="18" t="str">
        <f t="shared" ref="F45:F46" si="33">_xlfn.CONCAT(O45,P45)</f>
        <v>14,8 p.p</v>
      </c>
      <c r="G45" s="59">
        <f t="shared" si="29"/>
        <v>0.85199999999999998</v>
      </c>
      <c r="H45" s="17">
        <v>0.85199999999999998</v>
      </c>
      <c r="I45" s="14">
        <v>2018</v>
      </c>
      <c r="J45" s="19" t="str">
        <f t="shared" si="30"/>
        <v>14,8 p.p</v>
      </c>
      <c r="K45" s="19" t="s">
        <v>30</v>
      </c>
      <c r="L45" s="17" t="s">
        <v>30</v>
      </c>
      <c r="M45" s="71" t="s">
        <v>30</v>
      </c>
      <c r="N45" s="79">
        <f t="shared" ref="N45:N53" si="34">(C45-D45)*100</f>
        <v>14.800000000000002</v>
      </c>
      <c r="O45" s="79" t="str">
        <f t="shared" si="7"/>
        <v>14,8</v>
      </c>
      <c r="P45" s="79" t="s">
        <v>103</v>
      </c>
      <c r="Q45" s="82">
        <f t="shared" si="8"/>
        <v>0</v>
      </c>
      <c r="R45" s="83" t="str">
        <f t="shared" si="9"/>
        <v>0,0</v>
      </c>
      <c r="S45" s="79">
        <f t="shared" si="10"/>
        <v>14.800000000000002</v>
      </c>
      <c r="T45" s="86" t="str">
        <f t="shared" si="11"/>
        <v>14,8</v>
      </c>
    </row>
    <row r="46" spans="1:20" ht="44.1" customHeight="1" x14ac:dyDescent="0.25">
      <c r="A46" s="11">
        <v>43</v>
      </c>
      <c r="B46" s="9" t="s">
        <v>77</v>
      </c>
      <c r="C46" s="15">
        <v>1</v>
      </c>
      <c r="D46" s="17">
        <v>0.59299999999999997</v>
      </c>
      <c r="E46" s="14">
        <v>2021</v>
      </c>
      <c r="F46" s="18" t="str">
        <f t="shared" si="33"/>
        <v>40,7 p.p</v>
      </c>
      <c r="G46" s="59">
        <f t="shared" si="29"/>
        <v>0.59299999999999997</v>
      </c>
      <c r="H46" s="17">
        <v>0.70399999999999996</v>
      </c>
      <c r="I46" s="14">
        <v>2018</v>
      </c>
      <c r="J46" s="19" t="str">
        <f t="shared" si="30"/>
        <v>29,6 p.p</v>
      </c>
      <c r="K46" s="19" t="s">
        <v>30</v>
      </c>
      <c r="L46" s="17" t="s">
        <v>30</v>
      </c>
      <c r="M46" s="71" t="s">
        <v>30</v>
      </c>
      <c r="N46" s="79">
        <f t="shared" si="34"/>
        <v>40.700000000000003</v>
      </c>
      <c r="O46" s="79" t="str">
        <f t="shared" si="7"/>
        <v>40,7</v>
      </c>
      <c r="P46" s="79" t="s">
        <v>103</v>
      </c>
      <c r="Q46" s="82">
        <f t="shared" si="8"/>
        <v>-11.099999999999998</v>
      </c>
      <c r="R46" s="83" t="str">
        <f t="shared" si="9"/>
        <v>-11,1</v>
      </c>
      <c r="S46" s="79">
        <f t="shared" si="10"/>
        <v>29.600000000000005</v>
      </c>
      <c r="T46" s="86" t="str">
        <f t="shared" si="11"/>
        <v>29,6</v>
      </c>
    </row>
    <row r="47" spans="1:20" ht="44.1" customHeight="1" x14ac:dyDescent="0.25">
      <c r="A47" s="11">
        <v>44</v>
      </c>
      <c r="B47" s="9" t="s">
        <v>78</v>
      </c>
      <c r="C47" s="15">
        <v>1</v>
      </c>
      <c r="D47" s="17">
        <v>0.81499999999999995</v>
      </c>
      <c r="E47" s="14">
        <v>2021</v>
      </c>
      <c r="F47" s="18" t="str">
        <f>_xlfn.CONCAT(O47,P47)</f>
        <v>18,5 p.p</v>
      </c>
      <c r="G47" s="59">
        <f t="shared" si="29"/>
        <v>0.81499999999999995</v>
      </c>
      <c r="H47" s="17">
        <v>0.81499999999999995</v>
      </c>
      <c r="I47" s="14">
        <v>2018</v>
      </c>
      <c r="J47" s="19" t="str">
        <f t="shared" si="30"/>
        <v>18,5 p.p</v>
      </c>
      <c r="K47" s="19" t="s">
        <v>30</v>
      </c>
      <c r="L47" s="17" t="s">
        <v>30</v>
      </c>
      <c r="M47" s="71" t="s">
        <v>30</v>
      </c>
      <c r="N47" s="79">
        <f t="shared" si="34"/>
        <v>18.500000000000007</v>
      </c>
      <c r="O47" s="79" t="str">
        <f t="shared" si="7"/>
        <v>18,5</v>
      </c>
      <c r="P47" s="79" t="s">
        <v>103</v>
      </c>
      <c r="Q47" s="82">
        <f t="shared" si="8"/>
        <v>0</v>
      </c>
      <c r="R47" s="83" t="str">
        <f t="shared" si="9"/>
        <v>0,0</v>
      </c>
      <c r="S47" s="79">
        <f t="shared" si="10"/>
        <v>18.500000000000007</v>
      </c>
      <c r="T47" s="86" t="str">
        <f t="shared" si="11"/>
        <v>18,5</v>
      </c>
    </row>
    <row r="48" spans="1:20" ht="44.1" customHeight="1" x14ac:dyDescent="0.25">
      <c r="A48" s="11">
        <v>45</v>
      </c>
      <c r="B48" s="9" t="s">
        <v>79</v>
      </c>
      <c r="C48" s="15">
        <v>1</v>
      </c>
      <c r="D48" s="17">
        <v>0.96299999999999997</v>
      </c>
      <c r="E48" s="14">
        <v>2021</v>
      </c>
      <c r="F48" s="18" t="str">
        <f>_xlfn.CONCAT(O48,P48)</f>
        <v>3,7 p.p</v>
      </c>
      <c r="G48" s="59">
        <f t="shared" si="29"/>
        <v>0.96299999999999997</v>
      </c>
      <c r="H48" s="57">
        <v>0.89200000000000002</v>
      </c>
      <c r="I48" s="58">
        <v>2014</v>
      </c>
      <c r="J48" s="19" t="str">
        <f t="shared" si="30"/>
        <v>10,8 p.p</v>
      </c>
      <c r="K48" s="19" t="str">
        <f t="shared" si="32"/>
        <v>7,1 p.p</v>
      </c>
      <c r="L48" s="57">
        <f>(D48-H48)/H48</f>
        <v>7.959641255605375E-2</v>
      </c>
      <c r="M48" s="74">
        <f>6.5/10.8</f>
        <v>0.60185185185185186</v>
      </c>
      <c r="N48" s="79">
        <f t="shared" si="34"/>
        <v>3.7000000000000033</v>
      </c>
      <c r="O48" s="79" t="str">
        <f t="shared" si="7"/>
        <v>3,7</v>
      </c>
      <c r="P48" s="79" t="s">
        <v>103</v>
      </c>
      <c r="Q48" s="82">
        <f t="shared" si="8"/>
        <v>7.0999999999999952</v>
      </c>
      <c r="R48" s="83" t="str">
        <f t="shared" si="9"/>
        <v>7,1</v>
      </c>
      <c r="S48" s="79">
        <f t="shared" si="10"/>
        <v>10.799999999999999</v>
      </c>
      <c r="T48" s="86" t="str">
        <f t="shared" si="11"/>
        <v>10,8</v>
      </c>
    </row>
    <row r="49" spans="1:20" ht="44.1" customHeight="1" x14ac:dyDescent="0.25">
      <c r="A49" s="11">
        <v>46</v>
      </c>
      <c r="B49" s="9" t="s">
        <v>80</v>
      </c>
      <c r="C49" s="15">
        <v>1</v>
      </c>
      <c r="D49" s="17">
        <v>0.79800000000000004</v>
      </c>
      <c r="E49" s="14">
        <v>2021</v>
      </c>
      <c r="F49" s="18" t="str">
        <f t="shared" ref="F49" si="35">_xlfn.CONCAT(O49,P49)</f>
        <v>20,2 p.p</v>
      </c>
      <c r="G49" s="59">
        <f t="shared" si="29"/>
        <v>0.79800000000000004</v>
      </c>
      <c r="H49" s="17">
        <v>0.74199999999999999</v>
      </c>
      <c r="I49" s="14">
        <v>2018</v>
      </c>
      <c r="J49" s="19" t="str">
        <f t="shared" si="30"/>
        <v>25,8 p.p</v>
      </c>
      <c r="K49" s="19" t="s">
        <v>30</v>
      </c>
      <c r="L49" s="17" t="s">
        <v>30</v>
      </c>
      <c r="M49" s="71" t="s">
        <v>30</v>
      </c>
      <c r="N49" s="79">
        <f t="shared" si="34"/>
        <v>20.199999999999996</v>
      </c>
      <c r="O49" s="79" t="str">
        <f t="shared" si="7"/>
        <v>20,2</v>
      </c>
      <c r="P49" s="79" t="s">
        <v>103</v>
      </c>
      <c r="Q49" s="82">
        <f t="shared" si="8"/>
        <v>5.600000000000005</v>
      </c>
      <c r="R49" s="83" t="str">
        <f t="shared" si="9"/>
        <v>5,6</v>
      </c>
      <c r="S49" s="79">
        <f t="shared" si="10"/>
        <v>25.8</v>
      </c>
      <c r="T49" s="86" t="str">
        <f t="shared" si="11"/>
        <v>25,8</v>
      </c>
    </row>
    <row r="50" spans="1:20" ht="44.1" customHeight="1" x14ac:dyDescent="0.25">
      <c r="A50" s="11">
        <v>47</v>
      </c>
      <c r="B50" s="9" t="s">
        <v>81</v>
      </c>
      <c r="C50" s="15">
        <v>1</v>
      </c>
      <c r="D50" s="17">
        <v>0.60099999999999998</v>
      </c>
      <c r="E50" s="14">
        <v>2021</v>
      </c>
      <c r="F50" s="18" t="str">
        <f>_xlfn.CONCAT(O50,P50)</f>
        <v>39,9 p.p</v>
      </c>
      <c r="G50" s="59">
        <f t="shared" si="29"/>
        <v>0.60099999999999998</v>
      </c>
      <c r="H50" s="17">
        <v>0.74199999999999999</v>
      </c>
      <c r="I50" s="14">
        <v>2018</v>
      </c>
      <c r="J50" s="19" t="str">
        <f t="shared" si="30"/>
        <v>25,8 p.p</v>
      </c>
      <c r="K50" s="19" t="s">
        <v>30</v>
      </c>
      <c r="L50" s="17" t="s">
        <v>30</v>
      </c>
      <c r="M50" s="71" t="s">
        <v>30</v>
      </c>
      <c r="N50" s="79">
        <f t="shared" si="34"/>
        <v>39.900000000000006</v>
      </c>
      <c r="O50" s="79" t="str">
        <f t="shared" si="7"/>
        <v>39,9</v>
      </c>
      <c r="P50" s="79" t="s">
        <v>103</v>
      </c>
      <c r="Q50" s="82">
        <f t="shared" si="8"/>
        <v>-14.100000000000001</v>
      </c>
      <c r="R50" s="83" t="str">
        <f t="shared" si="9"/>
        <v>-14,1</v>
      </c>
      <c r="S50" s="79">
        <f t="shared" si="10"/>
        <v>25.8</v>
      </c>
      <c r="T50" s="86" t="str">
        <f t="shared" si="11"/>
        <v>25,8</v>
      </c>
    </row>
    <row r="51" spans="1:20" ht="44.1" customHeight="1" x14ac:dyDescent="0.25">
      <c r="A51" s="11">
        <v>48</v>
      </c>
      <c r="B51" s="9" t="s">
        <v>82</v>
      </c>
      <c r="C51" s="15">
        <v>1</v>
      </c>
      <c r="D51" s="17">
        <v>0.42099999999999999</v>
      </c>
      <c r="E51" s="14">
        <v>2021</v>
      </c>
      <c r="F51" s="18" t="str">
        <f>_xlfn.CONCAT(O51,P51)</f>
        <v>57,9 p.p</v>
      </c>
      <c r="G51" s="59">
        <f t="shared" si="29"/>
        <v>0.42099999999999999</v>
      </c>
      <c r="H51" s="17">
        <v>0.38800000000000001</v>
      </c>
      <c r="I51" s="14">
        <v>2018</v>
      </c>
      <c r="J51" s="19" t="str">
        <f t="shared" si="30"/>
        <v>61,2 p.p</v>
      </c>
      <c r="K51" s="19" t="s">
        <v>30</v>
      </c>
      <c r="L51" s="17" t="s">
        <v>30</v>
      </c>
      <c r="M51" s="71" t="s">
        <v>30</v>
      </c>
      <c r="N51" s="79">
        <f t="shared" si="34"/>
        <v>57.9</v>
      </c>
      <c r="O51" s="79" t="str">
        <f t="shared" si="7"/>
        <v>57,9</v>
      </c>
      <c r="P51" s="79" t="s">
        <v>103</v>
      </c>
      <c r="Q51" s="82">
        <f t="shared" si="8"/>
        <v>3.2999999999999972</v>
      </c>
      <c r="R51" s="83" t="str">
        <f t="shared" si="9"/>
        <v>3,3</v>
      </c>
      <c r="S51" s="79">
        <f t="shared" si="10"/>
        <v>61.199999999999996</v>
      </c>
      <c r="T51" s="86" t="str">
        <f t="shared" si="11"/>
        <v>61,2</v>
      </c>
    </row>
    <row r="52" spans="1:20" ht="44.1" customHeight="1" x14ac:dyDescent="0.25">
      <c r="A52" s="11">
        <v>49</v>
      </c>
      <c r="B52" s="9" t="s">
        <v>83</v>
      </c>
      <c r="C52" s="15">
        <v>1</v>
      </c>
      <c r="D52" s="17">
        <v>7.0999999999999994E-2</v>
      </c>
      <c r="E52" s="49">
        <v>2022</v>
      </c>
      <c r="F52" s="18" t="str">
        <f t="shared" ref="F52" si="36">_xlfn.CONCAT(O52,P52)</f>
        <v>92,9 p.p</v>
      </c>
      <c r="G52" s="59">
        <f t="shared" si="29"/>
        <v>7.0999999999999994E-2</v>
      </c>
      <c r="H52" s="16">
        <v>6.6000000000000003E-2</v>
      </c>
      <c r="I52" s="50">
        <v>2019</v>
      </c>
      <c r="J52" s="19" t="str">
        <f t="shared" si="30"/>
        <v>93,4 p.p</v>
      </c>
      <c r="K52" s="19" t="str">
        <f t="shared" si="32"/>
        <v>0,5 p.p</v>
      </c>
      <c r="L52" s="17" t="s">
        <v>30</v>
      </c>
      <c r="M52" s="71">
        <f>-0.6/93.4</f>
        <v>-6.423982869379014E-3</v>
      </c>
      <c r="N52" s="79">
        <f t="shared" si="34"/>
        <v>92.9</v>
      </c>
      <c r="O52" s="79" t="str">
        <f t="shared" si="7"/>
        <v>92,9</v>
      </c>
      <c r="P52" s="79" t="s">
        <v>103</v>
      </c>
      <c r="Q52" s="82">
        <f t="shared" si="8"/>
        <v>0.49999999999999906</v>
      </c>
      <c r="R52" s="83" t="str">
        <f t="shared" si="9"/>
        <v>0,5</v>
      </c>
      <c r="S52" s="79">
        <f t="shared" si="10"/>
        <v>93.399999999999991</v>
      </c>
      <c r="T52" s="86" t="str">
        <f t="shared" si="11"/>
        <v>93,4</v>
      </c>
    </row>
    <row r="53" spans="1:20" ht="44.1" customHeight="1" x14ac:dyDescent="0.25">
      <c r="A53" s="11">
        <v>50</v>
      </c>
      <c r="B53" s="9" t="s">
        <v>84</v>
      </c>
      <c r="C53" s="15">
        <v>1</v>
      </c>
      <c r="D53" s="17">
        <v>0.40300000000000002</v>
      </c>
      <c r="E53" s="49">
        <v>2022</v>
      </c>
      <c r="F53" s="18" t="str">
        <f>_xlfn.CONCAT(O53,P53)</f>
        <v>59,7 p.p</v>
      </c>
      <c r="G53" s="59">
        <f t="shared" si="29"/>
        <v>0.40300000000000002</v>
      </c>
      <c r="H53" s="16">
        <v>0.36399999999999999</v>
      </c>
      <c r="I53" s="50">
        <v>2019</v>
      </c>
      <c r="J53" s="19" t="str">
        <f t="shared" si="30"/>
        <v>63,6 p.p</v>
      </c>
      <c r="K53" s="19" t="str">
        <f t="shared" si="32"/>
        <v>3,9 p.p</v>
      </c>
      <c r="L53" s="17" t="s">
        <v>30</v>
      </c>
      <c r="M53" s="71">
        <f>1.1/62.1</f>
        <v>1.7713365539452498E-2</v>
      </c>
      <c r="N53" s="79">
        <f t="shared" si="34"/>
        <v>59.699999999999996</v>
      </c>
      <c r="O53" s="79" t="str">
        <f t="shared" si="7"/>
        <v>59,7</v>
      </c>
      <c r="P53" s="79" t="s">
        <v>103</v>
      </c>
      <c r="Q53" s="82">
        <f t="shared" si="8"/>
        <v>3.9000000000000035</v>
      </c>
      <c r="R53" s="83" t="str">
        <f t="shared" si="9"/>
        <v>3,9</v>
      </c>
      <c r="S53" s="79">
        <f t="shared" si="10"/>
        <v>63.6</v>
      </c>
      <c r="T53" s="86" t="str">
        <f t="shared" si="11"/>
        <v>63,6</v>
      </c>
    </row>
    <row r="54" spans="1:20" ht="45" x14ac:dyDescent="0.25">
      <c r="A54" s="11">
        <v>51</v>
      </c>
      <c r="B54" s="9" t="s">
        <v>85</v>
      </c>
      <c r="C54" s="15">
        <v>1</v>
      </c>
      <c r="D54" s="17">
        <v>0.99099999999999999</v>
      </c>
      <c r="E54" s="49">
        <v>2021</v>
      </c>
      <c r="F54" s="79" t="s">
        <v>53</v>
      </c>
      <c r="G54" s="59">
        <f t="shared" si="29"/>
        <v>0.99099999999999999</v>
      </c>
      <c r="H54" s="16">
        <v>1</v>
      </c>
      <c r="I54" s="50">
        <v>2018</v>
      </c>
      <c r="J54" s="19" t="str">
        <f t="shared" si="30"/>
        <v>0,0 p.p</v>
      </c>
      <c r="K54" s="19" t="s">
        <v>30</v>
      </c>
      <c r="L54" s="17" t="s">
        <v>30</v>
      </c>
      <c r="M54" s="71" t="s">
        <v>30</v>
      </c>
      <c r="N54" s="79"/>
      <c r="O54" s="79"/>
      <c r="P54" s="79" t="s">
        <v>103</v>
      </c>
      <c r="Q54" s="82">
        <f t="shared" si="8"/>
        <v>-0.9000000000000008</v>
      </c>
      <c r="R54" s="83" t="str">
        <f t="shared" si="9"/>
        <v>-0,9</v>
      </c>
      <c r="S54" s="79">
        <f t="shared" si="10"/>
        <v>0</v>
      </c>
      <c r="T54" s="86" t="str">
        <f t="shared" si="11"/>
        <v>0,0</v>
      </c>
    </row>
    <row r="55" spans="1:20" ht="45" x14ac:dyDescent="0.25">
      <c r="A55" s="11">
        <v>52</v>
      </c>
      <c r="B55" s="9" t="s">
        <v>86</v>
      </c>
      <c r="C55" s="15">
        <v>1</v>
      </c>
      <c r="D55" s="17">
        <v>0.79600000000000004</v>
      </c>
      <c r="E55" s="49">
        <v>2021</v>
      </c>
      <c r="F55" s="18" t="str">
        <f t="shared" ref="F55:F58" si="37">_xlfn.CONCAT(O55,P55)</f>
        <v>20,4 p.p</v>
      </c>
      <c r="G55" s="59">
        <f t="shared" si="29"/>
        <v>0.79600000000000004</v>
      </c>
      <c r="H55" s="16">
        <v>0.79</v>
      </c>
      <c r="I55" s="50">
        <v>2018</v>
      </c>
      <c r="J55" s="19" t="str">
        <f t="shared" si="30"/>
        <v>21,0 p.p</v>
      </c>
      <c r="K55" s="19" t="s">
        <v>30</v>
      </c>
      <c r="L55" s="17" t="s">
        <v>30</v>
      </c>
      <c r="M55" s="71" t="s">
        <v>30</v>
      </c>
      <c r="N55" s="79">
        <f t="shared" ref="N55:N60" si="38">(C55-D55)*100</f>
        <v>20.399999999999995</v>
      </c>
      <c r="O55" s="79" t="str">
        <f t="shared" si="7"/>
        <v>20,4</v>
      </c>
      <c r="P55" s="79" t="s">
        <v>103</v>
      </c>
      <c r="Q55" s="82">
        <f t="shared" si="8"/>
        <v>0.60000000000000053</v>
      </c>
      <c r="R55" s="83" t="str">
        <f t="shared" si="9"/>
        <v>0,6</v>
      </c>
      <c r="S55" s="79">
        <f t="shared" si="10"/>
        <v>20.999999999999996</v>
      </c>
      <c r="T55" s="86" t="str">
        <f t="shared" si="11"/>
        <v>21,0</v>
      </c>
    </row>
    <row r="56" spans="1:20" ht="45" x14ac:dyDescent="0.25">
      <c r="A56" s="11">
        <v>53</v>
      </c>
      <c r="B56" s="9" t="s">
        <v>87</v>
      </c>
      <c r="C56" s="15">
        <v>1</v>
      </c>
      <c r="D56" s="17">
        <v>0.84599999999999997</v>
      </c>
      <c r="E56" s="49">
        <v>2021</v>
      </c>
      <c r="F56" s="18" t="str">
        <f t="shared" si="37"/>
        <v>15,4 p.p</v>
      </c>
      <c r="G56" s="59">
        <f t="shared" si="29"/>
        <v>0.84599999999999997</v>
      </c>
      <c r="H56" s="16">
        <v>0.83899999999999997</v>
      </c>
      <c r="I56" s="50">
        <v>2018</v>
      </c>
      <c r="J56" s="19" t="str">
        <f t="shared" si="30"/>
        <v>16,1 p.p</v>
      </c>
      <c r="K56" s="19" t="s">
        <v>30</v>
      </c>
      <c r="L56" s="17" t="s">
        <v>30</v>
      </c>
      <c r="M56" s="71" t="s">
        <v>30</v>
      </c>
      <c r="N56" s="79">
        <f t="shared" si="38"/>
        <v>15.400000000000002</v>
      </c>
      <c r="O56" s="79" t="str">
        <f t="shared" si="7"/>
        <v>15,4</v>
      </c>
      <c r="P56" s="79" t="s">
        <v>103</v>
      </c>
      <c r="Q56" s="82">
        <f t="shared" si="8"/>
        <v>0.70000000000000062</v>
      </c>
      <c r="R56" s="83" t="str">
        <f t="shared" si="9"/>
        <v>0,7</v>
      </c>
      <c r="S56" s="79">
        <f t="shared" si="10"/>
        <v>16.100000000000001</v>
      </c>
      <c r="T56" s="86" t="str">
        <f t="shared" si="11"/>
        <v>16,1</v>
      </c>
    </row>
    <row r="57" spans="1:20" ht="45" x14ac:dyDescent="0.25">
      <c r="A57" s="11">
        <v>54</v>
      </c>
      <c r="B57" s="9" t="s">
        <v>88</v>
      </c>
      <c r="C57" s="15">
        <v>1</v>
      </c>
      <c r="D57" s="17">
        <v>0.65400000000000003</v>
      </c>
      <c r="E57" s="49">
        <v>2021</v>
      </c>
      <c r="F57" s="18" t="str">
        <f t="shared" si="37"/>
        <v>34,6 p.p</v>
      </c>
      <c r="G57" s="59">
        <f t="shared" si="29"/>
        <v>0.65400000000000003</v>
      </c>
      <c r="H57" s="16">
        <v>0.60399999999999998</v>
      </c>
      <c r="I57" s="50">
        <v>2018</v>
      </c>
      <c r="J57" s="19" t="str">
        <f t="shared" si="30"/>
        <v>39,6 p.p</v>
      </c>
      <c r="K57" s="19" t="s">
        <v>30</v>
      </c>
      <c r="L57" s="17" t="s">
        <v>30</v>
      </c>
      <c r="M57" s="71" t="s">
        <v>30</v>
      </c>
      <c r="N57" s="79">
        <f t="shared" si="38"/>
        <v>34.599999999999994</v>
      </c>
      <c r="O57" s="79" t="str">
        <f t="shared" si="7"/>
        <v>34,6</v>
      </c>
      <c r="P57" s="79" t="s">
        <v>103</v>
      </c>
      <c r="Q57" s="82">
        <f t="shared" si="8"/>
        <v>5.0000000000000044</v>
      </c>
      <c r="R57" s="83" t="str">
        <f t="shared" si="9"/>
        <v>5,0</v>
      </c>
      <c r="S57" s="79">
        <f t="shared" si="10"/>
        <v>39.6</v>
      </c>
      <c r="T57" s="86" t="str">
        <f t="shared" si="11"/>
        <v>39,6</v>
      </c>
    </row>
    <row r="58" spans="1:20" ht="44.1" customHeight="1" x14ac:dyDescent="0.25">
      <c r="A58" s="11">
        <v>55</v>
      </c>
      <c r="B58" s="9" t="s">
        <v>89</v>
      </c>
      <c r="C58" s="15">
        <v>0.1</v>
      </c>
      <c r="D58" s="17">
        <v>5.0999999999999997E-2</v>
      </c>
      <c r="E58" s="49">
        <v>2020</v>
      </c>
      <c r="F58" s="18" t="str">
        <f t="shared" si="37"/>
        <v>4,9 p.p</v>
      </c>
      <c r="G58" s="16">
        <f>D58/C58</f>
        <v>0.5099999999999999</v>
      </c>
      <c r="H58" s="16">
        <v>5.0999999999999997E-2</v>
      </c>
      <c r="I58" s="14">
        <v>2015</v>
      </c>
      <c r="J58" s="19" t="str">
        <f t="shared" si="30"/>
        <v>4,9 p.p</v>
      </c>
      <c r="K58" s="19" t="str">
        <f t="shared" si="32"/>
        <v>0,0 p.p</v>
      </c>
      <c r="L58" s="17">
        <f t="shared" ref="L58:L59" si="39">(D58-H58)/H58</f>
        <v>0</v>
      </c>
      <c r="M58" s="71">
        <f>(D58-H58)/(C58-H58)</f>
        <v>0</v>
      </c>
      <c r="N58" s="79">
        <f t="shared" si="38"/>
        <v>4.9000000000000012</v>
      </c>
      <c r="O58" s="79" t="str">
        <f t="shared" si="7"/>
        <v>4,9</v>
      </c>
      <c r="P58" s="79" t="s">
        <v>103</v>
      </c>
      <c r="Q58" s="82">
        <f t="shared" si="8"/>
        <v>0</v>
      </c>
      <c r="R58" s="83" t="str">
        <f t="shared" si="9"/>
        <v>0,0</v>
      </c>
      <c r="S58" s="79">
        <f t="shared" si="10"/>
        <v>4.8999999999999932</v>
      </c>
      <c r="T58" s="86" t="str">
        <f t="shared" si="11"/>
        <v>4,9</v>
      </c>
    </row>
    <row r="59" spans="1:20" ht="44.1" customHeight="1" x14ac:dyDescent="0.25">
      <c r="A59" s="11">
        <v>56</v>
      </c>
      <c r="B59" s="9" t="s">
        <v>90</v>
      </c>
      <c r="C59" s="15">
        <v>0.1</v>
      </c>
      <c r="D59" s="17">
        <v>5.3999999999999999E-2</v>
      </c>
      <c r="E59" s="49">
        <v>2020</v>
      </c>
      <c r="F59" s="18" t="str">
        <f>_xlfn.CONCAT(O59,P59)</f>
        <v>4,6 p.p</v>
      </c>
      <c r="G59" s="16">
        <f>D59/C59</f>
        <v>0.53999999999999992</v>
      </c>
      <c r="H59" s="16">
        <v>5.5E-2</v>
      </c>
      <c r="I59" s="14">
        <v>2015</v>
      </c>
      <c r="J59" s="19" t="str">
        <f t="shared" si="30"/>
        <v>4,5 p.p</v>
      </c>
      <c r="K59" s="19" t="str">
        <f t="shared" si="32"/>
        <v>-0,1 p.p</v>
      </c>
      <c r="L59" s="17">
        <f t="shared" si="39"/>
        <v>-1.8181818181818198E-2</v>
      </c>
      <c r="M59" s="71">
        <f>-0.1/4.5</f>
        <v>-2.2222222222222223E-2</v>
      </c>
      <c r="N59" s="79">
        <f t="shared" si="38"/>
        <v>4.6000000000000005</v>
      </c>
      <c r="O59" s="79" t="str">
        <f t="shared" si="7"/>
        <v>4,6</v>
      </c>
      <c r="P59" s="79" t="s">
        <v>103</v>
      </c>
      <c r="Q59" s="82">
        <f t="shared" si="8"/>
        <v>-0.10000000000000009</v>
      </c>
      <c r="R59" s="83" t="str">
        <f t="shared" si="9"/>
        <v>-0,1</v>
      </c>
      <c r="S59" s="79">
        <f t="shared" si="10"/>
        <v>4.4999999999999929</v>
      </c>
      <c r="T59" s="86" t="str">
        <f t="shared" si="11"/>
        <v>4,5</v>
      </c>
    </row>
    <row r="60" spans="1:20" x14ac:dyDescent="0.25">
      <c r="B60" s="12" t="s">
        <v>91</v>
      </c>
      <c r="C60" s="7"/>
      <c r="E60" s="6"/>
      <c r="F60" s="84"/>
      <c r="N60" s="80">
        <f t="shared" si="38"/>
        <v>0</v>
      </c>
      <c r="O60" s="80" t="str">
        <f t="shared" si="7"/>
        <v>0,0</v>
      </c>
      <c r="P60" s="80" t="s">
        <v>103</v>
      </c>
      <c r="Q60" s="54">
        <f t="shared" si="8"/>
        <v>0</v>
      </c>
      <c r="R60" t="str">
        <f t="shared" si="9"/>
        <v>0,0</v>
      </c>
      <c r="S60" s="80">
        <f t="shared" si="10"/>
        <v>0</v>
      </c>
      <c r="T60" s="87" t="str">
        <f t="shared" si="11"/>
        <v>0,0</v>
      </c>
    </row>
    <row r="61" spans="1:20" x14ac:dyDescent="0.25">
      <c r="B61" s="13"/>
      <c r="C61" s="7"/>
      <c r="E61" s="6"/>
      <c r="F61" s="84"/>
    </row>
    <row r="62" spans="1:20" x14ac:dyDescent="0.25">
      <c r="B62" s="88" t="s">
        <v>92</v>
      </c>
      <c r="C62" s="7"/>
      <c r="E62" s="6"/>
      <c r="F62" s="84"/>
    </row>
    <row r="63" spans="1:20" x14ac:dyDescent="0.25">
      <c r="B63" s="88" t="s">
        <v>93</v>
      </c>
    </row>
    <row r="64" spans="1:20" x14ac:dyDescent="0.25">
      <c r="B64" s="88" t="s">
        <v>94</v>
      </c>
    </row>
    <row r="65" spans="2:2" x14ac:dyDescent="0.25">
      <c r="B65" s="88" t="s">
        <v>95</v>
      </c>
    </row>
    <row r="66" spans="2:2" x14ac:dyDescent="0.25">
      <c r="B66" s="88" t="s">
        <v>96</v>
      </c>
    </row>
    <row r="67" spans="2:2" x14ac:dyDescent="0.25">
      <c r="B67" s="88" t="s">
        <v>97</v>
      </c>
    </row>
    <row r="68" spans="2:2" x14ac:dyDescent="0.25">
      <c r="B68" s="88" t="s">
        <v>98</v>
      </c>
    </row>
    <row r="69" spans="2:2" x14ac:dyDescent="0.25">
      <c r="B69" s="88" t="s">
        <v>99</v>
      </c>
    </row>
    <row r="70" spans="2:2" x14ac:dyDescent="0.25">
      <c r="B70" s="88" t="s">
        <v>100</v>
      </c>
    </row>
    <row r="71" spans="2:2" x14ac:dyDescent="0.25">
      <c r="B71" s="88" t="s">
        <v>101</v>
      </c>
    </row>
    <row r="72" spans="2:2" x14ac:dyDescent="0.25">
      <c r="B72" s="88" t="s">
        <v>102</v>
      </c>
    </row>
    <row r="74" spans="2:2" hidden="1" x14ac:dyDescent="0.25">
      <c r="B74" s="10"/>
    </row>
  </sheetData>
  <sheetProtection algorithmName="SHA-512" hashValue="ZJpZQryZkIAoYqUkFgwitsJJVrbsRY1vIuPU01L+4OfciNvDTS+bHg2u30jT1fSMLUGwov7MiWqZxxH9xkKd1Q==" saltValue="KAl9/68phRdOpkF21wPIpw==" spinCount="100000" sheet="1" objects="1" scenarios="1"/>
  <mergeCells count="8">
    <mergeCell ref="N3:P3"/>
    <mergeCell ref="Q3:R3"/>
    <mergeCell ref="S3:T3"/>
    <mergeCell ref="A1:M1"/>
    <mergeCell ref="B2:B3"/>
    <mergeCell ref="C2:G2"/>
    <mergeCell ref="H2:M2"/>
    <mergeCell ref="A2:A3"/>
  </mergeCells>
  <conditionalFormatting sqref="G5:G8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{F9B8CAF6-BA2B-4C50-A033-6E6EC5A0B84D}</x14:id>
        </ext>
      </extLst>
    </cfRule>
  </conditionalFormatting>
  <conditionalFormatting sqref="G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{B5BDB77A-1A23-4162-981B-1E5834D5EBEC}</x14:id>
        </ext>
      </extLst>
    </cfRule>
  </conditionalFormatting>
  <conditionalFormatting sqref="G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{C64107FD-4D58-4235-BF33-AD036F17EC83}</x14:id>
        </ext>
      </extLst>
    </cfRule>
  </conditionalFormatting>
  <conditionalFormatting sqref="G15:G24 G4:G12 G27:G28 G30:G59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{0B604F01-7332-4721-A4B1-593C91264136}</x14:id>
        </ext>
      </extLst>
    </cfRule>
  </conditionalFormatting>
  <conditionalFormatting sqref="G23:G24">
    <cfRule type="dataBar" priority="10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{38E69D58-153B-4663-AA92-D8190714F1B8}</x14:id>
        </ext>
      </extLst>
    </cfRule>
    <cfRule type="dataBar" priority="10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{3F9A502F-DB2F-47F7-AE57-DAB3A34D5980}</x14:id>
        </ext>
      </extLst>
    </cfRule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{267D3F26-C1BD-4239-AAEB-EF2F6C5814CF}</x14:id>
        </ext>
      </extLst>
    </cfRule>
  </conditionalFormatting>
  <conditionalFormatting sqref="G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{5B6D5D6E-4D81-4014-885D-DFADFC7632A6}</x14:id>
        </ext>
      </extLst>
    </cfRule>
  </conditionalFormatting>
  <conditionalFormatting sqref="G26:G28">
    <cfRule type="dataBar" priority="10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{A9E7CF09-7BE9-45E4-A5EA-BB86F48DDB85}</x14:id>
        </ext>
      </extLst>
    </cfRule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{382B2775-F357-4BAE-894D-347BFA3FA3AB}</x14:id>
        </ext>
      </extLst>
    </cfRule>
    <cfRule type="dataBar" priority="102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{2F9CF1E2-F28F-4690-909D-AF07E97B59FF}</x14:id>
        </ext>
      </extLst>
    </cfRule>
  </conditionalFormatting>
  <conditionalFormatting sqref="G50:G57">
    <cfRule type="dataBar" priority="11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{8955A6FD-F70F-4DD8-8812-3CE669A9F19D}</x14:id>
        </ext>
      </extLst>
    </cfRule>
    <cfRule type="dataBar" priority="110">
      <dataBar>
        <cfvo type="percent" val="0"/>
        <cfvo type="percentile" val="100"/>
        <color theme="4" tint="-0.249977111117893"/>
      </dataBar>
      <extLst>
        <ext xmlns:x14="http://schemas.microsoft.com/office/spreadsheetml/2009/9/main" uri="{B025F937-C7B1-47D3-B67F-A62EFF666E3E}">
          <x14:id>{0036E5D8-81BA-4D76-8AA6-8F9E399A9086}</x14:id>
        </ext>
      </extLst>
    </cfRule>
  </conditionalFormatting>
  <conditionalFormatting sqref="G63:G1048576 G3:G12 G15:G24 G27:G28 G30:G59">
    <cfRule type="dataBar" priority="10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{D057A795-F2EE-49F6-A754-BCDE414FC286}</x14:id>
        </ext>
      </extLst>
    </cfRule>
    <cfRule type="dataBar" priority="109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{6DAB1B15-342E-4B05-AC22-2B30066B6612}</x14:id>
        </ext>
      </extLst>
    </cfRule>
  </conditionalFormatting>
  <conditionalFormatting sqref="G63:G1048576 G3:G24 G26:G59">
    <cfRule type="dataBar" priority="99">
      <dataBar>
        <cfvo type="percentile" val="0"/>
        <cfvo type="percent" val="100"/>
        <color rgb="FF638EC6"/>
      </dataBar>
      <extLst>
        <ext xmlns:x14="http://schemas.microsoft.com/office/spreadsheetml/2009/9/main" uri="{B025F937-C7B1-47D3-B67F-A62EFF666E3E}">
          <x14:id>{EC663C74-F671-45A2-A047-D576C0A8234C}</x14:id>
        </ext>
      </extLst>
    </cfRule>
    <cfRule type="dataBar" priority="9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{5E2A71EC-5DCF-4B28-9919-81A0290922A3}</x14:id>
        </ext>
      </extLst>
    </cfRule>
    <cfRule type="dataBar" priority="9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{D123920B-8294-4707-8C4F-5F85C46C39D7}</x14:id>
        </ext>
      </extLst>
    </cfRule>
    <cfRule type="dataBar" priority="9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{B3D4311B-14EC-4C2F-A607-29461B1D382D}</x14:id>
        </ext>
      </extLst>
    </cfRule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{009DE630-3A8E-405A-8514-3653F71C03A3}</x14:id>
        </ext>
      </extLst>
    </cfRule>
  </conditionalFormatting>
  <conditionalFormatting sqref="M4:M10">
    <cfRule type="dataBar" priority="95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{A4E0AFE1-4D1D-4536-AFAB-1EC9509ECF49}</x14:id>
        </ext>
      </extLst>
    </cfRule>
  </conditionalFormatting>
  <conditionalFormatting sqref="M11">
    <cfRule type="dataBar" priority="94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{62765E21-C2C8-475D-A578-F1DB7CE4D013}</x14:id>
        </ext>
      </extLst>
    </cfRule>
  </conditionalFormatting>
  <conditionalFormatting sqref="M12">
    <cfRule type="dataBar" priority="70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{6C18905A-FA94-4D53-96B4-987DCB7E5E7B}</x14:id>
        </ext>
      </extLst>
    </cfRule>
  </conditionalFormatting>
  <conditionalFormatting sqref="M15">
    <cfRule type="dataBar" priority="69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{1000BE12-52E3-4552-8734-76283CA9BAAA}</x14:id>
        </ext>
      </extLst>
    </cfRule>
  </conditionalFormatting>
  <conditionalFormatting sqref="M16">
    <cfRule type="dataBar" priority="68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{51148F84-D97E-4B3F-A8DD-DBCD83B05160}</x14:id>
        </ext>
      </extLst>
    </cfRule>
  </conditionalFormatting>
  <conditionalFormatting sqref="M17">
    <cfRule type="dataBar" priority="67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{6BF5EE18-857E-44F4-BB32-5ED2B919A130}</x14:id>
        </ext>
      </extLst>
    </cfRule>
  </conditionalFormatting>
  <conditionalFormatting sqref="M18">
    <cfRule type="dataBar" priority="66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{D0AFFFA6-9144-4933-92D7-81FE6B5FF0E6}</x14:id>
        </ext>
      </extLst>
    </cfRule>
  </conditionalFormatting>
  <conditionalFormatting sqref="M19">
    <cfRule type="dataBar" priority="65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{AF799BC9-BAB6-46EB-B8A4-C9DCA84266BB}</x14:id>
        </ext>
      </extLst>
    </cfRule>
  </conditionalFormatting>
  <conditionalFormatting sqref="M20">
    <cfRule type="dataBar" priority="64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{A7CA4000-437F-4648-A7C4-B74F0B6A00CA}</x14:id>
        </ext>
      </extLst>
    </cfRule>
  </conditionalFormatting>
  <conditionalFormatting sqref="M21">
    <cfRule type="dataBar" priority="63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{2411DCAE-7C5E-4C70-BA54-157FF73700AC}</x14:id>
        </ext>
      </extLst>
    </cfRule>
  </conditionalFormatting>
  <conditionalFormatting sqref="M22">
    <cfRule type="dataBar" priority="62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{EBC03FFE-CEE9-4023-9B93-DC775B39EEEE}</x14:id>
        </ext>
      </extLst>
    </cfRule>
  </conditionalFormatting>
  <conditionalFormatting sqref="M23">
    <cfRule type="dataBar" priority="61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{3134F47B-1FA7-4583-BEAA-D2646BAF9507}</x14:id>
        </ext>
      </extLst>
    </cfRule>
  </conditionalFormatting>
  <conditionalFormatting sqref="M24">
    <cfRule type="dataBar" priority="4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{7D17F68D-D188-4E41-90F2-12C7637FF300}</x14:id>
        </ext>
      </extLst>
    </cfRule>
  </conditionalFormatting>
  <conditionalFormatting sqref="M25">
    <cfRule type="dataBar" priority="3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{7911C284-8D09-4F01-9796-79EAE3A3D83A}</x14:id>
        </ext>
      </extLst>
    </cfRule>
  </conditionalFormatting>
  <conditionalFormatting sqref="M26">
    <cfRule type="dataBar" priority="58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{BEEB4EB2-1E82-4343-B6A7-AC6BE2E218AD}</x14:id>
        </ext>
      </extLst>
    </cfRule>
  </conditionalFormatting>
  <conditionalFormatting sqref="M27">
    <cfRule type="dataBar" priority="57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{EF625590-5751-4ABF-80B1-84DFA5A8CEA6}</x14:id>
        </ext>
      </extLst>
    </cfRule>
  </conditionalFormatting>
  <conditionalFormatting sqref="M28">
    <cfRule type="dataBar" priority="2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{88608AB2-E0A0-4DCD-B040-A6636187D95E}</x14:id>
        </ext>
      </extLst>
    </cfRule>
  </conditionalFormatting>
  <conditionalFormatting sqref="M30:M34">
    <cfRule type="dataBar" priority="10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{5BE1D017-B77B-4EDA-8FC7-8C0D2DA4AD8D}</x14:id>
        </ext>
      </extLst>
    </cfRule>
  </conditionalFormatting>
  <conditionalFormatting sqref="M35">
    <cfRule type="dataBar" priority="20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{6C7F2DFA-2AE6-4079-9E2B-B21A7A5CEB35}</x14:id>
        </ext>
      </extLst>
    </cfRule>
  </conditionalFormatting>
  <conditionalFormatting sqref="M36">
    <cfRule type="dataBar" priority="19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{554AB3F5-D9E0-43D9-94B7-7ADE2A081718}</x14:id>
        </ext>
      </extLst>
    </cfRule>
  </conditionalFormatting>
  <conditionalFormatting sqref="M37">
    <cfRule type="dataBar" priority="48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{EFFD58DA-A9CE-499E-9C71-481299DB1247}</x14:id>
        </ext>
      </extLst>
    </cfRule>
  </conditionalFormatting>
  <conditionalFormatting sqref="M38">
    <cfRule type="dataBar" priority="47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{787102DD-345B-462A-A428-0E5FF4AE1614}</x14:id>
        </ext>
      </extLst>
    </cfRule>
  </conditionalFormatting>
  <conditionalFormatting sqref="M39">
    <cfRule type="dataBar" priority="46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{28D40A40-9144-41D7-AB90-0B27D9AB959B}</x14:id>
        </ext>
      </extLst>
    </cfRule>
  </conditionalFormatting>
  <conditionalFormatting sqref="M40">
    <cfRule type="dataBar" priority="45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{AB56E2F7-6315-42ED-A757-644B8A0E4878}</x14:id>
        </ext>
      </extLst>
    </cfRule>
  </conditionalFormatting>
  <conditionalFormatting sqref="M41">
    <cfRule type="dataBar" priority="44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{CE241F8C-3F47-478B-B0E4-B1FE3EC97BD1}</x14:id>
        </ext>
      </extLst>
    </cfRule>
  </conditionalFormatting>
  <conditionalFormatting sqref="M42">
    <cfRule type="dataBar" priority="42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{304781DF-5CBF-46F1-BE06-A1A3FBD9ECA5}</x14:id>
        </ext>
      </extLst>
    </cfRule>
  </conditionalFormatting>
  <conditionalFormatting sqref="M43">
    <cfRule type="dataBar" priority="41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{C6288E12-5FF9-423D-A7C9-58A62BBAB380}</x14:id>
        </ext>
      </extLst>
    </cfRule>
  </conditionalFormatting>
  <conditionalFormatting sqref="M44:M46 M49:M57">
    <cfRule type="dataBar" priority="79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{F0779A35-60DC-433F-BFDC-B9BBB15A54DF}</x14:id>
        </ext>
      </extLst>
    </cfRule>
  </conditionalFormatting>
  <conditionalFormatting sqref="M47">
    <cfRule type="dataBar" priority="17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{00EB0C0C-5067-416E-B23B-3D291FE3EBF8}</x14:id>
        </ext>
      </extLst>
    </cfRule>
  </conditionalFormatting>
  <conditionalFormatting sqref="M48">
    <cfRule type="dataBar" priority="72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{E560767B-5F84-4A99-B05B-D2D6532E0A5B}</x14:id>
        </ext>
      </extLst>
    </cfRule>
  </conditionalFormatting>
  <conditionalFormatting sqref="M58:M59">
    <cfRule type="dataBar" priority="7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{A2C0B3CA-2875-4CCD-9616-0AD8D03C3AAA}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B8CAF6-BA2B-4C50-A033-6E6EC5A0B8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G5:G8</xm:sqref>
        </x14:conditionalFormatting>
        <x14:conditionalFormatting xmlns:xm="http://schemas.microsoft.com/office/excel/2006/main">
          <x14:cfRule type="dataBar" id="{B5BDB77A-1A23-4162-981B-1E5834D5EBEC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G7</xm:sqref>
        </x14:conditionalFormatting>
        <x14:conditionalFormatting xmlns:xm="http://schemas.microsoft.com/office/excel/2006/main">
          <x14:cfRule type="dataBar" id="{C64107FD-4D58-4235-BF33-AD036F17EC83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G8</xm:sqref>
        </x14:conditionalFormatting>
        <x14:conditionalFormatting xmlns:xm="http://schemas.microsoft.com/office/excel/2006/main">
          <x14:cfRule type="dataBar" id="{0B604F01-7332-4721-A4B1-593C912641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G15:G24 G4:G12 G27:G28 G30:G59</xm:sqref>
        </x14:conditionalFormatting>
        <x14:conditionalFormatting xmlns:xm="http://schemas.microsoft.com/office/excel/2006/main">
          <x14:cfRule type="dataBar" id="{38E69D58-153B-4663-AA92-D8190714F1B8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F9A502F-DB2F-47F7-AE57-DAB3A34D5980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267D3F26-C1BD-4239-AAEB-EF2F6C5814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G23:G24</xm:sqref>
        </x14:conditionalFormatting>
        <x14:conditionalFormatting xmlns:xm="http://schemas.microsoft.com/office/excel/2006/main">
          <x14:cfRule type="dataBar" id="{5B6D5D6E-4D81-4014-885D-DFADFC763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A9E7CF09-7BE9-45E4-A5EA-BB86F48DDB85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82B2775-F357-4BAE-894D-347BFA3FA3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F9CF1E2-F28F-4690-909D-AF07E97B59FF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G26:G28</xm:sqref>
        </x14:conditionalFormatting>
        <x14:conditionalFormatting xmlns:xm="http://schemas.microsoft.com/office/excel/2006/main">
          <x14:cfRule type="dataBar" id="{8955A6FD-F70F-4DD8-8812-3CE669A9F19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036E5D8-81BA-4D76-8AA6-8F9E399A9086}">
            <x14:dataBar minLength="0" maxLength="100">
              <x14:cfvo type="percent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G50:G57</xm:sqref>
        </x14:conditionalFormatting>
        <x14:conditionalFormatting xmlns:xm="http://schemas.microsoft.com/office/excel/2006/main">
          <x14:cfRule type="dataBar" id="{D057A795-F2EE-49F6-A754-BCDE414FC28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DAB1B15-342E-4B05-AC22-2B30066B6612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G63:G1048576 G3:G12 G15:G24 G27:G28 G30:G59</xm:sqref>
        </x14:conditionalFormatting>
        <x14:conditionalFormatting xmlns:xm="http://schemas.microsoft.com/office/excel/2006/main">
          <x14:cfRule type="dataBar" id="{EC663C74-F671-45A2-A047-D576C0A8234C}">
            <x14:dataBar minLength="0" maxLength="100" gradient="0">
              <x14:cfvo type="percentile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E2A71EC-5DCF-4B28-9919-81A0290922A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123920B-8294-4707-8C4F-5F85C46C39D7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3D4311B-14EC-4C2F-A607-29461B1D38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09DE630-3A8E-405A-8514-3653F71C03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G63:G1048576 G3:G24 G26:G59</xm:sqref>
        </x14:conditionalFormatting>
        <x14:conditionalFormatting xmlns:xm="http://schemas.microsoft.com/office/excel/2006/main">
          <x14:cfRule type="dataBar" id="{A4E0AFE1-4D1D-4536-AFAB-1EC9509ECF4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M4:M10</xm:sqref>
        </x14:conditionalFormatting>
        <x14:conditionalFormatting xmlns:xm="http://schemas.microsoft.com/office/excel/2006/main">
          <x14:cfRule type="dataBar" id="{62765E21-C2C8-475D-A578-F1DB7CE4D01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</xm:sqref>
        </x14:conditionalFormatting>
        <x14:conditionalFormatting xmlns:xm="http://schemas.microsoft.com/office/excel/2006/main">
          <x14:cfRule type="dataBar" id="{6C18905A-FA94-4D53-96B4-987DCB7E5E7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</xm:sqref>
        </x14:conditionalFormatting>
        <x14:conditionalFormatting xmlns:xm="http://schemas.microsoft.com/office/excel/2006/main">
          <x14:cfRule type="dataBar" id="{1000BE12-52E3-4552-8734-76283CA9BAA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</xm:sqref>
        </x14:conditionalFormatting>
        <x14:conditionalFormatting xmlns:xm="http://schemas.microsoft.com/office/excel/2006/main">
          <x14:cfRule type="dataBar" id="{51148F84-D97E-4B3F-A8DD-DBCD83B0516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</xm:sqref>
        </x14:conditionalFormatting>
        <x14:conditionalFormatting xmlns:xm="http://schemas.microsoft.com/office/excel/2006/main">
          <x14:cfRule type="dataBar" id="{6BF5EE18-857E-44F4-BB32-5ED2B919A13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</xm:sqref>
        </x14:conditionalFormatting>
        <x14:conditionalFormatting xmlns:xm="http://schemas.microsoft.com/office/excel/2006/main">
          <x14:cfRule type="dataBar" id="{D0AFFFA6-9144-4933-92D7-81FE6B5FF0E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</xm:sqref>
        </x14:conditionalFormatting>
        <x14:conditionalFormatting xmlns:xm="http://schemas.microsoft.com/office/excel/2006/main">
          <x14:cfRule type="dataBar" id="{AF799BC9-BAB6-46EB-B8A4-C9DCA84266B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</xm:sqref>
        </x14:conditionalFormatting>
        <x14:conditionalFormatting xmlns:xm="http://schemas.microsoft.com/office/excel/2006/main">
          <x14:cfRule type="dataBar" id="{A7CA4000-437F-4648-A7C4-B74F0B6A00C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M20</xm:sqref>
        </x14:conditionalFormatting>
        <x14:conditionalFormatting xmlns:xm="http://schemas.microsoft.com/office/excel/2006/main">
          <x14:cfRule type="dataBar" id="{2411DCAE-7C5E-4C70-BA54-157FF73700A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M21</xm:sqref>
        </x14:conditionalFormatting>
        <x14:conditionalFormatting xmlns:xm="http://schemas.microsoft.com/office/excel/2006/main">
          <x14:cfRule type="dataBar" id="{EBC03FFE-CEE9-4023-9B93-DC775B39EEE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M22</xm:sqref>
        </x14:conditionalFormatting>
        <x14:conditionalFormatting xmlns:xm="http://schemas.microsoft.com/office/excel/2006/main">
          <x14:cfRule type="dataBar" id="{3134F47B-1FA7-4583-BEAA-D2646BAF9507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M23</xm:sqref>
        </x14:conditionalFormatting>
        <x14:conditionalFormatting xmlns:xm="http://schemas.microsoft.com/office/excel/2006/main">
          <x14:cfRule type="dataBar" id="{7D17F68D-D188-4E41-90F2-12C7637FF30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M24</xm:sqref>
        </x14:conditionalFormatting>
        <x14:conditionalFormatting xmlns:xm="http://schemas.microsoft.com/office/excel/2006/main">
          <x14:cfRule type="dataBar" id="{7911C284-8D09-4F01-9796-79EAE3A3D83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M25</xm:sqref>
        </x14:conditionalFormatting>
        <x14:conditionalFormatting xmlns:xm="http://schemas.microsoft.com/office/excel/2006/main">
          <x14:cfRule type="dataBar" id="{BEEB4EB2-1E82-4343-B6A7-AC6BE2E218A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M26</xm:sqref>
        </x14:conditionalFormatting>
        <x14:conditionalFormatting xmlns:xm="http://schemas.microsoft.com/office/excel/2006/main">
          <x14:cfRule type="dataBar" id="{EF625590-5751-4ABF-80B1-84DFA5A8CEA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M27</xm:sqref>
        </x14:conditionalFormatting>
        <x14:conditionalFormatting xmlns:xm="http://schemas.microsoft.com/office/excel/2006/main">
          <x14:cfRule type="dataBar" id="{88608AB2-E0A0-4DCD-B040-A6636187D95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M28</xm:sqref>
        </x14:conditionalFormatting>
        <x14:conditionalFormatting xmlns:xm="http://schemas.microsoft.com/office/excel/2006/main">
          <x14:cfRule type="dataBar" id="{5BE1D017-B77B-4EDA-8FC7-8C0D2DA4AD8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M30:M34</xm:sqref>
        </x14:conditionalFormatting>
        <x14:conditionalFormatting xmlns:xm="http://schemas.microsoft.com/office/excel/2006/main">
          <x14:cfRule type="dataBar" id="{6C7F2DFA-2AE6-4079-9E2B-B21A7A5CEB3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M35</xm:sqref>
        </x14:conditionalFormatting>
        <x14:conditionalFormatting xmlns:xm="http://schemas.microsoft.com/office/excel/2006/main">
          <x14:cfRule type="dataBar" id="{554AB3F5-D9E0-43D9-94B7-7ADE2A081718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M36</xm:sqref>
        </x14:conditionalFormatting>
        <x14:conditionalFormatting xmlns:xm="http://schemas.microsoft.com/office/excel/2006/main">
          <x14:cfRule type="dataBar" id="{EFFD58DA-A9CE-499E-9C71-481299DB1247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M37</xm:sqref>
        </x14:conditionalFormatting>
        <x14:conditionalFormatting xmlns:xm="http://schemas.microsoft.com/office/excel/2006/main">
          <x14:cfRule type="dataBar" id="{787102DD-345B-462A-A428-0E5FF4AE161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M38</xm:sqref>
        </x14:conditionalFormatting>
        <x14:conditionalFormatting xmlns:xm="http://schemas.microsoft.com/office/excel/2006/main">
          <x14:cfRule type="dataBar" id="{28D40A40-9144-41D7-AB90-0B27D9AB959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M39</xm:sqref>
        </x14:conditionalFormatting>
        <x14:conditionalFormatting xmlns:xm="http://schemas.microsoft.com/office/excel/2006/main">
          <x14:cfRule type="dataBar" id="{AB56E2F7-6315-42ED-A757-644B8A0E4878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M40</xm:sqref>
        </x14:conditionalFormatting>
        <x14:conditionalFormatting xmlns:xm="http://schemas.microsoft.com/office/excel/2006/main">
          <x14:cfRule type="dataBar" id="{CE241F8C-3F47-478B-B0E4-B1FE3EC97BD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M41</xm:sqref>
        </x14:conditionalFormatting>
        <x14:conditionalFormatting xmlns:xm="http://schemas.microsoft.com/office/excel/2006/main">
          <x14:cfRule type="dataBar" id="{304781DF-5CBF-46F1-BE06-A1A3FBD9ECA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M42</xm:sqref>
        </x14:conditionalFormatting>
        <x14:conditionalFormatting xmlns:xm="http://schemas.microsoft.com/office/excel/2006/main">
          <x14:cfRule type="dataBar" id="{C6288E12-5FF9-423D-A7C9-58A62BBAB38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M43</xm:sqref>
        </x14:conditionalFormatting>
        <x14:conditionalFormatting xmlns:xm="http://schemas.microsoft.com/office/excel/2006/main">
          <x14:cfRule type="dataBar" id="{F0779A35-60DC-433F-BFDC-B9BBB15A54D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M44:M46 M49:M57</xm:sqref>
        </x14:conditionalFormatting>
        <x14:conditionalFormatting xmlns:xm="http://schemas.microsoft.com/office/excel/2006/main">
          <x14:cfRule type="dataBar" id="{00EB0C0C-5067-416E-B23B-3D291FE3EBF8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M47</xm:sqref>
        </x14:conditionalFormatting>
        <x14:conditionalFormatting xmlns:xm="http://schemas.microsoft.com/office/excel/2006/main">
          <x14:cfRule type="dataBar" id="{E560767B-5F84-4A99-B05B-D2D6532E0A5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M48</xm:sqref>
        </x14:conditionalFormatting>
        <x14:conditionalFormatting xmlns:xm="http://schemas.microsoft.com/office/excel/2006/main">
          <x14:cfRule type="dataBar" id="{A2C0B3CA-2875-4CCD-9616-0AD8D03C3AA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M58:M59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97CBCC64540D545A88A3095B730A7A7" ma:contentTypeVersion="5" ma:contentTypeDescription="Crie um novo documento." ma:contentTypeScope="" ma:versionID="69ed9adf723c931ccf4e6f4f8dc80828">
  <xsd:schema xmlns:xsd="http://www.w3.org/2001/XMLSchema" xmlns:xs="http://www.w3.org/2001/XMLSchema" xmlns:p="http://schemas.microsoft.com/office/2006/metadata/properties" xmlns:ns2="fdd28fd7-b158-4252-8d45-2018e2d35835" xmlns:ns3="d7d672b5-1804-4909-9583-64b3b1b069ee" targetNamespace="http://schemas.microsoft.com/office/2006/metadata/properties" ma:root="true" ma:fieldsID="64a00cf91c24e92948cd593633e213b8" ns2:_="" ns3:_="">
    <xsd:import namespace="fdd28fd7-b158-4252-8d45-2018e2d35835"/>
    <xsd:import namespace="d7d672b5-1804-4909-9583-64b3b1b069e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28fd7-b158-4252-8d45-2018e2d358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d672b5-1804-4909-9583-64b3b1b069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31A706-3A23-4260-BD42-5D3F1E6161A4}"/>
</file>

<file path=customXml/itemProps2.xml><?xml version="1.0" encoding="utf-8"?>
<ds:datastoreItem xmlns:ds="http://schemas.openxmlformats.org/officeDocument/2006/customXml" ds:itemID="{408BE352-004F-4A23-8E72-AA711AEA0270}"/>
</file>

<file path=customXml/itemProps3.xml><?xml version="1.0" encoding="utf-8"?>
<ds:datastoreItem xmlns:ds="http://schemas.openxmlformats.org/officeDocument/2006/customXml" ds:itemID="{3CC5F36B-7299-496A-B1CE-5BD7CEFB20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Quadro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Samuel de Oliveira</dc:creator>
  <cp:keywords/>
  <dc:description/>
  <cp:lastModifiedBy>Adriano Souza Senkevics</cp:lastModifiedBy>
  <cp:revision/>
  <dcterms:created xsi:type="dcterms:W3CDTF">2020-05-28T15:40:51Z</dcterms:created>
  <dcterms:modified xsi:type="dcterms:W3CDTF">2023-08-07T12:17:30Z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0x010100397CBCC64540D545A88A3095B730A7A7</vt:lpwstr>
  </property>
</Properties>
</file>