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6\"/>
    </mc:Choice>
  </mc:AlternateContent>
  <xr:revisionPtr revIDLastSave="0" documentId="13_ncr:1_{CFAA2808-5A82-4AFC-91F6-24AB774DB1C7}" xr6:coauthVersionLast="47" xr6:coauthVersionMax="47" xr10:uidLastSave="{00000000-0000-0000-0000-000000000000}"/>
  <bookViews>
    <workbookView xWindow="1560" yWindow="1560" windowWidth="14055" windowHeight="14295" tabRatio="565" activeTab="14" xr2:uid="{00000000-000D-0000-FFFF-FFFF00000000}"/>
  </bookViews>
  <sheets>
    <sheet name="Januari 2026 PMG 1" sheetId="43" r:id="rId1"/>
    <sheet name="OIP Ref PMG 1" sheetId="44" state="hidden" r:id="rId2"/>
    <sheet name="Peformance test Fract 1" sheetId="40" state="hidden" r:id="rId3"/>
    <sheet name="Peformance Test REFINERY 1" sheetId="38" state="hidden" r:id="rId4"/>
    <sheet name="peformance  test REFINERY 2" sheetId="39" state="hidden" r:id="rId5"/>
    <sheet name="HPP REF " sheetId="17" state="hidden" r:id="rId6"/>
    <sheet name="HPP FRACT" sheetId="18" state="hidden" r:id="rId7"/>
    <sheet name="SUMMARY HPP " sheetId="19" state="hidden" r:id="rId8"/>
    <sheet name="Lembar1" sheetId="42" state="hidden" r:id="rId9"/>
    <sheet name="OIP Fract PMG 1" sheetId="45" state="hidden" r:id="rId10"/>
    <sheet name="Convert Gas" sheetId="3" state="hidden" r:id="rId11"/>
    <sheet name="Januari 2026 PMG 2" sheetId="6" r:id="rId12"/>
    <sheet name="OIP Ref PMG 2" sheetId="36" state="hidden" r:id="rId13"/>
    <sheet name="OIP Fract PMG 2" sheetId="37" state="hidden" r:id="rId14"/>
    <sheet name="2026" sheetId="41" r:id="rId15"/>
    <sheet name="Downtime Ref Oktober" sheetId="34" state="hidden" r:id="rId16"/>
    <sheet name="Downtime Fract Oktober" sheetId="35" state="hidden" r:id="rId17"/>
    <sheet name="Prod" sheetId="31" state="hidden" r:id="rId18"/>
    <sheet name="Utility" sheetId="32" state="hidden" r:id="rId19"/>
    <sheet name="Qty cons analysis" sheetId="33" state="hidden" r:id="rId20"/>
    <sheet name="Steam" sheetId="26" state="hidden" r:id="rId21"/>
    <sheet name="WWTP" sheetId="27" state="hidden" r:id="rId22"/>
    <sheet name="WTP" sheetId="28" state="hidden" r:id="rId23"/>
    <sheet name="lab" sheetId="29" state="hidden" r:id="rId24"/>
    <sheet name="genset" sheetId="30" state="hidden" r:id="rId25"/>
    <sheet name="AMOR" sheetId="24" state="hidden" r:id="rId26"/>
    <sheet name="DEP" sheetId="23" state="hidden" r:id="rId27"/>
    <sheet name="MTC" sheetId="20" state="hidden" r:id="rId28"/>
    <sheet name="LOG" sheetId="21" state="hidden" r:id="rId29"/>
    <sheet name="OH" sheetId="22" state="hidden" r:id="rId30"/>
    <sheet name="Time Sheet Bulanan" sheetId="25" state="hidden" r:id="rId31"/>
    <sheet name="Flow Meter" sheetId="8" state="hidden" r:id="rId32"/>
  </sheets>
  <externalReferences>
    <externalReference r:id="rId33"/>
    <externalReference r:id="rId34"/>
    <externalReference r:id="rId35"/>
    <externalReference r:id="rId36"/>
  </externalReferences>
  <definedNames>
    <definedName name="_xlnm._FilterDatabase" localSheetId="0" hidden="1">'Januari 2026 PMG 1'!$A$4:$VUA$4</definedName>
    <definedName name="_xlnm._FilterDatabase" localSheetId="11" hidden="1">'Januari 2026 PMG 2'!$A$4:$VUA$4</definedName>
    <definedName name="_xlnm.Print_Area" localSheetId="14">'2026'!$B$161:$U$266</definedName>
    <definedName name="_xlnm.Print_Area" localSheetId="3">'Peformance Test REFINERY 1'!#REF!</definedName>
    <definedName name="_xlnm.Print_Area" localSheetId="17">Prod!$B$2:$H$85</definedName>
    <definedName name="_xlnm.Print_Area" localSheetId="19">'Qty cons analysis'!$D$2:$I$53</definedName>
    <definedName name="_xlnm.Print_Area" localSheetId="18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3" i="41" l="1"/>
  <c r="F82" i="41"/>
  <c r="F43" i="41"/>
  <c r="AK75" i="6" l="1"/>
  <c r="AY62" i="6" l="1"/>
  <c r="AY61" i="6"/>
  <c r="AX76" i="6" l="1"/>
  <c r="AK257" i="6"/>
  <c r="AK14" i="6"/>
  <c r="AK13" i="6"/>
  <c r="AK255" i="6"/>
  <c r="AK253" i="6"/>
  <c r="AK248" i="6"/>
  <c r="J36" i="36"/>
  <c r="U37" i="37"/>
  <c r="S37" i="37"/>
  <c r="M37" i="37"/>
  <c r="M36" i="37"/>
  <c r="J35" i="37"/>
  <c r="J36" i="37"/>
  <c r="J37" i="37"/>
  <c r="AJ253" i="6"/>
  <c r="AJ14" i="6"/>
  <c r="AJ13" i="6"/>
  <c r="AJ255" i="6"/>
  <c r="AJ257" i="6"/>
  <c r="AJ248" i="6"/>
  <c r="AJ86" i="6"/>
  <c r="AJ75" i="6"/>
  <c r="U36" i="37"/>
  <c r="S36" i="37"/>
  <c r="J35" i="36"/>
  <c r="J34" i="36"/>
  <c r="O88" i="43"/>
  <c r="N89" i="43"/>
  <c r="AM9" i="43"/>
  <c r="AM21" i="43"/>
  <c r="AM19" i="43"/>
  <c r="AI253" i="6"/>
  <c r="AM88" i="43" l="1"/>
  <c r="AI86" i="6"/>
  <c r="U35" i="37"/>
  <c r="S35" i="37"/>
  <c r="M35" i="37"/>
  <c r="AI257" i="6"/>
  <c r="AI75" i="6"/>
  <c r="AI248" i="6"/>
  <c r="AI255" i="6"/>
  <c r="AI14" i="6"/>
  <c r="AI13" i="6"/>
  <c r="AH255" i="6" l="1"/>
  <c r="AH257" i="6"/>
  <c r="AH253" i="6"/>
  <c r="M34" i="45"/>
  <c r="J34" i="45"/>
  <c r="J33" i="36"/>
  <c r="AH248" i="6"/>
  <c r="U34" i="37"/>
  <c r="S34" i="37"/>
  <c r="M34" i="37"/>
  <c r="J34" i="37"/>
  <c r="U33" i="37"/>
  <c r="S33" i="37"/>
  <c r="AG257" i="6"/>
  <c r="AG255" i="6"/>
  <c r="AG14" i="6"/>
  <c r="AG13" i="6"/>
  <c r="AG253" i="6"/>
  <c r="AF248" i="6"/>
  <c r="AG248" i="6"/>
  <c r="J32" i="36"/>
  <c r="M33" i="37"/>
  <c r="J33" i="37"/>
  <c r="N33" i="45" l="1"/>
  <c r="M33" i="45"/>
  <c r="J33" i="45"/>
  <c r="AG257" i="43"/>
  <c r="T29" i="37"/>
  <c r="V29" i="37"/>
  <c r="AE253" i="6"/>
  <c r="AD253" i="6"/>
  <c r="AC253" i="6"/>
  <c r="AF253" i="6" l="1"/>
  <c r="AC257" i="43"/>
  <c r="AF257" i="43"/>
  <c r="AB257" i="43"/>
  <c r="AF257" i="6"/>
  <c r="U32" i="37"/>
  <c r="S32" i="37"/>
  <c r="M32" i="37"/>
  <c r="J32" i="37"/>
  <c r="J31" i="36"/>
  <c r="AF255" i="6"/>
  <c r="AC257" i="6"/>
  <c r="AD257" i="6"/>
  <c r="U31" i="37"/>
  <c r="U30" i="37"/>
  <c r="U29" i="37"/>
  <c r="S31" i="37"/>
  <c r="S30" i="37"/>
  <c r="S29" i="37"/>
  <c r="S28" i="37"/>
  <c r="AE257" i="6"/>
  <c r="M31" i="37"/>
  <c r="M30" i="37"/>
  <c r="M29" i="37"/>
  <c r="M28" i="37"/>
  <c r="M27" i="37"/>
  <c r="M26" i="37"/>
  <c r="M25" i="37"/>
  <c r="M24" i="37"/>
  <c r="M23" i="37"/>
  <c r="M22" i="37"/>
  <c r="J31" i="37"/>
  <c r="J30" i="37"/>
  <c r="J29" i="37"/>
  <c r="J28" i="37"/>
  <c r="J27" i="37"/>
  <c r="J26" i="37"/>
  <c r="J25" i="37"/>
  <c r="J24" i="37"/>
  <c r="AD255" i="6"/>
  <c r="AE248" i="6"/>
  <c r="AD248" i="6"/>
  <c r="AC248" i="6"/>
  <c r="AD14" i="6"/>
  <c r="AD13" i="6"/>
  <c r="AC255" i="6"/>
  <c r="J30" i="36"/>
  <c r="J29" i="36"/>
  <c r="J28" i="36"/>
  <c r="J27" i="36"/>
  <c r="J26" i="36"/>
  <c r="J25" i="36"/>
  <c r="AE255" i="6"/>
  <c r="AE259" i="6" s="1"/>
  <c r="AE14" i="6"/>
  <c r="AE13" i="6"/>
  <c r="O9" i="43"/>
  <c r="U28" i="37"/>
  <c r="AE261" i="6" l="1"/>
  <c r="AE256" i="6"/>
  <c r="AB253" i="6"/>
  <c r="Z257" i="43"/>
  <c r="AB257" i="6"/>
  <c r="AB248" i="6"/>
  <c r="AB255" i="6"/>
  <c r="AA88" i="6" l="1"/>
  <c r="AA253" i="6"/>
  <c r="AA257" i="6"/>
  <c r="AA255" i="6"/>
  <c r="AA14" i="6"/>
  <c r="AA13" i="6"/>
  <c r="AA248" i="6"/>
  <c r="G8" i="37"/>
  <c r="U27" i="37"/>
  <c r="U26" i="37"/>
  <c r="S27" i="37"/>
  <c r="S26" i="37"/>
  <c r="Z253" i="6"/>
  <c r="Z248" i="6"/>
  <c r="Z257" i="6"/>
  <c r="Z255" i="6"/>
  <c r="Z34" i="6" l="1"/>
  <c r="U25" i="37"/>
  <c r="S25" i="37"/>
  <c r="Y257" i="6"/>
  <c r="Y76" i="6"/>
  <c r="Y255" i="6"/>
  <c r="Y253" i="6"/>
  <c r="V76" i="6"/>
  <c r="X76" i="6"/>
  <c r="W76" i="6"/>
  <c r="H76" i="6"/>
  <c r="Y14" i="6" l="1"/>
  <c r="Y13" i="6"/>
  <c r="Y248" i="6"/>
  <c r="J24" i="36"/>
  <c r="G24" i="36"/>
  <c r="J24" i="45" l="1"/>
  <c r="J23" i="45"/>
  <c r="J22" i="45"/>
  <c r="J21" i="45"/>
  <c r="J20" i="45"/>
  <c r="J19" i="45"/>
  <c r="J18" i="45"/>
  <c r="X248" i="6"/>
  <c r="W248" i="6"/>
  <c r="V248" i="6"/>
  <c r="X253" i="6"/>
  <c r="W253" i="6"/>
  <c r="V253" i="6"/>
  <c r="U253" i="43"/>
  <c r="V255" i="43"/>
  <c r="U255" i="43" l="1"/>
  <c r="W248" i="43"/>
  <c r="V248" i="43"/>
  <c r="U248" i="43"/>
  <c r="J21" i="44" l="1"/>
  <c r="J20" i="44"/>
  <c r="W87" i="43"/>
  <c r="W85" i="43"/>
  <c r="W76" i="43"/>
  <c r="X257" i="6"/>
  <c r="X255" i="6"/>
  <c r="J23" i="36"/>
  <c r="J22" i="36"/>
  <c r="J21" i="36"/>
  <c r="J20" i="36"/>
  <c r="J19" i="36"/>
  <c r="J18" i="36"/>
  <c r="W255" i="6"/>
  <c r="V255" i="6"/>
  <c r="U24" i="37"/>
  <c r="U23" i="37"/>
  <c r="U22" i="37"/>
  <c r="U21" i="37"/>
  <c r="S24" i="37"/>
  <c r="S23" i="37"/>
  <c r="S22" i="37"/>
  <c r="S21" i="37"/>
  <c r="J15" i="37"/>
  <c r="J16" i="37"/>
  <c r="J17" i="37"/>
  <c r="J18" i="37"/>
  <c r="J19" i="37"/>
  <c r="J20" i="37"/>
  <c r="J21" i="37"/>
  <c r="J22" i="37"/>
  <c r="J23" i="37"/>
  <c r="W257" i="6"/>
  <c r="U257" i="6"/>
  <c r="M21" i="37"/>
  <c r="V257" i="6"/>
  <c r="U20" i="37"/>
  <c r="S20" i="37"/>
  <c r="T261" i="6"/>
  <c r="S261" i="6"/>
  <c r="R261" i="6"/>
  <c r="Q261" i="6"/>
  <c r="P261" i="6"/>
  <c r="O261" i="6"/>
  <c r="N261" i="6"/>
  <c r="M261" i="6"/>
  <c r="L261" i="6"/>
  <c r="T261" i="43"/>
  <c r="R261" i="43"/>
  <c r="T259" i="6"/>
  <c r="Z12" i="41"/>
  <c r="T253" i="43" l="1"/>
  <c r="T257" i="6"/>
  <c r="M20" i="37"/>
  <c r="J19" i="44"/>
  <c r="T248" i="43"/>
  <c r="T255" i="43"/>
  <c r="T14" i="43"/>
  <c r="T13" i="43"/>
  <c r="AM7" i="43"/>
  <c r="AM7" i="6"/>
  <c r="AU7" i="6" l="1"/>
  <c r="F11" i="41"/>
  <c r="S253" i="43"/>
  <c r="S257" i="6"/>
  <c r="U19" i="37"/>
  <c r="S19" i="37"/>
  <c r="M19" i="37"/>
  <c r="S248" i="43"/>
  <c r="S255" i="43"/>
  <c r="J18" i="44"/>
  <c r="S14" i="43"/>
  <c r="S13" i="43"/>
  <c r="R253" i="43" l="1"/>
  <c r="Q253" i="43"/>
  <c r="P253" i="43"/>
  <c r="O253" i="43"/>
  <c r="R248" i="43"/>
  <c r="J17" i="36" l="1"/>
  <c r="U18" i="37"/>
  <c r="S18" i="37"/>
  <c r="R257" i="6"/>
  <c r="J17" i="44"/>
  <c r="R255" i="43"/>
  <c r="M18" i="37" l="1"/>
  <c r="R14" i="43"/>
  <c r="R13" i="43"/>
  <c r="M248" i="43"/>
  <c r="Q88" i="6"/>
  <c r="P88" i="6"/>
  <c r="O88" i="6"/>
  <c r="N88" i="6"/>
  <c r="M88" i="6"/>
  <c r="L88" i="6"/>
  <c r="K88" i="6"/>
  <c r="J88" i="6"/>
  <c r="Q88" i="43"/>
  <c r="P88" i="43"/>
  <c r="Q257" i="43"/>
  <c r="Q248" i="43"/>
  <c r="H246" i="6"/>
  <c r="J17" i="45"/>
  <c r="J16" i="36"/>
  <c r="J15" i="36"/>
  <c r="J14" i="36"/>
  <c r="J13" i="36"/>
  <c r="J12" i="36"/>
  <c r="J11" i="36"/>
  <c r="U17" i="37"/>
  <c r="S17" i="37"/>
  <c r="P257" i="6"/>
  <c r="Q257" i="6"/>
  <c r="J16" i="44"/>
  <c r="Q246" i="43"/>
  <c r="Q255" i="43"/>
  <c r="Q14" i="43"/>
  <c r="Q13" i="43"/>
  <c r="O255" i="43"/>
  <c r="O248" i="43"/>
  <c r="O246" i="43"/>
  <c r="J15" i="44"/>
  <c r="P246" i="43"/>
  <c r="P248" i="43" s="1"/>
  <c r="P255" i="43"/>
  <c r="L248" i="43"/>
  <c r="N246" i="43"/>
  <c r="M246" i="43"/>
  <c r="L246" i="43"/>
  <c r="N248" i="43"/>
  <c r="P257" i="43" l="1"/>
  <c r="M17" i="37"/>
  <c r="U16" i="37"/>
  <c r="S16" i="37"/>
  <c r="M16" i="37"/>
  <c r="J14" i="44"/>
  <c r="U15" i="37"/>
  <c r="S15" i="37"/>
  <c r="M15" i="37"/>
  <c r="N253" i="43"/>
  <c r="N257" i="6"/>
  <c r="J12" i="44"/>
  <c r="J13" i="44"/>
  <c r="N255" i="43"/>
  <c r="N14" i="43"/>
  <c r="M14" i="43"/>
  <c r="M13" i="43"/>
  <c r="N13" i="43"/>
  <c r="M18" i="43"/>
  <c r="M60" i="43" s="1"/>
  <c r="M88" i="43"/>
  <c r="L88" i="43"/>
  <c r="M253" i="43" l="1"/>
  <c r="M257" i="6"/>
  <c r="U14" i="37" l="1"/>
  <c r="U13" i="37"/>
  <c r="U12" i="37"/>
  <c r="S14" i="37"/>
  <c r="S13" i="37"/>
  <c r="M13" i="37"/>
  <c r="M12" i="37"/>
  <c r="J13" i="37"/>
  <c r="J12" i="37"/>
  <c r="S12" i="37"/>
  <c r="M255" i="43"/>
  <c r="M256" i="43" s="1"/>
  <c r="M258" i="43"/>
  <c r="G255" i="6"/>
  <c r="AM255" i="43"/>
  <c r="AM257" i="6"/>
  <c r="AM255" i="6"/>
  <c r="AM253" i="6"/>
  <c r="K257" i="6"/>
  <c r="J257" i="6"/>
  <c r="I257" i="6"/>
  <c r="H257" i="6"/>
  <c r="F237" i="41"/>
  <c r="F252" i="41" l="1"/>
  <c r="M259" i="43"/>
  <c r="M261" i="43" s="1"/>
  <c r="J253" i="6"/>
  <c r="K253" i="6"/>
  <c r="I253" i="6"/>
  <c r="H253" i="6"/>
  <c r="G253" i="6"/>
  <c r="L253" i="43"/>
  <c r="G259" i="6"/>
  <c r="L255" i="43"/>
  <c r="G257" i="6"/>
  <c r="K255" i="6"/>
  <c r="J255" i="6"/>
  <c r="I255" i="6"/>
  <c r="H255" i="6"/>
  <c r="G42" i="45" l="1"/>
  <c r="G41" i="45"/>
  <c r="G43" i="45" s="1"/>
  <c r="D30" i="45"/>
  <c r="E30" i="45" s="1"/>
  <c r="G30" i="45" s="1"/>
  <c r="D29" i="45"/>
  <c r="E29" i="45" s="1"/>
  <c r="G29" i="45" s="1"/>
  <c r="D28" i="45"/>
  <c r="E28" i="45" s="1"/>
  <c r="G28" i="45" s="1"/>
  <c r="D27" i="45"/>
  <c r="E27" i="45" s="1"/>
  <c r="G27" i="45" s="1"/>
  <c r="E21" i="45"/>
  <c r="G21" i="45" s="1"/>
  <c r="E20" i="45"/>
  <c r="G20" i="45" s="1"/>
  <c r="E19" i="45"/>
  <c r="G19" i="45" s="1"/>
  <c r="G18" i="45"/>
  <c r="E18" i="45"/>
  <c r="G17" i="45"/>
  <c r="E17" i="45"/>
  <c r="E16" i="45"/>
  <c r="G16" i="45" s="1"/>
  <c r="E15" i="45"/>
  <c r="G15" i="45" s="1"/>
  <c r="G14" i="45"/>
  <c r="E14" i="45"/>
  <c r="G13" i="45"/>
  <c r="E13" i="45"/>
  <c r="E12" i="45"/>
  <c r="G12" i="45" s="1"/>
  <c r="G11" i="45"/>
  <c r="E11" i="45"/>
  <c r="G10" i="45"/>
  <c r="E10" i="45"/>
  <c r="E9" i="45"/>
  <c r="G9" i="45" s="1"/>
  <c r="E8" i="45"/>
  <c r="G8" i="45" s="1"/>
  <c r="E7" i="45"/>
  <c r="G7" i="45" s="1"/>
  <c r="G39" i="44"/>
  <c r="E39" i="44"/>
  <c r="C39" i="44"/>
  <c r="L36" i="44"/>
  <c r="L35" i="44"/>
  <c r="L34" i="44"/>
  <c r="L33" i="44"/>
  <c r="L32" i="44"/>
  <c r="L31" i="44"/>
  <c r="L30" i="44"/>
  <c r="L29" i="44"/>
  <c r="L28" i="44"/>
  <c r="L27" i="44"/>
  <c r="L26" i="44"/>
  <c r="L25" i="44"/>
  <c r="L24" i="44"/>
  <c r="C24" i="44"/>
  <c r="L23" i="44"/>
  <c r="E23" i="44"/>
  <c r="G23" i="44" s="1"/>
  <c r="L22" i="44"/>
  <c r="G22" i="44"/>
  <c r="E22" i="44"/>
  <c r="L21" i="44"/>
  <c r="G21" i="44"/>
  <c r="E21" i="44"/>
  <c r="L20" i="44"/>
  <c r="E20" i="44"/>
  <c r="G20" i="44" s="1"/>
  <c r="L19" i="44"/>
  <c r="G19" i="44"/>
  <c r="E19" i="44"/>
  <c r="L18" i="44"/>
  <c r="E18" i="44"/>
  <c r="G18" i="44" s="1"/>
  <c r="L17" i="44"/>
  <c r="E17" i="44"/>
  <c r="G17" i="44" s="1"/>
  <c r="L16" i="44"/>
  <c r="G16" i="44"/>
  <c r="E16" i="44"/>
  <c r="R15" i="44"/>
  <c r="O15" i="44"/>
  <c r="L15" i="44"/>
  <c r="G15" i="44"/>
  <c r="E15" i="44"/>
  <c r="R14" i="44"/>
  <c r="L14" i="44"/>
  <c r="S14" i="44" s="1"/>
  <c r="E14" i="44"/>
  <c r="G14" i="44" s="1"/>
  <c r="L13" i="44"/>
  <c r="G13" i="44"/>
  <c r="E13" i="44"/>
  <c r="L12" i="44"/>
  <c r="E12" i="44"/>
  <c r="G12" i="44" s="1"/>
  <c r="L11" i="44"/>
  <c r="E11" i="44"/>
  <c r="G11" i="44" s="1"/>
  <c r="L10" i="44"/>
  <c r="G10" i="44"/>
  <c r="E10" i="44"/>
  <c r="L9" i="44"/>
  <c r="E9" i="44"/>
  <c r="G9" i="44" s="1"/>
  <c r="L8" i="44"/>
  <c r="G8" i="44"/>
  <c r="E8" i="44"/>
  <c r="L7" i="44"/>
  <c r="E7" i="44"/>
  <c r="G7" i="44" s="1"/>
  <c r="L6" i="44"/>
  <c r="G6" i="44"/>
  <c r="E6" i="44"/>
  <c r="E24" i="44" s="1"/>
  <c r="L299" i="43"/>
  <c r="L297" i="43"/>
  <c r="L293" i="43"/>
  <c r="L287" i="43"/>
  <c r="L285" i="43"/>
  <c r="L283" i="43"/>
  <c r="L278" i="43"/>
  <c r="L274" i="43"/>
  <c r="L269" i="43"/>
  <c r="L266" i="43"/>
  <c r="L264" i="43"/>
  <c r="L259" i="43"/>
  <c r="L261" i="43" s="1"/>
  <c r="L256" i="43"/>
  <c r="L250" i="43"/>
  <c r="L251" i="43" s="1"/>
  <c r="L249" i="43"/>
  <c r="L91" i="43"/>
  <c r="L89" i="43"/>
  <c r="L87" i="43"/>
  <c r="L85" i="43"/>
  <c r="L72" i="43"/>
  <c r="L71" i="43"/>
  <c r="L70" i="43"/>
  <c r="L69" i="43"/>
  <c r="L68" i="43"/>
  <c r="L62" i="43"/>
  <c r="L61" i="43"/>
  <c r="L60" i="43"/>
  <c r="L55" i="43"/>
  <c r="L73" i="43" s="1"/>
  <c r="L50" i="43"/>
  <c r="L45" i="43"/>
  <c r="L41" i="43"/>
  <c r="L67" i="43" s="1"/>
  <c r="L36" i="43"/>
  <c r="L65" i="43" s="1"/>
  <c r="L32" i="43"/>
  <c r="L29" i="43" s="1"/>
  <c r="L12" i="43"/>
  <c r="L11" i="43"/>
  <c r="L76" i="43" s="1"/>
  <c r="L8" i="43"/>
  <c r="AM322" i="43"/>
  <c r="AM321" i="43"/>
  <c r="AI320" i="43"/>
  <c r="AH320" i="43"/>
  <c r="AG320" i="43"/>
  <c r="AF320" i="43"/>
  <c r="AE320" i="43"/>
  <c r="AD320" i="43"/>
  <c r="AC320" i="43"/>
  <c r="AB320" i="43"/>
  <c r="AA320" i="43"/>
  <c r="Z320" i="43"/>
  <c r="Y320" i="43"/>
  <c r="X320" i="43"/>
  <c r="W320" i="43"/>
  <c r="V320" i="43"/>
  <c r="U320" i="43"/>
  <c r="T320" i="43"/>
  <c r="S320" i="43"/>
  <c r="R320" i="43"/>
  <c r="Q320" i="43"/>
  <c r="P320" i="43"/>
  <c r="O320" i="43"/>
  <c r="N320" i="43"/>
  <c r="M320" i="43"/>
  <c r="L320" i="43"/>
  <c r="K320" i="43"/>
  <c r="J320" i="43"/>
  <c r="I320" i="43"/>
  <c r="H320" i="43"/>
  <c r="G320" i="43"/>
  <c r="AK318" i="43"/>
  <c r="AJ318" i="43"/>
  <c r="AI318" i="43"/>
  <c r="AH318" i="43"/>
  <c r="AG318" i="43"/>
  <c r="AF318" i="43"/>
  <c r="AE318" i="43"/>
  <c r="AD318" i="43"/>
  <c r="AC318" i="43"/>
  <c r="AB318" i="43"/>
  <c r="AA318" i="43"/>
  <c r="Z318" i="43"/>
  <c r="Y318" i="43"/>
  <c r="X318" i="43"/>
  <c r="V318" i="43"/>
  <c r="U318" i="43"/>
  <c r="T318" i="43"/>
  <c r="S318" i="43"/>
  <c r="R318" i="43"/>
  <c r="K318" i="43"/>
  <c r="J318" i="43"/>
  <c r="I318" i="43"/>
  <c r="H318" i="43"/>
  <c r="G318" i="43"/>
  <c r="E318" i="43"/>
  <c r="AM317" i="43"/>
  <c r="AK316" i="43"/>
  <c r="AJ316" i="43"/>
  <c r="AI316" i="43"/>
  <c r="AH316" i="43"/>
  <c r="AG316" i="43"/>
  <c r="AF316" i="43"/>
  <c r="AE316" i="43"/>
  <c r="AD316" i="43"/>
  <c r="AC316" i="43"/>
  <c r="AB316" i="43"/>
  <c r="AA316" i="43"/>
  <c r="Z316" i="43"/>
  <c r="Y316" i="43"/>
  <c r="X316" i="43"/>
  <c r="V316" i="43"/>
  <c r="U316" i="43"/>
  <c r="T316" i="43"/>
  <c r="S316" i="43"/>
  <c r="R316" i="43"/>
  <c r="K316" i="43"/>
  <c r="J316" i="43"/>
  <c r="I316" i="43"/>
  <c r="H316" i="43"/>
  <c r="G316" i="43"/>
  <c r="E316" i="43"/>
  <c r="AM315" i="43"/>
  <c r="AK313" i="43"/>
  <c r="AJ313" i="43"/>
  <c r="AI313" i="43"/>
  <c r="AH313" i="43"/>
  <c r="AG313" i="43"/>
  <c r="AF313" i="43"/>
  <c r="AE313" i="43"/>
  <c r="AD313" i="43"/>
  <c r="AC313" i="43"/>
  <c r="AB313" i="43"/>
  <c r="AA313" i="43"/>
  <c r="Z313" i="43"/>
  <c r="Y313" i="43"/>
  <c r="X313" i="43"/>
  <c r="V313" i="43"/>
  <c r="U313" i="43"/>
  <c r="T313" i="43"/>
  <c r="S313" i="43"/>
  <c r="R313" i="43"/>
  <c r="K313" i="43"/>
  <c r="J313" i="43"/>
  <c r="I313" i="43"/>
  <c r="H313" i="43"/>
  <c r="G313" i="43"/>
  <c r="E313" i="43"/>
  <c r="AM312" i="43"/>
  <c r="AK311" i="43"/>
  <c r="AJ311" i="43"/>
  <c r="AI311" i="43"/>
  <c r="AH311" i="43"/>
  <c r="AG311" i="43"/>
  <c r="AF311" i="43"/>
  <c r="AE311" i="43"/>
  <c r="AD311" i="43"/>
  <c r="AC311" i="43"/>
  <c r="AB311" i="43"/>
  <c r="AA311" i="43"/>
  <c r="Z311" i="43"/>
  <c r="Y311" i="43"/>
  <c r="X311" i="43"/>
  <c r="V311" i="43"/>
  <c r="U311" i="43"/>
  <c r="T311" i="43"/>
  <c r="S311" i="43"/>
  <c r="R311" i="43"/>
  <c r="K311" i="43"/>
  <c r="J311" i="43"/>
  <c r="I311" i="43"/>
  <c r="H311" i="43"/>
  <c r="G311" i="43"/>
  <c r="E311" i="43"/>
  <c r="AM310" i="43"/>
  <c r="AO312" i="43" s="1"/>
  <c r="AK307" i="43"/>
  <c r="AJ307" i="43"/>
  <c r="AI307" i="43"/>
  <c r="AH307" i="43"/>
  <c r="AG307" i="43"/>
  <c r="AF307" i="43"/>
  <c r="AE307" i="43"/>
  <c r="AD307" i="43"/>
  <c r="AC307" i="43"/>
  <c r="AB307" i="43"/>
  <c r="AA307" i="43"/>
  <c r="Z307" i="43"/>
  <c r="Y307" i="43"/>
  <c r="X307" i="43"/>
  <c r="V307" i="43"/>
  <c r="U307" i="43"/>
  <c r="T307" i="43"/>
  <c r="S307" i="43"/>
  <c r="R307" i="43"/>
  <c r="K307" i="43"/>
  <c r="J307" i="43"/>
  <c r="I307" i="43"/>
  <c r="H307" i="43"/>
  <c r="G307" i="43"/>
  <c r="AM307" i="43" s="1"/>
  <c r="AM306" i="43"/>
  <c r="E304" i="43"/>
  <c r="AM303" i="43"/>
  <c r="E302" i="43"/>
  <c r="AM301" i="43"/>
  <c r="AK299" i="43"/>
  <c r="AJ299" i="43"/>
  <c r="AI299" i="43"/>
  <c r="AH299" i="43"/>
  <c r="AG299" i="43"/>
  <c r="AF299" i="43"/>
  <c r="AE299" i="43"/>
  <c r="AD299" i="43"/>
  <c r="AC299" i="43"/>
  <c r="AB299" i="43"/>
  <c r="AA299" i="43"/>
  <c r="Z299" i="43"/>
  <c r="Y299" i="43"/>
  <c r="X299" i="43"/>
  <c r="W299" i="43"/>
  <c r="V299" i="43"/>
  <c r="U299" i="43"/>
  <c r="T299" i="43"/>
  <c r="S299" i="43"/>
  <c r="R299" i="43"/>
  <c r="Q299" i="43"/>
  <c r="P299" i="43"/>
  <c r="O299" i="43"/>
  <c r="N299" i="43"/>
  <c r="M299" i="43"/>
  <c r="E299" i="43"/>
  <c r="AM298" i="43"/>
  <c r="AK297" i="43"/>
  <c r="AJ297" i="43"/>
  <c r="AI297" i="43"/>
  <c r="AH297" i="43"/>
  <c r="AG297" i="43"/>
  <c r="AF297" i="43"/>
  <c r="AE297" i="43"/>
  <c r="AD297" i="43"/>
  <c r="AC297" i="43"/>
  <c r="AB297" i="43"/>
  <c r="AA297" i="43"/>
  <c r="Z297" i="43"/>
  <c r="Y297" i="43"/>
  <c r="X297" i="43"/>
  <c r="W297" i="43"/>
  <c r="V297" i="43"/>
  <c r="U297" i="43"/>
  <c r="T297" i="43"/>
  <c r="S297" i="43"/>
  <c r="R297" i="43"/>
  <c r="Q297" i="43"/>
  <c r="P297" i="43"/>
  <c r="O297" i="43"/>
  <c r="N297" i="43"/>
  <c r="M297" i="43"/>
  <c r="E297" i="43"/>
  <c r="AM296" i="43"/>
  <c r="AK293" i="43"/>
  <c r="AJ293" i="43"/>
  <c r="AI293" i="43"/>
  <c r="AH293" i="43"/>
  <c r="AG293" i="43"/>
  <c r="AF293" i="43"/>
  <c r="AE293" i="43"/>
  <c r="AD293" i="43"/>
  <c r="AC293" i="43"/>
  <c r="AB293" i="43"/>
  <c r="AA293" i="43"/>
  <c r="Z293" i="43"/>
  <c r="Y293" i="43"/>
  <c r="X293" i="43"/>
  <c r="W293" i="43"/>
  <c r="V293" i="43"/>
  <c r="U293" i="43"/>
  <c r="T293" i="43"/>
  <c r="S293" i="43"/>
  <c r="R293" i="43"/>
  <c r="Q293" i="43"/>
  <c r="P293" i="43"/>
  <c r="O293" i="43"/>
  <c r="N293" i="43"/>
  <c r="M293" i="43"/>
  <c r="AG287" i="43"/>
  <c r="AF287" i="43"/>
  <c r="AE287" i="43"/>
  <c r="AD287" i="43"/>
  <c r="AC287" i="43"/>
  <c r="AB287" i="43"/>
  <c r="AA287" i="43"/>
  <c r="Z287" i="43"/>
  <c r="Y287" i="43"/>
  <c r="X287" i="43"/>
  <c r="V287" i="43"/>
  <c r="U287" i="43"/>
  <c r="T287" i="43"/>
  <c r="S287" i="43"/>
  <c r="R287" i="43"/>
  <c r="Q287" i="43"/>
  <c r="P287" i="43"/>
  <c r="O287" i="43"/>
  <c r="N287" i="43"/>
  <c r="M287" i="43"/>
  <c r="AM287" i="43"/>
  <c r="AM286" i="43"/>
  <c r="AK285" i="43"/>
  <c r="AJ285" i="43"/>
  <c r="AI285" i="43"/>
  <c r="AH285" i="43"/>
  <c r="AG285" i="43"/>
  <c r="AF285" i="43"/>
  <c r="AE285" i="43"/>
  <c r="AD285" i="43"/>
  <c r="AC285" i="43"/>
  <c r="AB285" i="43"/>
  <c r="AA285" i="43"/>
  <c r="Z285" i="43"/>
  <c r="Y285" i="43"/>
  <c r="X285" i="43"/>
  <c r="V285" i="43"/>
  <c r="U285" i="43"/>
  <c r="T285" i="43"/>
  <c r="S285" i="43"/>
  <c r="R285" i="43"/>
  <c r="Q285" i="43"/>
  <c r="P285" i="43"/>
  <c r="O285" i="43"/>
  <c r="N285" i="43"/>
  <c r="M285" i="43"/>
  <c r="E285" i="43"/>
  <c r="AM284" i="43"/>
  <c r="AK283" i="43"/>
  <c r="AJ283" i="43"/>
  <c r="AI283" i="43"/>
  <c r="AH283" i="43"/>
  <c r="AG283" i="43"/>
  <c r="AF283" i="43"/>
  <c r="AE283" i="43"/>
  <c r="AD283" i="43"/>
  <c r="AC283" i="43"/>
  <c r="AB283" i="43"/>
  <c r="AA283" i="43"/>
  <c r="Z283" i="43"/>
  <c r="Y283" i="43"/>
  <c r="X283" i="43"/>
  <c r="V283" i="43"/>
  <c r="U283" i="43"/>
  <c r="T283" i="43"/>
  <c r="S283" i="43"/>
  <c r="R283" i="43"/>
  <c r="Q283" i="43"/>
  <c r="P283" i="43"/>
  <c r="O283" i="43"/>
  <c r="N283" i="43"/>
  <c r="M283" i="43"/>
  <c r="E283" i="43"/>
  <c r="AM282" i="43"/>
  <c r="AM279" i="43"/>
  <c r="AK278" i="43"/>
  <c r="AJ278" i="43"/>
  <c r="AI278" i="43"/>
  <c r="AH278" i="43"/>
  <c r="AG278" i="43"/>
  <c r="AF278" i="43"/>
  <c r="AE278" i="43"/>
  <c r="AD278" i="43"/>
  <c r="AC278" i="43"/>
  <c r="AB278" i="43"/>
  <c r="AA278" i="43"/>
  <c r="Z278" i="43"/>
  <c r="Y278" i="43"/>
  <c r="X278" i="43"/>
  <c r="W278" i="43"/>
  <c r="V278" i="43"/>
  <c r="U278" i="43"/>
  <c r="T278" i="43"/>
  <c r="S278" i="43"/>
  <c r="R278" i="43"/>
  <c r="Q278" i="43"/>
  <c r="P278" i="43"/>
  <c r="O278" i="43"/>
  <c r="N278" i="43"/>
  <c r="M278" i="43"/>
  <c r="AM277" i="43"/>
  <c r="E276" i="43"/>
  <c r="AM275" i="43"/>
  <c r="F246" i="41" s="1"/>
  <c r="S246" i="41" s="1"/>
  <c r="AK274" i="43"/>
  <c r="AJ274" i="43"/>
  <c r="AI274" i="43"/>
  <c r="AH274" i="43"/>
  <c r="AG274" i="43"/>
  <c r="AF274" i="43"/>
  <c r="AE274" i="43"/>
  <c r="AD274" i="43"/>
  <c r="AC274" i="43"/>
  <c r="AB274" i="43"/>
  <c r="AA274" i="43"/>
  <c r="Z274" i="43"/>
  <c r="Y274" i="43"/>
  <c r="X274" i="43"/>
  <c r="W274" i="43"/>
  <c r="V274" i="43"/>
  <c r="U274" i="43"/>
  <c r="T274" i="43"/>
  <c r="S274" i="43"/>
  <c r="R274" i="43"/>
  <c r="Q274" i="43"/>
  <c r="P274" i="43"/>
  <c r="O274" i="43"/>
  <c r="N274" i="43"/>
  <c r="M274" i="43"/>
  <c r="E274" i="43"/>
  <c r="AM273" i="43"/>
  <c r="AB269" i="43"/>
  <c r="AA269" i="43"/>
  <c r="Z269" i="43"/>
  <c r="Y269" i="43"/>
  <c r="X269" i="43"/>
  <c r="V269" i="43"/>
  <c r="U269" i="43"/>
  <c r="T269" i="43"/>
  <c r="S269" i="43"/>
  <c r="R269" i="43"/>
  <c r="Q269" i="43"/>
  <c r="P269" i="43"/>
  <c r="O269" i="43"/>
  <c r="N269" i="43"/>
  <c r="M269" i="43"/>
  <c r="AG267" i="43"/>
  <c r="AG269" i="43" s="1"/>
  <c r="AF267" i="43"/>
  <c r="AE267" i="43"/>
  <c r="AD267" i="43"/>
  <c r="AK266" i="43"/>
  <c r="AJ266" i="43"/>
  <c r="AI266" i="43"/>
  <c r="AH266" i="43"/>
  <c r="AG266" i="43"/>
  <c r="AF266" i="43"/>
  <c r="AE266" i="43"/>
  <c r="AD266" i="43"/>
  <c r="AC266" i="43"/>
  <c r="AB266" i="43"/>
  <c r="AA266" i="43"/>
  <c r="Z266" i="43"/>
  <c r="Y266" i="43"/>
  <c r="X266" i="43"/>
  <c r="V266" i="43"/>
  <c r="U266" i="43"/>
  <c r="T266" i="43"/>
  <c r="S266" i="43"/>
  <c r="R266" i="43"/>
  <c r="Q266" i="43"/>
  <c r="P266" i="43"/>
  <c r="O266" i="43"/>
  <c r="N266" i="43"/>
  <c r="M266" i="43"/>
  <c r="E266" i="43"/>
  <c r="AM265" i="43"/>
  <c r="AK264" i="43"/>
  <c r="AJ264" i="43"/>
  <c r="AI264" i="43"/>
  <c r="AH264" i="43"/>
  <c r="AG264" i="43"/>
  <c r="AF264" i="43"/>
  <c r="AE264" i="43"/>
  <c r="AD264" i="43"/>
  <c r="AC264" i="43"/>
  <c r="AB264" i="43"/>
  <c r="AA264" i="43"/>
  <c r="Z264" i="43"/>
  <c r="Y264" i="43"/>
  <c r="X264" i="43"/>
  <c r="V264" i="43"/>
  <c r="U264" i="43"/>
  <c r="T264" i="43"/>
  <c r="S264" i="43"/>
  <c r="R264" i="43"/>
  <c r="Q264" i="43"/>
  <c r="P264" i="43"/>
  <c r="O264" i="43"/>
  <c r="N264" i="43"/>
  <c r="M264" i="43"/>
  <c r="E264" i="43"/>
  <c r="AM263" i="43"/>
  <c r="AJ261" i="43"/>
  <c r="AD261" i="43"/>
  <c r="AB261" i="43"/>
  <c r="V261" i="43"/>
  <c r="AK259" i="43"/>
  <c r="AK261" i="43" s="1"/>
  <c r="AJ259" i="43"/>
  <c r="AI259" i="43"/>
  <c r="AI261" i="43" s="1"/>
  <c r="AH259" i="43"/>
  <c r="AH261" i="43" s="1"/>
  <c r="AG259" i="43"/>
  <c r="AG261" i="43" s="1"/>
  <c r="AF259" i="43"/>
  <c r="AF261" i="43" s="1"/>
  <c r="AE259" i="43"/>
  <c r="AE261" i="43" s="1"/>
  <c r="AD259" i="43"/>
  <c r="AC259" i="43"/>
  <c r="AC261" i="43" s="1"/>
  <c r="AB259" i="43"/>
  <c r="AA259" i="43"/>
  <c r="AA261" i="43" s="1"/>
  <c r="Z259" i="43"/>
  <c r="Z261" i="43" s="1"/>
  <c r="Y259" i="43"/>
  <c r="Y261" i="43" s="1"/>
  <c r="X259" i="43"/>
  <c r="X261" i="43" s="1"/>
  <c r="W259" i="43"/>
  <c r="W261" i="43" s="1"/>
  <c r="V259" i="43"/>
  <c r="U259" i="43"/>
  <c r="U261" i="43" s="1"/>
  <c r="T259" i="43"/>
  <c r="S259" i="43"/>
  <c r="S261" i="43" s="1"/>
  <c r="R259" i="43"/>
  <c r="Q259" i="43"/>
  <c r="Q261" i="43" s="1"/>
  <c r="P259" i="43"/>
  <c r="P261" i="43" s="1"/>
  <c r="O259" i="43"/>
  <c r="O261" i="43" s="1"/>
  <c r="N259" i="43"/>
  <c r="N261" i="43" s="1"/>
  <c r="E258" i="43"/>
  <c r="AM257" i="43"/>
  <c r="AK256" i="43"/>
  <c r="AJ256" i="43"/>
  <c r="AI256" i="43"/>
  <c r="AH256" i="43"/>
  <c r="AG256" i="43"/>
  <c r="AF256" i="43"/>
  <c r="AE256" i="43"/>
  <c r="AD256" i="43"/>
  <c r="AC256" i="43"/>
  <c r="AB256" i="43"/>
  <c r="AA256" i="43"/>
  <c r="Z256" i="43"/>
  <c r="Y256" i="43"/>
  <c r="X256" i="43"/>
  <c r="W256" i="43"/>
  <c r="V256" i="43"/>
  <c r="U256" i="43"/>
  <c r="T256" i="43"/>
  <c r="S256" i="43"/>
  <c r="R256" i="43"/>
  <c r="Q256" i="43"/>
  <c r="P256" i="43"/>
  <c r="O256" i="43"/>
  <c r="N256" i="43"/>
  <c r="E256" i="43"/>
  <c r="AM253" i="43"/>
  <c r="F243" i="41" s="1"/>
  <c r="S243" i="41" s="1"/>
  <c r="AK250" i="43"/>
  <c r="AK251" i="43" s="1"/>
  <c r="AJ250" i="43"/>
  <c r="AJ251" i="43" s="1"/>
  <c r="AI250" i="43"/>
  <c r="AI251" i="43" s="1"/>
  <c r="AH250" i="43"/>
  <c r="AH251" i="43" s="1"/>
  <c r="AG250" i="43"/>
  <c r="AG251" i="43" s="1"/>
  <c r="AF250" i="43"/>
  <c r="AF251" i="43" s="1"/>
  <c r="AE250" i="43"/>
  <c r="AE251" i="43" s="1"/>
  <c r="AD250" i="43"/>
  <c r="AD251" i="43" s="1"/>
  <c r="AC250" i="43"/>
  <c r="AC251" i="43" s="1"/>
  <c r="AB250" i="43"/>
  <c r="AB251" i="43" s="1"/>
  <c r="AA250" i="43"/>
  <c r="AA251" i="43" s="1"/>
  <c r="Z250" i="43"/>
  <c r="Z251" i="43" s="1"/>
  <c r="Y250" i="43"/>
  <c r="Y251" i="43" s="1"/>
  <c r="X250" i="43"/>
  <c r="X251" i="43" s="1"/>
  <c r="W250" i="43"/>
  <c r="W251" i="43" s="1"/>
  <c r="V250" i="43"/>
  <c r="V251" i="43" s="1"/>
  <c r="U250" i="43"/>
  <c r="U251" i="43" s="1"/>
  <c r="T250" i="43"/>
  <c r="T251" i="43" s="1"/>
  <c r="S250" i="43"/>
  <c r="S251" i="43" s="1"/>
  <c r="R250" i="43"/>
  <c r="R251" i="43" s="1"/>
  <c r="Q250" i="43"/>
  <c r="Q251" i="43" s="1"/>
  <c r="P250" i="43"/>
  <c r="P251" i="43" s="1"/>
  <c r="O250" i="43"/>
  <c r="O251" i="43" s="1"/>
  <c r="N250" i="43"/>
  <c r="N251" i="43" s="1"/>
  <c r="M250" i="43"/>
  <c r="M251" i="43" s="1"/>
  <c r="AK249" i="43"/>
  <c r="AJ249" i="43"/>
  <c r="AI249" i="43"/>
  <c r="AH249" i="43"/>
  <c r="AG249" i="43"/>
  <c r="AF249" i="43"/>
  <c r="AE249" i="43"/>
  <c r="AD249" i="43"/>
  <c r="AC249" i="43"/>
  <c r="AB249" i="43"/>
  <c r="AA249" i="43"/>
  <c r="Z249" i="43"/>
  <c r="Y249" i="43"/>
  <c r="X249" i="43"/>
  <c r="W249" i="43"/>
  <c r="V249" i="43"/>
  <c r="U249" i="43"/>
  <c r="T249" i="43"/>
  <c r="S249" i="43"/>
  <c r="R249" i="43"/>
  <c r="Q249" i="43"/>
  <c r="P249" i="43"/>
  <c r="O249" i="43"/>
  <c r="N249" i="43"/>
  <c r="M249" i="43"/>
  <c r="AM248" i="43"/>
  <c r="AM246" i="43"/>
  <c r="E246" i="43"/>
  <c r="AM244" i="43"/>
  <c r="AK91" i="43"/>
  <c r="AJ91" i="43"/>
  <c r="AI91" i="43"/>
  <c r="AH91" i="43"/>
  <c r="AG91" i="43"/>
  <c r="AF91" i="43"/>
  <c r="AE91" i="43"/>
  <c r="AD91" i="43"/>
  <c r="AC91" i="43"/>
  <c r="AB91" i="43"/>
  <c r="AA91" i="43"/>
  <c r="Z91" i="43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AM90" i="43"/>
  <c r="AK88" i="43"/>
  <c r="AK89" i="43" s="1"/>
  <c r="AJ88" i="43"/>
  <c r="AJ89" i="43" s="1"/>
  <c r="AI88" i="43"/>
  <c r="AI89" i="43" s="1"/>
  <c r="AH88" i="43"/>
  <c r="AH89" i="43" s="1"/>
  <c r="AG88" i="43"/>
  <c r="AG89" i="43" s="1"/>
  <c r="AF88" i="43"/>
  <c r="AF89" i="43" s="1"/>
  <c r="AE88" i="43"/>
  <c r="AE89" i="43" s="1"/>
  <c r="AD88" i="43"/>
  <c r="AD89" i="43" s="1"/>
  <c r="AC88" i="43"/>
  <c r="AC89" i="43" s="1"/>
  <c r="AB88" i="43"/>
  <c r="AB89" i="43" s="1"/>
  <c r="AA88" i="43"/>
  <c r="AA89" i="43" s="1"/>
  <c r="Z88" i="43"/>
  <c r="Z89" i="43" s="1"/>
  <c r="Y88" i="43"/>
  <c r="Y89" i="43" s="1"/>
  <c r="X88" i="43"/>
  <c r="X89" i="43" s="1"/>
  <c r="W88" i="43"/>
  <c r="W89" i="43" s="1"/>
  <c r="V88" i="43"/>
  <c r="V89" i="43" s="1"/>
  <c r="U88" i="43"/>
  <c r="U89" i="43" s="1"/>
  <c r="T88" i="43"/>
  <c r="T89" i="43" s="1"/>
  <c r="S88" i="43"/>
  <c r="S89" i="43" s="1"/>
  <c r="R88" i="43"/>
  <c r="R89" i="43" s="1"/>
  <c r="Q89" i="43"/>
  <c r="P89" i="43"/>
  <c r="O89" i="43"/>
  <c r="N88" i="43"/>
  <c r="M89" i="43"/>
  <c r="AK87" i="43"/>
  <c r="AJ87" i="43"/>
  <c r="AI87" i="43"/>
  <c r="AH87" i="43"/>
  <c r="AG87" i="43"/>
  <c r="AF87" i="43"/>
  <c r="AE87" i="43"/>
  <c r="AD87" i="43"/>
  <c r="AC87" i="43"/>
  <c r="AB87" i="43"/>
  <c r="AA87" i="43"/>
  <c r="Z87" i="43"/>
  <c r="Y87" i="43"/>
  <c r="X87" i="43"/>
  <c r="V87" i="43"/>
  <c r="U87" i="43"/>
  <c r="T87" i="43"/>
  <c r="S87" i="43"/>
  <c r="R87" i="43"/>
  <c r="Q87" i="43"/>
  <c r="P87" i="43"/>
  <c r="O87" i="43"/>
  <c r="N87" i="43"/>
  <c r="M87" i="43"/>
  <c r="AM86" i="43"/>
  <c r="AK85" i="43"/>
  <c r="AJ85" i="43"/>
  <c r="AI85" i="43"/>
  <c r="AH85" i="43"/>
  <c r="AG85" i="43"/>
  <c r="AF85" i="43"/>
  <c r="AE85" i="43"/>
  <c r="AD85" i="43"/>
  <c r="AC85" i="43"/>
  <c r="AB85" i="43"/>
  <c r="AA85" i="43"/>
  <c r="Z85" i="43"/>
  <c r="Y85" i="43"/>
  <c r="X85" i="43"/>
  <c r="V85" i="43"/>
  <c r="U85" i="43"/>
  <c r="T85" i="43"/>
  <c r="S85" i="43"/>
  <c r="R85" i="43"/>
  <c r="Q85" i="43"/>
  <c r="P85" i="43"/>
  <c r="O85" i="43"/>
  <c r="N85" i="43"/>
  <c r="M85" i="43"/>
  <c r="AM84" i="43"/>
  <c r="AM81" i="43"/>
  <c r="AM79" i="43"/>
  <c r="AM77" i="43"/>
  <c r="AM75" i="43"/>
  <c r="AK73" i="43"/>
  <c r="AJ73" i="43"/>
  <c r="AI73" i="43"/>
  <c r="AH73" i="43"/>
  <c r="Z73" i="43"/>
  <c r="X73" i="43"/>
  <c r="U73" i="43"/>
  <c r="R73" i="43"/>
  <c r="AK72" i="43"/>
  <c r="AJ72" i="43"/>
  <c r="AI72" i="43"/>
  <c r="AH72" i="43"/>
  <c r="AG72" i="43"/>
  <c r="AF72" i="43"/>
  <c r="AE72" i="43"/>
  <c r="AD72" i="43"/>
  <c r="AC72" i="43"/>
  <c r="AB72" i="43"/>
  <c r="AA72" i="43"/>
  <c r="Z72" i="43"/>
  <c r="Y72" i="43"/>
  <c r="X72" i="43"/>
  <c r="V72" i="43"/>
  <c r="U72" i="43"/>
  <c r="T72" i="43"/>
  <c r="S72" i="43"/>
  <c r="R72" i="43"/>
  <c r="AK71" i="43"/>
  <c r="AJ71" i="43"/>
  <c r="AI71" i="43"/>
  <c r="AH71" i="43"/>
  <c r="AG71" i="43"/>
  <c r="AF71" i="43"/>
  <c r="AE71" i="43"/>
  <c r="AD71" i="43"/>
  <c r="AC71" i="43"/>
  <c r="AB71" i="43"/>
  <c r="AA71" i="43"/>
  <c r="Z71" i="43"/>
  <c r="Y71" i="43"/>
  <c r="X71" i="43"/>
  <c r="V71" i="43"/>
  <c r="U71" i="43"/>
  <c r="T71" i="43"/>
  <c r="S71" i="43"/>
  <c r="R71" i="43"/>
  <c r="AK70" i="43"/>
  <c r="AJ70" i="43"/>
  <c r="AI70" i="43"/>
  <c r="AH70" i="43"/>
  <c r="AG70" i="43"/>
  <c r="AF70" i="43"/>
  <c r="AE70" i="43"/>
  <c r="AD70" i="43"/>
  <c r="AC70" i="43"/>
  <c r="AB70" i="43"/>
  <c r="AA70" i="43"/>
  <c r="Z70" i="43"/>
  <c r="Y70" i="43"/>
  <c r="X70" i="43"/>
  <c r="V70" i="43"/>
  <c r="U70" i="43"/>
  <c r="T70" i="43"/>
  <c r="S70" i="43"/>
  <c r="R70" i="43"/>
  <c r="AK69" i="43"/>
  <c r="AJ69" i="43"/>
  <c r="AI69" i="43"/>
  <c r="AH69" i="43"/>
  <c r="AG69" i="43"/>
  <c r="AF69" i="43"/>
  <c r="AE69" i="43"/>
  <c r="AD69" i="43"/>
  <c r="AC69" i="43"/>
  <c r="AB69" i="43"/>
  <c r="AA69" i="43"/>
  <c r="Z69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AK68" i="43"/>
  <c r="AJ68" i="43"/>
  <c r="AI68" i="43"/>
  <c r="AH68" i="43"/>
  <c r="AG68" i="43"/>
  <c r="AF68" i="43"/>
  <c r="AE68" i="43"/>
  <c r="AD68" i="43"/>
  <c r="AC68" i="43"/>
  <c r="AB68" i="43"/>
  <c r="AA68" i="43"/>
  <c r="Z68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AK67" i="43"/>
  <c r="AJ67" i="43"/>
  <c r="AI67" i="43"/>
  <c r="AH67" i="43"/>
  <c r="AD67" i="43"/>
  <c r="AC67" i="43"/>
  <c r="Z67" i="43"/>
  <c r="Y67" i="43"/>
  <c r="X67" i="43"/>
  <c r="W67" i="43"/>
  <c r="S67" i="43"/>
  <c r="R67" i="43"/>
  <c r="Q67" i="43"/>
  <c r="P67" i="43"/>
  <c r="O67" i="43"/>
  <c r="N67" i="43"/>
  <c r="M67" i="43"/>
  <c r="AK66" i="43"/>
  <c r="AJ66" i="43"/>
  <c r="AI66" i="43"/>
  <c r="AH66" i="43"/>
  <c r="AD66" i="43"/>
  <c r="AC66" i="43"/>
  <c r="Z66" i="43"/>
  <c r="Y66" i="43"/>
  <c r="X66" i="43"/>
  <c r="W66" i="43"/>
  <c r="S66" i="43"/>
  <c r="R66" i="43"/>
  <c r="Q66" i="43"/>
  <c r="P66" i="43"/>
  <c r="O66" i="43"/>
  <c r="N66" i="43"/>
  <c r="M66" i="43"/>
  <c r="AK65" i="43"/>
  <c r="AJ65" i="43"/>
  <c r="AI65" i="43"/>
  <c r="AH65" i="43"/>
  <c r="AC65" i="43"/>
  <c r="Z65" i="43"/>
  <c r="Y65" i="43"/>
  <c r="X65" i="43"/>
  <c r="W65" i="43"/>
  <c r="V65" i="43"/>
  <c r="S65" i="43"/>
  <c r="Q65" i="43"/>
  <c r="P65" i="43"/>
  <c r="O65" i="43"/>
  <c r="N65" i="43"/>
  <c r="M65" i="43"/>
  <c r="AK64" i="43"/>
  <c r="AJ64" i="43"/>
  <c r="AI64" i="43"/>
  <c r="AH64" i="43"/>
  <c r="AC64" i="43"/>
  <c r="Z64" i="43"/>
  <c r="Y64" i="43"/>
  <c r="X64" i="43"/>
  <c r="W64" i="43"/>
  <c r="V64" i="43"/>
  <c r="S64" i="43"/>
  <c r="Q64" i="43"/>
  <c r="P64" i="43"/>
  <c r="O64" i="43"/>
  <c r="N64" i="43"/>
  <c r="M64" i="43"/>
  <c r="AD63" i="43"/>
  <c r="Z63" i="43"/>
  <c r="V63" i="43"/>
  <c r="R63" i="43"/>
  <c r="N63" i="43"/>
  <c r="AK62" i="43"/>
  <c r="AJ62" i="43"/>
  <c r="AI62" i="43"/>
  <c r="AH62" i="43"/>
  <c r="AG62" i="43"/>
  <c r="AF62" i="43"/>
  <c r="AE62" i="43"/>
  <c r="AD62" i="43"/>
  <c r="AC62" i="43"/>
  <c r="AB62" i="43"/>
  <c r="AA62" i="43"/>
  <c r="Z62" i="43"/>
  <c r="Y62" i="43"/>
  <c r="X62" i="43"/>
  <c r="W62" i="43"/>
  <c r="V62" i="43"/>
  <c r="U62" i="43"/>
  <c r="T62" i="43"/>
  <c r="S62" i="43"/>
  <c r="R62" i="43"/>
  <c r="Q62" i="43"/>
  <c r="P62" i="43"/>
  <c r="O62" i="43"/>
  <c r="N62" i="43"/>
  <c r="M62" i="43"/>
  <c r="AK61" i="43"/>
  <c r="AJ61" i="43"/>
  <c r="AI61" i="43"/>
  <c r="AH61" i="43"/>
  <c r="AG61" i="43"/>
  <c r="AF61" i="43"/>
  <c r="AE61" i="43"/>
  <c r="AD61" i="43"/>
  <c r="AC61" i="43"/>
  <c r="AB61" i="43"/>
  <c r="AA61" i="43"/>
  <c r="Z61" i="43"/>
  <c r="Y61" i="43"/>
  <c r="X61" i="43"/>
  <c r="W61" i="43"/>
  <c r="V61" i="43"/>
  <c r="U61" i="43"/>
  <c r="T61" i="43"/>
  <c r="S61" i="43"/>
  <c r="R61" i="43"/>
  <c r="Q61" i="43"/>
  <c r="P61" i="43"/>
  <c r="O61" i="43"/>
  <c r="N61" i="43"/>
  <c r="M61" i="43"/>
  <c r="AK60" i="43"/>
  <c r="AJ60" i="43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U60" i="43"/>
  <c r="T60" i="43"/>
  <c r="S60" i="43"/>
  <c r="R60" i="43"/>
  <c r="Q60" i="43"/>
  <c r="P60" i="43"/>
  <c r="O60" i="43"/>
  <c r="N60" i="43"/>
  <c r="AM58" i="43"/>
  <c r="AM57" i="43"/>
  <c r="AM56" i="43"/>
  <c r="AM73" i="43" s="1"/>
  <c r="AH55" i="43"/>
  <c r="AG55" i="43"/>
  <c r="AG73" i="43" s="1"/>
  <c r="AF55" i="43"/>
  <c r="AF73" i="43" s="1"/>
  <c r="AE55" i="43"/>
  <c r="AE73" i="43" s="1"/>
  <c r="AD55" i="43"/>
  <c r="AD73" i="43" s="1"/>
  <c r="AC55" i="43"/>
  <c r="AC73" i="43" s="1"/>
  <c r="AB55" i="43"/>
  <c r="AB73" i="43" s="1"/>
  <c r="AA55" i="43"/>
  <c r="AA73" i="43" s="1"/>
  <c r="Y55" i="43"/>
  <c r="Y73" i="43" s="1"/>
  <c r="V55" i="43"/>
  <c r="V73" i="43" s="1"/>
  <c r="U55" i="43"/>
  <c r="T55" i="43"/>
  <c r="T73" i="43" s="1"/>
  <c r="S55" i="43"/>
  <c r="W340" i="43" s="1"/>
  <c r="X340" i="43" s="1"/>
  <c r="E55" i="43"/>
  <c r="AM54" i="43"/>
  <c r="AM52" i="43"/>
  <c r="AM71" i="43" s="1"/>
  <c r="AM51" i="43"/>
  <c r="AH50" i="43"/>
  <c r="AG50" i="43"/>
  <c r="AF50" i="43"/>
  <c r="AE50" i="43"/>
  <c r="AD50" i="43"/>
  <c r="AC50" i="43"/>
  <c r="AB50" i="43"/>
  <c r="AA50" i="43"/>
  <c r="Z50" i="43"/>
  <c r="Y50" i="43"/>
  <c r="V50" i="43"/>
  <c r="U50" i="43"/>
  <c r="T50" i="43"/>
  <c r="R50" i="43"/>
  <c r="AM50" i="43"/>
  <c r="E50" i="43"/>
  <c r="AM49" i="43"/>
  <c r="AM47" i="43"/>
  <c r="AM46" i="43"/>
  <c r="AK45" i="43"/>
  <c r="AJ45" i="43"/>
  <c r="AJ29" i="43" s="1"/>
  <c r="AI45" i="43"/>
  <c r="AH45" i="43"/>
  <c r="AG45" i="43"/>
  <c r="AF45" i="43"/>
  <c r="AE45" i="43"/>
  <c r="AD45" i="43"/>
  <c r="AC45" i="43"/>
  <c r="AB45" i="43"/>
  <c r="AA45" i="43"/>
  <c r="Z45" i="43"/>
  <c r="Z29" i="43" s="1"/>
  <c r="Y45" i="43"/>
  <c r="X45" i="43"/>
  <c r="W45" i="43"/>
  <c r="V45" i="43"/>
  <c r="U45" i="43"/>
  <c r="T45" i="43"/>
  <c r="S45" i="43"/>
  <c r="R45" i="43"/>
  <c r="Q45" i="43"/>
  <c r="P45" i="43"/>
  <c r="O45" i="43"/>
  <c r="N45" i="43"/>
  <c r="M45" i="43"/>
  <c r="AM43" i="43"/>
  <c r="AM42" i="43"/>
  <c r="AH41" i="43"/>
  <c r="AG41" i="43"/>
  <c r="AG67" i="43" s="1"/>
  <c r="AF41" i="43"/>
  <c r="AF67" i="43" s="1"/>
  <c r="AE41" i="43"/>
  <c r="AE67" i="43" s="1"/>
  <c r="AD41" i="43"/>
  <c r="AB41" i="43"/>
  <c r="AB29" i="43" s="1"/>
  <c r="AA41" i="43"/>
  <c r="AA67" i="43" s="1"/>
  <c r="V41" i="43"/>
  <c r="V66" i="43" s="1"/>
  <c r="U41" i="43"/>
  <c r="U67" i="43" s="1"/>
  <c r="T41" i="43"/>
  <c r="T29" i="43" s="1"/>
  <c r="R41" i="43"/>
  <c r="AM40" i="43"/>
  <c r="AM38" i="43"/>
  <c r="AM37" i="43"/>
  <c r="AH36" i="43"/>
  <c r="AG36" i="43"/>
  <c r="AG65" i="43" s="1"/>
  <c r="AF36" i="43"/>
  <c r="AE36" i="43"/>
  <c r="AE65" i="43" s="1"/>
  <c r="AD36" i="43"/>
  <c r="AD65" i="43" s="1"/>
  <c r="AB36" i="43"/>
  <c r="AB65" i="43" s="1"/>
  <c r="AA36" i="43"/>
  <c r="AA65" i="43" s="1"/>
  <c r="V36" i="43"/>
  <c r="U36" i="43"/>
  <c r="U65" i="43" s="1"/>
  <c r="T36" i="43"/>
  <c r="T65" i="43" s="1"/>
  <c r="R36" i="43"/>
  <c r="R65" i="43" s="1"/>
  <c r="AM36" i="43"/>
  <c r="AM34" i="43"/>
  <c r="AP15" i="43" s="1"/>
  <c r="AM33" i="43"/>
  <c r="AK32" i="43"/>
  <c r="AK63" i="43" s="1"/>
  <c r="AJ32" i="43"/>
  <c r="AJ63" i="43" s="1"/>
  <c r="AI32" i="43"/>
  <c r="AI63" i="43" s="1"/>
  <c r="AH32" i="43"/>
  <c r="AH63" i="43" s="1"/>
  <c r="AG32" i="43"/>
  <c r="AG63" i="43" s="1"/>
  <c r="AF32" i="43"/>
  <c r="AF63" i="43" s="1"/>
  <c r="AE32" i="43"/>
  <c r="AE63" i="43" s="1"/>
  <c r="AD32" i="43"/>
  <c r="AC32" i="43"/>
  <c r="AC63" i="43" s="1"/>
  <c r="AB32" i="43"/>
  <c r="AB63" i="43" s="1"/>
  <c r="AA32" i="43"/>
  <c r="AA63" i="43" s="1"/>
  <c r="Z32" i="43"/>
  <c r="Y32" i="43"/>
  <c r="Y63" i="43" s="1"/>
  <c r="X32" i="43"/>
  <c r="X63" i="43" s="1"/>
  <c r="W32" i="43"/>
  <c r="W63" i="43" s="1"/>
  <c r="V32" i="43"/>
  <c r="U32" i="43"/>
  <c r="U63" i="43" s="1"/>
  <c r="T32" i="43"/>
  <c r="T63" i="43" s="1"/>
  <c r="S32" i="43"/>
  <c r="S63" i="43" s="1"/>
  <c r="R32" i="43"/>
  <c r="Q32" i="43"/>
  <c r="Q63" i="43" s="1"/>
  <c r="P32" i="43"/>
  <c r="P63" i="43" s="1"/>
  <c r="O32" i="43"/>
  <c r="O63" i="43" s="1"/>
  <c r="N32" i="43"/>
  <c r="M32" i="43"/>
  <c r="M63" i="43" s="1"/>
  <c r="AK29" i="43"/>
  <c r="AK304" i="43" s="1"/>
  <c r="AI29" i="43"/>
  <c r="AI304" i="43" s="1"/>
  <c r="AG29" i="43"/>
  <c r="AG276" i="43" s="1"/>
  <c r="AE29" i="43"/>
  <c r="AE258" i="43" s="1"/>
  <c r="AC29" i="43"/>
  <c r="AC30" i="43" s="1"/>
  <c r="AA29" i="43"/>
  <c r="AA304" i="43" s="1"/>
  <c r="Y29" i="43"/>
  <c r="Y30" i="43" s="1"/>
  <c r="X29" i="43"/>
  <c r="X302" i="43" s="1"/>
  <c r="W29" i="43"/>
  <c r="W258" i="43" s="1"/>
  <c r="U29" i="43"/>
  <c r="U304" i="43" s="1"/>
  <c r="S29" i="43"/>
  <c r="S304" i="43" s="1"/>
  <c r="Q29" i="43"/>
  <c r="Q276" i="43" s="1"/>
  <c r="P29" i="43"/>
  <c r="P302" i="43" s="1"/>
  <c r="O29" i="43"/>
  <c r="O258" i="43" s="1"/>
  <c r="M29" i="43"/>
  <c r="M304" i="43" s="1"/>
  <c r="AI28" i="43"/>
  <c r="AG28" i="43"/>
  <c r="AE28" i="43"/>
  <c r="AM25" i="43"/>
  <c r="AM23" i="43"/>
  <c r="AM20" i="43"/>
  <c r="AM18" i="43"/>
  <c r="AS14" i="43"/>
  <c r="AS13" i="43"/>
  <c r="AS16" i="43" s="1"/>
  <c r="AH12" i="43"/>
  <c r="AH11" i="43" s="1"/>
  <c r="AH76" i="43" s="1"/>
  <c r="AG12" i="43"/>
  <c r="AF12" i="43"/>
  <c r="AF11" i="43" s="1"/>
  <c r="AF76" i="43" s="1"/>
  <c r="AE12" i="43"/>
  <c r="AB12" i="43"/>
  <c r="AA12" i="43"/>
  <c r="Z12" i="43"/>
  <c r="Z11" i="43" s="1"/>
  <c r="Z76" i="43" s="1"/>
  <c r="Y12" i="43"/>
  <c r="Y11" i="43" s="1"/>
  <c r="Y76" i="43" s="1"/>
  <c r="V12" i="43"/>
  <c r="V11" i="43" s="1"/>
  <c r="V76" i="43" s="1"/>
  <c r="U12" i="43"/>
  <c r="T12" i="43"/>
  <c r="T11" i="43" s="1"/>
  <c r="T76" i="43" s="1"/>
  <c r="R12" i="43"/>
  <c r="Q12" i="43"/>
  <c r="P12" i="43"/>
  <c r="O12" i="43"/>
  <c r="N12" i="43"/>
  <c r="M12" i="43"/>
  <c r="AM12" i="43"/>
  <c r="AK11" i="43"/>
  <c r="AK76" i="43" s="1"/>
  <c r="AJ11" i="43"/>
  <c r="AJ76" i="43" s="1"/>
  <c r="AI11" i="43"/>
  <c r="AI76" i="43" s="1"/>
  <c r="AG11" i="43"/>
  <c r="AG76" i="43" s="1"/>
  <c r="AE11" i="43"/>
  <c r="AE76" i="43" s="1"/>
  <c r="AD11" i="43"/>
  <c r="AD76" i="43" s="1"/>
  <c r="AC11" i="43"/>
  <c r="AC76" i="43" s="1"/>
  <c r="AB11" i="43"/>
  <c r="AB76" i="43" s="1"/>
  <c r="AA11" i="43"/>
  <c r="AA76" i="43" s="1"/>
  <c r="X11" i="43"/>
  <c r="X76" i="43" s="1"/>
  <c r="W11" i="43"/>
  <c r="U11" i="43"/>
  <c r="U76" i="43" s="1"/>
  <c r="S11" i="43"/>
  <c r="S76" i="43" s="1"/>
  <c r="R11" i="43"/>
  <c r="R76" i="43" s="1"/>
  <c r="Q11" i="43"/>
  <c r="Q76" i="43" s="1"/>
  <c r="P11" i="43"/>
  <c r="P76" i="43" s="1"/>
  <c r="O11" i="43"/>
  <c r="O76" i="43" s="1"/>
  <c r="N11" i="43"/>
  <c r="N76" i="43" s="1"/>
  <c r="M11" i="43"/>
  <c r="M76" i="43" s="1"/>
  <c r="AK8" i="43"/>
  <c r="AJ8" i="43"/>
  <c r="AI8" i="43"/>
  <c r="AH8" i="43"/>
  <c r="AG8" i="43"/>
  <c r="AF8" i="43"/>
  <c r="AE8" i="43"/>
  <c r="AD8" i="43"/>
  <c r="AC8" i="43"/>
  <c r="AB8" i="43"/>
  <c r="AA8" i="43"/>
  <c r="Z8" i="43"/>
  <c r="Y8" i="43"/>
  <c r="V8" i="43"/>
  <c r="U8" i="43"/>
  <c r="T8" i="43"/>
  <c r="S8" i="43"/>
  <c r="R8" i="43"/>
  <c r="Q8" i="43"/>
  <c r="P8" i="43"/>
  <c r="O8" i="43"/>
  <c r="N8" i="43"/>
  <c r="M8" i="43"/>
  <c r="AM6" i="43"/>
  <c r="AS4" i="43"/>
  <c r="L12" i="3"/>
  <c r="L11" i="3"/>
  <c r="L10" i="3"/>
  <c r="L9" i="3"/>
  <c r="L8" i="3"/>
  <c r="U11" i="37"/>
  <c r="S11" i="37"/>
  <c r="M11" i="37"/>
  <c r="J11" i="37"/>
  <c r="J10" i="36"/>
  <c r="AH29" i="43" l="1"/>
  <c r="AH276" i="43" s="1"/>
  <c r="AM45" i="43"/>
  <c r="AF29" i="43"/>
  <c r="AF30" i="43" s="1"/>
  <c r="AM293" i="43"/>
  <c r="S15" i="44"/>
  <c r="O28" i="43"/>
  <c r="P28" i="43"/>
  <c r="AM278" i="43"/>
  <c r="AP6" i="43"/>
  <c r="AP5" i="43"/>
  <c r="AM272" i="43"/>
  <c r="F245" i="41"/>
  <c r="S245" i="41" s="1"/>
  <c r="AM271" i="43"/>
  <c r="AM68" i="43"/>
  <c r="AM62" i="43"/>
  <c r="G31" i="45"/>
  <c r="G23" i="45"/>
  <c r="G25" i="44"/>
  <c r="AM70" i="43"/>
  <c r="AP14" i="43"/>
  <c r="AP16" i="43" s="1"/>
  <c r="AM91" i="43"/>
  <c r="AM267" i="43"/>
  <c r="AM269" i="43" s="1"/>
  <c r="AM256" i="43"/>
  <c r="AO298" i="43"/>
  <c r="L304" i="43"/>
  <c r="L258" i="43"/>
  <c r="L302" i="43"/>
  <c r="L276" i="43"/>
  <c r="L28" i="43"/>
  <c r="L30" i="43"/>
  <c r="AM69" i="43"/>
  <c r="AM63" i="43"/>
  <c r="AM283" i="43"/>
  <c r="AM318" i="43"/>
  <c r="AM15" i="43"/>
  <c r="L63" i="43"/>
  <c r="AM249" i="43"/>
  <c r="L64" i="43"/>
  <c r="AM313" i="43"/>
  <c r="AM87" i="43"/>
  <c r="AM299" i="43"/>
  <c r="L66" i="43"/>
  <c r="AM60" i="43"/>
  <c r="AM266" i="43"/>
  <c r="AM274" i="43"/>
  <c r="AM285" i="43"/>
  <c r="AM316" i="43"/>
  <c r="AM85" i="43"/>
  <c r="AB28" i="43"/>
  <c r="AB304" i="43"/>
  <c r="AB258" i="43"/>
  <c r="AB302" i="43"/>
  <c r="AB30" i="43"/>
  <c r="AB276" i="43"/>
  <c r="T304" i="43"/>
  <c r="T28" i="43"/>
  <c r="T258" i="43"/>
  <c r="T302" i="43"/>
  <c r="T30" i="43"/>
  <c r="T276" i="43"/>
  <c r="AJ304" i="43"/>
  <c r="AJ258" i="43"/>
  <c r="AJ302" i="43"/>
  <c r="AJ30" i="43"/>
  <c r="AJ28" i="43"/>
  <c r="AJ276" i="43"/>
  <c r="AM251" i="43"/>
  <c r="AM11" i="43"/>
  <c r="AM76" i="43" s="1"/>
  <c r="Z276" i="43"/>
  <c r="Z304" i="43"/>
  <c r="Z258" i="43"/>
  <c r="Z28" i="43"/>
  <c r="Z302" i="43"/>
  <c r="Z30" i="43"/>
  <c r="U30" i="43"/>
  <c r="Q30" i="43"/>
  <c r="AG30" i="43"/>
  <c r="AM8" i="43"/>
  <c r="AM14" i="43"/>
  <c r="Y28" i="43"/>
  <c r="R29" i="43"/>
  <c r="AM55" i="43"/>
  <c r="AA64" i="43"/>
  <c r="AA66" i="43"/>
  <c r="AM250" i="43"/>
  <c r="P258" i="43"/>
  <c r="X258" i="43"/>
  <c r="AM264" i="43"/>
  <c r="S276" i="43"/>
  <c r="AA276" i="43"/>
  <c r="AI276" i="43"/>
  <c r="AM297" i="43"/>
  <c r="Q302" i="43"/>
  <c r="Y302" i="43"/>
  <c r="AG302" i="43"/>
  <c r="O304" i="43"/>
  <c r="W304" i="43"/>
  <c r="AE304" i="43"/>
  <c r="T64" i="43"/>
  <c r="AB64" i="43"/>
  <c r="T66" i="43"/>
  <c r="AB66" i="43"/>
  <c r="T67" i="43"/>
  <c r="AB67" i="43"/>
  <c r="Q258" i="43"/>
  <c r="Y258" i="43"/>
  <c r="AG258" i="43"/>
  <c r="P304" i="43"/>
  <c r="X304" i="43"/>
  <c r="S30" i="43"/>
  <c r="AA30" i="43"/>
  <c r="AI30" i="43"/>
  <c r="AM41" i="43"/>
  <c r="AM67" i="43" s="1"/>
  <c r="AM10" i="43"/>
  <c r="Q28" i="43"/>
  <c r="AA28" i="43"/>
  <c r="U64" i="43"/>
  <c r="U66" i="43"/>
  <c r="M276" i="43"/>
  <c r="U276" i="43"/>
  <c r="AC276" i="43"/>
  <c r="AK276" i="43"/>
  <c r="S302" i="43"/>
  <c r="AA302" i="43"/>
  <c r="AI302" i="43"/>
  <c r="Q304" i="43"/>
  <c r="Y304" i="43"/>
  <c r="AG304" i="43"/>
  <c r="S258" i="43"/>
  <c r="AA258" i="43"/>
  <c r="AI258" i="43"/>
  <c r="AK30" i="43"/>
  <c r="AM61" i="43"/>
  <c r="AD64" i="43"/>
  <c r="V67" i="43"/>
  <c r="AM13" i="43"/>
  <c r="S28" i="43"/>
  <c r="N29" i="43"/>
  <c r="V29" i="43"/>
  <c r="AD29" i="43"/>
  <c r="AM32" i="43"/>
  <c r="AE64" i="43"/>
  <c r="AE66" i="43"/>
  <c r="AM243" i="43"/>
  <c r="O276" i="43"/>
  <c r="W276" i="43"/>
  <c r="AE276" i="43"/>
  <c r="M302" i="43"/>
  <c r="U302" i="43"/>
  <c r="AC302" i="43"/>
  <c r="AK302" i="43"/>
  <c r="AM311" i="43"/>
  <c r="O30" i="43"/>
  <c r="W30" i="43"/>
  <c r="AE30" i="43"/>
  <c r="AF64" i="43"/>
  <c r="AF65" i="43"/>
  <c r="AF66" i="43"/>
  <c r="S73" i="43"/>
  <c r="U258" i="43"/>
  <c r="AC258" i="43"/>
  <c r="AK258" i="43"/>
  <c r="P276" i="43"/>
  <c r="X276" i="43"/>
  <c r="AM292" i="43"/>
  <c r="AO292" i="43" s="1"/>
  <c r="AK28" i="43"/>
  <c r="M30" i="43"/>
  <c r="M28" i="43"/>
  <c r="U28" i="43"/>
  <c r="P30" i="43"/>
  <c r="X30" i="43"/>
  <c r="AG64" i="43"/>
  <c r="AG66" i="43"/>
  <c r="AM72" i="43"/>
  <c r="AM259" i="43"/>
  <c r="Y276" i="43"/>
  <c r="AM281" i="43"/>
  <c r="O302" i="43"/>
  <c r="W302" i="43"/>
  <c r="AE302" i="43"/>
  <c r="AC304" i="43"/>
  <c r="R64" i="43"/>
  <c r="I88" i="6"/>
  <c r="H88" i="6"/>
  <c r="G88" i="6"/>
  <c r="J9" i="36"/>
  <c r="AH28" i="43" l="1"/>
  <c r="AH258" i="43"/>
  <c r="AH304" i="43"/>
  <c r="AH302" i="43"/>
  <c r="AH30" i="43"/>
  <c r="AF258" i="43"/>
  <c r="AF28" i="43"/>
  <c r="AF304" i="43"/>
  <c r="AF302" i="43"/>
  <c r="AF276" i="43"/>
  <c r="AP17" i="43"/>
  <c r="AP13" i="43"/>
  <c r="AS17" i="43" s="1"/>
  <c r="AM89" i="43"/>
  <c r="AM304" i="43"/>
  <c r="AM302" i="43"/>
  <c r="R276" i="43"/>
  <c r="R28" i="43"/>
  <c r="R304" i="43"/>
  <c r="R258" i="43"/>
  <c r="R302" i="43"/>
  <c r="R30" i="43"/>
  <c r="N304" i="43"/>
  <c r="N28" i="43"/>
  <c r="N258" i="43"/>
  <c r="N302" i="43"/>
  <c r="N30" i="43"/>
  <c r="N276" i="43"/>
  <c r="AM261" i="43"/>
  <c r="AM260" i="43"/>
  <c r="AD304" i="43"/>
  <c r="AD258" i="43"/>
  <c r="AD302" i="43"/>
  <c r="AD30" i="43"/>
  <c r="AD28" i="43"/>
  <c r="AD276" i="43"/>
  <c r="V304" i="43"/>
  <c r="V258" i="43"/>
  <c r="V302" i="43"/>
  <c r="V30" i="43"/>
  <c r="V276" i="43"/>
  <c r="V28" i="43"/>
  <c r="AM29" i="43"/>
  <c r="AM66" i="43"/>
  <c r="AM64" i="43"/>
  <c r="AM65" i="43"/>
  <c r="J8" i="36"/>
  <c r="U10" i="37"/>
  <c r="S10" i="37"/>
  <c r="M10" i="37"/>
  <c r="J10" i="37"/>
  <c r="U9" i="37"/>
  <c r="S9" i="37"/>
  <c r="M9" i="37"/>
  <c r="J9" i="37"/>
  <c r="H62" i="6"/>
  <c r="H14" i="6"/>
  <c r="H13" i="6"/>
  <c r="J7" i="36"/>
  <c r="U8" i="37"/>
  <c r="S8" i="37"/>
  <c r="M8" i="37"/>
  <c r="J8" i="37"/>
  <c r="F74" i="41"/>
  <c r="F73" i="41"/>
  <c r="F56" i="41"/>
  <c r="F55" i="41"/>
  <c r="F53" i="41"/>
  <c r="AM24" i="43" l="1"/>
  <c r="AM28" i="43"/>
  <c r="AM276" i="43"/>
  <c r="AM258" i="43"/>
  <c r="AM254" i="43" s="1"/>
  <c r="AM30" i="43"/>
  <c r="Q299" i="6"/>
  <c r="P299" i="6"/>
  <c r="O299" i="6"/>
  <c r="N299" i="6"/>
  <c r="M299" i="6"/>
  <c r="L299" i="6"/>
  <c r="K299" i="6"/>
  <c r="J299" i="6"/>
  <c r="I299" i="6"/>
  <c r="Q297" i="6"/>
  <c r="P297" i="6"/>
  <c r="O297" i="6"/>
  <c r="N297" i="6"/>
  <c r="M297" i="6"/>
  <c r="L297" i="6"/>
  <c r="K297" i="6"/>
  <c r="J297" i="6"/>
  <c r="I297" i="6"/>
  <c r="Q293" i="6"/>
  <c r="P293" i="6"/>
  <c r="O293" i="6"/>
  <c r="N293" i="6"/>
  <c r="M293" i="6"/>
  <c r="L293" i="6"/>
  <c r="K293" i="6"/>
  <c r="J293" i="6"/>
  <c r="I293" i="6"/>
  <c r="Q287" i="6"/>
  <c r="P287" i="6"/>
  <c r="O287" i="6"/>
  <c r="N287" i="6"/>
  <c r="M287" i="6"/>
  <c r="L287" i="6"/>
  <c r="K287" i="6"/>
  <c r="J287" i="6"/>
  <c r="I287" i="6"/>
  <c r="Q285" i="6"/>
  <c r="P285" i="6"/>
  <c r="O285" i="6"/>
  <c r="N285" i="6"/>
  <c r="M285" i="6"/>
  <c r="L285" i="6"/>
  <c r="K285" i="6"/>
  <c r="J285" i="6"/>
  <c r="I285" i="6"/>
  <c r="Q283" i="6"/>
  <c r="P283" i="6"/>
  <c r="O283" i="6"/>
  <c r="N283" i="6"/>
  <c r="M283" i="6"/>
  <c r="L283" i="6"/>
  <c r="K283" i="6"/>
  <c r="J283" i="6"/>
  <c r="I283" i="6"/>
  <c r="Q278" i="6"/>
  <c r="P278" i="6"/>
  <c r="O278" i="6"/>
  <c r="N278" i="6"/>
  <c r="M278" i="6"/>
  <c r="L278" i="6"/>
  <c r="K278" i="6"/>
  <c r="J278" i="6"/>
  <c r="I278" i="6"/>
  <c r="Q274" i="6"/>
  <c r="P274" i="6"/>
  <c r="O274" i="6"/>
  <c r="N274" i="6"/>
  <c r="M274" i="6"/>
  <c r="L274" i="6"/>
  <c r="K274" i="6"/>
  <c r="J274" i="6"/>
  <c r="I274" i="6"/>
  <c r="Q269" i="6"/>
  <c r="P269" i="6"/>
  <c r="O269" i="6"/>
  <c r="N269" i="6"/>
  <c r="M269" i="6"/>
  <c r="L269" i="6"/>
  <c r="K269" i="6"/>
  <c r="J269" i="6"/>
  <c r="I269" i="6"/>
  <c r="Q266" i="6"/>
  <c r="P266" i="6"/>
  <c r="O266" i="6"/>
  <c r="N266" i="6"/>
  <c r="M266" i="6"/>
  <c r="L266" i="6"/>
  <c r="K266" i="6"/>
  <c r="J266" i="6"/>
  <c r="I266" i="6"/>
  <c r="Q264" i="6"/>
  <c r="P264" i="6"/>
  <c r="O264" i="6"/>
  <c r="N264" i="6"/>
  <c r="M264" i="6"/>
  <c r="L264" i="6"/>
  <c r="K264" i="6"/>
  <c r="J264" i="6"/>
  <c r="I264" i="6"/>
  <c r="Q259" i="6"/>
  <c r="P259" i="6"/>
  <c r="O259" i="6"/>
  <c r="N259" i="6"/>
  <c r="M259" i="6"/>
  <c r="L259" i="6"/>
  <c r="K259" i="6"/>
  <c r="K261" i="6" s="1"/>
  <c r="J259" i="6"/>
  <c r="J261" i="6" s="1"/>
  <c r="I259" i="6"/>
  <c r="I261" i="6" s="1"/>
  <c r="Q256" i="6"/>
  <c r="P256" i="6"/>
  <c r="O256" i="6"/>
  <c r="N256" i="6"/>
  <c r="M256" i="6"/>
  <c r="L256" i="6"/>
  <c r="K256" i="6"/>
  <c r="J256" i="6"/>
  <c r="I256" i="6"/>
  <c r="Q251" i="6"/>
  <c r="O251" i="6"/>
  <c r="I251" i="6"/>
  <c r="Q250" i="6"/>
  <c r="P250" i="6"/>
  <c r="P251" i="6" s="1"/>
  <c r="O250" i="6"/>
  <c r="N250" i="6"/>
  <c r="N251" i="6" s="1"/>
  <c r="M250" i="6"/>
  <c r="M251" i="6" s="1"/>
  <c r="L250" i="6"/>
  <c r="L251" i="6" s="1"/>
  <c r="K250" i="6"/>
  <c r="K251" i="6" s="1"/>
  <c r="J250" i="6"/>
  <c r="J251" i="6" s="1"/>
  <c r="I250" i="6"/>
  <c r="Q249" i="6"/>
  <c r="P249" i="6"/>
  <c r="O249" i="6"/>
  <c r="N249" i="6"/>
  <c r="M249" i="6"/>
  <c r="L249" i="6"/>
  <c r="K249" i="6"/>
  <c r="J249" i="6"/>
  <c r="I249" i="6"/>
  <c r="Q91" i="6"/>
  <c r="P91" i="6"/>
  <c r="O91" i="6"/>
  <c r="N91" i="6"/>
  <c r="M91" i="6"/>
  <c r="L91" i="6"/>
  <c r="K91" i="6"/>
  <c r="J91" i="6"/>
  <c r="I91" i="6"/>
  <c r="N89" i="6"/>
  <c r="M89" i="6"/>
  <c r="Q89" i="6"/>
  <c r="P89" i="6"/>
  <c r="O89" i="6"/>
  <c r="L89" i="6"/>
  <c r="K89" i="6"/>
  <c r="J89" i="6"/>
  <c r="I89" i="6"/>
  <c r="Q87" i="6"/>
  <c r="P87" i="6"/>
  <c r="O87" i="6"/>
  <c r="N87" i="6"/>
  <c r="M87" i="6"/>
  <c r="L87" i="6"/>
  <c r="K87" i="6"/>
  <c r="J87" i="6"/>
  <c r="I87" i="6"/>
  <c r="Q85" i="6"/>
  <c r="P85" i="6"/>
  <c r="O85" i="6"/>
  <c r="N85" i="6"/>
  <c r="M85" i="6"/>
  <c r="L85" i="6"/>
  <c r="K85" i="6"/>
  <c r="J85" i="6"/>
  <c r="I85" i="6"/>
  <c r="Q76" i="6"/>
  <c r="P76" i="6"/>
  <c r="O76" i="6"/>
  <c r="N76" i="6"/>
  <c r="M76" i="6"/>
  <c r="L76" i="6"/>
  <c r="K76" i="6"/>
  <c r="J76" i="6"/>
  <c r="L29" i="6"/>
  <c r="L28" i="6" s="1"/>
  <c r="Q12" i="6"/>
  <c r="P12" i="6"/>
  <c r="O12" i="6"/>
  <c r="N12" i="6"/>
  <c r="M12" i="6"/>
  <c r="M11" i="6" s="1"/>
  <c r="L12" i="6"/>
  <c r="K12" i="6"/>
  <c r="J12" i="6"/>
  <c r="I12" i="6"/>
  <c r="Q11" i="6"/>
  <c r="P11" i="6"/>
  <c r="O11" i="6"/>
  <c r="N11" i="6"/>
  <c r="L11" i="6"/>
  <c r="K11" i="6"/>
  <c r="J11" i="6"/>
  <c r="I11" i="6"/>
  <c r="I76" i="6" s="1"/>
  <c r="Q8" i="6"/>
  <c r="P8" i="6"/>
  <c r="O8" i="6"/>
  <c r="N8" i="6"/>
  <c r="M8" i="6"/>
  <c r="L8" i="6"/>
  <c r="K8" i="6"/>
  <c r="J8" i="6"/>
  <c r="I8" i="6"/>
  <c r="W299" i="6"/>
  <c r="W297" i="6"/>
  <c r="W293" i="6"/>
  <c r="W278" i="6"/>
  <c r="W274" i="6"/>
  <c r="W256" i="6"/>
  <c r="W250" i="6"/>
  <c r="W251" i="6" s="1"/>
  <c r="W249" i="6"/>
  <c r="AA261" i="6"/>
  <c r="AK259" i="6"/>
  <c r="AJ259" i="6"/>
  <c r="AI259" i="6"/>
  <c r="AH259" i="6"/>
  <c r="AG259" i="6"/>
  <c r="AF259" i="6"/>
  <c r="AD259" i="6"/>
  <c r="AC259" i="6"/>
  <c r="AB259" i="6"/>
  <c r="AB261" i="6" s="1"/>
  <c r="AA259" i="6"/>
  <c r="Z259" i="6"/>
  <c r="Z261" i="6" s="1"/>
  <c r="Y259" i="6"/>
  <c r="Y261" i="6" s="1"/>
  <c r="X259" i="6"/>
  <c r="X261" i="6" s="1"/>
  <c r="W259" i="6"/>
  <c r="W261" i="6" s="1"/>
  <c r="V259" i="6"/>
  <c r="V261" i="6" s="1"/>
  <c r="U259" i="6"/>
  <c r="U261" i="6" s="1"/>
  <c r="S259" i="6"/>
  <c r="R259" i="6"/>
  <c r="H259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H91" i="6"/>
  <c r="U89" i="6"/>
  <c r="R89" i="6"/>
  <c r="AK88" i="6"/>
  <c r="AK89" i="6" s="1"/>
  <c r="AJ88" i="6"/>
  <c r="AJ89" i="6" s="1"/>
  <c r="AI88" i="6"/>
  <c r="AI89" i="6" s="1"/>
  <c r="AH88" i="6"/>
  <c r="AH89" i="6" s="1"/>
  <c r="AG88" i="6"/>
  <c r="AG89" i="6" s="1"/>
  <c r="AF88" i="6"/>
  <c r="AF89" i="6" s="1"/>
  <c r="AE88" i="6"/>
  <c r="AE89" i="6" s="1"/>
  <c r="AD88" i="6"/>
  <c r="AD89" i="6" s="1"/>
  <c r="AC88" i="6"/>
  <c r="AC89" i="6" s="1"/>
  <c r="AB88" i="6"/>
  <c r="AB89" i="6" s="1"/>
  <c r="AA89" i="6"/>
  <c r="Z88" i="6"/>
  <c r="Z89" i="6" s="1"/>
  <c r="Y88" i="6"/>
  <c r="Y89" i="6" s="1"/>
  <c r="X88" i="6"/>
  <c r="X89" i="6" s="1"/>
  <c r="W88" i="6"/>
  <c r="W89" i="6" s="1"/>
  <c r="V88" i="6"/>
  <c r="V89" i="6" s="1"/>
  <c r="U88" i="6"/>
  <c r="T88" i="6"/>
  <c r="T89" i="6" s="1"/>
  <c r="S88" i="6"/>
  <c r="S89" i="6" s="1"/>
  <c r="R88" i="6"/>
  <c r="H8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AG63" i="6"/>
  <c r="N63" i="6"/>
  <c r="K63" i="6"/>
  <c r="J63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AK45" i="6"/>
  <c r="AK29" i="6" s="1"/>
  <c r="AK30" i="6" s="1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N29" i="6" s="1"/>
  <c r="M45" i="6"/>
  <c r="L45" i="6"/>
  <c r="K45" i="6"/>
  <c r="K29" i="6" s="1"/>
  <c r="J45" i="6"/>
  <c r="J29" i="6" s="1"/>
  <c r="I45" i="6"/>
  <c r="I29" i="6" s="1"/>
  <c r="I304" i="6" s="1"/>
  <c r="AK32" i="6"/>
  <c r="AK63" i="6" s="1"/>
  <c r="AJ32" i="6"/>
  <c r="AJ63" i="6" s="1"/>
  <c r="AI32" i="6"/>
  <c r="AI63" i="6" s="1"/>
  <c r="AH32" i="6"/>
  <c r="AH29" i="6" s="1"/>
  <c r="AH30" i="6" s="1"/>
  <c r="AG32" i="6"/>
  <c r="AF32" i="6"/>
  <c r="AF63" i="6" s="1"/>
  <c r="AE32" i="6"/>
  <c r="AE63" i="6" s="1"/>
  <c r="AD32" i="6"/>
  <c r="AD63" i="6" s="1"/>
  <c r="AC32" i="6"/>
  <c r="AC63" i="6" s="1"/>
  <c r="AB32" i="6"/>
  <c r="AB63" i="6" s="1"/>
  <c r="AA32" i="6"/>
  <c r="AA63" i="6" s="1"/>
  <c r="Z32" i="6"/>
  <c r="Z29" i="6" s="1"/>
  <c r="Z30" i="6" s="1"/>
  <c r="Y32" i="6"/>
  <c r="Y63" i="6" s="1"/>
  <c r="X32" i="6"/>
  <c r="X63" i="6" s="1"/>
  <c r="W32" i="6"/>
  <c r="W63" i="6" s="1"/>
  <c r="V32" i="6"/>
  <c r="V63" i="6" s="1"/>
  <c r="U32" i="6"/>
  <c r="U63" i="6" s="1"/>
  <c r="T32" i="6"/>
  <c r="T63" i="6" s="1"/>
  <c r="S32" i="6"/>
  <c r="S29" i="6" s="1"/>
  <c r="S30" i="6" s="1"/>
  <c r="R32" i="6"/>
  <c r="R29" i="6" s="1"/>
  <c r="R30" i="6" s="1"/>
  <c r="Q32" i="6"/>
  <c r="Q63" i="6" s="1"/>
  <c r="P32" i="6"/>
  <c r="P63" i="6" s="1"/>
  <c r="O32" i="6"/>
  <c r="O63" i="6" s="1"/>
  <c r="N32" i="6"/>
  <c r="M32" i="6"/>
  <c r="M63" i="6" s="1"/>
  <c r="L32" i="6"/>
  <c r="L63" i="6" s="1"/>
  <c r="K32" i="6"/>
  <c r="J32" i="6"/>
  <c r="I32" i="6"/>
  <c r="I63" i="6" s="1"/>
  <c r="H32" i="6"/>
  <c r="H63" i="6" s="1"/>
  <c r="AI29" i="6"/>
  <c r="AI30" i="6" s="1"/>
  <c r="AC29" i="6"/>
  <c r="AC30" i="6" s="1"/>
  <c r="AA29" i="6"/>
  <c r="AA30" i="6" s="1"/>
  <c r="V29" i="6"/>
  <c r="V30" i="6" s="1"/>
  <c r="U29" i="6"/>
  <c r="U30" i="6" s="1"/>
  <c r="W11" i="6"/>
  <c r="AH63" i="6" l="1"/>
  <c r="AF29" i="6"/>
  <c r="AF30" i="6" s="1"/>
  <c r="AD29" i="6"/>
  <c r="AD30" i="6" s="1"/>
  <c r="Z63" i="6"/>
  <c r="X29" i="6"/>
  <c r="X30" i="6" s="1"/>
  <c r="L276" i="6"/>
  <c r="L302" i="6"/>
  <c r="L258" i="6"/>
  <c r="L304" i="6"/>
  <c r="S63" i="6"/>
  <c r="R63" i="6"/>
  <c r="M29" i="6"/>
  <c r="M302" i="6" s="1"/>
  <c r="P29" i="6"/>
  <c r="P30" i="6" s="1"/>
  <c r="O29" i="6"/>
  <c r="O28" i="6" s="1"/>
  <c r="Q29" i="6"/>
  <c r="K30" i="6"/>
  <c r="K258" i="6"/>
  <c r="K304" i="6"/>
  <c r="K276" i="6"/>
  <c r="K302" i="6"/>
  <c r="N304" i="6"/>
  <c r="N258" i="6"/>
  <c r="N28" i="6"/>
  <c r="N302" i="6"/>
  <c r="N276" i="6"/>
  <c r="N30" i="6"/>
  <c r="J258" i="6"/>
  <c r="J276" i="6"/>
  <c r="J304" i="6"/>
  <c r="J302" i="6"/>
  <c r="J28" i="6"/>
  <c r="J30" i="6"/>
  <c r="I258" i="6"/>
  <c r="I276" i="6"/>
  <c r="I302" i="6"/>
  <c r="I28" i="6"/>
  <c r="K28" i="6"/>
  <c r="L30" i="6"/>
  <c r="T29" i="6"/>
  <c r="T30" i="6" s="1"/>
  <c r="AB29" i="6"/>
  <c r="AJ29" i="6"/>
  <c r="AJ30" i="6" s="1"/>
  <c r="W29" i="6"/>
  <c r="AE29" i="6"/>
  <c r="I30" i="6"/>
  <c r="Y29" i="6"/>
  <c r="Y30" i="6" s="1"/>
  <c r="AG29" i="6"/>
  <c r="AG30" i="6" s="1"/>
  <c r="AE30" i="6" l="1"/>
  <c r="AE258" i="6"/>
  <c r="AB30" i="6"/>
  <c r="W30" i="6"/>
  <c r="W276" i="6"/>
  <c r="W304" i="6"/>
  <c r="W258" i="6"/>
  <c r="W302" i="6"/>
  <c r="M258" i="6"/>
  <c r="M28" i="6"/>
  <c r="M276" i="6"/>
  <c r="M30" i="6"/>
  <c r="M304" i="6"/>
  <c r="P276" i="6"/>
  <c r="P258" i="6"/>
  <c r="P28" i="6"/>
  <c r="P304" i="6"/>
  <c r="P302" i="6"/>
  <c r="O30" i="6"/>
  <c r="O302" i="6"/>
  <c r="O276" i="6"/>
  <c r="O258" i="6"/>
  <c r="O304" i="6"/>
  <c r="Q30" i="6"/>
  <c r="Q276" i="6"/>
  <c r="Q302" i="6"/>
  <c r="Q28" i="6"/>
  <c r="Q304" i="6"/>
  <c r="Q258" i="6"/>
  <c r="C40" i="3"/>
  <c r="AE274" i="6"/>
  <c r="AH274" i="6"/>
  <c r="AG274" i="6"/>
  <c r="AF274" i="6"/>
  <c r="AG278" i="6"/>
  <c r="AM19" i="6" l="1"/>
  <c r="F21" i="41" l="1"/>
  <c r="AM86" i="6"/>
  <c r="AN86" i="6" s="1"/>
  <c r="AM75" i="6"/>
  <c r="AN75" i="6" s="1"/>
  <c r="AA14" i="41" l="1"/>
  <c r="F76" i="41"/>
  <c r="F80" i="41"/>
  <c r="T85" i="6"/>
  <c r="S76" i="41" l="1"/>
  <c r="L39" i="3"/>
  <c r="I39" i="3"/>
  <c r="E38" i="3" l="1"/>
  <c r="F38" i="3" s="1"/>
  <c r="H38" i="3" s="1"/>
  <c r="J38" i="3" s="1"/>
  <c r="B38" i="3"/>
  <c r="L36" i="36"/>
  <c r="AJ318" i="6"/>
  <c r="AJ316" i="6"/>
  <c r="AJ313" i="6"/>
  <c r="AJ311" i="6"/>
  <c r="AJ307" i="6"/>
  <c r="AJ299" i="6"/>
  <c r="AJ297" i="6"/>
  <c r="AJ293" i="6"/>
  <c r="AJ285" i="6"/>
  <c r="AJ283" i="6"/>
  <c r="AJ278" i="6"/>
  <c r="AJ274" i="6"/>
  <c r="AJ266" i="6"/>
  <c r="AJ264" i="6"/>
  <c r="AJ261" i="6"/>
  <c r="AJ256" i="6"/>
  <c r="AJ250" i="6"/>
  <c r="AJ251" i="6" s="1"/>
  <c r="AJ249" i="6"/>
  <c r="AJ87" i="6"/>
  <c r="AJ85" i="6"/>
  <c r="AJ73" i="6"/>
  <c r="AJ72" i="6"/>
  <c r="AJ71" i="6"/>
  <c r="AJ70" i="6"/>
  <c r="AJ11" i="6"/>
  <c r="AJ76" i="6" s="1"/>
  <c r="AJ8" i="6"/>
  <c r="AJ258" i="6" l="1"/>
  <c r="K38" i="3"/>
  <c r="N38" i="3" s="1"/>
  <c r="M38" i="3"/>
  <c r="AJ276" i="6" l="1"/>
  <c r="AJ302" i="6"/>
  <c r="AJ304" i="6"/>
  <c r="AJ28" i="6"/>
  <c r="AF264" i="6"/>
  <c r="AG264" i="6"/>
  <c r="AG256" i="6"/>
  <c r="AG261" i="6"/>
  <c r="AF249" i="6" l="1"/>
  <c r="AF297" i="6"/>
  <c r="AF278" i="6"/>
  <c r="AF267" i="6"/>
  <c r="AF266" i="6"/>
  <c r="AF256" i="6"/>
  <c r="AC285" i="6"/>
  <c r="AE311" i="6"/>
  <c r="AD287" i="6"/>
  <c r="AE287" i="6"/>
  <c r="AD278" i="6"/>
  <c r="AE278" i="6"/>
  <c r="AM263" i="6"/>
  <c r="AE267" i="6"/>
  <c r="AE264" i="6"/>
  <c r="AM264" i="6" l="1"/>
  <c r="AD267" i="6"/>
  <c r="AD261" i="6"/>
  <c r="AM265" i="6"/>
  <c r="AC287" i="6"/>
  <c r="AC283" i="6"/>
  <c r="AD283" i="6"/>
  <c r="AD274" i="6"/>
  <c r="AM90" i="6"/>
  <c r="F84" i="41" s="1"/>
  <c r="AD285" i="6" l="1"/>
  <c r="AD318" i="6"/>
  <c r="AD316" i="6"/>
  <c r="AD313" i="6"/>
  <c r="AD311" i="6"/>
  <c r="AD307" i="6"/>
  <c r="AD266" i="6"/>
  <c r="AD264" i="6"/>
  <c r="AC278" i="6"/>
  <c r="AM282" i="6"/>
  <c r="AM273" i="6"/>
  <c r="AC274" i="6"/>
  <c r="AB278" i="6"/>
  <c r="AB274" i="6"/>
  <c r="AA274" i="6"/>
  <c r="AC264" i="6"/>
  <c r="AB256" i="6"/>
  <c r="AC256" i="6"/>
  <c r="AC261" i="6"/>
  <c r="AA299" i="6" l="1"/>
  <c r="AA297" i="6"/>
  <c r="AA278" i="6"/>
  <c r="AA256" i="6"/>
  <c r="Z299" i="6" l="1"/>
  <c r="Z297" i="6"/>
  <c r="Z293" i="6"/>
  <c r="Z278" i="6"/>
  <c r="Z274" i="6"/>
  <c r="Z256" i="6"/>
  <c r="Y249" i="6" l="1"/>
  <c r="Y299" i="6"/>
  <c r="Y297" i="6"/>
  <c r="Y293" i="6"/>
  <c r="Y278" i="6"/>
  <c r="Y274" i="6"/>
  <c r="Y256" i="6"/>
  <c r="Y250" i="6"/>
  <c r="X250" i="6"/>
  <c r="X251" i="6" s="1"/>
  <c r="X249" i="6"/>
  <c r="X256" i="6"/>
  <c r="X299" i="6"/>
  <c r="X297" i="6"/>
  <c r="X278" i="6"/>
  <c r="X274" i="6"/>
  <c r="V278" i="6" l="1"/>
  <c r="U278" i="6"/>
  <c r="T278" i="6"/>
  <c r="S278" i="6"/>
  <c r="R278" i="6"/>
  <c r="V274" i="6"/>
  <c r="U274" i="6"/>
  <c r="T274" i="6"/>
  <c r="S274" i="6"/>
  <c r="R274" i="6"/>
  <c r="T250" i="6" l="1"/>
  <c r="T251" i="6" s="1"/>
  <c r="T249" i="6"/>
  <c r="T299" i="6"/>
  <c r="T297" i="6"/>
  <c r="T293" i="6"/>
  <c r="T256" i="6"/>
  <c r="G256" i="6"/>
  <c r="R256" i="6"/>
  <c r="G297" i="6" l="1"/>
  <c r="H274" i="6"/>
  <c r="G274" i="6"/>
  <c r="E256" i="6"/>
  <c r="AM21" i="6"/>
  <c r="F22" i="41" s="1"/>
  <c r="AM20" i="6"/>
  <c r="AA15" i="41" l="1"/>
  <c r="E14" i="37"/>
  <c r="E13" i="37"/>
  <c r="AM244" i="6" l="1"/>
  <c r="F236" i="41" s="1"/>
  <c r="AD250" i="6" l="1"/>
  <c r="AD251" i="6" s="1"/>
  <c r="AK85" i="6"/>
  <c r="AI85" i="6"/>
  <c r="AH85" i="6"/>
  <c r="AG85" i="6"/>
  <c r="AF85" i="6"/>
  <c r="AE85" i="6"/>
  <c r="AD85" i="6"/>
  <c r="AC85" i="6"/>
  <c r="AB85" i="6"/>
  <c r="AA85" i="6"/>
  <c r="Z85" i="6"/>
  <c r="Y85" i="6"/>
  <c r="G85" i="6"/>
  <c r="H85" i="6"/>
  <c r="AM33" i="6"/>
  <c r="D30" i="37"/>
  <c r="D27" i="37"/>
  <c r="E7" i="37"/>
  <c r="E8" i="37"/>
  <c r="G7" i="37"/>
  <c r="F31" i="41" l="1"/>
  <c r="AK11" i="6"/>
  <c r="AA16" i="41" l="1"/>
  <c r="AK318" i="6"/>
  <c r="AK316" i="6"/>
  <c r="AK313" i="6"/>
  <c r="AK311" i="6"/>
  <c r="AK307" i="6"/>
  <c r="AK299" i="6"/>
  <c r="AK297" i="6"/>
  <c r="AK293" i="6"/>
  <c r="AK285" i="6"/>
  <c r="AK283" i="6"/>
  <c r="AK274" i="6"/>
  <c r="AK266" i="6"/>
  <c r="AK264" i="6"/>
  <c r="AK261" i="6"/>
  <c r="AK256" i="6"/>
  <c r="AK87" i="6"/>
  <c r="AK76" i="6"/>
  <c r="AK278" i="6" l="1"/>
  <c r="AI261" i="6" l="1"/>
  <c r="AI318" i="6"/>
  <c r="AI316" i="6"/>
  <c r="AI313" i="6"/>
  <c r="AI311" i="6"/>
  <c r="AI307" i="6"/>
  <c r="AI299" i="6"/>
  <c r="AI297" i="6"/>
  <c r="AI293" i="6"/>
  <c r="AI285" i="6"/>
  <c r="AI283" i="6"/>
  <c r="AI278" i="6"/>
  <c r="AI274" i="6"/>
  <c r="AI266" i="6"/>
  <c r="AI264" i="6"/>
  <c r="AI256" i="6"/>
  <c r="AI87" i="6"/>
  <c r="AH318" i="6"/>
  <c r="AH316" i="6"/>
  <c r="AH313" i="6"/>
  <c r="AH311" i="6"/>
  <c r="AH307" i="6"/>
  <c r="AH299" i="6"/>
  <c r="AH297" i="6"/>
  <c r="AH293" i="6"/>
  <c r="AH285" i="6"/>
  <c r="AH283" i="6"/>
  <c r="AH278" i="6"/>
  <c r="AH261" i="6"/>
  <c r="AH256" i="6"/>
  <c r="AH266" i="6"/>
  <c r="AH264" i="6"/>
  <c r="AH250" i="6"/>
  <c r="AH251" i="6" s="1"/>
  <c r="AH249" i="6"/>
  <c r="AH87" i="6"/>
  <c r="AG287" i="6"/>
  <c r="AF287" i="6"/>
  <c r="AG318" i="6" l="1"/>
  <c r="AG316" i="6"/>
  <c r="AG313" i="6"/>
  <c r="AG311" i="6"/>
  <c r="AG307" i="6"/>
  <c r="AG299" i="6"/>
  <c r="AG297" i="6"/>
  <c r="AG293" i="6"/>
  <c r="AG285" i="6"/>
  <c r="AG283" i="6"/>
  <c r="AG267" i="6"/>
  <c r="AG269" i="6" s="1"/>
  <c r="AG266" i="6"/>
  <c r="AG87" i="6"/>
  <c r="AM306" i="6"/>
  <c r="AF307" i="6"/>
  <c r="AE307" i="6"/>
  <c r="AC307" i="6"/>
  <c r="AB307" i="6"/>
  <c r="AA307" i="6"/>
  <c r="Z307" i="6"/>
  <c r="Y307" i="6"/>
  <c r="X307" i="6"/>
  <c r="V307" i="6"/>
  <c r="U307" i="6"/>
  <c r="T307" i="6"/>
  <c r="S307" i="6"/>
  <c r="R307" i="6"/>
  <c r="K307" i="6"/>
  <c r="J307" i="6"/>
  <c r="I307" i="6"/>
  <c r="H307" i="6"/>
  <c r="G307" i="6"/>
  <c r="AM307" i="6" l="1"/>
  <c r="AF285" i="6"/>
  <c r="AE285" i="6"/>
  <c r="AF283" i="6"/>
  <c r="AE283" i="6"/>
  <c r="AE266" i="6"/>
  <c r="AM312" i="6"/>
  <c r="AC313" i="6"/>
  <c r="AB313" i="6"/>
  <c r="AA313" i="6"/>
  <c r="AM317" i="6"/>
  <c r="AM286" i="6"/>
  <c r="AM284" i="6"/>
  <c r="AB287" i="6"/>
  <c r="AA287" i="6"/>
  <c r="Z287" i="6"/>
  <c r="Y287" i="6"/>
  <c r="X287" i="6"/>
  <c r="V287" i="6"/>
  <c r="U287" i="6"/>
  <c r="T287" i="6"/>
  <c r="S287" i="6"/>
  <c r="R287" i="6"/>
  <c r="AB285" i="6"/>
  <c r="AA285" i="6"/>
  <c r="Z285" i="6"/>
  <c r="Y285" i="6"/>
  <c r="X285" i="6"/>
  <c r="V285" i="6"/>
  <c r="U285" i="6"/>
  <c r="T285" i="6"/>
  <c r="S285" i="6"/>
  <c r="R285" i="6"/>
  <c r="AB283" i="6"/>
  <c r="AA283" i="6"/>
  <c r="Z283" i="6"/>
  <c r="Y283" i="6"/>
  <c r="X283" i="6"/>
  <c r="V283" i="6"/>
  <c r="U283" i="6"/>
  <c r="T283" i="6"/>
  <c r="S283" i="6"/>
  <c r="R283" i="6"/>
  <c r="AB269" i="6"/>
  <c r="AA269" i="6"/>
  <c r="Z269" i="6"/>
  <c r="Y269" i="6"/>
  <c r="X269" i="6"/>
  <c r="V269" i="6"/>
  <c r="U269" i="6"/>
  <c r="T269" i="6"/>
  <c r="S269" i="6"/>
  <c r="R269" i="6"/>
  <c r="AC266" i="6"/>
  <c r="AB266" i="6"/>
  <c r="AA266" i="6"/>
  <c r="Z266" i="6"/>
  <c r="Y266" i="6"/>
  <c r="X266" i="6"/>
  <c r="V266" i="6"/>
  <c r="U266" i="6"/>
  <c r="T266" i="6"/>
  <c r="S266" i="6"/>
  <c r="R266" i="6"/>
  <c r="AB264" i="6"/>
  <c r="AA264" i="6"/>
  <c r="Z264" i="6"/>
  <c r="Y264" i="6"/>
  <c r="X264" i="6"/>
  <c r="V264" i="6"/>
  <c r="U264" i="6"/>
  <c r="T264" i="6"/>
  <c r="S264" i="6"/>
  <c r="R264" i="6"/>
  <c r="AM281" i="6" l="1"/>
  <c r="D35" i="17" l="1"/>
  <c r="F35" i="17" s="1"/>
  <c r="G28" i="37" l="1"/>
  <c r="G27" i="37"/>
  <c r="X85" i="6"/>
  <c r="V85" i="6"/>
  <c r="U85" i="6" l="1"/>
  <c r="T87" i="6"/>
  <c r="S85" i="6" l="1"/>
  <c r="R85" i="6"/>
  <c r="G249" i="6" l="1"/>
  <c r="AM84" i="6" l="1"/>
  <c r="AM23" i="6"/>
  <c r="F24" i="41" s="1"/>
  <c r="S21" i="41" l="1"/>
  <c r="G269" i="6"/>
  <c r="H269" i="6"/>
  <c r="H266" i="6"/>
  <c r="G266" i="6"/>
  <c r="H264" i="6"/>
  <c r="G264" i="6"/>
  <c r="H287" i="6"/>
  <c r="G287" i="6"/>
  <c r="H285" i="6"/>
  <c r="G285" i="6"/>
  <c r="H283" i="6"/>
  <c r="E285" i="6"/>
  <c r="E283" i="6"/>
  <c r="E266" i="6"/>
  <c r="E264" i="6"/>
  <c r="AF318" i="6"/>
  <c r="AE318" i="6"/>
  <c r="AC318" i="6"/>
  <c r="AB318" i="6"/>
  <c r="AA318" i="6"/>
  <c r="Z318" i="6"/>
  <c r="Y318" i="6"/>
  <c r="X318" i="6"/>
  <c r="V318" i="6"/>
  <c r="U318" i="6"/>
  <c r="T318" i="6"/>
  <c r="S318" i="6"/>
  <c r="R318" i="6"/>
  <c r="K318" i="6"/>
  <c r="J318" i="6"/>
  <c r="I318" i="6"/>
  <c r="H318" i="6"/>
  <c r="G318" i="6"/>
  <c r="E318" i="6"/>
  <c r="AF316" i="6"/>
  <c r="AE316" i="6"/>
  <c r="AC316" i="6"/>
  <c r="AB316" i="6"/>
  <c r="AA316" i="6"/>
  <c r="Z316" i="6"/>
  <c r="Y316" i="6"/>
  <c r="X316" i="6"/>
  <c r="V316" i="6"/>
  <c r="U316" i="6"/>
  <c r="T316" i="6"/>
  <c r="S316" i="6"/>
  <c r="R316" i="6"/>
  <c r="K316" i="6"/>
  <c r="J316" i="6"/>
  <c r="I316" i="6"/>
  <c r="H316" i="6"/>
  <c r="G316" i="6"/>
  <c r="E316" i="6"/>
  <c r="AM315" i="6"/>
  <c r="AF313" i="6"/>
  <c r="AE313" i="6"/>
  <c r="Z313" i="6"/>
  <c r="Y313" i="6"/>
  <c r="X313" i="6"/>
  <c r="V313" i="6"/>
  <c r="U313" i="6"/>
  <c r="T313" i="6"/>
  <c r="S313" i="6"/>
  <c r="R313" i="6"/>
  <c r="K313" i="6"/>
  <c r="J313" i="6"/>
  <c r="I313" i="6"/>
  <c r="H313" i="6"/>
  <c r="G313" i="6"/>
  <c r="E313" i="6"/>
  <c r="AF311" i="6"/>
  <c r="AC311" i="6"/>
  <c r="AB311" i="6"/>
  <c r="AA311" i="6"/>
  <c r="Z311" i="6"/>
  <c r="Y311" i="6"/>
  <c r="X311" i="6"/>
  <c r="V311" i="6"/>
  <c r="U311" i="6"/>
  <c r="T311" i="6"/>
  <c r="S311" i="6"/>
  <c r="R311" i="6"/>
  <c r="K311" i="6"/>
  <c r="J311" i="6"/>
  <c r="I311" i="6"/>
  <c r="H311" i="6"/>
  <c r="G311" i="6"/>
  <c r="E311" i="6"/>
  <c r="AM310" i="6"/>
  <c r="G320" i="6"/>
  <c r="H320" i="6"/>
  <c r="I320" i="6"/>
  <c r="J320" i="6"/>
  <c r="K320" i="6"/>
  <c r="H250" i="6"/>
  <c r="AM287" i="6" l="1"/>
  <c r="AO312" i="6"/>
  <c r="H293" i="6" l="1"/>
  <c r="S50" i="41"/>
  <c r="S49" i="41"/>
  <c r="S48" i="41" l="1"/>
  <c r="G45" i="6" l="1"/>
  <c r="G32" i="6"/>
  <c r="AK73" i="6" l="1"/>
  <c r="AK72" i="6"/>
  <c r="AK71" i="6"/>
  <c r="AK70" i="6"/>
  <c r="AK250" i="6"/>
  <c r="AK251" i="6" s="1"/>
  <c r="AK249" i="6"/>
  <c r="AK8" i="6"/>
  <c r="AK304" i="6" l="1"/>
  <c r="AK258" i="6"/>
  <c r="AK276" i="6"/>
  <c r="AK302" i="6"/>
  <c r="AK28" i="6"/>
  <c r="AC50" i="6" l="1"/>
  <c r="AB250" i="6" l="1"/>
  <c r="AC55" i="6"/>
  <c r="AM9" i="6"/>
  <c r="AM88" i="6" s="1"/>
  <c r="F12" i="41" l="1"/>
  <c r="F10" i="41" s="1"/>
  <c r="AM256" i="6"/>
  <c r="AM274" i="6"/>
  <c r="AM283" i="6"/>
  <c r="AM85" i="6"/>
  <c r="AA55" i="6"/>
  <c r="AA29" i="41" l="1"/>
  <c r="AA30" i="41" s="1"/>
  <c r="F13" i="41"/>
  <c r="AA13" i="41"/>
  <c r="F81" i="41"/>
  <c r="S12" i="41"/>
  <c r="S61" i="41" s="1"/>
  <c r="X293" i="6"/>
  <c r="S13" i="41" l="1"/>
  <c r="Y13" i="41"/>
  <c r="V12" i="41"/>
  <c r="V320" i="6"/>
  <c r="U249" i="6"/>
  <c r="AM6" i="6"/>
  <c r="F8" i="41" s="1"/>
  <c r="AM243" i="6" l="1"/>
  <c r="AM8" i="6"/>
  <c r="AM10" i="6"/>
  <c r="AM292" i="6"/>
  <c r="F259" i="41" s="1"/>
  <c r="AM271" i="6"/>
  <c r="F250" i="41" s="1"/>
  <c r="AM246" i="6"/>
  <c r="F239" i="41" s="1"/>
  <c r="L16" i="36" l="1"/>
  <c r="AM18" i="6" l="1"/>
  <c r="AM60" i="6" l="1"/>
  <c r="F61" i="41" s="1"/>
  <c r="G299" i="6"/>
  <c r="G293" i="6"/>
  <c r="G278" i="6"/>
  <c r="G261" i="6"/>
  <c r="G250" i="6"/>
  <c r="G251" i="6" s="1"/>
  <c r="G91" i="6"/>
  <c r="G89" i="6"/>
  <c r="G87" i="6"/>
  <c r="G72" i="6"/>
  <c r="G71" i="6"/>
  <c r="G70" i="6"/>
  <c r="G69" i="6"/>
  <c r="G68" i="6"/>
  <c r="G62" i="6"/>
  <c r="G61" i="6"/>
  <c r="G60" i="6"/>
  <c r="G55" i="6"/>
  <c r="G73" i="6" s="1"/>
  <c r="G50" i="6"/>
  <c r="G41" i="6"/>
  <c r="G67" i="6" s="1"/>
  <c r="G36" i="6"/>
  <c r="G65" i="6" s="1"/>
  <c r="G63" i="6"/>
  <c r="G12" i="6"/>
  <c r="G11" i="6" s="1"/>
  <c r="G8" i="6"/>
  <c r="G64" i="6" l="1"/>
  <c r="G29" i="6"/>
  <c r="G302" i="6" s="1"/>
  <c r="G66" i="6"/>
  <c r="G76" i="6"/>
  <c r="AI250" i="6"/>
  <c r="AI251" i="6" s="1"/>
  <c r="AI249" i="6"/>
  <c r="G258" i="6" l="1"/>
  <c r="G276" i="6"/>
  <c r="G28" i="6"/>
  <c r="G283" i="6"/>
  <c r="G30" i="6"/>
  <c r="G304" i="6"/>
  <c r="W60" i="41"/>
  <c r="AD320" i="6" l="1"/>
  <c r="AD293" i="6" l="1"/>
  <c r="AE293" i="6"/>
  <c r="AB293" i="6"/>
  <c r="AC293" i="6"/>
  <c r="AD11" i="6" l="1"/>
  <c r="AD76" i="6" s="1"/>
  <c r="S293" i="6" l="1"/>
  <c r="S320" i="6"/>
  <c r="AA293" i="6"/>
  <c r="AA249" i="6"/>
  <c r="F39" i="3"/>
  <c r="W73" i="41"/>
  <c r="T269" i="41"/>
  <c r="S269" i="41"/>
  <c r="T268" i="41"/>
  <c r="S268" i="41"/>
  <c r="AW259" i="41"/>
  <c r="S259" i="41"/>
  <c r="U259" i="41" s="1"/>
  <c r="D256" i="41"/>
  <c r="T255" i="41"/>
  <c r="D254" i="41"/>
  <c r="D255" i="41" s="1"/>
  <c r="AW250" i="41"/>
  <c r="S250" i="41"/>
  <c r="U250" i="41" s="1"/>
  <c r="T248" i="41"/>
  <c r="D243" i="41"/>
  <c r="D247" i="41" s="1"/>
  <c r="D248" i="41" s="1"/>
  <c r="T241" i="41"/>
  <c r="D241" i="41"/>
  <c r="D237" i="41" s="1"/>
  <c r="S239" i="41"/>
  <c r="AW237" i="41"/>
  <c r="S237" i="41"/>
  <c r="U237" i="41" s="1"/>
  <c r="S236" i="41"/>
  <c r="U236" i="41" s="1"/>
  <c r="T234" i="41"/>
  <c r="S234" i="41"/>
  <c r="T233" i="41"/>
  <c r="S233" i="41"/>
  <c r="S232" i="41"/>
  <c r="U232" i="41" s="1"/>
  <c r="S231" i="41"/>
  <c r="U231" i="41" s="1"/>
  <c r="S230" i="41"/>
  <c r="U230" i="41" s="1"/>
  <c r="S222" i="41"/>
  <c r="S220" i="41"/>
  <c r="S219" i="41"/>
  <c r="S218" i="41"/>
  <c r="S213" i="41"/>
  <c r="S212" i="41"/>
  <c r="T206" i="41"/>
  <c r="T205" i="41"/>
  <c r="T203" i="41"/>
  <c r="S203" i="41"/>
  <c r="U203" i="41" s="1"/>
  <c r="T192" i="41"/>
  <c r="S192" i="41"/>
  <c r="U192" i="41" s="1"/>
  <c r="T191" i="41"/>
  <c r="S191" i="41"/>
  <c r="U191" i="41" s="1"/>
  <c r="T190" i="41"/>
  <c r="S190" i="41"/>
  <c r="T187" i="41"/>
  <c r="S187" i="41"/>
  <c r="U187" i="41" s="1"/>
  <c r="T186" i="41"/>
  <c r="T195" i="41" s="1"/>
  <c r="S186" i="41"/>
  <c r="U186" i="41" s="1"/>
  <c r="T182" i="41"/>
  <c r="T181" i="41"/>
  <c r="T179" i="41"/>
  <c r="T178" i="41"/>
  <c r="T176" i="41"/>
  <c r="T180" i="41" s="1"/>
  <c r="S176" i="41"/>
  <c r="T171" i="41"/>
  <c r="T170" i="41"/>
  <c r="S181" i="41"/>
  <c r="U181" i="41" s="1"/>
  <c r="T160" i="41"/>
  <c r="C160" i="41"/>
  <c r="T159" i="41"/>
  <c r="C159" i="41"/>
  <c r="T157" i="41"/>
  <c r="T156" i="41"/>
  <c r="T153" i="41"/>
  <c r="T152" i="41"/>
  <c r="T151" i="41"/>
  <c r="T150" i="41"/>
  <c r="FZ145" i="41"/>
  <c r="T145" i="41"/>
  <c r="T144" i="41"/>
  <c r="S152" i="41"/>
  <c r="U152" i="41" s="1"/>
  <c r="T133" i="41"/>
  <c r="T132" i="41"/>
  <c r="T130" i="41"/>
  <c r="T137" i="41" s="1"/>
  <c r="S130" i="41"/>
  <c r="T129" i="41"/>
  <c r="T136" i="41" s="1"/>
  <c r="S129" i="41"/>
  <c r="T126" i="41"/>
  <c r="T125" i="41"/>
  <c r="T124" i="41"/>
  <c r="T123" i="41"/>
  <c r="S121" i="41"/>
  <c r="T117" i="41"/>
  <c r="T116" i="41"/>
  <c r="S125" i="41"/>
  <c r="U125" i="41" s="1"/>
  <c r="T106" i="41"/>
  <c r="T105" i="41"/>
  <c r="T103" i="41"/>
  <c r="T110" i="41" s="1"/>
  <c r="T102" i="41"/>
  <c r="T109" i="41" s="1"/>
  <c r="T99" i="41"/>
  <c r="T97" i="41"/>
  <c r="T96" i="41"/>
  <c r="S94" i="41"/>
  <c r="S93" i="41"/>
  <c r="T91" i="41"/>
  <c r="S91" i="41"/>
  <c r="FW90" i="41"/>
  <c r="OY90" i="41" s="1"/>
  <c r="T90" i="41"/>
  <c r="FW89" i="41"/>
  <c r="OY89" i="41" s="1"/>
  <c r="T89" i="41"/>
  <c r="S98" i="41"/>
  <c r="T87" i="41"/>
  <c r="S87" i="41"/>
  <c r="OX86" i="41"/>
  <c r="FZ85" i="41"/>
  <c r="S84" i="41"/>
  <c r="T82" i="41"/>
  <c r="FM81" i="41"/>
  <c r="S78" i="41"/>
  <c r="U78" i="41" s="1"/>
  <c r="FM77" i="41"/>
  <c r="OQ74" i="41"/>
  <c r="OQ73" i="41" s="1"/>
  <c r="FM74" i="41"/>
  <c r="OO62" i="41"/>
  <c r="OQ62" i="41" s="1"/>
  <c r="T62" i="41"/>
  <c r="OQ61" i="41"/>
  <c r="T61" i="41"/>
  <c r="S59" i="41"/>
  <c r="S58" i="41"/>
  <c r="S57" i="41"/>
  <c r="DF56" i="41"/>
  <c r="T54" i="41"/>
  <c r="S54" i="41"/>
  <c r="U54" i="41" s="1"/>
  <c r="T53" i="41"/>
  <c r="T73" i="41" s="1"/>
  <c r="S52" i="41"/>
  <c r="T43" i="41"/>
  <c r="S41" i="41"/>
  <c r="U41" i="41" s="1"/>
  <c r="S40" i="41"/>
  <c r="T39" i="41"/>
  <c r="D39" i="41"/>
  <c r="DH38" i="41"/>
  <c r="DG38" i="41"/>
  <c r="DF38" i="41"/>
  <c r="S38" i="41"/>
  <c r="PE37" i="41"/>
  <c r="DH37" i="41"/>
  <c r="DG37" i="41"/>
  <c r="DF37" i="41"/>
  <c r="S36" i="41"/>
  <c r="S35" i="41"/>
  <c r="T34" i="41"/>
  <c r="PE32" i="41"/>
  <c r="AEF31" i="41"/>
  <c r="PE31" i="41"/>
  <c r="ON31" i="41"/>
  <c r="ON37" i="41" s="1"/>
  <c r="AEF30" i="41"/>
  <c r="T30" i="41"/>
  <c r="T64" i="41" s="1"/>
  <c r="AEF22" i="41"/>
  <c r="AEQ22" i="41" s="1"/>
  <c r="PE22" i="41"/>
  <c r="AEF21" i="41"/>
  <c r="AEQ21" i="41" s="1"/>
  <c r="AGU18" i="41"/>
  <c r="OQ18" i="41"/>
  <c r="S18" i="41"/>
  <c r="U18" i="41" s="1"/>
  <c r="AGU17" i="41"/>
  <c r="AGU21" i="41" s="1"/>
  <c r="OQ17" i="41"/>
  <c r="OQ16" i="41" s="1"/>
  <c r="OR17" i="41" s="1"/>
  <c r="DH17" i="41"/>
  <c r="DG17" i="41"/>
  <c r="DF17" i="41"/>
  <c r="AW14" i="41"/>
  <c r="S14" i="41"/>
  <c r="AED12" i="41"/>
  <c r="T169" i="41" l="1"/>
  <c r="T142" i="41"/>
  <c r="T115" i="41"/>
  <c r="T204" i="41"/>
  <c r="T113" i="41"/>
  <c r="PE39" i="41"/>
  <c r="OR29" i="41" s="1"/>
  <c r="PE29" i="41" s="1"/>
  <c r="T38" i="41"/>
  <c r="U38" i="41" s="1"/>
  <c r="AIU8" i="41"/>
  <c r="AIV8" i="41" s="1"/>
  <c r="S205" i="41"/>
  <c r="U205" i="41" s="1"/>
  <c r="S39" i="41"/>
  <c r="U39" i="41" s="1"/>
  <c r="U87" i="41"/>
  <c r="T88" i="41"/>
  <c r="T98" i="41" s="1"/>
  <c r="U98" i="41" s="1"/>
  <c r="T52" i="41"/>
  <c r="U52" i="41" s="1"/>
  <c r="T143" i="41"/>
  <c r="S34" i="41"/>
  <c r="S66" i="41" s="1"/>
  <c r="OQ77" i="41"/>
  <c r="T196" i="41"/>
  <c r="T63" i="41"/>
  <c r="T112" i="41"/>
  <c r="U234" i="41"/>
  <c r="T140" i="41"/>
  <c r="U233" i="41"/>
  <c r="T139" i="41"/>
  <c r="OR18" i="41"/>
  <c r="T199" i="41"/>
  <c r="S214" i="41"/>
  <c r="S215" i="41"/>
  <c r="S126" i="41"/>
  <c r="U126" i="41" s="1"/>
  <c r="S209" i="41"/>
  <c r="S225" i="41" s="1"/>
  <c r="S116" i="41"/>
  <c r="S170" i="41"/>
  <c r="S210" i="41"/>
  <c r="S226" i="41" s="1"/>
  <c r="S103" i="41"/>
  <c r="U103" i="41" s="1"/>
  <c r="S120" i="41"/>
  <c r="S136" i="41" s="1"/>
  <c r="S144" i="41"/>
  <c r="S148" i="41"/>
  <c r="S153" i="41"/>
  <c r="U153" i="41" s="1"/>
  <c r="T18" i="41"/>
  <c r="S102" i="41"/>
  <c r="U102" i="41" s="1"/>
  <c r="S147" i="41"/>
  <c r="S175" i="41"/>
  <c r="S179" i="41" s="1"/>
  <c r="AGU22" i="41"/>
  <c r="AGU29" i="41"/>
  <c r="U94" i="41"/>
  <c r="S97" i="41"/>
  <c r="U97" i="41" s="1"/>
  <c r="S160" i="41"/>
  <c r="AED31" i="41"/>
  <c r="AED30" i="41"/>
  <c r="U35" i="41"/>
  <c r="U36" i="41"/>
  <c r="T74" i="41"/>
  <c r="S124" i="41"/>
  <c r="U121" i="41"/>
  <c r="U124" i="41" s="1"/>
  <c r="S180" i="41"/>
  <c r="S200" i="41" s="1"/>
  <c r="U176" i="41"/>
  <c r="U180" i="41" s="1"/>
  <c r="U200" i="41" s="1"/>
  <c r="T200" i="41"/>
  <c r="U40" i="41"/>
  <c r="S137" i="41"/>
  <c r="U130" i="41"/>
  <c r="AW35" i="41"/>
  <c r="AW36" i="41"/>
  <c r="S79" i="41"/>
  <c r="AW79" i="41" s="1"/>
  <c r="S96" i="41"/>
  <c r="U96" i="41" s="1"/>
  <c r="U93" i="41"/>
  <c r="S89" i="41"/>
  <c r="U129" i="41"/>
  <c r="S99" i="41"/>
  <c r="U99" i="41" s="1"/>
  <c r="S174" i="41"/>
  <c r="U239" i="41"/>
  <c r="S156" i="41"/>
  <c r="S157" i="41"/>
  <c r="S182" i="41"/>
  <c r="U182" i="41" s="1"/>
  <c r="U190" i="41"/>
  <c r="S196" i="41"/>
  <c r="OQ75" i="41"/>
  <c r="OQ78" i="41" s="1"/>
  <c r="S90" i="41"/>
  <c r="U90" i="41" s="1"/>
  <c r="V293" i="6"/>
  <c r="U293" i="6"/>
  <c r="S68" i="41" l="1"/>
  <c r="S206" i="41"/>
  <c r="U206" i="41" s="1"/>
  <c r="U204" i="41" s="1"/>
  <c r="S65" i="41"/>
  <c r="AW34" i="41"/>
  <c r="OQ79" i="41"/>
  <c r="OQ81" i="41" s="1"/>
  <c r="S67" i="41"/>
  <c r="U34" i="41"/>
  <c r="U12" i="41"/>
  <c r="ON16" i="41"/>
  <c r="ON18" i="41" s="1"/>
  <c r="ON19" i="41" s="1"/>
  <c r="S10" i="41"/>
  <c r="AW12" i="41"/>
  <c r="S110" i="41"/>
  <c r="U170" i="41"/>
  <c r="U110" i="41"/>
  <c r="S171" i="41"/>
  <c r="U171" i="41" s="1"/>
  <c r="U196" i="41"/>
  <c r="S117" i="41"/>
  <c r="U117" i="41" s="1"/>
  <c r="U175" i="41"/>
  <c r="U179" i="41" s="1"/>
  <c r="S145" i="41"/>
  <c r="U145" i="41" s="1"/>
  <c r="U109" i="41"/>
  <c r="U144" i="41"/>
  <c r="S123" i="41"/>
  <c r="U120" i="41"/>
  <c r="U123" i="41" s="1"/>
  <c r="U137" i="41"/>
  <c r="S150" i="41"/>
  <c r="U147" i="41"/>
  <c r="U150" i="41" s="1"/>
  <c r="U116" i="41"/>
  <c r="U115" i="41" s="1"/>
  <c r="S109" i="41"/>
  <c r="S151" i="41"/>
  <c r="S167" i="41" s="1"/>
  <c r="U148" i="41"/>
  <c r="U151" i="41" s="1"/>
  <c r="S229" i="41"/>
  <c r="S159" i="41"/>
  <c r="S106" i="41"/>
  <c r="S164" i="41"/>
  <c r="U157" i="41"/>
  <c r="S133" i="41"/>
  <c r="S105" i="41"/>
  <c r="S221" i="41"/>
  <c r="S228" i="41" s="1"/>
  <c r="S163" i="41"/>
  <c r="U156" i="41"/>
  <c r="S132" i="41"/>
  <c r="S178" i="41"/>
  <c r="S199" i="41" s="1"/>
  <c r="U174" i="41"/>
  <c r="S195" i="41"/>
  <c r="U160" i="41"/>
  <c r="U89" i="41"/>
  <c r="S88" i="41"/>
  <c r="U88" i="41" s="1"/>
  <c r="S8" i="41"/>
  <c r="U8" i="41" s="1"/>
  <c r="S204" i="41" l="1"/>
  <c r="S142" i="41"/>
  <c r="S143" i="41"/>
  <c r="S169" i="41"/>
  <c r="S115" i="41"/>
  <c r="U143" i="41"/>
  <c r="U169" i="41"/>
  <c r="ON22" i="41"/>
  <c r="U142" i="41"/>
  <c r="U136" i="41"/>
  <c r="U178" i="41"/>
  <c r="U199" i="41" s="1"/>
  <c r="U195" i="41"/>
  <c r="U106" i="41"/>
  <c r="U113" i="41" s="1"/>
  <c r="S113" i="41"/>
  <c r="S140" i="41"/>
  <c r="U133" i="41"/>
  <c r="U140" i="41" s="1"/>
  <c r="U159" i="41"/>
  <c r="S166" i="41"/>
  <c r="S139" i="41"/>
  <c r="U132" i="41"/>
  <c r="U139" i="41" s="1"/>
  <c r="U105" i="41"/>
  <c r="U112" i="41" s="1"/>
  <c r="S112" i="41"/>
  <c r="AM279" i="6" l="1"/>
  <c r="F256" i="41" s="1"/>
  <c r="S256" i="41" l="1"/>
  <c r="U256" i="41" s="1"/>
  <c r="E4" i="27"/>
  <c r="H297" i="6"/>
  <c r="H261" i="6"/>
  <c r="U245" i="41"/>
  <c r="H256" i="6"/>
  <c r="AM267" i="6" l="1"/>
  <c r="AM269" i="6" s="1"/>
  <c r="U243" i="41"/>
  <c r="U246" i="41"/>
  <c r="AM259" i="6"/>
  <c r="AM303" i="6"/>
  <c r="F265" i="41" s="1"/>
  <c r="M320" i="6"/>
  <c r="F247" i="41" l="1"/>
  <c r="S247" i="41" s="1"/>
  <c r="U247" i="41" s="1"/>
  <c r="AM261" i="6"/>
  <c r="F248" i="41" s="1"/>
  <c r="S248" i="41" s="1"/>
  <c r="S265" i="41"/>
  <c r="AM260" i="6"/>
  <c r="L320" i="6"/>
  <c r="H299" i="6"/>
  <c r="U248" i="41" l="1"/>
  <c r="T265" i="41"/>
  <c r="H251" i="6"/>
  <c r="AM34" i="6"/>
  <c r="K73" i="6"/>
  <c r="K72" i="6"/>
  <c r="K71" i="6"/>
  <c r="K70" i="6"/>
  <c r="H249" i="6"/>
  <c r="F32" i="41" l="1"/>
  <c r="AM62" i="6"/>
  <c r="F63" i="41" s="1"/>
  <c r="AM63" i="6"/>
  <c r="F64" i="41" s="1"/>
  <c r="U84" i="41"/>
  <c r="G16" i="36"/>
  <c r="AA17" i="41" l="1"/>
  <c r="S32" i="41"/>
  <c r="S31" i="41"/>
  <c r="AM61" i="6" l="1"/>
  <c r="F62" i="41" s="1"/>
  <c r="S22" i="41"/>
  <c r="S82" i="41" s="1"/>
  <c r="AM311" i="6"/>
  <c r="AM313" i="6"/>
  <c r="U32" i="41"/>
  <c r="AIU18" i="41"/>
  <c r="AIV18" i="41" s="1"/>
  <c r="AIU17" i="41"/>
  <c r="AIV17" i="41" s="1"/>
  <c r="U31" i="41"/>
  <c r="S30" i="41"/>
  <c r="S63" i="41" s="1"/>
  <c r="AM89" i="6" l="1"/>
  <c r="U82" i="41"/>
  <c r="U30" i="41"/>
  <c r="S64" i="41"/>
  <c r="S62" i="41"/>
  <c r="AIU12" i="41"/>
  <c r="AIV12" i="41" s="1"/>
  <c r="U22" i="41"/>
  <c r="U21" i="41"/>
  <c r="AM298" i="6"/>
  <c r="F262" i="41" s="1"/>
  <c r="AM296" i="6"/>
  <c r="F263" i="41" s="1"/>
  <c r="AM277" i="6"/>
  <c r="F254" i="41" s="1"/>
  <c r="AM275" i="6"/>
  <c r="F253" i="41" s="1"/>
  <c r="AM248" i="6"/>
  <c r="AM25" i="6"/>
  <c r="S254" i="41" l="1"/>
  <c r="U254" i="41" s="1"/>
  <c r="S253" i="41"/>
  <c r="AFQ253" i="41" s="1"/>
  <c r="T262" i="41"/>
  <c r="S262" i="41"/>
  <c r="T263" i="41"/>
  <c r="S263" i="41"/>
  <c r="S252" i="41"/>
  <c r="S25" i="41"/>
  <c r="S80" i="41"/>
  <c r="S81" i="41" s="1"/>
  <c r="AW81" i="41" s="1"/>
  <c r="AM87" i="6"/>
  <c r="S24" i="41"/>
  <c r="AM297" i="6"/>
  <c r="AM249" i="6"/>
  <c r="AM272" i="6"/>
  <c r="AM299" i="6"/>
  <c r="AM15" i="6"/>
  <c r="U253" i="41" l="1"/>
  <c r="AFQ252" i="41"/>
  <c r="U252" i="41"/>
  <c r="S77" i="41"/>
  <c r="AW77" i="41" s="1"/>
  <c r="W76" i="41"/>
  <c r="S85" i="41"/>
  <c r="W64" i="41"/>
  <c r="U76" i="41"/>
  <c r="U85" i="41" s="1"/>
  <c r="U80" i="41"/>
  <c r="U81" i="41" s="1"/>
  <c r="L10" i="36"/>
  <c r="L9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5" i="36"/>
  <c r="L14" i="36"/>
  <c r="L13" i="36"/>
  <c r="L12" i="36"/>
  <c r="L11" i="36"/>
  <c r="L8" i="36"/>
  <c r="L7" i="36"/>
  <c r="L6" i="36"/>
  <c r="AM301" i="6"/>
  <c r="F266" i="41" s="1"/>
  <c r="T266" i="41" l="1"/>
  <c r="AM14" i="6"/>
  <c r="F17" i="41" s="1"/>
  <c r="AM13" i="6"/>
  <c r="F16" i="41" s="1"/>
  <c r="S266" i="41" l="1"/>
  <c r="T17" i="41"/>
  <c r="S17" i="41"/>
  <c r="U17" i="41" s="1"/>
  <c r="T16" i="41"/>
  <c r="S16" i="41"/>
  <c r="U16" i="41" s="1"/>
  <c r="AI11" i="6"/>
  <c r="AI76" i="6" s="1"/>
  <c r="AI320" i="6" l="1"/>
  <c r="AH320" i="6"/>
  <c r="O320" i="6"/>
  <c r="P320" i="6"/>
  <c r="Q320" i="6"/>
  <c r="R320" i="6"/>
  <c r="T320" i="6"/>
  <c r="AE320" i="6"/>
  <c r="AF320" i="6"/>
  <c r="AG320" i="6"/>
  <c r="N320" i="6"/>
  <c r="AI276" i="6" l="1"/>
  <c r="AI258" i="6"/>
  <c r="AI302" i="6"/>
  <c r="AI304" i="6"/>
  <c r="AE299" i="6"/>
  <c r="AF299" i="6"/>
  <c r="AE297" i="6"/>
  <c r="AE250" i="6"/>
  <c r="AE251" i="6" s="1"/>
  <c r="AF250" i="6"/>
  <c r="AF251" i="6" s="1"/>
  <c r="AG250" i="6"/>
  <c r="AG251" i="6" s="1"/>
  <c r="AC250" i="6"/>
  <c r="AC251" i="6" s="1"/>
  <c r="AD249" i="6"/>
  <c r="AE249" i="6"/>
  <c r="AG249" i="6"/>
  <c r="AC249" i="6"/>
  <c r="AF261" i="6" l="1"/>
  <c r="AB251" i="6"/>
  <c r="AC11" i="6"/>
  <c r="AC76" i="6" s="1"/>
  <c r="AB249" i="6"/>
  <c r="Z249" i="6"/>
  <c r="V249" i="6"/>
  <c r="R249" i="6"/>
  <c r="S249" i="6"/>
  <c r="AB12" i="6" l="1"/>
  <c r="AB11" i="6" s="1"/>
  <c r="AB76" i="6" s="1"/>
  <c r="AC320" i="6" l="1"/>
  <c r="AB320" i="6"/>
  <c r="AA250" i="6" l="1"/>
  <c r="AA251" i="6" s="1"/>
  <c r="Y251" i="6"/>
  <c r="Z250" i="6"/>
  <c r="Z251" i="6" s="1"/>
  <c r="AA320" i="6" l="1"/>
  <c r="X11" i="6"/>
  <c r="Z320" i="6" l="1"/>
  <c r="U320" i="6"/>
  <c r="Y320" i="6"/>
  <c r="X320" i="6"/>
  <c r="W320" i="6"/>
  <c r="AS14" i="6"/>
  <c r="AS13" i="6"/>
  <c r="AS16" i="6" s="1"/>
  <c r="AS4" i="6"/>
  <c r="AP14" i="6" l="1"/>
  <c r="AO298" i="6"/>
  <c r="AP6" i="6" l="1"/>
  <c r="AP15" i="6" l="1"/>
  <c r="AP16" i="6" s="1"/>
  <c r="U250" i="6"/>
  <c r="U251" i="6" s="1"/>
  <c r="V250" i="6"/>
  <c r="V251" i="6" s="1"/>
  <c r="S250" i="6"/>
  <c r="S251" i="6" s="1"/>
  <c r="R250" i="6"/>
  <c r="R251" i="6" s="1"/>
  <c r="AP13" i="6" l="1"/>
  <c r="AS17" i="6" s="1"/>
  <c r="AP17" i="6"/>
  <c r="AM251" i="6"/>
  <c r="F241" i="41" s="1"/>
  <c r="X87" i="6" l="1"/>
  <c r="C4" i="27"/>
  <c r="H11" i="27"/>
  <c r="H10" i="27"/>
  <c r="H9" i="27"/>
  <c r="H8" i="27"/>
  <c r="F12" i="26"/>
  <c r="U297" i="6"/>
  <c r="V297" i="6"/>
  <c r="S256" i="6" l="1"/>
  <c r="S11" i="6"/>
  <c r="S76" i="6" s="1"/>
  <c r="G13" i="36" l="1"/>
  <c r="G12" i="36"/>
  <c r="AM47" i="6" l="1"/>
  <c r="F45" i="41" s="1"/>
  <c r="AA19" i="41" s="1"/>
  <c r="S45" i="41" l="1"/>
  <c r="U45" i="41" s="1"/>
  <c r="AF87" i="6"/>
  <c r="AI28" i="6"/>
  <c r="V256" i="6" l="1"/>
  <c r="U256" i="6"/>
  <c r="T72" i="6"/>
  <c r="T71" i="6"/>
  <c r="T70" i="6"/>
  <c r="AI73" i="6"/>
  <c r="X73" i="6"/>
  <c r="AI72" i="6"/>
  <c r="AH72" i="6"/>
  <c r="AG72" i="6"/>
  <c r="AF72" i="6"/>
  <c r="AE72" i="6"/>
  <c r="AD72" i="6"/>
  <c r="AC72" i="6"/>
  <c r="AB72" i="6"/>
  <c r="AA72" i="6"/>
  <c r="Z72" i="6"/>
  <c r="Y72" i="6"/>
  <c r="X72" i="6"/>
  <c r="V72" i="6"/>
  <c r="U72" i="6"/>
  <c r="AI71" i="6"/>
  <c r="AH71" i="6"/>
  <c r="AG71" i="6"/>
  <c r="AF71" i="6"/>
  <c r="AE71" i="6"/>
  <c r="AD71" i="6"/>
  <c r="AC71" i="6"/>
  <c r="AB71" i="6"/>
  <c r="AA71" i="6"/>
  <c r="Z71" i="6"/>
  <c r="Y71" i="6"/>
  <c r="X71" i="6"/>
  <c r="V71" i="6"/>
  <c r="U71" i="6"/>
  <c r="AI70" i="6"/>
  <c r="AH70" i="6"/>
  <c r="AG70" i="6"/>
  <c r="AF70" i="6"/>
  <c r="AE70" i="6"/>
  <c r="AD70" i="6"/>
  <c r="AC70" i="6"/>
  <c r="AB70" i="6"/>
  <c r="AA70" i="6"/>
  <c r="Z70" i="6"/>
  <c r="Y70" i="6"/>
  <c r="X70" i="6"/>
  <c r="V70" i="6"/>
  <c r="U70" i="6"/>
  <c r="S72" i="6"/>
  <c r="S71" i="6"/>
  <c r="S70" i="6"/>
  <c r="AI8" i="6"/>
  <c r="AH8" i="6"/>
  <c r="AG8" i="6"/>
  <c r="AF8" i="6"/>
  <c r="AE8" i="6"/>
  <c r="AD8" i="6"/>
  <c r="AC8" i="6"/>
  <c r="AB8" i="6"/>
  <c r="AA8" i="6"/>
  <c r="Z8" i="6"/>
  <c r="Y8" i="6"/>
  <c r="V8" i="6"/>
  <c r="U8" i="6"/>
  <c r="T8" i="6"/>
  <c r="S8" i="6"/>
  <c r="R8" i="6"/>
  <c r="H8" i="6"/>
  <c r="X304" i="6" l="1"/>
  <c r="X276" i="6"/>
  <c r="X302" i="6"/>
  <c r="X258" i="6"/>
  <c r="D12" i="17" l="1"/>
  <c r="AO292" i="6"/>
  <c r="AP5" i="6"/>
  <c r="Z87" i="6"/>
  <c r="Z73" i="6"/>
  <c r="Z50" i="6"/>
  <c r="Z12" i="6"/>
  <c r="Y87" i="6"/>
  <c r="Y55" i="6"/>
  <c r="Y73" i="6" s="1"/>
  <c r="Y50" i="6"/>
  <c r="Y12" i="6"/>
  <c r="F7" i="33"/>
  <c r="F6" i="33"/>
  <c r="E61" i="31"/>
  <c r="E45" i="31"/>
  <c r="E44" i="31"/>
  <c r="E55" i="6"/>
  <c r="E36" i="31"/>
  <c r="E35" i="31"/>
  <c r="E26" i="31"/>
  <c r="E27" i="31"/>
  <c r="E22" i="31"/>
  <c r="E19" i="31"/>
  <c r="E18" i="31"/>
  <c r="E11" i="31"/>
  <c r="E43" i="31" l="1"/>
  <c r="D9" i="17"/>
  <c r="Y11" i="6"/>
  <c r="Z11" i="6"/>
  <c r="Z76" i="6" s="1"/>
  <c r="E34" i="31"/>
  <c r="E25" i="31"/>
  <c r="V299" i="6"/>
  <c r="U299" i="6"/>
  <c r="Z276" i="6" l="1"/>
  <c r="Z304" i="6"/>
  <c r="Z302" i="6"/>
  <c r="Z258" i="6"/>
  <c r="Y302" i="6"/>
  <c r="Y276" i="6"/>
  <c r="Y304" i="6"/>
  <c r="Y258" i="6"/>
  <c r="Y28" i="6"/>
  <c r="Z28" i="6"/>
  <c r="U87" i="6" l="1"/>
  <c r="V87" i="6"/>
  <c r="I111" i="29" l="1"/>
  <c r="H63" i="29"/>
  <c r="H61" i="29"/>
  <c r="H54" i="29"/>
  <c r="H33" i="29"/>
  <c r="H6" i="29"/>
  <c r="C8" i="27"/>
  <c r="AM56" i="6" l="1"/>
  <c r="S55" i="41" l="1"/>
  <c r="U55" i="41" l="1"/>
  <c r="L19" i="17"/>
  <c r="AB299" i="6"/>
  <c r="AC299" i="6"/>
  <c r="AC297" i="6"/>
  <c r="AB297" i="6"/>
  <c r="S299" i="6"/>
  <c r="S297" i="6"/>
  <c r="E4" i="28" l="1"/>
  <c r="AM57" i="6"/>
  <c r="S56" i="41" l="1"/>
  <c r="S53" i="41" s="1"/>
  <c r="AM73" i="6"/>
  <c r="AM72" i="6"/>
  <c r="S55" i="6"/>
  <c r="U56" i="41" l="1"/>
  <c r="U53" i="41"/>
  <c r="OO16" i="41"/>
  <c r="OO18" i="41" s="1"/>
  <c r="S73" i="41"/>
  <c r="S74" i="41"/>
  <c r="S276" i="6"/>
  <c r="S73" i="6"/>
  <c r="W340" i="6"/>
  <c r="X340" i="6" s="1"/>
  <c r="AC73" i="6"/>
  <c r="AA87" i="6"/>
  <c r="AB87" i="6"/>
  <c r="AC87" i="6"/>
  <c r="S87" i="6"/>
  <c r="AC258" i="6" l="1"/>
  <c r="AC276" i="6"/>
  <c r="AC304" i="6"/>
  <c r="AC302" i="6"/>
  <c r="S258" i="6"/>
  <c r="S302" i="6"/>
  <c r="OO22" i="41"/>
  <c r="OO19" i="41"/>
  <c r="S28" i="6"/>
  <c r="S304" i="6"/>
  <c r="AE87" i="6" l="1"/>
  <c r="R293" i="6"/>
  <c r="R73" i="6"/>
  <c r="R72" i="6"/>
  <c r="R71" i="6"/>
  <c r="R70" i="6"/>
  <c r="R50" i="6"/>
  <c r="R41" i="6"/>
  <c r="R36" i="6"/>
  <c r="R12" i="6"/>
  <c r="R11" i="6" l="1"/>
  <c r="R76" i="6" s="1"/>
  <c r="R276" i="6"/>
  <c r="R299" i="6"/>
  <c r="R297" i="6"/>
  <c r="R87" i="6"/>
  <c r="R258" i="6" l="1"/>
  <c r="R302" i="6"/>
  <c r="R304" i="6"/>
  <c r="R28" i="6"/>
  <c r="AD299" i="6" l="1"/>
  <c r="AD297" i="6"/>
  <c r="AD87" i="6"/>
  <c r="AD256" i="6" l="1"/>
  <c r="T55" i="6"/>
  <c r="T73" i="6" s="1"/>
  <c r="T50" i="6"/>
  <c r="T41" i="6"/>
  <c r="T36" i="6"/>
  <c r="T12" i="6"/>
  <c r="N3" i="17" l="1"/>
  <c r="F21" i="17" s="1"/>
  <c r="T11" i="6"/>
  <c r="T76" i="6" s="1"/>
  <c r="N4" i="17"/>
  <c r="F9" i="31"/>
  <c r="T276" i="6"/>
  <c r="T304" i="6" l="1"/>
  <c r="T258" i="6"/>
  <c r="T302" i="6"/>
  <c r="F19" i="31"/>
  <c r="F14" i="31"/>
  <c r="N5" i="17"/>
  <c r="T28" i="6"/>
  <c r="V55" i="6" l="1"/>
  <c r="V73" i="6" s="1"/>
  <c r="U55" i="6"/>
  <c r="U73" i="6" s="1"/>
  <c r="V50" i="6"/>
  <c r="U50" i="6"/>
  <c r="V41" i="6"/>
  <c r="U41" i="6"/>
  <c r="V36" i="6"/>
  <c r="U36" i="6"/>
  <c r="V12" i="6"/>
  <c r="U12" i="6"/>
  <c r="U11" i="6" s="1"/>
  <c r="U76" i="6" s="1"/>
  <c r="V11" i="6" l="1"/>
  <c r="V258" i="6" l="1"/>
  <c r="V276" i="6"/>
  <c r="U258" i="6"/>
  <c r="U276" i="6"/>
  <c r="U302" i="6"/>
  <c r="V304" i="6"/>
  <c r="V302" i="6"/>
  <c r="U304" i="6"/>
  <c r="U28" i="6"/>
  <c r="V28" i="6"/>
  <c r="E19" i="3" l="1"/>
  <c r="E6" i="36" l="1"/>
  <c r="G6" i="36" s="1"/>
  <c r="J72" i="6" l="1"/>
  <c r="I72" i="6"/>
  <c r="H72" i="6"/>
  <c r="AF293" i="6" l="1"/>
  <c r="AM79" i="6"/>
  <c r="AM77" i="6" l="1"/>
  <c r="AM250" i="6" l="1"/>
  <c r="F240" i="41" l="1"/>
  <c r="S240" i="41" s="1"/>
  <c r="K13" i="17"/>
  <c r="K12" i="17"/>
  <c r="U240" i="41" l="1"/>
  <c r="S241" i="41"/>
  <c r="U241" i="41" s="1"/>
  <c r="K267" i="38"/>
  <c r="C92" i="40"/>
  <c r="E246" i="6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302" i="6"/>
  <c r="E304" i="6"/>
  <c r="E297" i="6"/>
  <c r="H9" i="39" l="1"/>
  <c r="H19" i="39"/>
  <c r="E258" i="6" l="1"/>
  <c r="C281" i="39"/>
  <c r="C272" i="39"/>
  <c r="C261" i="39"/>
  <c r="C253" i="39"/>
  <c r="C252" i="39"/>
  <c r="C244" i="39"/>
  <c r="C53" i="39"/>
  <c r="C48" i="39"/>
  <c r="C26" i="39"/>
  <c r="C19" i="39"/>
  <c r="E276" i="6"/>
  <c r="E274" i="6"/>
  <c r="H85" i="39"/>
  <c r="G85" i="39"/>
  <c r="R257" i="39"/>
  <c r="R256" i="39"/>
  <c r="E299" i="6"/>
  <c r="E14" i="3"/>
  <c r="G99" i="40" l="1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E4" i="2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O15" i="36" l="1"/>
  <c r="R15" i="36"/>
  <c r="R14" i="36"/>
  <c r="S14" i="36"/>
  <c r="S15" i="36" l="1"/>
  <c r="AM293" i="6" l="1"/>
  <c r="F260" i="41" s="1"/>
  <c r="S260" i="41" l="1"/>
  <c r="U260" i="41" s="1"/>
  <c r="D28" i="37"/>
  <c r="E27" i="37"/>
  <c r="C24" i="36"/>
  <c r="E28" i="37" l="1"/>
  <c r="G42" i="37" l="1"/>
  <c r="G41" i="37"/>
  <c r="E30" i="37"/>
  <c r="G30" i="37" s="1"/>
  <c r="D29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G14" i="37"/>
  <c r="G13" i="37"/>
  <c r="E12" i="37"/>
  <c r="G12" i="37" s="1"/>
  <c r="E11" i="37"/>
  <c r="G11" i="37" s="1"/>
  <c r="E10" i="37"/>
  <c r="G10" i="37" s="1"/>
  <c r="E9" i="37"/>
  <c r="G9" i="37" s="1"/>
  <c r="C39" i="36"/>
  <c r="E39" i="36" s="1"/>
  <c r="G39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43" i="37"/>
  <c r="G19" i="36"/>
  <c r="G25" i="36" s="1"/>
  <c r="E24" i="36"/>
  <c r="F18" i="31" l="1"/>
  <c r="O4" i="18" l="1"/>
  <c r="K14" i="17" l="1"/>
  <c r="AM37" i="6" l="1"/>
  <c r="AM266" i="6" s="1"/>
  <c r="AM38" i="6"/>
  <c r="AM285" i="6" s="1"/>
  <c r="AH50" i="6" l="1"/>
  <c r="AG50" i="6"/>
  <c r="AF50" i="6"/>
  <c r="AE50" i="6"/>
  <c r="AD50" i="6"/>
  <c r="AB50" i="6"/>
  <c r="AA50" i="6"/>
  <c r="J50" i="6"/>
  <c r="AH41" i="6"/>
  <c r="AG41" i="6"/>
  <c r="AF41" i="6"/>
  <c r="AE41" i="6"/>
  <c r="AD41" i="6"/>
  <c r="AB41" i="6"/>
  <c r="AA41" i="6"/>
  <c r="J41" i="6"/>
  <c r="AH36" i="6"/>
  <c r="AG36" i="6"/>
  <c r="AF36" i="6"/>
  <c r="AE36" i="6"/>
  <c r="AD36" i="6"/>
  <c r="AB36" i="6"/>
  <c r="AA36" i="6"/>
  <c r="J36" i="6"/>
  <c r="H12" i="6"/>
  <c r="H36" i="6"/>
  <c r="H41" i="6"/>
  <c r="I50" i="6"/>
  <c r="H50" i="6"/>
  <c r="H55" i="6"/>
  <c r="H71" i="6"/>
  <c r="H70" i="6"/>
  <c r="AA12" i="6"/>
  <c r="AA11" i="6" s="1"/>
  <c r="AA76" i="6" s="1"/>
  <c r="AE12" i="6"/>
  <c r="AE11" i="6" s="1"/>
  <c r="AE76" i="6" s="1"/>
  <c r="AF12" i="6"/>
  <c r="AF11" i="6" s="1"/>
  <c r="AF76" i="6" s="1"/>
  <c r="AG12" i="6"/>
  <c r="AG11" i="6" s="1"/>
  <c r="AG76" i="6" s="1"/>
  <c r="AH12" i="6"/>
  <c r="AH11" i="6" s="1"/>
  <c r="AH76" i="6" s="1"/>
  <c r="J55" i="6"/>
  <c r="AA73" i="6"/>
  <c r="AB55" i="6"/>
  <c r="AB73" i="6" s="1"/>
  <c r="AD55" i="6"/>
  <c r="AD73" i="6" s="1"/>
  <c r="AE55" i="6"/>
  <c r="AE73" i="6" s="1"/>
  <c r="AF55" i="6"/>
  <c r="AF73" i="6" s="1"/>
  <c r="AG55" i="6"/>
  <c r="AG73" i="6" s="1"/>
  <c r="AH55" i="6"/>
  <c r="AH73" i="6" s="1"/>
  <c r="J70" i="6"/>
  <c r="J71" i="6"/>
  <c r="I55" i="6"/>
  <c r="I73" i="6" s="1"/>
  <c r="I71" i="6"/>
  <c r="I70" i="6"/>
  <c r="I41" i="6"/>
  <c r="I36" i="6"/>
  <c r="H278" i="6"/>
  <c r="H87" i="6"/>
  <c r="AM278" i="6" l="1"/>
  <c r="F255" i="41" s="1"/>
  <c r="AM32" i="6"/>
  <c r="F30" i="41" s="1"/>
  <c r="F26" i="41" s="1"/>
  <c r="F27" i="41" s="1"/>
  <c r="AM12" i="6"/>
  <c r="AH276" i="6"/>
  <c r="AM55" i="6"/>
  <c r="H11" i="6"/>
  <c r="AG276" i="6"/>
  <c r="H73" i="6"/>
  <c r="J73" i="6"/>
  <c r="S255" i="41" l="1"/>
  <c r="U255" i="41" s="1"/>
  <c r="AE276" i="6"/>
  <c r="AD258" i="6"/>
  <c r="AD276" i="6"/>
  <c r="AA258" i="6"/>
  <c r="AA304" i="6"/>
  <c r="AA302" i="6"/>
  <c r="AA276" i="6"/>
  <c r="AB258" i="6"/>
  <c r="AB276" i="6"/>
  <c r="AF276" i="6"/>
  <c r="AF258" i="6"/>
  <c r="AF304" i="6"/>
  <c r="AH258" i="6"/>
  <c r="AH302" i="6"/>
  <c r="AH304" i="6"/>
  <c r="AG304" i="6"/>
  <c r="AG302" i="6"/>
  <c r="AM304" i="6"/>
  <c r="AM302" i="6"/>
  <c r="AG258" i="6"/>
  <c r="AF302" i="6"/>
  <c r="AE302" i="6"/>
  <c r="AE304" i="6"/>
  <c r="AB28" i="6"/>
  <c r="AD302" i="6"/>
  <c r="AD304" i="6"/>
  <c r="AB302" i="6"/>
  <c r="AB304" i="6"/>
  <c r="AH28" i="6"/>
  <c r="AG28" i="6"/>
  <c r="AF28" i="6"/>
  <c r="AE28" i="6"/>
  <c r="AD28" i="6"/>
  <c r="AA28" i="6"/>
  <c r="S26" i="41" l="1"/>
  <c r="S27" i="41" s="1"/>
  <c r="E8" i="3"/>
  <c r="F8" i="3" l="1"/>
  <c r="I52" i="35"/>
  <c r="I38" i="35"/>
  <c r="G38" i="35"/>
  <c r="M37" i="35"/>
  <c r="K37" i="35"/>
  <c r="J37" i="35"/>
  <c r="M36" i="35"/>
  <c r="K36" i="35"/>
  <c r="J36" i="35"/>
  <c r="M35" i="35"/>
  <c r="K35" i="35"/>
  <c r="J35" i="35"/>
  <c r="M34" i="35"/>
  <c r="K34" i="35"/>
  <c r="J34" i="35"/>
  <c r="M33" i="35"/>
  <c r="K33" i="35"/>
  <c r="J33" i="35"/>
  <c r="M32" i="35"/>
  <c r="K32" i="35"/>
  <c r="J32" i="35"/>
  <c r="M31" i="35"/>
  <c r="K31" i="35"/>
  <c r="J31" i="35"/>
  <c r="M30" i="35"/>
  <c r="K30" i="35"/>
  <c r="J30" i="35"/>
  <c r="M29" i="35"/>
  <c r="K29" i="35"/>
  <c r="J29" i="35"/>
  <c r="M28" i="35"/>
  <c r="K28" i="35"/>
  <c r="J28" i="35"/>
  <c r="M27" i="35"/>
  <c r="K27" i="35"/>
  <c r="J27" i="35"/>
  <c r="I51" i="35" s="1"/>
  <c r="M26" i="35"/>
  <c r="K26" i="35"/>
  <c r="J26" i="35"/>
  <c r="M25" i="35"/>
  <c r="K25" i="35"/>
  <c r="J25" i="35"/>
  <c r="M24" i="35"/>
  <c r="K24" i="35"/>
  <c r="J24" i="35"/>
  <c r="M23" i="35"/>
  <c r="K23" i="35"/>
  <c r="J23" i="35"/>
  <c r="M22" i="35"/>
  <c r="K22" i="35"/>
  <c r="J22" i="35"/>
  <c r="M21" i="35"/>
  <c r="K21" i="35"/>
  <c r="J21" i="35"/>
  <c r="M20" i="35"/>
  <c r="K20" i="35"/>
  <c r="J20" i="35"/>
  <c r="M19" i="35"/>
  <c r="K19" i="35"/>
  <c r="J19" i="35"/>
  <c r="M18" i="35"/>
  <c r="K18" i="35"/>
  <c r="J18" i="35"/>
  <c r="M17" i="35"/>
  <c r="K17" i="35"/>
  <c r="J17" i="35"/>
  <c r="M16" i="35"/>
  <c r="K16" i="35"/>
  <c r="J16" i="35"/>
  <c r="M15" i="35"/>
  <c r="K15" i="35"/>
  <c r="J15" i="35"/>
  <c r="M14" i="35"/>
  <c r="K14" i="35"/>
  <c r="J14" i="35"/>
  <c r="M13" i="35"/>
  <c r="K13" i="35"/>
  <c r="J13" i="35"/>
  <c r="M12" i="35"/>
  <c r="K12" i="35"/>
  <c r="J12" i="35"/>
  <c r="M11" i="35"/>
  <c r="K11" i="35"/>
  <c r="J11" i="35"/>
  <c r="M10" i="35"/>
  <c r="K10" i="35"/>
  <c r="J10" i="35"/>
  <c r="M9" i="35"/>
  <c r="K9" i="35"/>
  <c r="J9" i="35"/>
  <c r="M8" i="35"/>
  <c r="K8" i="35"/>
  <c r="J8" i="35"/>
  <c r="I50" i="35" s="1"/>
  <c r="I55" i="35" s="1"/>
  <c r="AR7" i="35"/>
  <c r="AP7" i="35"/>
  <c r="AL7" i="35"/>
  <c r="AK7" i="35"/>
  <c r="AI7" i="35"/>
  <c r="AC7" i="35"/>
  <c r="AB7" i="35"/>
  <c r="AA7" i="35"/>
  <c r="Z7" i="35"/>
  <c r="R7" i="35"/>
  <c r="Q7" i="35"/>
  <c r="P7" i="35"/>
  <c r="O7" i="35"/>
  <c r="M7" i="35"/>
  <c r="M38" i="35" s="1"/>
  <c r="K7" i="35"/>
  <c r="J7" i="35"/>
  <c r="I54" i="35" s="1"/>
  <c r="I51" i="34"/>
  <c r="I38" i="34"/>
  <c r="G38" i="34"/>
  <c r="M37" i="34"/>
  <c r="K37" i="34"/>
  <c r="J37" i="34"/>
  <c r="M36" i="34"/>
  <c r="K36" i="34"/>
  <c r="J36" i="34"/>
  <c r="M35" i="34"/>
  <c r="K35" i="34"/>
  <c r="J35" i="34"/>
  <c r="M34" i="34"/>
  <c r="K34" i="34"/>
  <c r="J34" i="34"/>
  <c r="M33" i="34"/>
  <c r="K33" i="34"/>
  <c r="J33" i="34"/>
  <c r="M32" i="34"/>
  <c r="K32" i="34"/>
  <c r="J32" i="34"/>
  <c r="M31" i="34"/>
  <c r="K31" i="34"/>
  <c r="J31" i="34"/>
  <c r="M30" i="34"/>
  <c r="K30" i="34"/>
  <c r="J30" i="34"/>
  <c r="M29" i="34"/>
  <c r="K29" i="34"/>
  <c r="J29" i="34"/>
  <c r="M28" i="34"/>
  <c r="K28" i="34"/>
  <c r="J28" i="34"/>
  <c r="M27" i="34"/>
  <c r="K27" i="34"/>
  <c r="J27" i="34"/>
  <c r="M26" i="34"/>
  <c r="K26" i="34"/>
  <c r="J26" i="34"/>
  <c r="M25" i="34"/>
  <c r="K25" i="34"/>
  <c r="J25" i="34"/>
  <c r="M24" i="34"/>
  <c r="K24" i="34"/>
  <c r="J24" i="34"/>
  <c r="M23" i="34"/>
  <c r="K23" i="34"/>
  <c r="J23" i="34"/>
  <c r="M22" i="34"/>
  <c r="K22" i="34"/>
  <c r="J22" i="34"/>
  <c r="M21" i="34"/>
  <c r="K21" i="34"/>
  <c r="J21" i="34"/>
  <c r="M20" i="34"/>
  <c r="K20" i="34"/>
  <c r="J20" i="34"/>
  <c r="M19" i="34"/>
  <c r="K19" i="34"/>
  <c r="J19" i="34"/>
  <c r="M18" i="34"/>
  <c r="K18" i="34"/>
  <c r="J18" i="34"/>
  <c r="M17" i="34"/>
  <c r="K17" i="34"/>
  <c r="J17" i="34"/>
  <c r="M16" i="34"/>
  <c r="K16" i="34"/>
  <c r="J16" i="34"/>
  <c r="M15" i="34"/>
  <c r="K15" i="34"/>
  <c r="J15" i="34"/>
  <c r="M14" i="34"/>
  <c r="K14" i="34"/>
  <c r="J14" i="34"/>
  <c r="M13" i="34"/>
  <c r="K13" i="34"/>
  <c r="J13" i="34"/>
  <c r="M12" i="34"/>
  <c r="K12" i="34"/>
  <c r="J12" i="34"/>
  <c r="M11" i="34"/>
  <c r="K11" i="34"/>
  <c r="J11" i="34"/>
  <c r="M10" i="34"/>
  <c r="K10" i="34"/>
  <c r="J10" i="34"/>
  <c r="M9" i="34"/>
  <c r="K9" i="34"/>
  <c r="J9" i="34"/>
  <c r="M8" i="34"/>
  <c r="K8" i="34"/>
  <c r="J8" i="34"/>
  <c r="AR7" i="34"/>
  <c r="AP7" i="34"/>
  <c r="AL7" i="34"/>
  <c r="AK7" i="34"/>
  <c r="AI7" i="34"/>
  <c r="AC7" i="34"/>
  <c r="AB7" i="34"/>
  <c r="AA7" i="34"/>
  <c r="Z7" i="34"/>
  <c r="R7" i="34"/>
  <c r="Q7" i="34"/>
  <c r="P7" i="34"/>
  <c r="O7" i="34"/>
  <c r="M7" i="34"/>
  <c r="M38" i="34" s="1"/>
  <c r="K7" i="34"/>
  <c r="J7" i="34"/>
  <c r="I44" i="34" s="1"/>
  <c r="I52" i="34" s="1"/>
  <c r="H8" i="3" l="1"/>
  <c r="J38" i="35"/>
  <c r="J38" i="34"/>
  <c r="J8" i="3" l="1"/>
  <c r="AM322" i="6"/>
  <c r="AM321" i="6"/>
  <c r="AM81" i="6"/>
  <c r="AM91" i="6" s="1"/>
  <c r="F85" i="41" s="1"/>
  <c r="AM58" i="6"/>
  <c r="AM54" i="6"/>
  <c r="AM52" i="6"/>
  <c r="AM51" i="6"/>
  <c r="AM50" i="6"/>
  <c r="AM49" i="6"/>
  <c r="AM43" i="6"/>
  <c r="AM42" i="6"/>
  <c r="AM41" i="6"/>
  <c r="AM40" i="6"/>
  <c r="AM36" i="6"/>
  <c r="AM316" i="6" l="1"/>
  <c r="AM318" i="6"/>
  <c r="K8" i="3"/>
  <c r="M8" i="3"/>
  <c r="AM71" i="6"/>
  <c r="E5" i="26"/>
  <c r="H5" i="26" s="1"/>
  <c r="AM70" i="6"/>
  <c r="AM66" i="6"/>
  <c r="AM67" i="6"/>
  <c r="AM64" i="6"/>
  <c r="AM65" i="6"/>
  <c r="N8" i="3" l="1"/>
  <c r="D16" i="17"/>
  <c r="D37" i="17" l="1"/>
  <c r="E28" i="3" l="1"/>
  <c r="F28" i="3" s="1"/>
  <c r="H28" i="3" s="1"/>
  <c r="J28" i="3" s="1"/>
  <c r="M28" i="3" s="1"/>
  <c r="K28" i="3" l="1"/>
  <c r="N28" i="3" s="1"/>
  <c r="E29" i="3" l="1"/>
  <c r="F29" i="3" l="1"/>
  <c r="H29" i="3" s="1"/>
  <c r="J29" i="3" s="1"/>
  <c r="M29" i="3" l="1"/>
  <c r="K29" i="3"/>
  <c r="N29" i="3" s="1"/>
  <c r="E50" i="6"/>
  <c r="E18" i="3" l="1"/>
  <c r="F18" i="3" l="1"/>
  <c r="H18" i="3" s="1"/>
  <c r="K36" i="32"/>
  <c r="K28" i="32"/>
  <c r="K19" i="32"/>
  <c r="G63" i="31"/>
  <c r="G58" i="31"/>
  <c r="G57" i="31"/>
  <c r="F54" i="31"/>
  <c r="G54" i="31" s="1"/>
  <c r="G53" i="31"/>
  <c r="F53" i="31"/>
  <c r="G52" i="31"/>
  <c r="G51" i="31"/>
  <c r="G43" i="31"/>
  <c r="G42" i="31"/>
  <c r="G36" i="31"/>
  <c r="G35" i="31"/>
  <c r="F34" i="31"/>
  <c r="G34" i="31" s="1"/>
  <c r="G33" i="31"/>
  <c r="F16" i="31"/>
  <c r="G16" i="31" s="1"/>
  <c r="J18" i="3" l="1"/>
  <c r="K18" i="3" s="1"/>
  <c r="F25" i="19"/>
  <c r="F24" i="19"/>
  <c r="F23" i="19"/>
  <c r="F22" i="19"/>
  <c r="F17" i="19"/>
  <c r="G17" i="19"/>
  <c r="D44" i="17"/>
  <c r="D41" i="17"/>
  <c r="D40" i="17"/>
  <c r="K10" i="18"/>
  <c r="I18" i="32"/>
  <c r="M18" i="3" l="1"/>
  <c r="N18" i="3"/>
  <c r="K18" i="32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K35" i="1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I35" i="32" l="1"/>
  <c r="F40" i="31"/>
  <c r="I22" i="32" l="1"/>
  <c r="K35" i="32"/>
  <c r="J35" i="32"/>
  <c r="G40" i="31"/>
  <c r="I39" i="32" l="1"/>
  <c r="I26" i="32"/>
  <c r="I12" i="32"/>
  <c r="G11" i="33"/>
  <c r="F45" i="31"/>
  <c r="G45" i="31" s="1"/>
  <c r="F44" i="31"/>
  <c r="G44" i="31" s="1"/>
  <c r="G9" i="31"/>
  <c r="I11" i="32" l="1"/>
  <c r="I20" i="32"/>
  <c r="K20" i="32" s="1"/>
  <c r="G16" i="33"/>
  <c r="G18" i="33"/>
  <c r="H18" i="33" s="1"/>
  <c r="I38" i="32"/>
  <c r="G21" i="33"/>
  <c r="I21" i="32"/>
  <c r="I37" i="32"/>
  <c r="G17" i="33"/>
  <c r="G23" i="33"/>
  <c r="H23" i="33" s="1"/>
  <c r="I41" i="32"/>
  <c r="G15" i="33"/>
  <c r="I29" i="32"/>
  <c r="G22" i="33"/>
  <c r="I40" i="32"/>
  <c r="I16" i="32"/>
  <c r="I30" i="32"/>
  <c r="G20" i="33"/>
  <c r="K39" i="32"/>
  <c r="J39" i="32"/>
  <c r="I42" i="32"/>
  <c r="F60" i="31"/>
  <c r="G10" i="33"/>
  <c r="H11" i="33"/>
  <c r="F23" i="31"/>
  <c r="G23" i="31" s="1"/>
  <c r="G7" i="33"/>
  <c r="H7" i="33" s="1"/>
  <c r="F64" i="31"/>
  <c r="G12" i="33"/>
  <c r="G19" i="31"/>
  <c r="F26" i="31"/>
  <c r="F27" i="31"/>
  <c r="F68" i="31"/>
  <c r="G68" i="31" s="1"/>
  <c r="J20" i="32" l="1"/>
  <c r="J38" i="32"/>
  <c r="K38" i="32"/>
  <c r="K41" i="32"/>
  <c r="J41" i="32"/>
  <c r="H10" i="33"/>
  <c r="H20" i="33"/>
  <c r="G60" i="31"/>
  <c r="K12" i="32"/>
  <c r="J16" i="32"/>
  <c r="J12" i="32"/>
  <c r="K26" i="32"/>
  <c r="G27" i="31"/>
  <c r="F25" i="31"/>
  <c r="G25" i="31" s="1"/>
  <c r="F49" i="31"/>
  <c r="G49" i="31" s="1"/>
  <c r="G26" i="31"/>
  <c r="H12" i="33"/>
  <c r="G64" i="31"/>
  <c r="K21" i="32"/>
  <c r="J21" i="32"/>
  <c r="H5" i="28"/>
  <c r="H12" i="28" s="1"/>
  <c r="H13" i="28" s="1"/>
  <c r="K13" i="18" s="1"/>
  <c r="H21" i="33"/>
  <c r="K42" i="32"/>
  <c r="J42" i="32"/>
  <c r="F69" i="31"/>
  <c r="G69" i="31" s="1"/>
  <c r="F50" i="31" l="1"/>
  <c r="G50" i="31" s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I23" i="32"/>
  <c r="F13" i="31"/>
  <c r="F62" i="31"/>
  <c r="G62" i="31" s="1"/>
  <c r="I27" i="32" l="1"/>
  <c r="K31" i="32"/>
  <c r="J31" i="32"/>
  <c r="K23" i="32"/>
  <c r="J23" i="32"/>
  <c r="I25" i="32" l="1"/>
  <c r="I32" i="32"/>
  <c r="K27" i="32"/>
  <c r="H16" i="33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E37" i="3" l="1"/>
  <c r="F37" i="3" l="1"/>
  <c r="H37" i="3" s="1"/>
  <c r="J37" i="3" s="1"/>
  <c r="F2" i="20"/>
  <c r="F14" i="20" s="1"/>
  <c r="C2" i="20"/>
  <c r="C18" i="20" s="1"/>
  <c r="C19" i="20" s="1"/>
  <c r="K37" i="3" l="1"/>
  <c r="N37" i="3" s="1"/>
  <c r="M37" i="3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M35" i="17" l="1"/>
  <c r="G18" i="31" l="1"/>
  <c r="G14" i="31" l="1"/>
  <c r="F15" i="31"/>
  <c r="G15" i="31" s="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D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E30" i="3"/>
  <c r="E31" i="3"/>
  <c r="E32" i="3"/>
  <c r="E33" i="3"/>
  <c r="E34" i="3"/>
  <c r="E35" i="3"/>
  <c r="E36" i="3"/>
  <c r="F36" i="3" s="1"/>
  <c r="F24" i="3" l="1"/>
  <c r="H24" i="3" s="1"/>
  <c r="J24" i="3" s="1"/>
  <c r="M24" i="3" s="1"/>
  <c r="M27" i="3"/>
  <c r="K27" i="3"/>
  <c r="N27" i="3" s="1"/>
  <c r="F35" i="3"/>
  <c r="H35" i="3" s="1"/>
  <c r="J35" i="3" s="1"/>
  <c r="F34" i="3"/>
  <c r="H34" i="3" s="1"/>
  <c r="J34" i="3" s="1"/>
  <c r="F33" i="3"/>
  <c r="H33" i="3" s="1"/>
  <c r="J33" i="3" s="1"/>
  <c r="F32" i="3"/>
  <c r="H32" i="3" s="1"/>
  <c r="J32" i="3" s="1"/>
  <c r="F31" i="3"/>
  <c r="H31" i="3" s="1"/>
  <c r="J31" i="3" s="1"/>
  <c r="F30" i="3"/>
  <c r="H30" i="3" s="1"/>
  <c r="J30" i="3" s="1"/>
  <c r="H36" i="3"/>
  <c r="J36" i="3" s="1"/>
  <c r="K24" i="3"/>
  <c r="N24" i="3" s="1"/>
  <c r="K23" i="3"/>
  <c r="N23" i="3" s="1"/>
  <c r="K26" i="3"/>
  <c r="N26" i="3" s="1"/>
  <c r="K22" i="3"/>
  <c r="N22" i="3" s="1"/>
  <c r="K25" i="3"/>
  <c r="N25" i="3" s="1"/>
  <c r="K35" i="3" l="1"/>
  <c r="N35" i="3" s="1"/>
  <c r="M35" i="3"/>
  <c r="M34" i="3"/>
  <c r="K34" i="3"/>
  <c r="N34" i="3" s="1"/>
  <c r="M33" i="3"/>
  <c r="K33" i="3"/>
  <c r="N33" i="3" s="1"/>
  <c r="M32" i="3"/>
  <c r="K32" i="3"/>
  <c r="N32" i="3" s="1"/>
  <c r="M31" i="3"/>
  <c r="K31" i="3"/>
  <c r="N31" i="3" s="1"/>
  <c r="M30" i="3"/>
  <c r="K30" i="3"/>
  <c r="N30" i="3" s="1"/>
  <c r="K36" i="3"/>
  <c r="M36" i="3"/>
  <c r="C48" i="3"/>
  <c r="C50" i="3"/>
  <c r="E21" i="3"/>
  <c r="F21" i="3" s="1"/>
  <c r="H21" i="3" s="1"/>
  <c r="J21" i="3" s="1"/>
  <c r="M21" i="3" s="1"/>
  <c r="E20" i="3"/>
  <c r="H19" i="3"/>
  <c r="E17" i="3"/>
  <c r="F17" i="3" s="1"/>
  <c r="H17" i="3" s="1"/>
  <c r="J17" i="3" s="1"/>
  <c r="K17" i="3" s="1"/>
  <c r="E16" i="3"/>
  <c r="F16" i="3" s="1"/>
  <c r="H16" i="3" s="1"/>
  <c r="E15" i="3"/>
  <c r="F15" i="3" s="1"/>
  <c r="H15" i="3" s="1"/>
  <c r="F14" i="3"/>
  <c r="H14" i="3" s="1"/>
  <c r="E13" i="3"/>
  <c r="E12" i="3"/>
  <c r="F12" i="3" s="1"/>
  <c r="H12" i="3" s="1"/>
  <c r="J12" i="3" s="1"/>
  <c r="E11" i="3"/>
  <c r="E10" i="3"/>
  <c r="E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E40" i="3" l="1"/>
  <c r="F40" i="3" s="1"/>
  <c r="F10" i="3"/>
  <c r="H10" i="3" s="1"/>
  <c r="F13" i="3"/>
  <c r="H13" i="3" s="1"/>
  <c r="J13" i="3" s="1"/>
  <c r="M13" i="3" s="1"/>
  <c r="J19" i="3"/>
  <c r="M19" i="3" s="1"/>
  <c r="J15" i="3"/>
  <c r="N36" i="3"/>
  <c r="J14" i="3"/>
  <c r="K14" i="3" s="1"/>
  <c r="N14" i="3" s="1"/>
  <c r="F11" i="3"/>
  <c r="F9" i="3"/>
  <c r="N17" i="3"/>
  <c r="M17" i="3"/>
  <c r="F20" i="3"/>
  <c r="H20" i="3" s="1"/>
  <c r="J20" i="3" s="1"/>
  <c r="M20" i="3" s="1"/>
  <c r="J16" i="3"/>
  <c r="K21" i="3"/>
  <c r="N21" i="3" s="1"/>
  <c r="M12" i="3"/>
  <c r="K12" i="3"/>
  <c r="N12" i="3" s="1"/>
  <c r="J10" i="3" l="1"/>
  <c r="M15" i="3"/>
  <c r="K15" i="3"/>
  <c r="M16" i="3"/>
  <c r="K16" i="3"/>
  <c r="K19" i="3"/>
  <c r="M14" i="3"/>
  <c r="H11" i="3"/>
  <c r="H9" i="3"/>
  <c r="K20" i="3"/>
  <c r="N20" i="3" s="1"/>
  <c r="K13" i="3"/>
  <c r="N13" i="3" s="1"/>
  <c r="G14" i="33"/>
  <c r="I14" i="32"/>
  <c r="G46" i="3"/>
  <c r="C45" i="3"/>
  <c r="C47" i="3" s="1"/>
  <c r="C49" i="3" s="1"/>
  <c r="C51" i="3" s="1"/>
  <c r="F45" i="3"/>
  <c r="F47" i="3" s="1"/>
  <c r="H40" i="3" l="1"/>
  <c r="H42" i="3" s="1"/>
  <c r="H39" i="3"/>
  <c r="K10" i="3"/>
  <c r="N10" i="3" s="1"/>
  <c r="M10" i="3"/>
  <c r="N19" i="3"/>
  <c r="J11" i="3"/>
  <c r="J9" i="3"/>
  <c r="H14" i="33"/>
  <c r="I15" i="32"/>
  <c r="K14" i="32"/>
  <c r="J14" i="32"/>
  <c r="J39" i="3" l="1"/>
  <c r="J40" i="3"/>
  <c r="J42" i="3" s="1"/>
  <c r="K11" i="3"/>
  <c r="M11" i="3"/>
  <c r="K15" i="32"/>
  <c r="K16" i="32" s="1"/>
  <c r="J15" i="32"/>
  <c r="N11" i="3" l="1"/>
  <c r="AM11" i="6"/>
  <c r="AM76" i="6" l="1"/>
  <c r="F77" i="41" s="1"/>
  <c r="D17" i="17"/>
  <c r="G6" i="33"/>
  <c r="G28" i="33" s="1"/>
  <c r="H28" i="33" s="1"/>
  <c r="F14" i="17"/>
  <c r="J14" i="17" s="1"/>
  <c r="M14" i="17" s="1"/>
  <c r="D20" i="17"/>
  <c r="F20" i="17" s="1"/>
  <c r="D19" i="17"/>
  <c r="F19" i="17" s="1"/>
  <c r="F12" i="31" l="1"/>
  <c r="F11" i="31" s="1"/>
  <c r="G11" i="31" s="1"/>
  <c r="M19" i="17"/>
  <c r="J19" i="17"/>
  <c r="G30" i="33"/>
  <c r="H30" i="33" s="1"/>
  <c r="F9" i="17"/>
  <c r="J9" i="17" s="1"/>
  <c r="M9" i="17" s="1"/>
  <c r="G32" i="33"/>
  <c r="H32" i="33" s="1"/>
  <c r="G26" i="33"/>
  <c r="H26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M21" i="17"/>
  <c r="G27" i="33"/>
  <c r="H27" i="33" s="1"/>
  <c r="G34" i="33"/>
  <c r="H34" i="33" s="1"/>
  <c r="G39" i="33"/>
  <c r="H39" i="33" s="1"/>
  <c r="F17" i="17"/>
  <c r="J17" i="17" s="1"/>
  <c r="G37" i="33"/>
  <c r="H37" i="33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F67" i="31"/>
  <c r="G67" i="31" s="1"/>
  <c r="K16" i="17"/>
  <c r="F16" i="17"/>
  <c r="J16" i="17" s="1"/>
  <c r="F12" i="17"/>
  <c r="J12" i="17" s="1"/>
  <c r="M12" i="17" s="1"/>
  <c r="G13" i="33"/>
  <c r="D8" i="17" l="1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G29" i="33"/>
  <c r="H29" i="33" s="1"/>
  <c r="H13" i="33"/>
  <c r="M48" i="17" l="1"/>
  <c r="G11" i="19" s="1"/>
  <c r="O8" i="17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16" i="17"/>
  <c r="N16" i="17"/>
  <c r="F65" i="31"/>
  <c r="G65" i="31" s="1"/>
  <c r="F47" i="31"/>
  <c r="G47" i="31" s="1"/>
  <c r="F48" i="31"/>
  <c r="G48" i="31" s="1"/>
  <c r="N17" i="17"/>
  <c r="O17" i="17"/>
  <c r="N48" i="17" l="1"/>
  <c r="O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I11" i="19"/>
  <c r="K19" i="21" l="1"/>
  <c r="J19" i="21"/>
  <c r="H19" i="19"/>
  <c r="I19" i="19"/>
  <c r="H16" i="19"/>
  <c r="I16" i="19"/>
  <c r="F21" i="21"/>
  <c r="I21" i="21" s="1"/>
  <c r="I20" i="21"/>
  <c r="J18" i="21"/>
  <c r="K18" i="21"/>
  <c r="K21" i="21" l="1"/>
  <c r="J21" i="21"/>
  <c r="J20" i="21"/>
  <c r="K20" i="21"/>
  <c r="I25" i="21"/>
  <c r="G18" i="19"/>
  <c r="K25" i="21" l="1"/>
  <c r="H18" i="19"/>
  <c r="H20" i="19" s="1"/>
  <c r="G20" i="19"/>
  <c r="I18" i="19"/>
  <c r="I20" i="19" s="1"/>
  <c r="J25" i="21"/>
  <c r="N16" i="3" l="1"/>
  <c r="M9" i="3"/>
  <c r="M39" i="3" s="1"/>
  <c r="K9" i="3"/>
  <c r="K39" i="3" s="1"/>
  <c r="N15" i="3" l="1"/>
  <c r="N9" i="3"/>
  <c r="N39" i="3" s="1"/>
  <c r="AM46" i="6"/>
  <c r="H68" i="6"/>
  <c r="H45" i="6"/>
  <c r="AM45" i="6" s="1"/>
  <c r="H69" i="6"/>
  <c r="F39" i="31" l="1"/>
  <c r="F38" i="31" s="1"/>
  <c r="F56" i="31" s="1"/>
  <c r="G56" i="31" s="1"/>
  <c r="F44" i="41"/>
  <c r="H29" i="6"/>
  <c r="H302" i="6" s="1"/>
  <c r="AM68" i="6"/>
  <c r="F69" i="41" s="1"/>
  <c r="AM69" i="6"/>
  <c r="F70" i="41" s="1"/>
  <c r="G38" i="31"/>
  <c r="F55" i="31"/>
  <c r="G55" i="31" s="1"/>
  <c r="G39" i="31"/>
  <c r="H304" i="6" l="1"/>
  <c r="AM29" i="6"/>
  <c r="AM258" i="6" s="1"/>
  <c r="H28" i="6"/>
  <c r="H30" i="6"/>
  <c r="AM30" i="6" s="1"/>
  <c r="H276" i="6"/>
  <c r="H258" i="6"/>
  <c r="AA18" i="41"/>
  <c r="S44" i="41"/>
  <c r="AM276" i="6" l="1"/>
  <c r="D13" i="18" s="1"/>
  <c r="F13" i="18" s="1"/>
  <c r="J13" i="18" s="1"/>
  <c r="M13" i="18" s="1"/>
  <c r="F22" i="31"/>
  <c r="G22" i="31" s="1"/>
  <c r="AM28" i="6"/>
  <c r="AM24" i="6"/>
  <c r="O3" i="18" s="1"/>
  <c r="I6" i="19" s="1"/>
  <c r="I8" i="19" s="1"/>
  <c r="U44" i="41"/>
  <c r="S43" i="41"/>
  <c r="S69" i="41" s="1"/>
  <c r="AM254" i="6"/>
  <c r="D8" i="18"/>
  <c r="F10" i="18" l="1"/>
  <c r="J10" i="18" s="1"/>
  <c r="O5" i="18"/>
  <c r="O18" i="18" s="1"/>
  <c r="F11" i="18"/>
  <c r="M11" i="18" s="1"/>
  <c r="F8" i="18"/>
  <c r="J8" i="18" s="1"/>
  <c r="M8" i="18" s="1"/>
  <c r="U43" i="41"/>
  <c r="AW22" i="41"/>
  <c r="AW21" i="41" s="1"/>
  <c r="S70" i="41"/>
  <c r="N21" i="18"/>
  <c r="N8" i="18" l="1"/>
  <c r="M10" i="18"/>
  <c r="N10" i="18" s="1"/>
  <c r="O13" i="18"/>
  <c r="N13" i="18"/>
  <c r="O15" i="18"/>
  <c r="N16" i="18"/>
  <c r="N18" i="18"/>
  <c r="O20" i="18"/>
  <c r="N17" i="18"/>
  <c r="O16" i="18"/>
  <c r="O17" i="18"/>
  <c r="O21" i="18"/>
  <c r="N15" i="18"/>
  <c r="N20" i="18"/>
  <c r="O8" i="18"/>
  <c r="J11" i="18"/>
  <c r="O11" i="18"/>
  <c r="N11" i="18"/>
  <c r="M22" i="18" l="1"/>
  <c r="G12" i="19" s="1"/>
  <c r="I12" i="19" s="1"/>
  <c r="I14" i="19" s="1"/>
  <c r="I28" i="19" s="1"/>
  <c r="O10" i="18"/>
  <c r="O22" i="18" s="1"/>
  <c r="N22" i="18"/>
  <c r="H12" i="19" l="1"/>
  <c r="H14" i="19" s="1"/>
  <c r="H28" i="19" s="1"/>
  <c r="G14" i="19"/>
  <c r="G28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6" authorId="0" shapeId="0" xr:uid="{01975281-DF91-4E6E-9076-3D8871FF3B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Start Plant,</t>
        </r>
      </text>
    </comment>
    <comment ref="M6" authorId="0" shapeId="0" xr:uid="{D1A0C2F7-92CB-4F9C-AD4A-9F0FEEA2C2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
</t>
        </r>
      </text>
    </comment>
    <comment ref="N6" authorId="0" shapeId="0" xr:uid="{8648EDFA-E1C7-49C4-A2D8-F5EC10BCC9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 rate
- Penyesuaian incoming CPO </t>
        </r>
      </text>
    </comment>
    <comment ref="O6" authorId="0" shapeId="0" xr:uid="{FB59C5A3-FA78-4C5F-9A5C-7775C08AC7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
CPO Shortage
</t>
        </r>
      </text>
    </comment>
    <comment ref="P6" authorId="0" shapeId="0" xr:uid="{9D2D37EB-7650-469F-A9F2-646D1CB66E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
CPO Shortage</t>
        </r>
      </text>
    </comment>
    <comment ref="Q6" authorId="0" shapeId="0" xr:uid="{FDE28B41-D7FE-4A4D-B101-B595F2A72F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
CPO Shortage</t>
        </r>
      </text>
    </comment>
    <comment ref="R6" authorId="0" shapeId="0" xr:uid="{78BA2542-27B7-442C-BDAB-8938236E12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Flowrate,
- CPO Shortage
- Ganti filter leaf N5</t>
        </r>
      </text>
    </comment>
    <comment ref="S6" authorId="0" shapeId="0" xr:uid="{915465C7-D242-4F50-8DD7-F002DCFA61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Flowrate,
- CPO Shortage
- Ganti oring Niagara 5</t>
        </r>
      </text>
    </comment>
    <comment ref="T6" authorId="0" shapeId="0" xr:uid="{1BEFD470-2B62-4FBF-ADAB-711604273E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- 11.12 Plant hold power black out,
- 11.47 Power normal
- 12.41 Plant produk</t>
        </r>
      </text>
    </comment>
    <comment ref="U6" authorId="0" shapeId="0" xr:uid="{5BAFFF50-2CFF-4E01-8058-E61DB1AE3A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Ganti filter leaf N3
- 02.05 Hold boiler low pressure,
- 03.30 start feed &amp; Produk, 
-04.44 hold boiler low pressure
- 05.35 start feed &amp; produk
- 06.06 hold boiler low pressure</t>
        </r>
      </text>
    </comment>
    <comment ref="V6" authorId="0" shapeId="0" xr:uid="{D2973545-E6C8-40D2-ABDE-05D3F8F3E9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Shutdown 
- Colling down
- Pengosongan OIP </t>
        </r>
      </text>
    </comment>
    <comment ref="P23" authorId="0" shapeId="0" xr:uid="{28DBFA77-9DD5-4D6B-809E-2161683F19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Start Plant Frak PMG 1
- Test Performa chiller IV 56</t>
        </r>
      </text>
    </comment>
    <comment ref="AC23" authorId="0" shapeId="0" xr:uid="{4BB77E46-9B43-4C8A-9368-8DB3EE430E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Pengosongan Plant</t>
        </r>
      </text>
    </comment>
    <comment ref="AG23" authorId="0" shapeId="0" xr:uid="{AFA83CDE-3086-42D4-888E-544718415F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CE1BC215-84C5-4486-B01F-C05B16C6E0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FBF04807-FF08-46E3-9A6C-762D6323FD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240DDE34-97C5-4026-859C-A24C5B3D1A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Olam 10 K,
- Penyesuaian Flow
    Refinery 
- Slow Flowrate 
- Stok Opname</t>
        </r>
      </text>
    </comment>
    <comment ref="I6" authorId="0" shapeId="0" xr:uid="{9C8777A0-1760-48CF-A7D8-3B7098092C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Flowrate,
- Penyesuaian incoming
  CPO</t>
        </r>
      </text>
    </comment>
    <comment ref="J6" authorId="0" shapeId="0" xr:uid="{5EEA9555-3981-4BD2-9FDA-068652168E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Plant Hold,
- CPO Shortage</t>
        </r>
      </text>
    </comment>
    <comment ref="V6" authorId="0" shapeId="0" xr:uid="{87A18FFB-8CF9-496D-BFEE-652012CFE0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
</t>
        </r>
      </text>
    </comment>
    <comment ref="Y6" authorId="0" shapeId="0" xr:uid="{F048A8E1-8A3D-4E04-A47C-B3EDC62E78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TK 131/132 High level</t>
        </r>
      </text>
    </comment>
    <comment ref="Z6" authorId="0" shapeId="0" xr:uid="{FA47EC69-CC29-461D-9E5A-22614D3046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Penggantian Filter Leaf N2</t>
        </r>
      </text>
    </comment>
    <comment ref="AA6" authorId="0" shapeId="0" xr:uid="{47142E27-B768-4F9A-AB7E-4142BE7837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
- Ganti filter leaf N3</t>
        </r>
      </text>
    </comment>
    <comment ref="AB6" authorId="0" shapeId="0" xr:uid="{ECED7518-4E91-4B4A-981E-6397EA30E5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TK 131 &amp; 132</t>
        </r>
      </text>
    </comment>
    <comment ref="G23" authorId="0" shapeId="0" xr:uid="{63DF0F21-6E1B-41D5-939E-90ED6CDABC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H23" authorId="0" shapeId="0" xr:uid="{14CDBFBB-ACF7-450B-9E17-27B2F80DA6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</t>
        </r>
      </text>
    </comment>
    <comment ref="I23" authorId="0" shapeId="0" xr:uid="{06C3E344-688F-488F-811B-88CEED23AE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</t>
        </r>
      </text>
    </comment>
    <comment ref="J23" authorId="0" shapeId="0" xr:uid="{354F5DF9-36FE-4247-99E1-D45CDE4054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Stop Plant,
- Low material RBDPO</t>
        </r>
      </text>
    </comment>
    <comment ref="M23" authorId="0" shapeId="0" xr:uid="{3CE5BD30-7230-46BB-826A-579BA76F38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Start Plant,
- Proses IV 58 </t>
        </r>
      </text>
    </comment>
    <comment ref="N23" authorId="0" shapeId="0" xr:uid="{3386FEAA-FD31-4B35-B1E7-9AB7CBAA78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58 </t>
        </r>
      </text>
    </comment>
    <comment ref="U23" authorId="0" shapeId="0" xr:uid="{EE22739D-E780-43E1-B3A9-3E9BBAA445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56</t>
        </r>
      </text>
    </comment>
    <comment ref="V23" authorId="0" shapeId="0" xr:uid="{2B706576-0B19-479C-A270-1D0858CAAE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56
- RBDPO Shortage</t>
        </r>
      </text>
    </comment>
    <comment ref="W23" authorId="0" shapeId="0" xr:uid="{AF4A07C8-87F4-40D5-BBF1-AC6F73F3A5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56
</t>
        </r>
      </text>
    </comment>
    <comment ref="X23" authorId="0" shapeId="0" xr:uid="{DED69187-A45C-4E72-92C9-37177A4041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56
- Proses IV 58</t>
        </r>
      </text>
    </comment>
    <comment ref="Y23" authorId="0" shapeId="0" xr:uid="{CB4B8F54-EC69-4F4F-ADEA-F769FA1CBB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56
- Proses IV 58</t>
        </r>
      </text>
    </comment>
    <comment ref="Z23" authorId="0" shapeId="0" xr:uid="{150C13E3-7007-473C-9C94-0B5AF3B990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AA23" authorId="0" shapeId="0" xr:uid="{9A6B5467-7592-4376-AE71-9D634C2643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AB23" authorId="0" shapeId="0" xr:uid="{48CC613B-FB4D-40F5-8D5F-7EC0E3962D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AD23" authorId="0" shapeId="0" xr:uid="{4EFAFB02-DE50-46AC-83BE-8CDB75B103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AE23" authorId="0" shapeId="0" xr:uid="{A1E3DFA3-631D-4515-9C0A-8705088888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F23" authorId="0" shapeId="0" xr:uid="{D29DC0D4-52BE-440C-86AA-7B48486BAE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 Proses IV 58
- Total stearin = 369,4
- Total olam IV 56 &amp; 58 = 1240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<sst xmlns="http://schemas.openxmlformats.org/spreadsheetml/2006/main" count="4643" uniqueCount="1157">
  <si>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</si>
  <si>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</si>
  <si>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</si>
  <si>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</si>
  <si>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</si>
  <si>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</si>
  <si>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</si>
  <si>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</si>
  <si>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</si>
  <si>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</si>
  <si>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</si>
  <si>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</si>
  <si>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</si>
  <si>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</si>
  <si>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</si>
  <si>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</si>
  <si>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</si>
  <si>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</si>
  <si>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</si>
  <si>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</si>
  <si>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</si>
  <si>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</si>
  <si>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</si>
  <si>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</si>
  <si>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</si>
  <si>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</si>
  <si>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</si>
  <si>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</si>
  <si>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</si>
  <si>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</si>
  <si>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</si>
  <si>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</si>
  <si>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</si>
  <si>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</si>
  <si>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</si>
  <si>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</si>
  <si>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</si>
  <si>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</si>
  <si>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</si>
  <si>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</si>
  <si>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</si>
  <si>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</si>
  <si>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</si>
  <si>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</si>
  <si>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</si>
  <si>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</si>
  <si>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</si>
  <si>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</si>
  <si>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</si>
  <si>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</si>
  <si>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</si>
  <si>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</si>
  <si>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</si>
  <si>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</si>
  <si>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</si>
  <si>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</si>
  <si>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</si>
  <si>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</si>
  <si>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</si>
  <si>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</si>
  <si>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</si>
  <si>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</si>
  <si>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</si>
  <si>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</si>
  <si>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</si>
  <si>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</si>
  <si>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</si>
  <si>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</si>
  <si>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</si>
  <si>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</si>
  <si>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</si>
  <si>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</si>
  <si>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</si>
  <si>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</si>
  <si>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</si>
  <si>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</si>
  <si>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</si>
  <si>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</si>
  <si>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</si>
  <si>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</si>
  <si>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</si>
  <si>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</si>
  <si>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</si>
  <si>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</si>
  <si>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</si>
  <si>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</si>
  <si>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</si>
  <si>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</si>
  <si>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</si>
  <si>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</si>
  <si>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</si>
  <si>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</si>
  <si>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</si>
  <si>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</si>
  <si>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</si>
  <si>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</si>
  <si>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</si>
  <si>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</si>
  <si>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</si>
  <si>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</si>
  <si>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</si>
  <si>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</si>
  <si>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</si>
  <si>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</si>
  <si>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</si>
  <si>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</si>
  <si>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</si>
  <si>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</si>
  <si>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</si>
  <si>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</si>
  <si>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</si>
  <si>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</si>
  <si>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</si>
  <si>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</si>
  <si>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</si>
  <si>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</si>
  <si>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</si>
  <si>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</si>
  <si>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</si>
  <si>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</si>
  <si>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</si>
  <si>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</si>
  <si>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</si>
  <si>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</si>
  <si>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</si>
  <si>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</si>
  <si>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</si>
  <si>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</si>
  <si>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</si>
  <si>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</si>
  <si>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</si>
  <si>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</si>
  <si>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</si>
  <si>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</si>
  <si>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</si>
  <si>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</si>
  <si>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</si>
  <si>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</si>
  <si>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</si>
  <si>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</si>
  <si>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</si>
  <si>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</si>
  <si>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</si>
  <si>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</si>
  <si>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</si>
  <si>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</si>
  <si>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</si>
  <si>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</si>
  <si>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</si>
  <si>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</si>
  <si>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</si>
  <si>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</si>
  <si>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</si>
  <si>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</si>
  <si>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</si>
  <si>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</si>
  <si>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</si>
  <si>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</si>
  <si>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</si>
  <si>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</si>
  <si>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</si>
  <si>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</si>
  <si>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</si>
  <si>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</si>
  <si>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</si>
  <si>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</si>
  <si>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</si>
  <si>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</si>
  <si>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</si>
  <si>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</si>
  <si>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</si>
  <si>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</si>
  <si>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</si>
  <si>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</si>
  <si>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</si>
  <si>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</si>
  <si>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</si>
  <si>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</si>
  <si>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</si>
  <si>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</si>
  <si>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</si>
  <si>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</si>
  <si>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</si>
  <si>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</si>
  <si>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</si>
  <si>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</si>
  <si>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</si>
  <si>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</si>
  <si>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</si>
  <si>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</si>
  <si>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</si>
  <si>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</si>
  <si>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</si>
  <si>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</si>
  <si>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</si>
  <si>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</si>
  <si>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</si>
  <si>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</si>
  <si>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</si>
  <si>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</si>
  <si>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</si>
  <si>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</si>
  <si>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</si>
  <si>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</si>
  <si>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</si>
  <si>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</si>
  <si>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</si>
  <si>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</si>
  <si>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</si>
  <si>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</si>
  <si>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</si>
  <si>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</si>
  <si>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</si>
  <si>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</si>
  <si>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</si>
  <si>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</si>
  <si>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</si>
  <si>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</si>
  <si>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</si>
  <si>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</si>
  <si>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</si>
  <si>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</si>
  <si>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</si>
  <si>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</si>
  <si>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</si>
  <si>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</si>
  <si>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</si>
  <si>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</si>
  <si>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</si>
  <si>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</si>
  <si>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</si>
  <si>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</si>
  <si>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</si>
  <si>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</si>
  <si>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</si>
  <si>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</si>
  <si>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</si>
  <si>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</si>
  <si>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</si>
  <si>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</si>
  <si>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</si>
  <si>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</si>
  <si>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</si>
  <si>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</si>
  <si>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</si>
  <si>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</si>
  <si>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</si>
  <si>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</si>
  <si>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</si>
  <si>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</si>
  <si>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</si>
  <si>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</si>
  <si>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</si>
  <si>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</si>
  <si>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</si>
  <si>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</si>
  <si>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</si>
  <si>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</si>
  <si>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</si>
  <si>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</si>
  <si>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</si>
  <si>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</si>
  <si>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</si>
  <si>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</si>
  <si>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</si>
  <si>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</si>
  <si>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</si>
  <si>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</si>
  <si>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</si>
  <si>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</si>
  <si>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</si>
  <si>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</si>
  <si>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</si>
  <si>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</si>
  <si>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</si>
  <si>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</si>
  <si>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</si>
  <si>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</si>
  <si>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</si>
  <si>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</si>
  <si>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</si>
  <si>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</si>
  <si>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</si>
  <si>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</si>
  <si>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</si>
  <si>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</si>
  <si>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</si>
  <si>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</si>
  <si>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</si>
  <si>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</si>
  <si>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</si>
  <si>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</si>
  <si>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</si>
  <si>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</si>
  <si>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</si>
  <si>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</si>
  <si>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</si>
  <si>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</si>
  <si>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</si>
  <si>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</si>
  <si>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</si>
  <si>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</si>
  <si>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</si>
  <si>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</si>
  <si>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</si>
  <si>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</si>
  <si>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</si>
  <si>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</si>
  <si>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</si>
  <si>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</si>
  <si>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</si>
  <si>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</si>
  <si>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</si>
  <si>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</si>
  <si>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</si>
  <si>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</si>
  <si>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</si>
  <si>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</si>
  <si>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</si>
  <si>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</si>
  <si>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</si>
  <si>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</si>
  <si>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</si>
  <si>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</si>
  <si>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</si>
  <si>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</si>
  <si>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</si>
  <si>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</si>
  <si>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</si>
  <si>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</si>
  <si>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</si>
  <si>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</si>
  <si>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</si>
  <si>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</si>
  <si>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</si>
  <si>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</si>
  <si>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</si>
  <si>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</si>
  <si>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</si>
  <si>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</si>
  <si>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</si>
  <si>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</si>
  <si>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</si>
  <si>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</si>
  <si>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</si>
  <si>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</si>
  <si>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</si>
  <si>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</si>
  <si>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</si>
  <si>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</si>
  <si>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</si>
  <si>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</si>
  <si>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</si>
  <si>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</si>
  <si>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</si>
  <si>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</si>
  <si>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</si>
  <si>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</si>
  <si>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</si>
  <si>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</si>
  <si>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</si>
  <si>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</si>
  <si>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</si>
  <si>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</si>
  <si>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</si>
  <si>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</si>
  <si>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</si>
  <si>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</si>
  <si>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</si>
  <si>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</si>
  <si>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</si>
  <si>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</si>
  <si>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</si>
  <si>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</si>
  <si>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</si>
  <si>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</si>
  <si>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</si>
  <si>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</si>
  <si>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</si>
  <si>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</si>
  <si>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</si>
  <si>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</si>
  <si>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</si>
  <si>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</si>
  <si>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</si>
  <si>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</si>
  <si>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</si>
  <si>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</si>
  <si>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</si>
  <si>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</si>
  <si>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</si>
  <si>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</si>
  <si>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</si>
  <si>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</si>
  <si>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</si>
  <si>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</si>
  <si>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</si>
  <si>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</si>
  <si>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</si>
  <si>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</si>
  <si>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</si>
  <si>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</si>
  <si>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</si>
  <si>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</si>
  <si>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</si>
  <si>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</si>
  <si>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</si>
  <si>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</si>
  <si>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</si>
  <si>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</si>
  <si>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</si>
  <si>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</si>
  <si>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</si>
  <si>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</si>
  <si>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</si>
  <si>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</si>
  <si>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</si>
  <si>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</si>
  <si>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</si>
  <si>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</si>
  <si>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</si>
  <si>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</si>
  <si>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</si>
  <si>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</si>
  <si>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</si>
  <si>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</si>
  <si>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</si>
  <si>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</si>
  <si>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</si>
  <si>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</si>
  <si>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</si>
  <si>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</si>
  <si>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</si>
  <si>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</si>
  <si>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</si>
  <si>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</si>
  <si>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</si>
  <si>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</si>
  <si>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</si>
  <si>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</si>
  <si>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</si>
  <si>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</si>
  <si>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</si>
  <si>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</si>
  <si>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</si>
  <si>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</si>
  <si>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</si>
  <si>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</si>
  <si>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</si>
  <si>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</si>
  <si>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</si>
  <si>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</si>
  <si>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</si>
  <si>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</si>
  <si>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</si>
  <si>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</si>
  <si>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</si>
  <si>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</si>
  <si>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</si>
  <si>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</si>
  <si>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</si>
  <si>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</si>
  <si>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</si>
  <si>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</si>
  <si>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</si>
  <si>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</si>
  <si>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</si>
  <si>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</si>
  <si>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</si>
  <si>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</si>
  <si>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</si>
  <si>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</si>
  <si>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</si>
  <si>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</si>
  <si>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</si>
  <si>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</si>
  <si>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</si>
  <si>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</si>
  <si>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</si>
  <si>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</si>
  <si>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</si>
  <si>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</si>
  <si>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</si>
  <si>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</si>
  <si>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</si>
  <si>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</si>
  <si>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</si>
  <si>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</si>
  <si>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</si>
  <si>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</si>
  <si>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</si>
  <si>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</si>
  <si>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</si>
  <si>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</si>
  <si>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</si>
  <si>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</si>
  <si>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</si>
  <si>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</si>
  <si>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</si>
  <si>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</si>
  <si>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</si>
  <si>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</si>
  <si>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</si>
  <si>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</si>
  <si>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</si>
  <si>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</si>
  <si>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</si>
  <si>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</si>
  <si>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</si>
  <si>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</si>
  <si>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</si>
  <si>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</si>
  <si>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</si>
  <si>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</si>
  <si>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</si>
  <si>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</si>
  <si>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</si>
  <si>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</si>
  <si>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</si>
  <si>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</si>
  <si>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</si>
  <si>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</si>
  <si>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</si>
  <si>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</si>
  <si>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</si>
  <si>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</si>
  <si>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</si>
  <si>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</si>
  <si>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</si>
  <si>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</si>
  <si>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</si>
  <si>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</si>
  <si>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</si>
  <si>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</si>
  <si>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</si>
  <si>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</si>
  <si>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</si>
  <si>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</si>
  <si>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</si>
  <si>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</si>
  <si>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</si>
  <si>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</si>
  <si>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</si>
  <si>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</si>
  <si>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</si>
  <si>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</si>
  <si>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</si>
  <si>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</si>
  <si>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</si>
  <si>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</si>
  <si>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</si>
  <si>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</si>
  <si>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</si>
  <si>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</si>
  <si>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</si>
  <si>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</si>
  <si>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</si>
  <si>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</si>
  <si>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</si>
  <si>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</si>
  <si>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</si>
  <si>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</si>
  <si>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</si>
  <si>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</si>
  <si>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</si>
  <si>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</si>
  <si>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</si>
  <si>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</si>
  <si>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</si>
  <si>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</si>
  <si>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</si>
  <si>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</si>
  <si>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</si>
  <si>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</si>
  <si>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</si>
  <si>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</si>
  <si>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</si>
  <si>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</si>
  <si>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</si>
  <si>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</si>
  <si>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</si>
  <si>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</si>
  <si>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</si>
  <si>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</si>
  <si>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</si>
  <si>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</si>
  <si>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</si>
  <si>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</si>
  <si>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</si>
  <si>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</si>
  <si>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</si>
  <si>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</si>
  <si>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</si>
  <si>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</si>
  <si>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</si>
  <si>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</si>
  <si>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</si>
  <si>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</si>
  <si>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</si>
  <si>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</si>
  <si>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</si>
  <si>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</si>
  <si>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</si>
  <si>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</si>
  <si>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</si>
  <si>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</si>
  <si>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</si>
  <si>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</si>
  <si>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</si>
  <si>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</si>
  <si>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</si>
  <si>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</si>
  <si>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</si>
  <si>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</si>
  <si>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</si>
  <si>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</si>
  <si>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</si>
  <si>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</si>
  <si>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</si>
  <si>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</si>
  <si>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</si>
  <si>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</si>
  <si>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</si>
  <si>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</si>
  <si>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</si>
  <si>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</si>
  <si>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</si>
  <si>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</si>
  <si>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</si>
  <si>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</si>
  <si>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</si>
  <si>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</si>
  <si>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</si>
  <si>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</si>
  <si>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</si>
  <si>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</si>
  <si>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</si>
  <si>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</si>
  <si>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</si>
  <si>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</si>
  <si>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</si>
  <si>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</si>
  <si>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</si>
  <si>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</si>
  <si>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</si>
  <si>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</si>
  <si>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</si>
  <si>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</si>
  <si>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</si>
  <si>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</si>
  <si>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</si>
  <si>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</si>
  <si>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</si>
  <si>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</si>
  <si>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</si>
  <si>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</si>
  <si>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</si>
  <si>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</si>
  <si>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</si>
  <si>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</si>
  <si>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</si>
  <si>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</si>
  <si>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</si>
  <si>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</si>
  <si>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</si>
  <si>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</si>
  <si>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</si>
  <si>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</si>
  <si>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</si>
  <si>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</si>
  <si>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</si>
  <si>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</si>
  <si>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</si>
  <si>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</si>
  <si>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</si>
  <si>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</si>
  <si>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</si>
  <si>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</si>
  <si>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</si>
  <si>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</si>
  <si>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</si>
  <si>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</si>
  <si>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</si>
  <si>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</si>
  <si>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</si>
  <si>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</si>
  <si>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</si>
  <si>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</si>
  <si>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</si>
  <si>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</si>
  <si>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</si>
  <si>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</si>
  <si>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</si>
  <si>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</si>
  <si>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</si>
  <si>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</si>
  <si>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</si>
  <si>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</si>
  <si>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</si>
  <si>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</si>
  <si>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</si>
  <si>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</si>
  <si>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</si>
  <si>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</si>
  <si>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</si>
  <si>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</si>
  <si>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</si>
  <si>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</si>
  <si>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</si>
  <si>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</si>
  <si>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</si>
  <si>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</si>
  <si>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</si>
  <si>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</si>
  <si>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</si>
  <si>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</si>
  <si>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</si>
  <si>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</si>
  <si>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</si>
  <si>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</si>
  <si>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</si>
  <si>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</si>
  <si>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</si>
  <si>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</si>
  <si>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</si>
  <si>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</si>
  <si>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</si>
  <si>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</si>
  <si>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</si>
  <si>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</si>
  <si>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</si>
  <si>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</si>
  <si>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</si>
  <si>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September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</si>
  <si>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</si>
  <si>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</si>
  <si>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</si>
  <si>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</si>
  <si>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</si>
  <si>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</si>
  <si>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</si>
  <si>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</si>
  <si>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</si>
  <si>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</si>
  <si>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</si>
  <si>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</si>
  <si>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</si>
  <si>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</si>
  <si>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</si>
  <si>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</si>
  <si>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</si>
  <si>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</si>
  <si>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</si>
  <si>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</si>
  <si>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</si>
  <si>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</si>
  <si>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</si>
  <si>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</si>
  <si>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</si>
  <si>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</si>
  <si>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</si>
  <si>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</si>
  <si>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</si>
  <si>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</si>
  <si>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- BE Achieve dengan pemakaian consume Bleaching Earth 7,80 Kg/MT</t>
  </si>
  <si>
    <t>- Untuk hari olah Produksi terpenuhi namun dalam kondisi Slow Flowrate dikarenakan Shortage CPO dan target Shipment yang
   tercapai hanya Olein IV 56</t>
  </si>
  <si>
    <t>- Total CPO Proses sebesar : 24.046 Mt dengan total CPO Incoming ke INL sebanyak : 24.987 MT</t>
  </si>
  <si>
    <t>- Rata rata incoming CPO perhari 832 MT</t>
  </si>
  <si>
    <t>Prepared by,</t>
  </si>
  <si>
    <t>Checked by,</t>
  </si>
  <si>
    <t>Approved by,</t>
  </si>
  <si>
    <t xml:space="preserve">Syaiful Sembiring 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</si>
  <si>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</si>
  <si>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</si>
  <si>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</si>
  <si>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</si>
  <si>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</si>
  <si>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</si>
  <si>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</si>
  <si>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</si>
  <si>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</si>
  <si>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</si>
  <si>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</si>
  <si>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</si>
  <si>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</si>
  <si>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</si>
  <si>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</si>
  <si>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</si>
  <si>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</si>
  <si>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</si>
  <si>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</si>
  <si>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</si>
  <si>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</si>
  <si>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</si>
  <si>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</si>
  <si>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</si>
  <si>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</si>
  <si>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</si>
  <si>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</si>
  <si>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</si>
  <si>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</si>
  <si>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</si>
  <si>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</si>
  <si>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</si>
  <si>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</si>
  <si>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</si>
  <si>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</si>
  <si>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</si>
  <si>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</si>
  <si>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</si>
  <si>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</si>
  <si>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</si>
  <si>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</si>
  <si>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</si>
  <si>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</si>
  <si>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</si>
  <si>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</si>
  <si>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</si>
  <si>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</si>
  <si>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</si>
  <si>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</si>
  <si>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</si>
  <si>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</si>
  <si>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</si>
  <si>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</si>
  <si>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</si>
  <si>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</si>
  <si>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</si>
  <si>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</si>
  <si>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</si>
  <si>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</si>
  <si>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</si>
  <si>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</si>
  <si>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</si>
  <si>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</si>
  <si>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</si>
  <si>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</si>
  <si>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</si>
  <si>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Periode 01/31 Oktober 2024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</si>
  <si>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</si>
  <si>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</si>
  <si>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</si>
  <si>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</si>
  <si>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</si>
  <si>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</si>
  <si>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</si>
  <si>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HOLD CPO Shortage</t>
  </si>
  <si>
    <t xml:space="preserve">Penyesuaian incoming CPO 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</si>
  <si>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</si>
  <si>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</si>
  <si>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</si>
  <si>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</si>
  <si>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</si>
  <si>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</si>
  <si>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</si>
  <si>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</si>
  <si>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</si>
  <si>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</si>
  <si>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</si>
  <si>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</si>
  <si>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</si>
  <si>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</si>
  <si>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</si>
  <si>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Periode 01/30 Oktober 2024</t>
  </si>
  <si>
    <t xml:space="preserve"> Slow flow rate due to Olein IV 56 process &amp; IV 58 process</t>
  </si>
  <si>
    <t>Slow flow rate due to Olein IV 58 process</t>
  </si>
  <si>
    <t>Slow flow rate due to Olein IV 56 process</t>
  </si>
  <si>
    <t>STOP PLANT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</si>
  <si>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</si>
  <si>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</si>
  <si>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</si>
  <si>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</si>
  <si>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</si>
  <si>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</si>
  <si>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</si>
  <si>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</si>
  <si>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8. Note : Kapasitas 2000 TPD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</si>
  <si>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</si>
  <si>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</si>
  <si>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</si>
  <si>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</si>
  <si>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</si>
  <si>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</si>
  <si>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</si>
  <si>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</si>
  <si>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</si>
  <si>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</si>
  <si>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</si>
  <si>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</si>
  <si>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</si>
  <si>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</si>
  <si>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</si>
  <si>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</si>
  <si>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</si>
  <si>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</si>
  <si>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</si>
  <si>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</si>
  <si>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</si>
  <si>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</si>
  <si>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</si>
  <si>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</si>
  <si>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</si>
  <si>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</si>
  <si>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</si>
  <si>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</si>
  <si>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</si>
  <si>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</si>
  <si>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</si>
  <si>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</si>
  <si>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</si>
  <si>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</si>
  <si>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</si>
  <si>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</si>
  <si>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</si>
  <si>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</si>
  <si>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</si>
  <si>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</si>
  <si>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</si>
  <si>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</si>
  <si>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</si>
  <si>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</si>
  <si>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</si>
  <si>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</si>
  <si>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</si>
  <si>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</si>
  <si>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</si>
  <si>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</si>
  <si>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</si>
  <si>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</si>
  <si>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</si>
  <si>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</si>
  <si>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</si>
  <si>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</si>
  <si>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</si>
  <si>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</si>
  <si>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</si>
  <si>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</si>
  <si>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</si>
  <si>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</si>
  <si>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</si>
  <si>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</si>
  <si>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</si>
  <si>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</si>
  <si>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</si>
  <si>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</si>
  <si>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</si>
  <si>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</si>
  <si>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</si>
  <si>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</si>
  <si>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</si>
  <si>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</si>
  <si>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</si>
  <si>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</si>
  <si>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</si>
  <si>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</si>
  <si>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</si>
  <si>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</si>
  <si>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</si>
  <si>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</si>
  <si>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</si>
  <si>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</si>
  <si>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</si>
  <si>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</si>
  <si>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</si>
  <si>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</si>
  <si>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</si>
  <si>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</si>
  <si>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</si>
  <si>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</si>
  <si>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</si>
  <si>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</si>
  <si>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</si>
  <si>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</si>
  <si>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</si>
  <si>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</si>
  <si>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</si>
  <si>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</si>
  <si>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</si>
  <si>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</si>
  <si>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</si>
  <si>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</si>
  <si>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</si>
  <si>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</si>
  <si>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</si>
  <si>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</si>
  <si>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</si>
  <si>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</si>
  <si>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</si>
  <si>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</si>
  <si>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</si>
  <si>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</si>
  <si>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</si>
  <si>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</si>
  <si>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</si>
  <si>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</si>
  <si>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</si>
  <si>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</si>
  <si>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</si>
  <si>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</si>
  <si>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</si>
  <si>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</si>
  <si>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</si>
  <si>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</si>
  <si>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</si>
  <si>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</si>
  <si>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</si>
  <si>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</si>
  <si>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</si>
  <si>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</si>
  <si>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</si>
  <si>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</si>
  <si>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</si>
  <si>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</si>
  <si>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</si>
  <si>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</si>
  <si>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</si>
  <si>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</si>
  <si>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</si>
  <si>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</si>
  <si>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</si>
  <si>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</si>
  <si>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</si>
  <si>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</si>
  <si>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</si>
  <si>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</si>
  <si>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</si>
  <si>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</si>
  <si>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</si>
  <si>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</si>
  <si>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</si>
  <si>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</si>
  <si>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</si>
  <si>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</si>
  <si>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</si>
  <si>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</si>
  <si>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</si>
  <si>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</si>
  <si>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</si>
  <si>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</si>
  <si>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</si>
  <si>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</si>
  <si>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</si>
  <si>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</si>
  <si>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</si>
  <si>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</si>
  <si>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</si>
  <si>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</si>
  <si>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</si>
  <si>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</si>
  <si>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</si>
  <si>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</si>
  <si>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</si>
  <si>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</si>
  <si>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</si>
  <si>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</si>
  <si>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</si>
  <si>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</si>
  <si>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</si>
  <si>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</si>
  <si>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</si>
  <si>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</si>
  <si>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</si>
  <si>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</si>
  <si>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</si>
  <si>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</si>
  <si>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</si>
  <si>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</si>
  <si>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</si>
  <si>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</si>
  <si>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</si>
  <si>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</si>
  <si>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</si>
  <si>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</si>
  <si>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</si>
  <si>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</si>
  <si>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</si>
  <si>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</si>
  <si>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</si>
  <si>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</si>
  <si>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</si>
  <si>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</si>
  <si>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</si>
  <si>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</si>
  <si>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</si>
  <si>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</si>
  <si>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</si>
  <si>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</si>
  <si>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</si>
  <si>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</si>
  <si>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</si>
  <si>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</si>
  <si>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</si>
  <si>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</si>
  <si>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Ratio Run CPO ( utilisasi kapasitas )</t>
  </si>
  <si>
    <t>Periode 01 s/d 31 maret 2025</t>
  </si>
  <si>
    <t>Fractionation Olein IV 58 ( bulk )</t>
  </si>
  <si>
    <t>utility section ( chiller )</t>
  </si>
  <si>
    <t>YEARLY REPORT</t>
  </si>
  <si>
    <t>DIRECT</t>
  </si>
  <si>
    <t>DIRECT RBDPO FRACT</t>
  </si>
  <si>
    <t>olein 56</t>
  </si>
  <si>
    <t>stearin 56</t>
  </si>
  <si>
    <t>cpo feed</t>
  </si>
  <si>
    <t xml:space="preserve">rpo prod </t>
  </si>
  <si>
    <t xml:space="preserve">aktual refinery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</si>
  <si>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</si>
  <si>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</si>
  <si>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</si>
  <si>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</si>
  <si>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</si>
  <si>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opening stok rpo </t>
  </si>
  <si>
    <t>tk131</t>
  </si>
  <si>
    <t>tk132</t>
  </si>
  <si>
    <t>after</t>
  </si>
  <si>
    <t>RbdPO</t>
  </si>
  <si>
    <t xml:space="preserve">Utilitas CPO vs RKAP </t>
  </si>
  <si>
    <t xml:space="preserve">Utilitas RBDPO vs RKAP </t>
  </si>
  <si>
    <t>Budget RBDPO Olah</t>
  </si>
  <si>
    <t>Tanggal</t>
  </si>
  <si>
    <t>Sisa Stok Di Lap</t>
  </si>
  <si>
    <t>Order</t>
  </si>
  <si>
    <t>Bleaching Earth (BE) to Hopper</t>
  </si>
  <si>
    <t>Bleaching Earth (BE) to Silo</t>
  </si>
  <si>
    <t>Aktual Pengiisian BE</t>
  </si>
  <si>
    <t>AGUSTUS</t>
  </si>
  <si>
    <t>PMG 2</t>
  </si>
  <si>
    <t>PMG 1</t>
  </si>
  <si>
    <t>Distribution to PMG 2</t>
  </si>
  <si>
    <t>Distribution to PMG 1</t>
  </si>
  <si>
    <t>Outgoing PMG 2</t>
  </si>
  <si>
    <t>Outgoing PMG 1</t>
  </si>
  <si>
    <t>Note : BE Aktivasi start tgl 23 Bulan September (0,67 %)</t>
  </si>
  <si>
    <t xml:space="preserve">Production Cost OKTOBER 2025 </t>
  </si>
  <si>
    <t xml:space="preserve">- FFA </t>
  </si>
  <si>
    <t xml:space="preserve">PRODUCTION REPORT PMG 2 </t>
  </si>
  <si>
    <t>MP Boiler 1, 2, 3</t>
  </si>
  <si>
    <t>Januari 2026</t>
  </si>
  <si>
    <t xml:space="preserve">RBDPO OIP </t>
  </si>
  <si>
    <t>Total Olein</t>
  </si>
  <si>
    <t>PRODUCTION REPORT 2026</t>
  </si>
  <si>
    <t xml:space="preserve">     </t>
  </si>
  <si>
    <t>PRODUCTION REPORT PMG 1</t>
  </si>
  <si>
    <t xml:space="preserve">Oil In Plant (OIP) Refinery pmg </t>
  </si>
  <si>
    <t>Consume Total</t>
  </si>
  <si>
    <t>RPO</t>
  </si>
  <si>
    <t>Stearin 56</t>
  </si>
  <si>
    <t>Olein 56</t>
  </si>
  <si>
    <t>Olein 58</t>
  </si>
  <si>
    <t>Stearin 58</t>
  </si>
  <si>
    <t>aktivasi 709</t>
  </si>
  <si>
    <t>semi 710</t>
  </si>
  <si>
    <t>aktivasi</t>
  </si>
  <si>
    <t>qty</t>
  </si>
  <si>
    <t>semi aktivasi</t>
  </si>
  <si>
    <t>jika di konsum harusnya koosng di 1013 produksi</t>
  </si>
  <si>
    <t>ok cek konsum rpo pas</t>
  </si>
  <si>
    <t>ok 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</si>
</sst>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_-;_-@_-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-* #,##0.0000_-;\-* #,##0.0000_-;_-* &quot;-&quot;????_-;_-@_-"/>
    <numFmt numFmtId="172" formatCode="_(* #,##0.00_);_(* \(#,##0.00\);_(* &quot;-&quot;??.0_);_(@_)"/>
    <numFmt numFmtId="173" formatCode="_(* #,##0.0_);_(* \(#,##0.0\);_(* &quot;-&quot;??.0_);_(@_)"/>
    <numFmt numFmtId="174" formatCode="_(* #,##0.000_);_(* \(#,##0.000\);_(* &quot;-&quot;??.00_);_(@_)"/>
    <numFmt numFmtId="175" formatCode="_(* #.##0_);_(* \(#.##0\);_(* &quot;-&quot;??_);_(@_)"/>
    <numFmt numFmtId="176" formatCode="_(* #,##0.0_);_(* \(#,##0.0\);_(* &quot;-&quot;??_);_(@_)"/>
    <numFmt numFmtId="177" formatCode="_-* #,##0.0000_-;\-* #,##0.0000_-;_-* &quot;-&quot;_-;_-@_-"/>
    <numFmt numFmtId="178" formatCode="_-* #,##0_-;\-* #,##0_-;_-* &quot;-&quot;????_-;_-@_-"/>
    <numFmt numFmtId="179" formatCode="_-* #,##0_-;\-* #,##0_-;_-* &quot;-&quot;??_-;_-@_-"/>
    <numFmt numFmtId="180" formatCode="0.0%"/>
    <numFmt numFmtId="181" formatCode="#,##0.0"/>
    <numFmt numFmtId="182" formatCode="0.0"/>
    <numFmt numFmtId="183" formatCode="_(* #,##0.0000_);_(* \(#,##0.0000\);_(* &quot;-&quot;??.00_);_(@_)"/>
    <numFmt numFmtId="184" formatCode="_(* #,##0.0000_);_(* \(#,##0.0000\);_(* &quot;-&quot;??.000_);_(@_)"/>
    <numFmt numFmtId="185" formatCode="_(* #,###.0000_);_(* \(#,###.0000\);_(* &quot;-&quot;?,?00.00_);_(@_)"/>
    <numFmt numFmtId="186" formatCode="_(* #,###.00_);_(* \(#,###.00\);_(* &quot;-&quot;?,?00_);_(@_)"/>
    <numFmt numFmtId="187" formatCode="[$-13809]dd\ mmmm\ yyyy;@"/>
    <numFmt numFmtId="188" formatCode="#,##0_ ;[Red]\-#,##0\ "/>
    <numFmt numFmtId="189" formatCode="#,##0_ ;\-#,##0\ "/>
    <numFmt numFmtId="190" formatCode="_(* #,##0.00_);_(* \(#,##0.00\);_(* &quot;-&quot;??.00_);_(@_)"/>
    <numFmt numFmtId="191" formatCode="_(* #,##0.0000_);_(* \(#,##0.0000\);_(* &quot;-&quot;??.0000_);_(@_)"/>
    <numFmt numFmtId="192" formatCode="_-* #,##0.00_-;\-* #,##0.00_-;_-* &quot;-&quot;????_-;_-@_-"/>
    <numFmt numFmtId="193" formatCode="[$-409]d\-mmm;@"/>
    <numFmt numFmtId="194" formatCode="_(* #,##0.00_);_(* \(#,##0.00\);_(* &quot;-&quot;_);_(@_)"/>
    <numFmt numFmtId="195" formatCode="_(* #,##0.000_);_(* \(#,##0.000\);_(* &quot;-&quot;_);_(@_)"/>
    <numFmt numFmtId="196" formatCode="_(* #,##0.0_);_(* \(#,##0.0\);_(* &quot;-&quot;_);_(@_)"/>
    <numFmt numFmtId="197" formatCode="_-* #,##0.000_-;\-* #,##0.000_-;_-* &quot;-&quot;???_-;_-@_-"/>
    <numFmt numFmtId="198" formatCode="0.000"/>
    <numFmt numFmtId="199" formatCode="_-* #,##0.0_-;\-* #,##0.0_-;_-* &quot;-&quot;_-;_-@_-"/>
    <numFmt numFmtId="200" formatCode="_-* #,##0_-;\-* #,##0_-;_-* &quot;-&quot;???_-;_-@_-"/>
    <numFmt numFmtId="201" formatCode="_-* #,##0.0_-;\-* #,##0.0_-;_-* &quot;-&quot;?_-;_-@_-"/>
    <numFmt numFmtId="202" formatCode="_-* #,##0.000_-;\-* #,##0.000_-;_-* &quot;-&quot;?_-;_-@_-"/>
    <numFmt numFmtId="203" formatCode="_-* #,##0_-;\-* #,##0_-;_-* &quot;-&quot;?_-;_-@_-"/>
    <numFmt numFmtId="204" formatCode="_-* #,##0.00\ _€_-;\-* #,##0.00\ _€_-;_-* &quot;-&quot;??\ _€_-;_-@_-"/>
    <numFmt numFmtId="205" formatCode="_-* #,##0.000_-;\-* #,##0.000_-;_-* &quot;-&quot;??_-;_-@_-"/>
    <numFmt numFmtId="206" formatCode="_-* #,##0.0000_-;\-* #,##0.0000_-;_-* &quot;-&quot;??_-;_-@_-"/>
    <numFmt numFmtId="207" formatCode="_-* #,##0.0_-;\-* #,##0.0_-;_-* &quot;-&quot;??_-;_-@_-"/>
  </numFmts>
  <fonts count="10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</borders>
  <cellStyleXfs count="3088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4" fontId="99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8" fillId="0" borderId="0" applyNumberFormat="0" applyFill="0" applyBorder="0" applyAlignment="0" applyProtection="0"/>
  </cellStyleXfs>
  <cellXfs count="2424">
    <xf numFmtId="0" fontId="0" fillId="0" borderId="0" xfId="0"/>
    <xf numFmtId="0" fontId="2" fillId="0" borderId="0" xfId="0" applyFont="1"/>
    <xf numFmtId="0" fontId="3" fillId="0" borderId="0" xfId="0" applyFont="1"/>
    <xf numFmtId="168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8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6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8" fontId="3" fillId="0" borderId="0" xfId="0" applyNumberFormat="1" applyFont="1"/>
    <xf numFmtId="0" fontId="3" fillId="0" borderId="8" xfId="0" quotePrefix="1" applyFont="1" applyBorder="1"/>
    <xf numFmtId="167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8" fontId="2" fillId="0" borderId="4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3" fillId="0" borderId="0" xfId="1" applyNumberFormat="1" applyFont="1" applyFill="1" applyBorder="1"/>
    <xf numFmtId="166" fontId="3" fillId="0" borderId="0" xfId="1" applyNumberFormat="1" applyFont="1" applyFill="1" applyBorder="1" applyAlignment="1">
      <alignment vertical="center"/>
    </xf>
    <xf numFmtId="168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71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6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8" fontId="2" fillId="4" borderId="6" xfId="1" applyNumberFormat="1" applyFont="1" applyFill="1" applyBorder="1"/>
    <xf numFmtId="168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8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8" fontId="2" fillId="6" borderId="3" xfId="0" applyNumberFormat="1" applyFont="1" applyFill="1" applyBorder="1"/>
    <xf numFmtId="166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8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8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8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6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6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8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7" fontId="3" fillId="5" borderId="3" xfId="2" applyNumberFormat="1" applyFont="1" applyFill="1" applyBorder="1"/>
    <xf numFmtId="168" fontId="2" fillId="4" borderId="6" xfId="1" applyNumberFormat="1" applyFont="1" applyFill="1" applyBorder="1" applyAlignment="1">
      <alignment vertical="center"/>
    </xf>
    <xf numFmtId="168" fontId="2" fillId="4" borderId="5" xfId="0" applyNumberFormat="1" applyFont="1" applyFill="1" applyBorder="1"/>
    <xf numFmtId="168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6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8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8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8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8" fontId="3" fillId="6" borderId="33" xfId="1" applyNumberFormat="1" applyFont="1" applyFill="1" applyBorder="1"/>
    <xf numFmtId="167" fontId="3" fillId="6" borderId="21" xfId="2" applyNumberFormat="1" applyFont="1" applyFill="1" applyBorder="1" applyAlignment="1">
      <alignment horizontal="left" vertical="top"/>
    </xf>
    <xf numFmtId="167" fontId="3" fillId="6" borderId="11" xfId="2" quotePrefix="1" applyNumberFormat="1" applyFont="1" applyFill="1" applyBorder="1" applyAlignment="1">
      <alignment horizontal="center"/>
    </xf>
    <xf numFmtId="167" fontId="3" fillId="6" borderId="11" xfId="2" applyNumberFormat="1" applyFont="1" applyFill="1" applyBorder="1"/>
    <xf numFmtId="167" fontId="3" fillId="5" borderId="0" xfId="2" applyNumberFormat="1" applyFont="1" applyFill="1" applyBorder="1"/>
    <xf numFmtId="41" fontId="3" fillId="6" borderId="7" xfId="2" applyFont="1" applyFill="1" applyBorder="1"/>
    <xf numFmtId="0" fontId="6" fillId="0" borderId="3" xfId="0" applyFont="1" applyBorder="1"/>
    <xf numFmtId="170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6" fillId="0" borderId="3" xfId="0" applyNumberFormat="1" applyFont="1" applyBorder="1" applyAlignment="1">
      <alignment vertical="center"/>
    </xf>
    <xf numFmtId="168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8" fontId="3" fillId="0" borderId="3" xfId="1" applyNumberFormat="1" applyFont="1" applyBorder="1"/>
    <xf numFmtId="166" fontId="2" fillId="3" borderId="4" xfId="1" applyNumberFormat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horizontal="center"/>
    </xf>
    <xf numFmtId="166" fontId="3" fillId="4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166" fontId="2" fillId="6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6" borderId="2" xfId="1" applyNumberFormat="1" applyFont="1" applyFill="1" applyBorder="1" applyAlignment="1">
      <alignment horizontal="center"/>
    </xf>
    <xf numFmtId="166" fontId="2" fillId="6" borderId="11" xfId="1" applyNumberFormat="1" applyFont="1" applyFill="1" applyBorder="1" applyAlignment="1">
      <alignment horizontal="center"/>
    </xf>
    <xf numFmtId="166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8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7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7" fontId="2" fillId="5" borderId="0" xfId="2" applyNumberFormat="1" applyFont="1" applyFill="1"/>
    <xf numFmtId="167" fontId="3" fillId="6" borderId="34" xfId="2" applyNumberFormat="1" applyFont="1" applyFill="1" applyBorder="1" applyAlignment="1">
      <alignment horizontal="center" vertical="center" wrapText="1"/>
    </xf>
    <xf numFmtId="167" fontId="13" fillId="6" borderId="34" xfId="2" applyNumberFormat="1" applyFont="1" applyFill="1" applyBorder="1" applyAlignment="1">
      <alignment horizontal="center" vertical="center" wrapText="1"/>
    </xf>
    <xf numFmtId="176" fontId="2" fillId="0" borderId="17" xfId="5" applyNumberFormat="1" applyFont="1" applyBorder="1"/>
    <xf numFmtId="166" fontId="2" fillId="0" borderId="17" xfId="5" applyFont="1" applyBorder="1"/>
    <xf numFmtId="170" fontId="2" fillId="0" borderId="17" xfId="5" applyNumberFormat="1" applyFont="1" applyBorder="1"/>
    <xf numFmtId="170" fontId="2" fillId="0" borderId="43" xfId="5" applyNumberFormat="1" applyFont="1" applyBorder="1"/>
    <xf numFmtId="177" fontId="2" fillId="6" borderId="44" xfId="2" applyNumberFormat="1" applyFont="1" applyFill="1" applyBorder="1"/>
    <xf numFmtId="10" fontId="2" fillId="0" borderId="43" xfId="3" applyNumberFormat="1" applyFont="1" applyBorder="1"/>
    <xf numFmtId="176" fontId="2" fillId="0" borderId="11" xfId="5" applyNumberFormat="1" applyFont="1" applyBorder="1"/>
    <xf numFmtId="166" fontId="2" fillId="0" borderId="11" xfId="5" applyFont="1" applyBorder="1"/>
    <xf numFmtId="170" fontId="2" fillId="0" borderId="11" xfId="5" applyNumberFormat="1" applyFont="1" applyBorder="1"/>
    <xf numFmtId="170" fontId="2" fillId="0" borderId="22" xfId="5" applyNumberFormat="1" applyFont="1" applyBorder="1"/>
    <xf numFmtId="177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70" fontId="2" fillId="6" borderId="4" xfId="5" applyNumberFormat="1" applyFont="1" applyFill="1" applyBorder="1"/>
    <xf numFmtId="167" fontId="3" fillId="6" borderId="19" xfId="2" applyNumberFormat="1" applyFont="1" applyFill="1" applyBorder="1" applyAlignment="1"/>
    <xf numFmtId="167" fontId="3" fillId="6" borderId="50" xfId="2" applyNumberFormat="1" applyFont="1" applyFill="1" applyBorder="1" applyAlignment="1"/>
    <xf numFmtId="167" fontId="3" fillId="6" borderId="52" xfId="2" applyNumberFormat="1" applyFont="1" applyFill="1" applyBorder="1" applyAlignment="1">
      <alignment vertical="center"/>
    </xf>
    <xf numFmtId="171" fontId="2" fillId="5" borderId="0" xfId="0" applyNumberFormat="1" applyFont="1" applyFill="1"/>
    <xf numFmtId="167" fontId="3" fillId="5" borderId="0" xfId="2" applyNumberFormat="1" applyFont="1" applyFill="1"/>
    <xf numFmtId="167" fontId="2" fillId="6" borderId="0" xfId="2" applyNumberFormat="1" applyFont="1" applyFill="1"/>
    <xf numFmtId="0" fontId="2" fillId="5" borderId="0" xfId="6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71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70" fontId="2" fillId="6" borderId="11" xfId="5" applyNumberFormat="1" applyFont="1" applyFill="1" applyBorder="1"/>
    <xf numFmtId="171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70" fontId="3" fillId="0" borderId="42" xfId="6" applyNumberFormat="1" applyFont="1" applyBorder="1"/>
    <xf numFmtId="170" fontId="3" fillId="6" borderId="42" xfId="6" applyNumberFormat="1" applyFont="1" applyFill="1" applyBorder="1"/>
    <xf numFmtId="170" fontId="3" fillId="0" borderId="44" xfId="6" applyNumberFormat="1" applyFont="1" applyBorder="1"/>
    <xf numFmtId="170" fontId="3" fillId="0" borderId="19" xfId="6" applyNumberFormat="1" applyFont="1" applyBorder="1"/>
    <xf numFmtId="170" fontId="3" fillId="6" borderId="48" xfId="6" applyNumberFormat="1" applyFont="1" applyFill="1" applyBorder="1"/>
    <xf numFmtId="170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70" fontId="2" fillId="0" borderId="16" xfId="6" applyNumberFormat="1" applyFont="1" applyBorder="1"/>
    <xf numFmtId="170" fontId="3" fillId="0" borderId="11" xfId="6" applyNumberFormat="1" applyFont="1" applyBorder="1"/>
    <xf numFmtId="0" fontId="3" fillId="6" borderId="11" xfId="6" applyFont="1" applyFill="1" applyBorder="1"/>
    <xf numFmtId="170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70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70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71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8" fontId="2" fillId="5" borderId="0" xfId="6" applyNumberFormat="1" applyFont="1" applyFill="1"/>
    <xf numFmtId="167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2" fontId="10" fillId="4" borderId="6" xfId="1" applyNumberFormat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6" fontId="3" fillId="7" borderId="4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6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3" fontId="2" fillId="8" borderId="4" xfId="1" applyNumberFormat="1" applyFont="1" applyFill="1" applyBorder="1" applyAlignment="1">
      <alignment horizontal="center"/>
    </xf>
    <xf numFmtId="172" fontId="2" fillId="8" borderId="4" xfId="1" applyNumberFormat="1" applyFont="1" applyFill="1" applyBorder="1" applyAlignment="1">
      <alignment horizontal="center"/>
    </xf>
    <xf numFmtId="166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8" fontId="3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8" fontId="2" fillId="0" borderId="1" xfId="1" applyNumberFormat="1" applyFont="1" applyBorder="1"/>
    <xf numFmtId="168" fontId="2" fillId="0" borderId="6" xfId="1" applyNumberFormat="1" applyFont="1" applyFill="1" applyBorder="1" applyAlignment="1">
      <alignment vertical="center"/>
    </xf>
    <xf numFmtId="168" fontId="2" fillId="6" borderId="4" xfId="1" applyNumberFormat="1" applyFont="1" applyFill="1" applyBorder="1" applyAlignment="1">
      <alignment vertical="center"/>
    </xf>
    <xf numFmtId="168" fontId="2" fillId="6" borderId="2" xfId="1" applyNumberFormat="1" applyFont="1" applyFill="1" applyBorder="1" applyAlignment="1">
      <alignment vertical="center"/>
    </xf>
    <xf numFmtId="168" fontId="2" fillId="4" borderId="4" xfId="1" applyNumberFormat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8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4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6" fontId="10" fillId="7" borderId="4" xfId="1" applyNumberFormat="1" applyFont="1" applyFill="1" applyBorder="1" applyAlignment="1">
      <alignment vertical="center"/>
    </xf>
    <xf numFmtId="168" fontId="3" fillId="0" borderId="4" xfId="1" applyNumberFormat="1" applyFont="1" applyFill="1" applyBorder="1" applyAlignment="1">
      <alignment vertical="center"/>
    </xf>
    <xf numFmtId="167" fontId="2" fillId="5" borderId="4" xfId="2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 wrapText="1"/>
    </xf>
    <xf numFmtId="166" fontId="2" fillId="4" borderId="6" xfId="1" applyNumberFormat="1" applyFont="1" applyFill="1" applyBorder="1" applyAlignment="1">
      <alignment vertical="center"/>
    </xf>
    <xf numFmtId="166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6" fontId="2" fillId="6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6" borderId="11" xfId="1" applyNumberFormat="1" applyFont="1" applyFill="1" applyBorder="1" applyAlignment="1">
      <alignment vertical="center"/>
    </xf>
    <xf numFmtId="167" fontId="3" fillId="6" borderId="11" xfId="2" applyNumberFormat="1" applyFont="1" applyFill="1" applyBorder="1" applyAlignment="1">
      <alignment vertical="center"/>
    </xf>
    <xf numFmtId="170" fontId="2" fillId="7" borderId="4" xfId="1" applyNumberFormat="1" applyFont="1" applyFill="1" applyBorder="1" applyAlignment="1">
      <alignment horizontal="center" vertical="center"/>
    </xf>
    <xf numFmtId="170" fontId="2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70" fontId="3" fillId="0" borderId="2" xfId="1" applyNumberFormat="1" applyFont="1" applyFill="1" applyBorder="1" applyAlignment="1">
      <alignment vertical="center"/>
    </xf>
    <xf numFmtId="170" fontId="3" fillId="4" borderId="4" xfId="1" applyNumberFormat="1" applyFont="1" applyFill="1" applyBorder="1" applyAlignment="1">
      <alignment vertical="center"/>
    </xf>
    <xf numFmtId="168" fontId="3" fillId="7" borderId="4" xfId="1" applyNumberFormat="1" applyFont="1" applyFill="1" applyBorder="1" applyAlignment="1">
      <alignment vertical="center"/>
    </xf>
    <xf numFmtId="168" fontId="2" fillId="0" borderId="4" xfId="1" applyNumberFormat="1" applyFont="1" applyBorder="1" applyAlignment="1">
      <alignment vertical="center"/>
    </xf>
    <xf numFmtId="166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4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6" fontId="2" fillId="0" borderId="0" xfId="0" applyNumberFormat="1" applyFont="1"/>
    <xf numFmtId="166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2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9" fontId="10" fillId="0" borderId="4" xfId="1" applyNumberFormat="1" applyFont="1" applyFill="1" applyBorder="1" applyAlignment="1">
      <alignment vertical="center"/>
    </xf>
    <xf numFmtId="179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9" fontId="0" fillId="0" borderId="11" xfId="1" applyNumberFormat="1" applyFont="1" applyBorder="1" applyAlignment="1">
      <alignment horizontal="left" vertical="center"/>
    </xf>
    <xf numFmtId="179" fontId="0" fillId="0" borderId="11" xfId="1" applyNumberFormat="1" applyFont="1" applyBorder="1"/>
    <xf numFmtId="179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9" fontId="0" fillId="0" borderId="0" xfId="0" applyNumberFormat="1"/>
    <xf numFmtId="10" fontId="0" fillId="0" borderId="0" xfId="0" applyNumberFormat="1"/>
    <xf numFmtId="179" fontId="0" fillId="0" borderId="11" xfId="1" applyNumberFormat="1" applyFont="1" applyBorder="1" applyAlignment="1">
      <alignment horizontal="center"/>
    </xf>
    <xf numFmtId="179" fontId="0" fillId="0" borderId="11" xfId="1" applyNumberFormat="1" applyFont="1" applyBorder="1" applyAlignment="1">
      <alignment horizontal="center" vertical="center" wrapText="1"/>
    </xf>
    <xf numFmtId="179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9" fontId="0" fillId="0" borderId="0" xfId="1" applyNumberFormat="1" applyFont="1" applyAlignment="1">
      <alignment horizontal="center" vertical="center" wrapText="1"/>
    </xf>
    <xf numFmtId="179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9" fontId="0" fillId="0" borderId="0" xfId="1" applyNumberFormat="1" applyFont="1"/>
    <xf numFmtId="179" fontId="1" fillId="0" borderId="4" xfId="1" applyNumberFormat="1" applyFont="1" applyFill="1" applyBorder="1" applyAlignment="1">
      <alignment vertical="center"/>
    </xf>
    <xf numFmtId="179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9" fontId="0" fillId="0" borderId="0" xfId="1" applyNumberFormat="1" applyFont="1" applyBorder="1" applyAlignment="1">
      <alignment horizontal="left" vertical="center"/>
    </xf>
    <xf numFmtId="179" fontId="0" fillId="0" borderId="0" xfId="1" applyNumberFormat="1" applyFont="1" applyBorder="1" applyAlignment="1">
      <alignment vertical="center"/>
    </xf>
    <xf numFmtId="17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9" fontId="18" fillId="0" borderId="11" xfId="1" applyNumberFormat="1" applyFont="1" applyBorder="1"/>
    <xf numFmtId="179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9" fontId="0" fillId="4" borderId="11" xfId="0" applyNumberFormat="1" applyFill="1" applyBorder="1"/>
    <xf numFmtId="179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9" fontId="0" fillId="0" borderId="58" xfId="1" applyNumberFormat="1" applyFont="1" applyBorder="1" applyAlignment="1">
      <alignment horizontal="left" vertical="center"/>
    </xf>
    <xf numFmtId="179" fontId="0" fillId="0" borderId="58" xfId="1" applyNumberFormat="1" applyFont="1" applyBorder="1"/>
    <xf numFmtId="179" fontId="0" fillId="0" borderId="58" xfId="0" applyNumberFormat="1" applyBorder="1"/>
    <xf numFmtId="179" fontId="0" fillId="4" borderId="58" xfId="1" applyNumberFormat="1" applyFont="1" applyFill="1" applyBorder="1"/>
    <xf numFmtId="10" fontId="0" fillId="0" borderId="58" xfId="0" applyNumberFormat="1" applyBorder="1"/>
    <xf numFmtId="179" fontId="0" fillId="5" borderId="11" xfId="1" applyNumberFormat="1" applyFont="1" applyFill="1" applyBorder="1"/>
    <xf numFmtId="179" fontId="0" fillId="4" borderId="11" xfId="1" applyNumberFormat="1" applyFont="1" applyFill="1" applyBorder="1" applyAlignment="1">
      <alignment horizontal="left" vertical="center"/>
    </xf>
    <xf numFmtId="179" fontId="1" fillId="4" borderId="11" xfId="1" applyNumberFormat="1" applyFont="1" applyFill="1" applyBorder="1"/>
    <xf numFmtId="179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9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8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2" fontId="24" fillId="0" borderId="62" xfId="7" applyNumberFormat="1" applyFont="1" applyBorder="1" applyAlignment="1">
      <alignment horizontal="center" vertical="center"/>
    </xf>
    <xf numFmtId="181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81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81" fontId="22" fillId="0" borderId="4" xfId="0" applyNumberFormat="1" applyFont="1" applyBorder="1" applyAlignment="1">
      <alignment horizontal="center" vertical="center"/>
    </xf>
    <xf numFmtId="181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8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8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8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8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8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7" fontId="10" fillId="0" borderId="75" xfId="2" applyNumberFormat="1" applyFont="1" applyBorder="1"/>
    <xf numFmtId="167" fontId="10" fillId="0" borderId="0" xfId="2" applyNumberFormat="1" applyFont="1" applyBorder="1"/>
    <xf numFmtId="167" fontId="10" fillId="0" borderId="28" xfId="2" applyNumberFormat="1" applyFont="1" applyBorder="1"/>
    <xf numFmtId="168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7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7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7" fontId="34" fillId="0" borderId="73" xfId="2" applyNumberFormat="1" applyFont="1" applyFill="1" applyBorder="1"/>
    <xf numFmtId="167" fontId="34" fillId="0" borderId="74" xfId="2" applyNumberFormat="1" applyFont="1" applyFill="1" applyBorder="1"/>
    <xf numFmtId="167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7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9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7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7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8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5" fontId="2" fillId="0" borderId="6" xfId="1" applyNumberFormat="1" applyFont="1" applyFill="1" applyBorder="1"/>
    <xf numFmtId="167" fontId="2" fillId="0" borderId="73" xfId="2" applyNumberFormat="1" applyFont="1" applyFill="1" applyBorder="1"/>
    <xf numFmtId="167" fontId="2" fillId="0" borderId="74" xfId="2" applyNumberFormat="1" applyFont="1" applyFill="1" applyBorder="1"/>
    <xf numFmtId="167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8" fontId="2" fillId="6" borderId="3" xfId="0" applyNumberFormat="1" applyFont="1" applyFill="1" applyBorder="1" applyAlignment="1">
      <alignment vertical="center"/>
    </xf>
    <xf numFmtId="167" fontId="2" fillId="0" borderId="0" xfId="2" applyNumberFormat="1" applyFont="1" applyAlignment="1">
      <alignment vertical="center"/>
    </xf>
    <xf numFmtId="168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8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8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8" fontId="2" fillId="4" borderId="23" xfId="1" applyNumberFormat="1" applyFont="1" applyFill="1" applyBorder="1"/>
    <xf numFmtId="168" fontId="2" fillId="0" borderId="14" xfId="1" applyNumberFormat="1" applyFont="1" applyFill="1" applyBorder="1"/>
    <xf numFmtId="168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8" fontId="2" fillId="0" borderId="10" xfId="1" applyNumberFormat="1" applyFont="1" applyFill="1" applyBorder="1"/>
    <xf numFmtId="168" fontId="2" fillId="0" borderId="25" xfId="1" applyNumberFormat="1" applyFont="1" applyFill="1" applyBorder="1"/>
    <xf numFmtId="168" fontId="2" fillId="6" borderId="77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9" xfId="1" applyFont="1" applyFill="1" applyBorder="1"/>
    <xf numFmtId="167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4" fontId="2" fillId="0" borderId="4" xfId="1" applyNumberFormat="1" applyFont="1" applyFill="1" applyBorder="1"/>
    <xf numFmtId="173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6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7" fontId="3" fillId="0" borderId="62" xfId="2" applyNumberFormat="1" applyFont="1" applyFill="1" applyBorder="1"/>
    <xf numFmtId="167" fontId="3" fillId="0" borderId="0" xfId="2" applyNumberFormat="1" applyFont="1" applyFill="1"/>
    <xf numFmtId="167" fontId="3" fillId="5" borderId="4" xfId="2" quotePrefix="1" applyNumberFormat="1" applyFont="1" applyFill="1" applyBorder="1"/>
    <xf numFmtId="167" fontId="3" fillId="10" borderId="4" xfId="2" applyNumberFormat="1" applyFont="1" applyFill="1" applyBorder="1" applyAlignment="1">
      <alignment horizontal="center"/>
    </xf>
    <xf numFmtId="167" fontId="3" fillId="5" borderId="4" xfId="2" quotePrefix="1" applyNumberFormat="1" applyFont="1" applyFill="1" applyBorder="1" applyAlignment="1">
      <alignment horizontal="center"/>
    </xf>
    <xf numFmtId="167" fontId="2" fillId="5" borderId="62" xfId="2" applyNumberFormat="1" applyFont="1" applyFill="1" applyBorder="1"/>
    <xf numFmtId="167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7" fontId="2" fillId="0" borderId="0" xfId="2" applyNumberFormat="1" applyFont="1" applyFill="1" applyAlignment="1">
      <alignment vertical="center"/>
    </xf>
    <xf numFmtId="168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8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9" fontId="2" fillId="0" borderId="3" xfId="0" applyNumberFormat="1" applyFont="1" applyBorder="1"/>
    <xf numFmtId="167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8" fontId="3" fillId="0" borderId="4" xfId="1" applyNumberFormat="1" applyFont="1" applyFill="1" applyBorder="1"/>
    <xf numFmtId="168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8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0" fontId="19" fillId="0" borderId="0" xfId="0" applyFont="1"/>
    <xf numFmtId="168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70" fontId="2" fillId="0" borderId="4" xfId="1" applyNumberFormat="1" applyFont="1" applyFill="1" applyBorder="1"/>
    <xf numFmtId="170" fontId="2" fillId="6" borderId="3" xfId="0" applyNumberFormat="1" applyFont="1" applyFill="1" applyBorder="1"/>
    <xf numFmtId="172" fontId="10" fillId="3" borderId="4" xfId="1" applyNumberFormat="1" applyFont="1" applyFill="1" applyBorder="1" applyAlignment="1">
      <alignment horizontal="center"/>
    </xf>
    <xf numFmtId="177" fontId="2" fillId="0" borderId="4" xfId="2" applyNumberFormat="1" applyFont="1" applyFill="1" applyBorder="1"/>
    <xf numFmtId="170" fontId="3" fillId="6" borderId="3" xfId="0" applyNumberFormat="1" applyFont="1" applyFill="1" applyBorder="1"/>
    <xf numFmtId="183" fontId="2" fillId="0" borderId="4" xfId="1" applyNumberFormat="1" applyFont="1" applyFill="1" applyBorder="1"/>
    <xf numFmtId="184" fontId="2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6" fontId="2" fillId="0" borderId="4" xfId="1" applyNumberFormat="1" applyFont="1" applyFill="1" applyBorder="1"/>
    <xf numFmtId="185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70" fontId="3" fillId="0" borderId="2" xfId="1" applyNumberFormat="1" applyFont="1" applyFill="1" applyBorder="1"/>
    <xf numFmtId="167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70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8" fontId="10" fillId="3" borderId="4" xfId="1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168" fontId="9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8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168" fontId="3" fillId="0" borderId="55" xfId="0" applyNumberFormat="1" applyFont="1" applyBorder="1"/>
    <xf numFmtId="168" fontId="3" fillId="0" borderId="40" xfId="0" applyNumberFormat="1" applyFont="1" applyBorder="1"/>
    <xf numFmtId="168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8" fontId="2" fillId="0" borderId="28" xfId="0" applyNumberFormat="1" applyFont="1" applyBorder="1"/>
    <xf numFmtId="168" fontId="2" fillId="4" borderId="28" xfId="0" applyNumberFormat="1" applyFont="1" applyFill="1" applyBorder="1"/>
    <xf numFmtId="168" fontId="2" fillId="6" borderId="28" xfId="1" applyNumberFormat="1" applyFont="1" applyFill="1" applyBorder="1"/>
    <xf numFmtId="166" fontId="2" fillId="0" borderId="28" xfId="0" applyNumberFormat="1" applyFont="1" applyBorder="1"/>
    <xf numFmtId="168" fontId="5" fillId="0" borderId="28" xfId="0" applyNumberFormat="1" applyFont="1" applyBorder="1" applyAlignment="1">
      <alignment horizontal="center"/>
    </xf>
    <xf numFmtId="168" fontId="2" fillId="6" borderId="28" xfId="0" applyNumberFormat="1" applyFont="1" applyFill="1" applyBorder="1"/>
    <xf numFmtId="168" fontId="5" fillId="0" borderId="79" xfId="0" applyNumberFormat="1" applyFont="1" applyBorder="1" applyAlignment="1">
      <alignment horizontal="center"/>
    </xf>
    <xf numFmtId="168" fontId="2" fillId="6" borderId="28" xfId="0" applyNumberFormat="1" applyFont="1" applyFill="1" applyBorder="1" applyAlignment="1">
      <alignment vertical="center"/>
    </xf>
    <xf numFmtId="168" fontId="2" fillId="4" borderId="28" xfId="0" applyNumberFormat="1" applyFont="1" applyFill="1" applyBorder="1" applyAlignment="1">
      <alignment vertical="center"/>
    </xf>
    <xf numFmtId="168" fontId="2" fillId="6" borderId="28" xfId="1" applyNumberFormat="1" applyFont="1" applyFill="1" applyBorder="1" applyAlignment="1">
      <alignment vertical="center"/>
    </xf>
    <xf numFmtId="168" fontId="2" fillId="5" borderId="28" xfId="0" applyNumberFormat="1" applyFont="1" applyFill="1" applyBorder="1"/>
    <xf numFmtId="0" fontId="3" fillId="4" borderId="79" xfId="0" quotePrefix="1" applyFont="1" applyFill="1" applyBorder="1" applyAlignment="1">
      <alignment horizontal="center"/>
    </xf>
    <xf numFmtId="0" fontId="3" fillId="4" borderId="79" xfId="0" applyFont="1" applyFill="1" applyBorder="1" applyAlignment="1">
      <alignment horizontal="center"/>
    </xf>
    <xf numFmtId="43" fontId="2" fillId="0" borderId="8" xfId="1" applyFont="1" applyFill="1" applyBorder="1"/>
    <xf numFmtId="168" fontId="2" fillId="6" borderId="80" xfId="0" applyNumberFormat="1" applyFont="1" applyFill="1" applyBorder="1"/>
    <xf numFmtId="43" fontId="2" fillId="0" borderId="26" xfId="1" applyFont="1" applyFill="1" applyBorder="1"/>
    <xf numFmtId="174" fontId="2" fillId="0" borderId="28" xfId="1" applyNumberFormat="1" applyFont="1" applyBorder="1"/>
    <xf numFmtId="43" fontId="16" fillId="0" borderId="23" xfId="1" applyFont="1" applyFill="1" applyBorder="1"/>
    <xf numFmtId="166" fontId="2" fillId="5" borderId="28" xfId="0" applyNumberFormat="1" applyFont="1" applyFill="1" applyBorder="1"/>
    <xf numFmtId="166" fontId="3" fillId="6" borderId="28" xfId="0" applyNumberFormat="1" applyFont="1" applyFill="1" applyBorder="1"/>
    <xf numFmtId="166" fontId="3" fillId="0" borderId="28" xfId="0" applyNumberFormat="1" applyFont="1" applyBorder="1"/>
    <xf numFmtId="43" fontId="10" fillId="0" borderId="64" xfId="1" applyFont="1" applyFill="1" applyBorder="1"/>
    <xf numFmtId="168" fontId="6" fillId="0" borderId="28" xfId="0" applyNumberFormat="1" applyFont="1" applyBorder="1"/>
    <xf numFmtId="168" fontId="2" fillId="0" borderId="28" xfId="0" applyNumberFormat="1" applyFont="1" applyBorder="1" applyAlignment="1">
      <alignment vertical="center"/>
    </xf>
    <xf numFmtId="169" fontId="2" fillId="0" borderId="28" xfId="0" applyNumberFormat="1" applyFont="1" applyBorder="1"/>
    <xf numFmtId="168" fontId="2" fillId="4" borderId="79" xfId="0" applyNumberFormat="1" applyFont="1" applyFill="1" applyBorder="1"/>
    <xf numFmtId="0" fontId="3" fillId="4" borderId="79" xfId="0" applyFont="1" applyFill="1" applyBorder="1" applyAlignment="1">
      <alignment horizontal="center" vertical="center"/>
    </xf>
    <xf numFmtId="166" fontId="2" fillId="6" borderId="79" xfId="0" applyNumberFormat="1" applyFont="1" applyFill="1" applyBorder="1"/>
    <xf numFmtId="166" fontId="2" fillId="6" borderId="46" xfId="0" applyNumberFormat="1" applyFont="1" applyFill="1" applyBorder="1"/>
    <xf numFmtId="166" fontId="3" fillId="6" borderId="46" xfId="0" applyNumberFormat="1" applyFont="1" applyFill="1" applyBorder="1"/>
    <xf numFmtId="170" fontId="2" fillId="6" borderId="28" xfId="0" applyNumberFormat="1" applyFont="1" applyFill="1" applyBorder="1"/>
    <xf numFmtId="170" fontId="3" fillId="6" borderId="28" xfId="0" applyNumberFormat="1" applyFont="1" applyFill="1" applyBorder="1"/>
    <xf numFmtId="0" fontId="6" fillId="0" borderId="28" xfId="0" applyFont="1" applyBorder="1"/>
    <xf numFmtId="185" fontId="2" fillId="0" borderId="28" xfId="0" applyNumberFormat="1" applyFont="1" applyBorder="1"/>
    <xf numFmtId="170" fontId="3" fillId="0" borderId="81" xfId="0" applyNumberFormat="1" applyFont="1" applyBorder="1"/>
    <xf numFmtId="43" fontId="3" fillId="4" borderId="79" xfId="1" applyFont="1" applyFill="1" applyBorder="1" applyAlignment="1">
      <alignment horizontal="center"/>
    </xf>
    <xf numFmtId="168" fontId="3" fillId="6" borderId="28" xfId="0" applyNumberFormat="1" applyFont="1" applyFill="1" applyBorder="1"/>
    <xf numFmtId="169" fontId="6" fillId="0" borderId="28" xfId="0" applyNumberFormat="1" applyFont="1" applyBorder="1"/>
    <xf numFmtId="168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8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8" fontId="3" fillId="4" borderId="79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2" xfId="1" applyFont="1" applyFill="1" applyBorder="1"/>
    <xf numFmtId="168" fontId="3" fillId="0" borderId="3" xfId="0" applyNumberFormat="1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78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7" fontId="2" fillId="5" borderId="31" xfId="2" applyNumberFormat="1" applyFont="1" applyFill="1" applyBorder="1" applyAlignment="1">
      <alignment horizontal="center"/>
    </xf>
    <xf numFmtId="167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6" fontId="3" fillId="0" borderId="0" xfId="0" applyNumberFormat="1" applyFont="1"/>
    <xf numFmtId="166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179" fontId="2" fillId="5" borderId="4" xfId="1" applyNumberFormat="1" applyFont="1" applyFill="1" applyBorder="1"/>
    <xf numFmtId="168" fontId="2" fillId="0" borderId="4" xfId="1" applyNumberFormat="1" applyFont="1" applyFill="1" applyBorder="1" applyAlignment="1">
      <alignment horizontal="center"/>
    </xf>
    <xf numFmtId="168" fontId="2" fillId="8" borderId="6" xfId="1" applyNumberFormat="1" applyFont="1" applyFill="1" applyBorder="1" applyAlignment="1">
      <alignment horizontal="center"/>
    </xf>
    <xf numFmtId="168" fontId="2" fillId="0" borderId="2" xfId="1" applyNumberFormat="1" applyFont="1" applyFill="1" applyBorder="1" applyAlignment="1">
      <alignment horizontal="center"/>
    </xf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168" fontId="3" fillId="0" borderId="1" xfId="0" applyNumberFormat="1" applyFont="1" applyBorder="1"/>
    <xf numFmtId="168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8" fontId="2" fillId="6" borderId="3" xfId="0" applyNumberFormat="1" applyFont="1" applyFill="1" applyBorder="1" applyAlignment="1">
      <alignment horizontal="center" vertical="center"/>
    </xf>
    <xf numFmtId="168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6" fontId="2" fillId="0" borderId="75" xfId="0" applyNumberFormat="1" applyFont="1" applyBorder="1"/>
    <xf numFmtId="9" fontId="2" fillId="6" borderId="75" xfId="3" applyFont="1" applyFill="1" applyBorder="1"/>
    <xf numFmtId="166" fontId="2" fillId="6" borderId="75" xfId="0" applyNumberFormat="1" applyFont="1" applyFill="1" applyBorder="1"/>
    <xf numFmtId="168" fontId="5" fillId="0" borderId="75" xfId="0" applyNumberFormat="1" applyFont="1" applyBorder="1" applyAlignment="1">
      <alignment horizontal="center"/>
    </xf>
    <xf numFmtId="168" fontId="5" fillId="0" borderId="85" xfId="0" applyNumberFormat="1" applyFont="1" applyBorder="1" applyAlignment="1">
      <alignment horizontal="center"/>
    </xf>
    <xf numFmtId="168" fontId="2" fillId="6" borderId="75" xfId="0" applyNumberFormat="1" applyFont="1" applyFill="1" applyBorder="1"/>
    <xf numFmtId="166" fontId="2" fillId="5" borderId="75" xfId="0" applyNumberFormat="1" applyFont="1" applyFill="1" applyBorder="1"/>
    <xf numFmtId="0" fontId="3" fillId="4" borderId="85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6" xfId="1" applyFont="1" applyFill="1" applyBorder="1"/>
    <xf numFmtId="0" fontId="3" fillId="4" borderId="85" xfId="0" applyFont="1" applyFill="1" applyBorder="1" applyAlignment="1">
      <alignment horizontal="center"/>
    </xf>
    <xf numFmtId="43" fontId="34" fillId="0" borderId="75" xfId="1" applyFont="1" applyBorder="1"/>
    <xf numFmtId="43" fontId="2" fillId="0" borderId="87" xfId="1" applyFont="1" applyBorder="1"/>
    <xf numFmtId="168" fontId="2" fillId="6" borderId="88" xfId="0" applyNumberFormat="1" applyFont="1" applyFill="1" applyBorder="1"/>
    <xf numFmtId="174" fontId="2" fillId="0" borderId="75" xfId="1" applyNumberFormat="1" applyFont="1" applyBorder="1"/>
    <xf numFmtId="166" fontId="3" fillId="6" borderId="75" xfId="0" applyNumberFormat="1" applyFont="1" applyFill="1" applyBorder="1"/>
    <xf numFmtId="168" fontId="6" fillId="0" borderId="75" xfId="0" applyNumberFormat="1" applyFont="1" applyBorder="1"/>
    <xf numFmtId="168" fontId="2" fillId="0" borderId="75" xfId="0" applyNumberFormat="1" applyFont="1" applyBorder="1"/>
    <xf numFmtId="166" fontId="3" fillId="0" borderId="75" xfId="0" applyNumberFormat="1" applyFont="1" applyBorder="1"/>
    <xf numFmtId="169" fontId="2" fillId="0" borderId="75" xfId="0" applyNumberFormat="1" applyFont="1" applyBorder="1"/>
    <xf numFmtId="168" fontId="2" fillId="0" borderId="75" xfId="0" applyNumberFormat="1" applyFont="1" applyBorder="1" applyAlignment="1">
      <alignment vertical="center"/>
    </xf>
    <xf numFmtId="168" fontId="2" fillId="4" borderId="85" xfId="0" applyNumberFormat="1" applyFont="1" applyFill="1" applyBorder="1"/>
    <xf numFmtId="166" fontId="2" fillId="0" borderId="86" xfId="0" applyNumberFormat="1" applyFont="1" applyBorder="1"/>
    <xf numFmtId="0" fontId="3" fillId="4" borderId="85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6" fontId="2" fillId="0" borderId="75" xfId="0" applyNumberFormat="1" applyFont="1" applyBorder="1"/>
    <xf numFmtId="43" fontId="3" fillId="4" borderId="85" xfId="1" applyFont="1" applyFill="1" applyBorder="1" applyAlignment="1">
      <alignment horizontal="center"/>
    </xf>
    <xf numFmtId="169" fontId="6" fillId="0" borderId="75" xfId="0" applyNumberFormat="1" applyFont="1" applyBorder="1"/>
    <xf numFmtId="168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8" fontId="3" fillId="4" borderId="85" xfId="1" applyNumberFormat="1" applyFont="1" applyFill="1" applyBorder="1" applyAlignment="1">
      <alignment horizontal="center"/>
    </xf>
    <xf numFmtId="166" fontId="3" fillId="0" borderId="73" xfId="0" applyNumberFormat="1" applyFont="1" applyBorder="1"/>
    <xf numFmtId="167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6" fontId="2" fillId="5" borderId="0" xfId="0" applyNumberFormat="1" applyFont="1" applyFill="1"/>
    <xf numFmtId="179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8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70" fontId="0" fillId="0" borderId="0" xfId="0" applyNumberFormat="1"/>
    <xf numFmtId="166" fontId="0" fillId="0" borderId="0" xfId="0" applyNumberFormat="1"/>
    <xf numFmtId="43" fontId="2" fillId="0" borderId="0" xfId="1" applyFont="1" applyBorder="1" applyAlignment="1">
      <alignment vertical="center"/>
    </xf>
    <xf numFmtId="168" fontId="2" fillId="0" borderId="0" xfId="0" applyNumberFormat="1" applyFont="1" applyAlignment="1">
      <alignment horizontal="center"/>
    </xf>
    <xf numFmtId="167" fontId="3" fillId="0" borderId="0" xfId="2" applyNumberFormat="1" applyFont="1" applyFill="1" applyBorder="1"/>
    <xf numFmtId="168" fontId="2" fillId="7" borderId="3" xfId="0" applyNumberFormat="1" applyFont="1" applyFill="1" applyBorder="1"/>
    <xf numFmtId="187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89" xfId="7" applyFont="1" applyBorder="1" applyAlignment="1">
      <alignment horizontal="left" vertical="center"/>
    </xf>
    <xf numFmtId="0" fontId="26" fillId="0" borderId="90" xfId="7" applyFont="1" applyBorder="1" applyAlignment="1">
      <alignment horizontal="left" vertical="center"/>
    </xf>
    <xf numFmtId="0" fontId="26" fillId="0" borderId="91" xfId="7" applyFont="1" applyBorder="1" applyAlignment="1">
      <alignment horizontal="left" vertical="center"/>
    </xf>
    <xf numFmtId="0" fontId="26" fillId="0" borderId="93" xfId="7" applyFont="1" applyBorder="1" applyAlignment="1">
      <alignment horizontal="center" vertical="center"/>
    </xf>
    <xf numFmtId="0" fontId="26" fillId="0" borderId="94" xfId="7" applyFont="1" applyBorder="1" applyAlignment="1">
      <alignment horizontal="left" vertical="center"/>
    </xf>
    <xf numFmtId="0" fontId="27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6" fillId="0" borderId="97" xfId="7" applyFont="1" applyBorder="1" applyAlignment="1">
      <alignment horizontal="left" vertical="center"/>
    </xf>
    <xf numFmtId="0" fontId="26" fillId="0" borderId="98" xfId="7" applyFont="1" applyBorder="1" applyAlignment="1">
      <alignment horizontal="center" vertical="center"/>
    </xf>
    <xf numFmtId="0" fontId="25" fillId="9" borderId="99" xfId="7" applyFont="1" applyFill="1" applyBorder="1" applyAlignment="1">
      <alignment horizontal="center" vertical="center"/>
    </xf>
    <xf numFmtId="0" fontId="25" fillId="9" borderId="100" xfId="7" applyFont="1" applyFill="1" applyBorder="1" applyAlignment="1">
      <alignment vertical="center"/>
    </xf>
    <xf numFmtId="0" fontId="25" fillId="9" borderId="100" xfId="7" applyFont="1" applyFill="1" applyBorder="1" applyAlignment="1">
      <alignment horizontal="center" vertical="center"/>
    </xf>
    <xf numFmtId="3" fontId="25" fillId="9" borderId="100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4" fillId="0" borderId="104" xfId="7" applyFont="1" applyBorder="1" applyAlignment="1">
      <alignment horizontal="center" vertical="center"/>
    </xf>
    <xf numFmtId="0" fontId="24" fillId="0" borderId="105" xfId="7" applyFont="1" applyBorder="1" applyAlignment="1">
      <alignment vertical="center"/>
    </xf>
    <xf numFmtId="0" fontId="40" fillId="0" borderId="107" xfId="7" applyFont="1" applyBorder="1" applyAlignment="1">
      <alignment horizontal="center" vertical="center"/>
    </xf>
    <xf numFmtId="3" fontId="24" fillId="0" borderId="106" xfId="7" applyNumberFormat="1" applyFont="1" applyBorder="1" applyAlignment="1">
      <alignment horizontal="center" vertical="center"/>
    </xf>
    <xf numFmtId="3" fontId="40" fillId="0" borderId="106" xfId="7" applyNumberFormat="1" applyFont="1" applyBorder="1" applyAlignment="1">
      <alignment horizontal="center" vertical="center"/>
    </xf>
    <xf numFmtId="3" fontId="24" fillId="0" borderId="106" xfId="0" applyNumberFormat="1" applyFont="1" applyBorder="1" applyAlignment="1">
      <alignment horizontal="center" vertical="center"/>
    </xf>
    <xf numFmtId="4" fontId="24" fillId="0" borderId="106" xfId="7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0" fontId="24" fillId="0" borderId="109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5" xfId="7" applyNumberFormat="1" applyFont="1" applyBorder="1" applyAlignment="1">
      <alignment horizontal="center" vertical="center"/>
    </xf>
    <xf numFmtId="0" fontId="24" fillId="0" borderId="110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0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1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2" xfId="7" applyFont="1" applyBorder="1" applyAlignment="1">
      <alignment horizontal="left" vertical="center" indent="2"/>
    </xf>
    <xf numFmtId="181" fontId="24" fillId="0" borderId="113" xfId="7" applyNumberFormat="1" applyFont="1" applyBorder="1" applyAlignment="1">
      <alignment horizontal="center" vertical="center"/>
    </xf>
    <xf numFmtId="3" fontId="40" fillId="0" borderId="113" xfId="7" applyNumberFormat="1" applyFont="1" applyBorder="1" applyAlignment="1">
      <alignment horizontal="center" vertical="center"/>
    </xf>
    <xf numFmtId="3" fontId="24" fillId="0" borderId="113" xfId="7" applyNumberFormat="1" applyFont="1" applyBorder="1" applyAlignment="1">
      <alignment horizontal="center" vertical="center"/>
    </xf>
    <xf numFmtId="3" fontId="24" fillId="0" borderId="113" xfId="0" applyNumberFormat="1" applyFont="1" applyBorder="1" applyAlignment="1">
      <alignment horizontal="center" vertical="center"/>
    </xf>
    <xf numFmtId="4" fontId="24" fillId="0" borderId="113" xfId="7" applyNumberFormat="1" applyFont="1" applyBorder="1" applyAlignment="1">
      <alignment horizontal="center" vertical="center"/>
    </xf>
    <xf numFmtId="4" fontId="24" fillId="0" borderId="114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2" xfId="7" applyFont="1" applyBorder="1" applyAlignment="1">
      <alignment horizontal="center" vertical="center"/>
    </xf>
    <xf numFmtId="3" fontId="26" fillId="0" borderId="93" xfId="7" applyNumberFormat="1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0" fontId="24" fillId="0" borderId="113" xfId="7" applyFont="1" applyBorder="1" applyAlignment="1">
      <alignment horizontal="left" vertical="center" indent="2"/>
    </xf>
    <xf numFmtId="0" fontId="24" fillId="0" borderId="116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18" xfId="7" applyFont="1" applyFill="1" applyBorder="1" applyAlignment="1">
      <alignment horizontal="center" vertical="center"/>
    </xf>
    <xf numFmtId="0" fontId="30" fillId="10" borderId="118" xfId="0" applyFont="1" applyFill="1" applyBorder="1" applyAlignment="1">
      <alignment horizontal="left" vertical="center"/>
    </xf>
    <xf numFmtId="0" fontId="30" fillId="10" borderId="118" xfId="0" applyFont="1" applyFill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vertical="center"/>
    </xf>
    <xf numFmtId="0" fontId="41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3" fontId="22" fillId="0" borderId="123" xfId="0" applyNumberFormat="1" applyFont="1" applyBorder="1" applyAlignment="1">
      <alignment horizontal="center" vertical="center"/>
    </xf>
    <xf numFmtId="181" fontId="22" fillId="0" borderId="126" xfId="0" applyNumberFormat="1" applyFont="1" applyBorder="1" applyAlignment="1">
      <alignment horizontal="center" vertical="center"/>
    </xf>
    <xf numFmtId="181" fontId="22" fillId="0" borderId="127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81" fontId="22" fillId="0" borderId="12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81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81" fontId="31" fillId="0" borderId="128" xfId="0" applyNumberFormat="1" applyFont="1" applyBorder="1" applyAlignment="1">
      <alignment horizontal="center" vertical="center"/>
    </xf>
    <xf numFmtId="0" fontId="22" fillId="0" borderId="111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81" fontId="22" fillId="0" borderId="66" xfId="0" applyNumberFormat="1" applyFont="1" applyBorder="1" applyAlignment="1">
      <alignment horizontal="center" vertical="center"/>
    </xf>
    <xf numFmtId="181" fontId="22" fillId="0" borderId="129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81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81" fontId="31" fillId="0" borderId="66" xfId="0" applyNumberFormat="1" applyFont="1" applyBorder="1" applyAlignment="1">
      <alignment horizontal="center" vertical="center"/>
    </xf>
    <xf numFmtId="181" fontId="31" fillId="0" borderId="129" xfId="0" applyNumberFormat="1" applyFont="1" applyBorder="1" applyAlignment="1">
      <alignment horizontal="center" vertical="center"/>
    </xf>
    <xf numFmtId="0" fontId="22" fillId="0" borderId="110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3" fontId="42" fillId="0" borderId="130" xfId="0" applyNumberFormat="1" applyFont="1" applyBorder="1" applyAlignment="1">
      <alignment horizontal="center" vertical="center"/>
    </xf>
    <xf numFmtId="4" fontId="42" fillId="0" borderId="130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8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8" fontId="26" fillId="0" borderId="92" xfId="7" applyNumberFormat="1" applyFont="1" applyBorder="1" applyAlignment="1">
      <alignment horizontal="center" vertical="center"/>
    </xf>
    <xf numFmtId="166" fontId="2" fillId="5" borderId="4" xfId="1" applyNumberFormat="1" applyFont="1" applyFill="1" applyBorder="1" applyAlignment="1">
      <alignment horizontal="center"/>
    </xf>
    <xf numFmtId="170" fontId="2" fillId="5" borderId="4" xfId="1" applyNumberFormat="1" applyFont="1" applyFill="1" applyBorder="1" applyAlignment="1">
      <alignment vertical="center"/>
    </xf>
    <xf numFmtId="189" fontId="24" fillId="0" borderId="106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6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6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2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28" xfId="0" applyNumberFormat="1" applyBorder="1" applyAlignment="1">
      <alignment horizontal="center" vertical="center"/>
    </xf>
    <xf numFmtId="0" fontId="0" fillId="0" borderId="122" xfId="0" applyBorder="1" applyAlignment="1">
      <alignment vertical="center"/>
    </xf>
    <xf numFmtId="3" fontId="0" fillId="0" borderId="133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7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0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5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4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5" xfId="0" applyNumberFormat="1" applyFont="1" applyBorder="1" applyAlignment="1">
      <alignment horizontal="center" vertical="center"/>
    </xf>
    <xf numFmtId="4" fontId="47" fillId="0" borderId="135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6" xfId="0" applyFont="1" applyFill="1" applyBorder="1" applyAlignment="1">
      <alignment horizontal="center" vertical="center" wrapText="1"/>
    </xf>
    <xf numFmtId="164" fontId="49" fillId="9" borderId="136" xfId="0" applyNumberFormat="1" applyFont="1" applyFill="1" applyBorder="1" applyAlignment="1">
      <alignment horizontal="center" vertical="center" wrapText="1"/>
    </xf>
    <xf numFmtId="0" fontId="28" fillId="9" borderId="136" xfId="0" applyFont="1" applyFill="1" applyBorder="1" applyAlignment="1">
      <alignment horizontal="center" vertical="center"/>
    </xf>
    <xf numFmtId="0" fontId="45" fillId="0" borderId="106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3" xfId="0" applyFont="1" applyBorder="1" applyAlignment="1">
      <alignment horizontal="center" vertical="center"/>
    </xf>
    <xf numFmtId="0" fontId="45" fillId="0" borderId="113" xfId="0" applyFont="1" applyBorder="1" applyAlignment="1">
      <alignment vertical="center"/>
    </xf>
    <xf numFmtId="3" fontId="45" fillId="0" borderId="113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38" xfId="0" applyFont="1" applyFill="1" applyBorder="1" applyAlignment="1">
      <alignment horizontal="center" vertical="center"/>
    </xf>
    <xf numFmtId="3" fontId="50" fillId="0" borderId="141" xfId="0" applyNumberFormat="1" applyFont="1" applyBorder="1" applyAlignment="1">
      <alignment horizontal="center" vertical="center"/>
    </xf>
    <xf numFmtId="3" fontId="47" fillId="0" borderId="141" xfId="0" applyNumberFormat="1" applyFont="1" applyBorder="1" applyAlignment="1">
      <alignment horizontal="center" vertical="center"/>
    </xf>
    <xf numFmtId="4" fontId="47" fillId="0" borderId="141" xfId="0" applyNumberFormat="1" applyFont="1" applyBorder="1" applyAlignment="1">
      <alignment horizontal="center" vertical="center"/>
    </xf>
    <xf numFmtId="0" fontId="29" fillId="0" borderId="106" xfId="0" applyFont="1" applyBorder="1" applyAlignment="1">
      <alignment vertical="center"/>
    </xf>
    <xf numFmtId="3" fontId="29" fillId="0" borderId="106" xfId="0" applyNumberFormat="1" applyFont="1" applyBorder="1" applyAlignment="1">
      <alignment horizontal="center" vertical="center"/>
    </xf>
    <xf numFmtId="3" fontId="45" fillId="0" borderId="106" xfId="0" applyNumberFormat="1" applyFont="1" applyBorder="1" applyAlignment="1">
      <alignment horizontal="center" vertical="center"/>
    </xf>
    <xf numFmtId="4" fontId="45" fillId="0" borderId="106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3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2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9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0" xfId="14" applyNumberFormat="1" applyFont="1" applyBorder="1" applyAlignment="1">
      <alignment horizontal="center" vertical="center"/>
    </xf>
    <xf numFmtId="179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3" xfId="0" applyFont="1" applyBorder="1" applyAlignment="1">
      <alignment horizontal="left" vertical="center"/>
    </xf>
    <xf numFmtId="3" fontId="60" fillId="0" borderId="123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4" xfId="0" applyBorder="1" applyAlignment="1">
      <alignment horizontal="center" vertical="center"/>
    </xf>
    <xf numFmtId="0" fontId="22" fillId="0" borderId="106" xfId="0" applyFont="1" applyBorder="1" applyAlignment="1">
      <alignment horizontal="left" vertical="center"/>
    </xf>
    <xf numFmtId="0" fontId="22" fillId="0" borderId="106" xfId="0" applyFont="1" applyBorder="1" applyAlignment="1">
      <alignment horizontal="center" vertical="center"/>
    </xf>
    <xf numFmtId="4" fontId="22" fillId="0" borderId="106" xfId="0" applyNumberFormat="1" applyFont="1" applyBorder="1" applyAlignment="1">
      <alignment horizontal="center" vertical="center"/>
    </xf>
    <xf numFmtId="3" fontId="22" fillId="0" borderId="106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5" xfId="0" applyNumberFormat="1" applyFont="1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0" fontId="22" fillId="0" borderId="113" xfId="0" applyFont="1" applyBorder="1" applyAlignment="1">
      <alignment horizontal="left" vertical="center"/>
    </xf>
    <xf numFmtId="0" fontId="22" fillId="0" borderId="113" xfId="0" applyFont="1" applyBorder="1" applyAlignment="1">
      <alignment horizontal="center" vertical="center"/>
    </xf>
    <xf numFmtId="4" fontId="22" fillId="0" borderId="113" xfId="0" applyNumberFormat="1" applyFont="1" applyBorder="1" applyAlignment="1">
      <alignment horizontal="center" vertical="center"/>
    </xf>
    <xf numFmtId="3" fontId="22" fillId="0" borderId="113" xfId="0" applyNumberFormat="1" applyFont="1" applyBorder="1" applyAlignment="1">
      <alignment horizontal="center" vertical="center"/>
    </xf>
    <xf numFmtId="3" fontId="22" fillId="0" borderId="114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81" fontId="22" fillId="0" borderId="6" xfId="0" applyNumberFormat="1" applyFont="1" applyBorder="1" applyAlignment="1">
      <alignment horizontal="center" vertical="center"/>
    </xf>
    <xf numFmtId="189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9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9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98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6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78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8" fontId="10" fillId="6" borderId="6" xfId="5" applyNumberFormat="1" applyFont="1" applyFill="1" applyBorder="1" applyAlignment="1">
      <alignment vertical="center"/>
    </xf>
    <xf numFmtId="168" fontId="10" fillId="6" borderId="151" xfId="5" applyNumberFormat="1" applyFont="1" applyFill="1" applyBorder="1" applyAlignment="1">
      <alignment horizontal="center" vertical="center"/>
    </xf>
    <xf numFmtId="168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8" fontId="10" fillId="0" borderId="4" xfId="5" applyNumberFormat="1" applyFont="1" applyFill="1" applyBorder="1" applyAlignment="1">
      <alignment vertical="center"/>
    </xf>
    <xf numFmtId="168" fontId="10" fillId="5" borderId="4" xfId="5" applyNumberFormat="1" applyFont="1" applyFill="1" applyBorder="1" applyAlignment="1">
      <alignment vertical="center"/>
    </xf>
    <xf numFmtId="168" fontId="10" fillId="0" borderId="128" xfId="5" applyNumberFormat="1" applyFont="1" applyFill="1" applyBorder="1" applyAlignment="1">
      <alignment horizontal="center" vertical="center"/>
    </xf>
    <xf numFmtId="168" fontId="64" fillId="0" borderId="0" xfId="16" applyNumberFormat="1" applyFont="1"/>
    <xf numFmtId="168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8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8" fontId="9" fillId="16" borderId="28" xfId="5" applyNumberFormat="1" applyFont="1" applyFill="1" applyBorder="1" applyAlignment="1">
      <alignment horizontal="center" vertical="center"/>
    </xf>
    <xf numFmtId="164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6" fontId="10" fillId="0" borderId="4" xfId="5" applyFont="1" applyFill="1" applyBorder="1" applyAlignment="1">
      <alignment horizontal="right" vertical="center"/>
    </xf>
    <xf numFmtId="166" fontId="10" fillId="0" borderId="128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horizontal="right" vertical="center"/>
    </xf>
    <xf numFmtId="168" fontId="10" fillId="16" borderId="28" xfId="5" applyNumberFormat="1" applyFont="1" applyFill="1" applyBorder="1" applyAlignment="1">
      <alignment horizontal="center" vertical="center"/>
    </xf>
    <xf numFmtId="166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90" fontId="10" fillId="5" borderId="4" xfId="5" applyNumberFormat="1" applyFont="1" applyFill="1" applyBorder="1" applyAlignment="1">
      <alignment vertical="center"/>
    </xf>
    <xf numFmtId="166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6" fontId="10" fillId="0" borderId="28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vertical="center"/>
    </xf>
    <xf numFmtId="166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28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8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8" fontId="10" fillId="0" borderId="2" xfId="5" applyNumberFormat="1" applyFont="1" applyFill="1" applyBorder="1" applyAlignment="1">
      <alignment vertical="center"/>
    </xf>
    <xf numFmtId="168" fontId="10" fillId="0" borderId="81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8" fontId="10" fillId="5" borderId="6" xfId="5" applyNumberFormat="1" applyFont="1" applyFill="1" applyBorder="1" applyAlignment="1">
      <alignment vertical="center"/>
    </xf>
    <xf numFmtId="166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8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8" fontId="10" fillId="0" borderId="6" xfId="5" applyNumberFormat="1" applyFont="1" applyFill="1" applyBorder="1" applyAlignment="1">
      <alignment vertical="center"/>
    </xf>
    <xf numFmtId="168" fontId="10" fillId="0" borderId="151" xfId="5" applyNumberFormat="1" applyFont="1" applyFill="1" applyBorder="1" applyAlignment="1">
      <alignment horizontal="center" vertical="center"/>
    </xf>
    <xf numFmtId="168" fontId="9" fillId="0" borderId="128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8" fontId="9" fillId="16" borderId="128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8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6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8" fontId="10" fillId="0" borderId="79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6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78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6" fontId="10" fillId="6" borderId="6" xfId="5" applyFont="1" applyFill="1" applyBorder="1" applyAlignment="1">
      <alignment horizontal="right" vertical="center"/>
    </xf>
    <xf numFmtId="168" fontId="10" fillId="6" borderId="79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6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8" fontId="9" fillId="0" borderId="151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6" fontId="2" fillId="5" borderId="6" xfId="5" applyFont="1" applyFill="1" applyBorder="1" applyAlignment="1">
      <alignment vertical="center"/>
    </xf>
    <xf numFmtId="166" fontId="10" fillId="0" borderId="151" xfId="5" applyFont="1" applyFill="1" applyBorder="1" applyAlignment="1">
      <alignment horizontal="center" vertical="center"/>
    </xf>
    <xf numFmtId="166" fontId="10" fillId="5" borderId="2" xfId="5" applyFont="1" applyFill="1" applyBorder="1" applyAlignment="1">
      <alignment vertical="center"/>
    </xf>
    <xf numFmtId="166" fontId="10" fillId="0" borderId="24" xfId="5" applyFont="1" applyFill="1" applyBorder="1" applyAlignment="1">
      <alignment horizontal="center" vertical="center"/>
    </xf>
    <xf numFmtId="168" fontId="9" fillId="0" borderId="28" xfId="5" applyNumberFormat="1" applyFont="1" applyFill="1" applyBorder="1" applyAlignment="1">
      <alignment horizontal="center" vertical="center"/>
    </xf>
    <xf numFmtId="166" fontId="9" fillId="0" borderId="79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6" fontId="10" fillId="0" borderId="81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6" fontId="10" fillId="16" borderId="4" xfId="5" applyNumberFormat="1" applyFont="1" applyFill="1" applyBorder="1" applyAlignment="1">
      <alignment vertical="center"/>
    </xf>
    <xf numFmtId="166" fontId="9" fillId="16" borderId="28" xfId="5" applyFont="1" applyFill="1" applyBorder="1" applyAlignment="1">
      <alignment horizontal="center" vertical="center"/>
    </xf>
    <xf numFmtId="166" fontId="10" fillId="16" borderId="4" xfId="5" applyFont="1" applyFill="1" applyBorder="1" applyAlignment="1">
      <alignment vertical="center"/>
    </xf>
    <xf numFmtId="166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2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6" fontId="10" fillId="5" borderId="12" xfId="5" applyFont="1" applyFill="1" applyBorder="1" applyAlignment="1">
      <alignment vertical="center"/>
    </xf>
    <xf numFmtId="166" fontId="10" fillId="0" borderId="12" xfId="5" applyFont="1" applyFill="1" applyBorder="1" applyAlignment="1">
      <alignment horizontal="right" vertical="center"/>
    </xf>
    <xf numFmtId="166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6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8" fontId="2" fillId="6" borderId="6" xfId="5" applyNumberFormat="1" applyFont="1" applyFill="1" applyBorder="1"/>
    <xf numFmtId="168" fontId="10" fillId="6" borderId="6" xfId="5" applyNumberFormat="1" applyFont="1" applyFill="1" applyBorder="1"/>
    <xf numFmtId="168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8" fontId="2" fillId="0" borderId="4" xfId="5" applyNumberFormat="1" applyFont="1" applyFill="1" applyBorder="1"/>
    <xf numFmtId="170" fontId="2" fillId="0" borderId="4" xfId="5" applyNumberFormat="1" applyFont="1" applyFill="1" applyBorder="1"/>
    <xf numFmtId="168" fontId="10" fillId="0" borderId="4" xfId="5" applyNumberFormat="1" applyFont="1" applyFill="1" applyBorder="1"/>
    <xf numFmtId="168" fontId="10" fillId="5" borderId="4" xfId="5" applyNumberFormat="1" applyFont="1" applyFill="1" applyBorder="1"/>
    <xf numFmtId="168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3" fontId="2" fillId="16" borderId="4" xfId="5" applyNumberFormat="1" applyFont="1" applyFill="1" applyBorder="1"/>
    <xf numFmtId="170" fontId="10" fillId="16" borderId="4" xfId="5" applyNumberFormat="1" applyFont="1" applyFill="1" applyBorder="1"/>
    <xf numFmtId="9" fontId="10" fillId="16" borderId="4" xfId="3" applyFont="1" applyFill="1" applyBorder="1"/>
    <xf numFmtId="166" fontId="9" fillId="16" borderId="4" xfId="5" applyFont="1" applyFill="1" applyBorder="1"/>
    <xf numFmtId="183" fontId="9" fillId="16" borderId="8" xfId="5" applyNumberFormat="1" applyFont="1" applyFill="1" applyBorder="1"/>
    <xf numFmtId="0" fontId="2" fillId="5" borderId="0" xfId="16" applyFont="1" applyFill="1"/>
    <xf numFmtId="171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3" fontId="2" fillId="5" borderId="4" xfId="5" applyNumberFormat="1" applyFont="1" applyFill="1" applyBorder="1"/>
    <xf numFmtId="166" fontId="2" fillId="5" borderId="4" xfId="5" applyFont="1" applyFill="1" applyBorder="1"/>
    <xf numFmtId="9" fontId="10" fillId="0" borderId="4" xfId="3" applyFont="1" applyFill="1" applyBorder="1"/>
    <xf numFmtId="166" fontId="10" fillId="5" borderId="4" xfId="5" applyFont="1" applyFill="1" applyBorder="1"/>
    <xf numFmtId="183" fontId="10" fillId="0" borderId="8" xfId="5" applyNumberFormat="1" applyFont="1" applyFill="1" applyBorder="1"/>
    <xf numFmtId="170" fontId="2" fillId="5" borderId="4" xfId="5" applyNumberFormat="1" applyFont="1" applyFill="1" applyBorder="1"/>
    <xf numFmtId="171" fontId="2" fillId="0" borderId="0" xfId="16" applyNumberFormat="1" applyFont="1"/>
    <xf numFmtId="191" fontId="10" fillId="5" borderId="4" xfId="5" applyNumberFormat="1" applyFont="1" applyFill="1" applyBorder="1"/>
    <xf numFmtId="184" fontId="10" fillId="0" borderId="8" xfId="5" applyNumberFormat="1" applyFont="1" applyFill="1" applyBorder="1"/>
    <xf numFmtId="170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3" fontId="3" fillId="0" borderId="2" xfId="5" applyNumberFormat="1" applyFont="1" applyFill="1" applyBorder="1"/>
    <xf numFmtId="170" fontId="3" fillId="0" borderId="2" xfId="5" applyNumberFormat="1" applyFont="1" applyFill="1" applyBorder="1"/>
    <xf numFmtId="9" fontId="10" fillId="0" borderId="2" xfId="3" applyFont="1" applyFill="1" applyBorder="1"/>
    <xf numFmtId="166" fontId="9" fillId="5" borderId="2" xfId="5" applyFont="1" applyFill="1" applyBorder="1"/>
    <xf numFmtId="183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6" fontId="3" fillId="6" borderId="4" xfId="5" applyFont="1" applyFill="1" applyBorder="1"/>
    <xf numFmtId="9" fontId="10" fillId="6" borderId="6" xfId="3" applyFont="1" applyFill="1" applyBorder="1"/>
    <xf numFmtId="166" fontId="9" fillId="6" borderId="4" xfId="5" applyFont="1" applyFill="1" applyBorder="1"/>
    <xf numFmtId="166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8" fontId="2" fillId="17" borderId="4" xfId="5" applyNumberFormat="1" applyFont="1" applyFill="1" applyBorder="1"/>
    <xf numFmtId="166" fontId="9" fillId="5" borderId="4" xfId="5" applyFont="1" applyFill="1" applyBorder="1"/>
    <xf numFmtId="168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6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8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8" fontId="3" fillId="0" borderId="4" xfId="5" applyNumberFormat="1" applyFont="1" applyFill="1" applyBorder="1"/>
    <xf numFmtId="166" fontId="10" fillId="6" borderId="6" xfId="5" applyFont="1" applyFill="1" applyBorder="1"/>
    <xf numFmtId="166" fontId="10" fillId="6" borderId="23" xfId="5" applyFont="1" applyFill="1" applyBorder="1"/>
    <xf numFmtId="166" fontId="2" fillId="16" borderId="4" xfId="5" applyFont="1" applyFill="1" applyBorder="1"/>
    <xf numFmtId="166" fontId="10" fillId="16" borderId="4" xfId="5" applyFont="1" applyFill="1" applyBorder="1"/>
    <xf numFmtId="190" fontId="9" fillId="16" borderId="8" xfId="5" applyNumberFormat="1" applyFont="1" applyFill="1" applyBorder="1"/>
    <xf numFmtId="166" fontId="2" fillId="0" borderId="4" xfId="5" applyFont="1" applyFill="1" applyBorder="1"/>
    <xf numFmtId="166" fontId="10" fillId="0" borderId="4" xfId="5" applyFont="1" applyFill="1" applyBorder="1"/>
    <xf numFmtId="190" fontId="9" fillId="0" borderId="8" xfId="5" applyNumberFormat="1" applyFont="1" applyFill="1" applyBorder="1"/>
    <xf numFmtId="190" fontId="10" fillId="0" borderId="8" xfId="5" applyNumberFormat="1" applyFont="1" applyFill="1" applyBorder="1"/>
    <xf numFmtId="172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6" fontId="3" fillId="0" borderId="4" xfId="5" applyFont="1" applyFill="1" applyBorder="1"/>
    <xf numFmtId="166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6" fontId="9" fillId="16" borderId="8" xfId="5" applyFont="1" applyFill="1" applyBorder="1"/>
    <xf numFmtId="192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6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6" fontId="9" fillId="0" borderId="8" xfId="5" applyFont="1" applyFill="1" applyBorder="1"/>
    <xf numFmtId="166" fontId="2" fillId="0" borderId="0" xfId="5" applyFont="1"/>
    <xf numFmtId="166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6" fontId="2" fillId="5" borderId="2" xfId="5" applyFont="1" applyFill="1" applyBorder="1"/>
    <xf numFmtId="166" fontId="10" fillId="0" borderId="2" xfId="5" applyFont="1" applyFill="1" applyBorder="1"/>
    <xf numFmtId="166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6" fontId="2" fillId="5" borderId="0" xfId="5" applyFont="1" applyFill="1" applyBorder="1"/>
    <xf numFmtId="9" fontId="10" fillId="0" borderId="0" xfId="3" applyFont="1" applyFill="1" applyBorder="1"/>
    <xf numFmtId="166" fontId="10" fillId="0" borderId="0" xfId="5" applyFont="1" applyFill="1" applyBorder="1"/>
    <xf numFmtId="166" fontId="9" fillId="0" borderId="0" xfId="5" applyFont="1" applyFill="1" applyBorder="1"/>
    <xf numFmtId="0" fontId="36" fillId="0" borderId="0" xfId="16" applyFont="1" applyAlignment="1">
      <alignment horizontal="left"/>
    </xf>
    <xf numFmtId="168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6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2" xfId="16" applyFont="1" applyFill="1" applyBorder="1" applyAlignment="1">
      <alignment horizontal="center" vertical="center"/>
    </xf>
    <xf numFmtId="0" fontId="76" fillId="6" borderId="153" xfId="16" applyFont="1" applyFill="1" applyBorder="1" applyAlignment="1">
      <alignment horizontal="center" vertical="center"/>
    </xf>
    <xf numFmtId="193" fontId="76" fillId="6" borderId="153" xfId="16" applyNumberFormat="1" applyFont="1" applyFill="1" applyBorder="1" applyAlignment="1">
      <alignment horizontal="center" vertical="center"/>
    </xf>
    <xf numFmtId="40" fontId="76" fillId="6" borderId="153" xfId="16" applyNumberFormat="1" applyFont="1" applyFill="1" applyBorder="1" applyAlignment="1">
      <alignment horizontal="center" vertical="center" wrapText="1"/>
    </xf>
    <xf numFmtId="193" fontId="76" fillId="6" borderId="154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8" fontId="23" fillId="5" borderId="4" xfId="5" applyNumberFormat="1" applyFont="1" applyFill="1" applyBorder="1" applyAlignment="1">
      <alignment horizontal="center" vertical="center"/>
    </xf>
    <xf numFmtId="164" fontId="23" fillId="0" borderId="4" xfId="12" applyFont="1" applyFill="1" applyBorder="1" applyAlignment="1">
      <alignment horizontal="center" vertical="center"/>
    </xf>
    <xf numFmtId="10" fontId="23" fillId="5" borderId="92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6" fontId="23" fillId="0" borderId="0" xfId="5" applyFont="1" applyFill="1" applyAlignment="1">
      <alignment vertical="center"/>
    </xf>
    <xf numFmtId="0" fontId="23" fillId="0" borderId="110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horizontal="center" vertical="center"/>
    </xf>
    <xf numFmtId="164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5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4" fontId="23" fillId="6" borderId="66" xfId="12" applyNumberFormat="1" applyFont="1" applyFill="1" applyBorder="1" applyAlignment="1">
      <alignment horizontal="center" vertical="center"/>
    </xf>
    <xf numFmtId="164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6" xfId="16" applyNumberFormat="1" applyFont="1" applyFill="1" applyBorder="1" applyAlignment="1">
      <alignment horizontal="center" vertical="center" wrapText="1"/>
    </xf>
    <xf numFmtId="0" fontId="23" fillId="0" borderId="109" xfId="16" applyFont="1" applyBorder="1"/>
    <xf numFmtId="0" fontId="23" fillId="0" borderId="62" xfId="16" applyFont="1" applyBorder="1" applyAlignment="1">
      <alignment horizontal="center"/>
    </xf>
    <xf numFmtId="164" fontId="23" fillId="5" borderId="62" xfId="12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right" vertical="center"/>
    </xf>
    <xf numFmtId="40" fontId="23" fillId="5" borderId="95" xfId="16" applyNumberFormat="1" applyFont="1" applyFill="1" applyBorder="1" applyAlignment="1">
      <alignment horizontal="left" vertical="center" wrapText="1"/>
    </xf>
    <xf numFmtId="40" fontId="23" fillId="5" borderId="95" xfId="16" applyNumberFormat="1" applyFont="1" applyFill="1" applyBorder="1" applyAlignment="1">
      <alignment horizontal="center" vertical="center" wrapText="1"/>
    </xf>
    <xf numFmtId="0" fontId="23" fillId="0" borderId="109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09" xfId="16" applyFont="1" applyFill="1" applyBorder="1"/>
    <xf numFmtId="0" fontId="23" fillId="6" borderId="62" xfId="16" applyFont="1" applyFill="1" applyBorder="1" applyAlignment="1">
      <alignment horizontal="center"/>
    </xf>
    <xf numFmtId="195" fontId="23" fillId="6" borderId="62" xfId="16" applyNumberFormat="1" applyFont="1" applyFill="1" applyBorder="1" applyAlignment="1">
      <alignment horizontal="center" vertical="center"/>
    </xf>
    <xf numFmtId="194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5" xfId="16" applyNumberFormat="1" applyFont="1" applyFill="1" applyBorder="1" applyAlignment="1">
      <alignment horizontal="center"/>
    </xf>
    <xf numFmtId="164" fontId="23" fillId="5" borderId="62" xfId="16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vertical="center"/>
    </xf>
    <xf numFmtId="40" fontId="23" fillId="5" borderId="95" xfId="16" applyNumberFormat="1" applyFont="1" applyFill="1" applyBorder="1" applyAlignment="1">
      <alignment horizontal="center" vertical="center"/>
    </xf>
    <xf numFmtId="164" fontId="23" fillId="5" borderId="65" xfId="16" applyNumberFormat="1" applyFont="1" applyFill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vertical="center"/>
    </xf>
    <xf numFmtId="40" fontId="23" fillId="5" borderId="155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3" fontId="76" fillId="6" borderId="4" xfId="16" applyNumberFormat="1" applyFont="1" applyFill="1" applyBorder="1" applyAlignment="1">
      <alignment horizontal="center" vertical="center"/>
    </xf>
    <xf numFmtId="193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6" xfId="16" applyNumberFormat="1" applyFont="1" applyFill="1" applyBorder="1" applyAlignment="1">
      <alignment horizontal="center" vertical="center" wrapText="1"/>
    </xf>
    <xf numFmtId="194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6" fontId="23" fillId="0" borderId="64" xfId="5" applyFont="1" applyBorder="1" applyAlignment="1">
      <alignment horizontal="right" vertical="center"/>
    </xf>
    <xf numFmtId="0" fontId="23" fillId="0" borderId="98" xfId="16" applyFont="1" applyBorder="1" applyAlignment="1">
      <alignment horizontal="left" vertical="center" wrapText="1"/>
    </xf>
    <xf numFmtId="0" fontId="23" fillId="0" borderId="95" xfId="16" applyFont="1" applyBorder="1" applyAlignment="1">
      <alignment vertical="center" wrapText="1"/>
    </xf>
    <xf numFmtId="0" fontId="23" fillId="0" borderId="115" xfId="16" applyFont="1" applyBorder="1" applyAlignment="1">
      <alignment vertical="center" wrapText="1"/>
    </xf>
    <xf numFmtId="166" fontId="23" fillId="0" borderId="62" xfId="5" applyFont="1" applyBorder="1" applyAlignment="1">
      <alignment horizontal="right" vertical="center"/>
    </xf>
    <xf numFmtId="0" fontId="23" fillId="0" borderId="115" xfId="16" applyFont="1" applyBorder="1" applyAlignment="1">
      <alignment horizontal="left" vertical="center" wrapText="1"/>
    </xf>
    <xf numFmtId="194" fontId="23" fillId="0" borderId="95" xfId="12" applyNumberFormat="1" applyFont="1" applyBorder="1" applyAlignment="1">
      <alignment horizontal="left" vertical="center"/>
    </xf>
    <xf numFmtId="0" fontId="76" fillId="7" borderId="109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5" fontId="23" fillId="7" borderId="62" xfId="16" applyNumberFormat="1" applyFont="1" applyFill="1" applyBorder="1" applyAlignment="1">
      <alignment horizontal="right" vertical="center"/>
    </xf>
    <xf numFmtId="194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5" xfId="16" applyNumberFormat="1" applyFont="1" applyFill="1" applyBorder="1" applyAlignment="1">
      <alignment horizontal="center" vertical="center"/>
    </xf>
    <xf numFmtId="196" fontId="23" fillId="0" borderId="62" xfId="16" applyNumberFormat="1" applyFont="1" applyBorder="1" applyAlignment="1">
      <alignment horizontal="right" vertical="center"/>
    </xf>
    <xf numFmtId="0" fontId="76" fillId="7" borderId="150" xfId="16" applyFont="1" applyFill="1" applyBorder="1" applyAlignment="1">
      <alignment vertical="center"/>
    </xf>
    <xf numFmtId="0" fontId="23" fillId="7" borderId="113" xfId="16" applyFont="1" applyFill="1" applyBorder="1" applyAlignment="1">
      <alignment horizontal="center" vertical="center"/>
    </xf>
    <xf numFmtId="195" fontId="23" fillId="7" borderId="113" xfId="16" applyNumberFormat="1" applyFont="1" applyFill="1" applyBorder="1" applyAlignment="1">
      <alignment horizontal="center" vertical="center"/>
    </xf>
    <xf numFmtId="194" fontId="23" fillId="7" borderId="157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vertical="center"/>
    </xf>
    <xf numFmtId="40" fontId="23" fillId="7" borderId="114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6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8" fontId="2" fillId="0" borderId="3" xfId="1" applyNumberFormat="1" applyFont="1" applyFill="1" applyBorder="1" applyAlignment="1">
      <alignment vertical="center"/>
    </xf>
    <xf numFmtId="169" fontId="2" fillId="7" borderId="4" xfId="1" applyNumberFormat="1" applyFont="1" applyFill="1" applyBorder="1" applyAlignment="1">
      <alignment vertical="center"/>
    </xf>
    <xf numFmtId="168" fontId="2" fillId="0" borderId="13" xfId="1" applyNumberFormat="1" applyFont="1" applyFill="1" applyBorder="1"/>
    <xf numFmtId="168" fontId="2" fillId="6" borderId="14" xfId="1" applyNumberFormat="1" applyFont="1" applyFill="1" applyBorder="1"/>
    <xf numFmtId="167" fontId="2" fillId="0" borderId="14" xfId="2" applyNumberFormat="1" applyFont="1" applyFill="1" applyBorder="1"/>
    <xf numFmtId="168" fontId="2" fillId="5" borderId="13" xfId="1" applyNumberFormat="1" applyFont="1" applyFill="1" applyBorder="1"/>
    <xf numFmtId="168" fontId="2" fillId="5" borderId="14" xfId="1" applyNumberFormat="1" applyFont="1" applyFill="1" applyBorder="1"/>
    <xf numFmtId="43" fontId="2" fillId="5" borderId="14" xfId="1" applyFont="1" applyFill="1" applyBorder="1"/>
    <xf numFmtId="179" fontId="2" fillId="5" borderId="14" xfId="1" applyNumberFormat="1" applyFont="1" applyFill="1" applyBorder="1"/>
    <xf numFmtId="168" fontId="3" fillId="0" borderId="23" xfId="1" applyNumberFormat="1" applyFont="1" applyFill="1" applyBorder="1"/>
    <xf numFmtId="168" fontId="2" fillId="6" borderId="8" xfId="1" applyNumberFormat="1" applyFont="1" applyFill="1" applyBorder="1"/>
    <xf numFmtId="167" fontId="2" fillId="0" borderId="8" xfId="2" applyNumberFormat="1" applyFont="1" applyFill="1" applyBorder="1"/>
    <xf numFmtId="168" fontId="2" fillId="0" borderId="23" xfId="1" applyNumberFormat="1" applyFont="1" applyFill="1" applyBorder="1"/>
    <xf numFmtId="168" fontId="2" fillId="5" borderId="23" xfId="1" applyNumberFormat="1" applyFont="1" applyFill="1" applyBorder="1"/>
    <xf numFmtId="168" fontId="2" fillId="5" borderId="8" xfId="1" applyNumberFormat="1" applyFont="1" applyFill="1" applyBorder="1"/>
    <xf numFmtId="43" fontId="2" fillId="5" borderId="8" xfId="1" applyFont="1" applyFill="1" applyBorder="1"/>
    <xf numFmtId="179" fontId="2" fillId="5" borderId="8" xfId="1" applyNumberFormat="1" applyFont="1" applyFill="1" applyBorder="1"/>
    <xf numFmtId="168" fontId="10" fillId="18" borderId="4" xfId="0" applyNumberFormat="1" applyFont="1" applyFill="1" applyBorder="1"/>
    <xf numFmtId="168" fontId="10" fillId="18" borderId="4" xfId="1" applyNumberFormat="1" applyFont="1" applyFill="1" applyBorder="1"/>
    <xf numFmtId="168" fontId="10" fillId="18" borderId="4" xfId="0" applyNumberFormat="1" applyFont="1" applyFill="1" applyBorder="1" applyAlignment="1">
      <alignment vertical="center"/>
    </xf>
    <xf numFmtId="168" fontId="10" fillId="20" borderId="2" xfId="1" applyNumberFormat="1" applyFont="1" applyFill="1" applyBorder="1" applyAlignment="1">
      <alignment horizontal="center"/>
    </xf>
    <xf numFmtId="166" fontId="10" fillId="19" borderId="4" xfId="1" applyNumberFormat="1" applyFont="1" applyFill="1" applyBorder="1"/>
    <xf numFmtId="168" fontId="10" fillId="6" borderId="4" xfId="1" applyNumberFormat="1" applyFont="1" applyFill="1" applyBorder="1"/>
    <xf numFmtId="170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5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5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2" fillId="0" borderId="167" xfId="0" applyFont="1" applyBorder="1" applyAlignment="1">
      <alignment horizontal="center" vertical="center"/>
    </xf>
    <xf numFmtId="168" fontId="2" fillId="5" borderId="106" xfId="1" applyNumberFormat="1" applyFont="1" applyFill="1" applyBorder="1" applyAlignment="1">
      <alignment vertical="center"/>
    </xf>
    <xf numFmtId="0" fontId="2" fillId="0" borderId="63" xfId="0" applyFont="1" applyBorder="1" applyAlignment="1">
      <alignment vertical="center" wrapText="1"/>
    </xf>
    <xf numFmtId="43" fontId="2" fillId="0" borderId="168" xfId="1" applyFont="1" applyFill="1" applyBorder="1" applyAlignment="1">
      <alignment vertical="center"/>
    </xf>
    <xf numFmtId="10" fontId="2" fillId="0" borderId="146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8" fontId="0" fillId="0" borderId="11" xfId="1" applyNumberFormat="1" applyFont="1" applyFill="1" applyBorder="1" applyAlignment="1"/>
    <xf numFmtId="168" fontId="18" fillId="0" borderId="11" xfId="1" applyNumberFormat="1" applyFont="1" applyFill="1" applyBorder="1" applyAlignment="1"/>
    <xf numFmtId="168" fontId="64" fillId="0" borderId="11" xfId="1" applyNumberFormat="1" applyFont="1" applyFill="1" applyBorder="1" applyAlignment="1"/>
    <xf numFmtId="0" fontId="2" fillId="0" borderId="169" xfId="0" applyFont="1" applyBorder="1" applyAlignment="1">
      <alignment horizontal="center" vertical="center"/>
    </xf>
    <xf numFmtId="168" fontId="2" fillId="5" borderId="62" xfId="1" applyNumberFormat="1" applyFont="1" applyFill="1" applyBorder="1" applyAlignment="1">
      <alignment vertical="center"/>
    </xf>
    <xf numFmtId="43" fontId="2" fillId="0" borderId="170" xfId="1" applyFont="1" applyFill="1" applyBorder="1" applyAlignment="1">
      <alignment vertical="center"/>
    </xf>
    <xf numFmtId="10" fontId="2" fillId="0" borderId="171" xfId="1" applyNumberFormat="1" applyFont="1" applyFill="1" applyBorder="1" applyAlignment="1">
      <alignment vertical="center"/>
    </xf>
    <xf numFmtId="0" fontId="2" fillId="0" borderId="172" xfId="0" applyFont="1" applyBorder="1" applyAlignment="1">
      <alignment horizontal="center" vertical="center"/>
    </xf>
    <xf numFmtId="168" fontId="2" fillId="5" borderId="62" xfId="1" quotePrefix="1" applyNumberFormat="1" applyFont="1" applyFill="1" applyBorder="1" applyAlignment="1">
      <alignment vertical="center"/>
    </xf>
    <xf numFmtId="168" fontId="2" fillId="5" borderId="62" xfId="1" applyNumberFormat="1" applyFont="1" applyFill="1" applyBorder="1" applyAlignment="1">
      <alignment horizontal="center" vertical="center"/>
    </xf>
    <xf numFmtId="0" fontId="10" fillId="0" borderId="172" xfId="0" applyFont="1" applyBorder="1" applyAlignment="1">
      <alignment horizontal="center" vertical="center"/>
    </xf>
    <xf numFmtId="168" fontId="2" fillId="5" borderId="62" xfId="1" applyNumberFormat="1" applyFont="1" applyFill="1" applyBorder="1"/>
    <xf numFmtId="0" fontId="10" fillId="0" borderId="173" xfId="0" applyFont="1" applyBorder="1" applyAlignment="1">
      <alignment horizontal="center" vertical="center"/>
    </xf>
    <xf numFmtId="168" fontId="2" fillId="5" borderId="65" xfId="1" applyNumberFormat="1" applyFont="1" applyFill="1" applyBorder="1" applyAlignment="1">
      <alignment vertical="center"/>
    </xf>
    <xf numFmtId="43" fontId="2" fillId="0" borderId="171" xfId="1" applyFont="1" applyFill="1" applyBorder="1" applyAlignment="1">
      <alignment vertical="center"/>
    </xf>
    <xf numFmtId="0" fontId="10" fillId="0" borderId="174" xfId="0" applyFont="1" applyBorder="1" applyAlignment="1">
      <alignment horizontal="center" vertical="center"/>
    </xf>
    <xf numFmtId="168" fontId="2" fillId="5" borderId="175" xfId="1" applyNumberFormat="1" applyFont="1" applyFill="1" applyBorder="1" applyAlignment="1">
      <alignment vertical="center"/>
    </xf>
    <xf numFmtId="43" fontId="2" fillId="0" borderId="176" xfId="1" applyFont="1" applyFill="1" applyBorder="1" applyAlignment="1">
      <alignment vertical="center"/>
    </xf>
    <xf numFmtId="43" fontId="2" fillId="0" borderId="177" xfId="1" applyFont="1" applyFill="1" applyBorder="1" applyAlignment="1">
      <alignment vertical="center"/>
    </xf>
    <xf numFmtId="10" fontId="2" fillId="0" borderId="176" xfId="1" applyNumberFormat="1" applyFont="1" applyFill="1" applyBorder="1" applyAlignment="1">
      <alignment vertical="center"/>
    </xf>
    <xf numFmtId="168" fontId="9" fillId="0" borderId="178" xfId="1" applyNumberFormat="1" applyFont="1" applyFill="1" applyBorder="1" applyAlignment="1">
      <alignment vertical="center"/>
    </xf>
    <xf numFmtId="0" fontId="9" fillId="0" borderId="179" xfId="0" applyFont="1" applyBorder="1" applyAlignment="1">
      <alignment vertical="center"/>
    </xf>
    <xf numFmtId="43" fontId="3" fillId="0" borderId="165" xfId="1" applyFont="1" applyFill="1" applyBorder="1" applyAlignment="1">
      <alignment vertical="center"/>
    </xf>
    <xf numFmtId="43" fontId="3" fillId="0" borderId="161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8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76" fontId="2" fillId="0" borderId="0" xfId="1" applyNumberFormat="1" applyFont="1" applyAlignment="1">
      <alignment vertical="center"/>
    </xf>
    <xf numFmtId="172" fontId="3" fillId="0" borderId="0" xfId="1" applyNumberFormat="1" applyFont="1"/>
    <xf numFmtId="0" fontId="2" fillId="5" borderId="172" xfId="0" applyFont="1" applyFill="1" applyBorder="1" applyAlignment="1">
      <alignment horizontal="center" vertical="center"/>
    </xf>
    <xf numFmtId="43" fontId="2" fillId="5" borderId="170" xfId="1" applyFont="1" applyFill="1" applyBorder="1" applyAlignment="1">
      <alignment vertical="center"/>
    </xf>
    <xf numFmtId="10" fontId="2" fillId="5" borderId="171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2" xfId="2" applyFont="1" applyFill="1" applyBorder="1" applyAlignment="1">
      <alignment vertical="center"/>
    </xf>
    <xf numFmtId="43" fontId="2" fillId="0" borderId="180" xfId="1" applyFont="1" applyFill="1" applyBorder="1" applyAlignment="1">
      <alignment vertical="center"/>
    </xf>
    <xf numFmtId="168" fontId="2" fillId="5" borderId="65" xfId="1" applyNumberFormat="1" applyFont="1" applyFill="1" applyBorder="1"/>
    <xf numFmtId="43" fontId="2" fillId="0" borderId="181" xfId="1" applyFont="1" applyFill="1" applyBorder="1" applyAlignment="1">
      <alignment vertical="center"/>
    </xf>
    <xf numFmtId="168" fontId="2" fillId="5" borderId="175" xfId="1" applyNumberFormat="1" applyFont="1" applyFill="1" applyBorder="1"/>
    <xf numFmtId="168" fontId="9" fillId="0" borderId="165" xfId="1" applyNumberFormat="1" applyFont="1" applyFill="1" applyBorder="1" applyAlignment="1">
      <alignment vertical="center"/>
    </xf>
    <xf numFmtId="0" fontId="9" fillId="0" borderId="161" xfId="0" applyFont="1" applyBorder="1" applyAlignment="1">
      <alignment vertical="center"/>
    </xf>
    <xf numFmtId="166" fontId="2" fillId="10" borderId="4" xfId="1" applyNumberFormat="1" applyFont="1" applyFill="1" applyBorder="1" applyAlignment="1">
      <alignment horizontal="center"/>
    </xf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8" fontId="15" fillId="0" borderId="0" xfId="6" applyNumberFormat="1"/>
    <xf numFmtId="0" fontId="15" fillId="4" borderId="11" xfId="6" applyFill="1" applyBorder="1"/>
    <xf numFmtId="0" fontId="15" fillId="0" borderId="11" xfId="6" applyBorder="1"/>
    <xf numFmtId="182" fontId="15" fillId="0" borderId="11" xfId="6" applyNumberFormat="1" applyBorder="1"/>
    <xf numFmtId="182" fontId="15" fillId="21" borderId="11" xfId="6" applyNumberFormat="1" applyFill="1" applyBorder="1"/>
    <xf numFmtId="168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2" fontId="15" fillId="5" borderId="11" xfId="6" applyNumberFormat="1" applyFill="1" applyBorder="1"/>
    <xf numFmtId="198" fontId="15" fillId="0" borderId="0" xfId="6" applyNumberFormat="1"/>
    <xf numFmtId="182" fontId="15" fillId="0" borderId="0" xfId="6" applyNumberFormat="1"/>
    <xf numFmtId="168" fontId="1" fillId="0" borderId="11" xfId="17" applyNumberFormat="1" applyFill="1" applyBorder="1"/>
    <xf numFmtId="182" fontId="82" fillId="21" borderId="0" xfId="6" applyNumberFormat="1" applyFont="1" applyFill="1"/>
    <xf numFmtId="41" fontId="0" fillId="0" borderId="0" xfId="15" applyFont="1"/>
    <xf numFmtId="168" fontId="0" fillId="0" borderId="11" xfId="17" applyNumberFormat="1" applyFont="1" applyBorder="1"/>
    <xf numFmtId="176" fontId="0" fillId="0" borderId="11" xfId="17" applyNumberFormat="1" applyFont="1" applyBorder="1"/>
    <xf numFmtId="182" fontId="82" fillId="5" borderId="0" xfId="6" applyNumberFormat="1" applyFont="1" applyFill="1"/>
    <xf numFmtId="0" fontId="82" fillId="5" borderId="0" xfId="6" applyFont="1" applyFill="1"/>
    <xf numFmtId="168" fontId="21" fillId="0" borderId="0" xfId="17" applyNumberFormat="1" applyFont="1" applyFill="1" applyBorder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8" fontId="15" fillId="0" borderId="11" xfId="6" applyNumberFormat="1" applyBorder="1"/>
    <xf numFmtId="168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2" fontId="15" fillId="0" borderId="11" xfId="6" applyNumberFormat="1" applyBorder="1" applyAlignment="1">
      <alignment vertical="center"/>
    </xf>
    <xf numFmtId="198" fontId="15" fillId="0" borderId="11" xfId="6" applyNumberFormat="1" applyBorder="1" applyAlignment="1">
      <alignment vertical="center"/>
    </xf>
    <xf numFmtId="168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8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2" fontId="15" fillId="0" borderId="0" xfId="6" applyNumberFormat="1" applyAlignment="1">
      <alignment horizontal="center" vertical="center"/>
    </xf>
    <xf numFmtId="198" fontId="15" fillId="0" borderId="0" xfId="6" applyNumberFormat="1" applyAlignment="1">
      <alignment horizontal="center" vertical="center"/>
    </xf>
    <xf numFmtId="176" fontId="0" fillId="0" borderId="0" xfId="17" applyNumberFormat="1" applyFont="1" applyAlignment="1">
      <alignment horizontal="center" vertical="center"/>
    </xf>
    <xf numFmtId="168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9" fontId="15" fillId="0" borderId="0" xfId="6" applyNumberFormat="1"/>
    <xf numFmtId="0" fontId="15" fillId="4" borderId="11" xfId="6" applyFill="1" applyBorder="1" applyAlignment="1">
      <alignment horizontal="center" vertical="center"/>
    </xf>
    <xf numFmtId="169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8" fontId="83" fillId="0" borderId="0" xfId="17" applyNumberFormat="1" applyFont="1" applyAlignment="1">
      <alignment horizontal="right" vertical="center"/>
    </xf>
    <xf numFmtId="176" fontId="2" fillId="7" borderId="4" xfId="1" applyNumberFormat="1" applyFont="1" applyFill="1" applyBorder="1" applyAlignment="1">
      <alignment vertical="center"/>
    </xf>
    <xf numFmtId="169" fontId="3" fillId="7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8" fontId="15" fillId="0" borderId="11" xfId="6" applyNumberFormat="1" applyBorder="1"/>
    <xf numFmtId="0" fontId="0" fillId="4" borderId="11" xfId="6" applyFont="1" applyFill="1" applyBorder="1"/>
    <xf numFmtId="166" fontId="2" fillId="6" borderId="4" xfId="1" applyNumberFormat="1" applyFont="1" applyFill="1" applyBorder="1" applyAlignment="1">
      <alignment horizontal="right"/>
    </xf>
    <xf numFmtId="41" fontId="2" fillId="6" borderId="4" xfId="2" applyFont="1" applyFill="1" applyBorder="1" applyAlignment="1">
      <alignment vertical="center"/>
    </xf>
    <xf numFmtId="168" fontId="0" fillId="0" borderId="0" xfId="17" applyNumberFormat="1" applyFont="1" applyBorder="1"/>
    <xf numFmtId="182" fontId="15" fillId="5" borderId="0" xfId="6" applyNumberFormat="1" applyFill="1"/>
    <xf numFmtId="0" fontId="0" fillId="0" borderId="11" xfId="6" applyFont="1" applyBorder="1"/>
    <xf numFmtId="187" fontId="0" fillId="0" borderId="0" xfId="0" applyNumberFormat="1" applyAlignment="1">
      <alignment horizontal="center" vertical="center"/>
    </xf>
    <xf numFmtId="169" fontId="3" fillId="0" borderId="4" xfId="1" applyNumberFormat="1" applyFont="1" applyFill="1" applyBorder="1" applyAlignment="1">
      <alignment vertical="center"/>
    </xf>
    <xf numFmtId="169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3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70" fontId="3" fillId="7" borderId="2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8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2" xfId="0" applyFont="1" applyFill="1" applyBorder="1" applyAlignment="1">
      <alignment vertical="center"/>
    </xf>
    <xf numFmtId="0" fontId="2" fillId="4" borderId="153" xfId="0" applyFont="1" applyFill="1" applyBorder="1" applyAlignment="1">
      <alignment horizontal="center" vertical="center"/>
    </xf>
    <xf numFmtId="168" fontId="2" fillId="4" borderId="153" xfId="1" applyNumberFormat="1" applyFont="1" applyFill="1" applyBorder="1"/>
    <xf numFmtId="0" fontId="2" fillId="4" borderId="153" xfId="0" applyFont="1" applyFill="1" applyBorder="1" applyAlignment="1">
      <alignment horizontal="center"/>
    </xf>
    <xf numFmtId="0" fontId="2" fillId="4" borderId="154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9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9" fontId="2" fillId="7" borderId="14" xfId="1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vertical="center"/>
    </xf>
    <xf numFmtId="197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8" fontId="3" fillId="0" borderId="2" xfId="1" applyNumberFormat="1" applyFont="1" applyFill="1" applyBorder="1" applyAlignment="1">
      <alignment vertical="center"/>
    </xf>
    <xf numFmtId="166" fontId="3" fillId="0" borderId="2" xfId="1" applyNumberFormat="1" applyFont="1" applyFill="1" applyBorder="1" applyAlignment="1">
      <alignment vertical="center"/>
    </xf>
    <xf numFmtId="166" fontId="2" fillId="7" borderId="2" xfId="1" applyNumberFormat="1" applyFont="1" applyFill="1" applyBorder="1" applyAlignment="1">
      <alignment vertical="center"/>
    </xf>
    <xf numFmtId="166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2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9" fontId="2" fillId="8" borderId="4" xfId="1" applyNumberFormat="1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6" fontId="2" fillId="4" borderId="4" xfId="0" applyNumberFormat="1" applyFont="1" applyFill="1" applyBorder="1"/>
    <xf numFmtId="182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8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8" fontId="19" fillId="0" borderId="11" xfId="17" applyNumberFormat="1" applyFont="1" applyFill="1" applyBorder="1"/>
    <xf numFmtId="168" fontId="1" fillId="0" borderId="11" xfId="6" applyNumberFormat="1" applyFont="1" applyBorder="1"/>
    <xf numFmtId="168" fontId="1" fillId="0" borderId="11" xfId="17" applyNumberFormat="1" applyFont="1" applyFill="1" applyBorder="1"/>
    <xf numFmtId="3" fontId="1" fillId="0" borderId="11" xfId="6" applyNumberFormat="1" applyFont="1" applyBorder="1"/>
    <xf numFmtId="176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8" fontId="15" fillId="4" borderId="11" xfId="6" applyNumberFormat="1" applyFill="1" applyBorder="1"/>
    <xf numFmtId="0" fontId="15" fillId="6" borderId="11" xfId="6" applyFill="1" applyBorder="1"/>
    <xf numFmtId="0" fontId="1" fillId="4" borderId="11" xfId="6" applyFont="1" applyFill="1" applyBorder="1"/>
    <xf numFmtId="168" fontId="19" fillId="4" borderId="11" xfId="17" applyNumberFormat="1" applyFont="1" applyFill="1" applyBorder="1"/>
    <xf numFmtId="168" fontId="1" fillId="4" borderId="11" xfId="6" applyNumberFormat="1" applyFont="1" applyFill="1" applyBorder="1"/>
    <xf numFmtId="168" fontId="1" fillId="4" borderId="11" xfId="17" applyNumberFormat="1" applyFont="1" applyFill="1" applyBorder="1"/>
    <xf numFmtId="3" fontId="1" fillId="4" borderId="11" xfId="6" applyNumberFormat="1" applyFont="1" applyFill="1" applyBorder="1"/>
    <xf numFmtId="168" fontId="2" fillId="8" borderId="4" xfId="1" applyNumberFormat="1" applyFont="1" applyFill="1" applyBorder="1" applyAlignment="1">
      <alignment horizontal="left"/>
    </xf>
    <xf numFmtId="168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6" fontId="2" fillId="0" borderId="4" xfId="1" applyNumberFormat="1" applyFont="1" applyFill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80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6" fontId="2" fillId="4" borderId="12" xfId="0" applyNumberFormat="1" applyFont="1" applyFill="1" applyBorder="1"/>
    <xf numFmtId="168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2" xfId="0" applyBorder="1"/>
    <xf numFmtId="0" fontId="3" fillId="4" borderId="153" xfId="0" applyFont="1" applyFill="1" applyBorder="1" applyAlignment="1">
      <alignment horizontal="center" vertical="center"/>
    </xf>
    <xf numFmtId="0" fontId="3" fillId="4" borderId="153" xfId="0" applyFont="1" applyFill="1" applyBorder="1" applyAlignment="1">
      <alignment horizontal="center"/>
    </xf>
    <xf numFmtId="0" fontId="3" fillId="4" borderId="154" xfId="0" applyFont="1" applyFill="1" applyBorder="1" applyAlignment="1">
      <alignment horizontal="center"/>
    </xf>
    <xf numFmtId="0" fontId="2" fillId="29" borderId="8" xfId="0" applyFont="1" applyFill="1" applyBorder="1"/>
    <xf numFmtId="166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6" fontId="2" fillId="29" borderId="4" xfId="1" applyNumberFormat="1" applyFont="1" applyFill="1" applyBorder="1" applyAlignment="1">
      <alignment horizontal="center"/>
    </xf>
    <xf numFmtId="168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8" fontId="3" fillId="4" borderId="183" xfId="1" applyNumberFormat="1" applyFont="1" applyFill="1" applyBorder="1"/>
    <xf numFmtId="0" fontId="3" fillId="4" borderId="152" xfId="0" quotePrefix="1" applyFont="1" applyFill="1" applyBorder="1"/>
    <xf numFmtId="168" fontId="3" fillId="4" borderId="154" xfId="1" applyNumberFormat="1" applyFont="1" applyFill="1" applyBorder="1"/>
    <xf numFmtId="168" fontId="2" fillId="7" borderId="4" xfId="1" applyNumberFormat="1" applyFont="1" applyFill="1" applyBorder="1" applyAlignment="1">
      <alignment horizontal="left" wrapText="1"/>
    </xf>
    <xf numFmtId="168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200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6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81" fontId="2" fillId="8" borderId="4" xfId="1" applyNumberFormat="1" applyFont="1" applyFill="1" applyBorder="1" applyAlignment="1">
      <alignment horizontal="right"/>
    </xf>
    <xf numFmtId="176" fontId="2" fillId="8" borderId="4" xfId="1" applyNumberFormat="1" applyFont="1" applyFill="1" applyBorder="1" applyAlignment="1">
      <alignment vertical="center"/>
    </xf>
    <xf numFmtId="198" fontId="0" fillId="0" borderId="0" xfId="0" applyNumberFormat="1"/>
    <xf numFmtId="198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8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2" fontId="10" fillId="4" borderId="6" xfId="1" quotePrefix="1" applyNumberFormat="1" applyFont="1" applyFill="1" applyBorder="1" applyAlignment="1">
      <alignment horizontal="right"/>
    </xf>
    <xf numFmtId="173" fontId="2" fillId="7" borderId="4" xfId="1" applyNumberFormat="1" applyFont="1" applyFill="1" applyBorder="1" applyAlignment="1">
      <alignment horizontal="right"/>
    </xf>
    <xf numFmtId="0" fontId="3" fillId="4" borderId="152" xfId="0" applyFont="1" applyFill="1" applyBorder="1"/>
    <xf numFmtId="166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3" xfId="0" quotePrefix="1" applyFont="1" applyFill="1" applyBorder="1"/>
    <xf numFmtId="168" fontId="2" fillId="8" borderId="4" xfId="1" applyNumberFormat="1" applyFont="1" applyFill="1" applyBorder="1" applyAlignment="1">
      <alignment horizontal="center" vertical="center"/>
    </xf>
    <xf numFmtId="0" fontId="3" fillId="4" borderId="184" xfId="0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 vertical="center"/>
    </xf>
    <xf numFmtId="168" fontId="2" fillId="5" borderId="4" xfId="1" applyNumberFormat="1" applyFont="1" applyFill="1" applyBorder="1" applyAlignment="1">
      <alignment horizontal="center" vertical="center"/>
    </xf>
    <xf numFmtId="168" fontId="2" fillId="29" borderId="4" xfId="1" applyNumberFormat="1" applyFont="1" applyFill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right" vertical="center"/>
    </xf>
    <xf numFmtId="168" fontId="2" fillId="7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8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6" fontId="2" fillId="10" borderId="4" xfId="1" applyNumberFormat="1" applyFont="1" applyFill="1" applyBorder="1" applyAlignment="1">
      <alignment horizontal="center" vertical="center"/>
    </xf>
    <xf numFmtId="166" fontId="2" fillId="3" borderId="4" xfId="1" applyNumberFormat="1" applyFont="1" applyFill="1" applyBorder="1" applyAlignment="1">
      <alignment horizontal="center" vertical="center"/>
    </xf>
    <xf numFmtId="0" fontId="3" fillId="4" borderId="184" xfId="0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168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6" fontId="2" fillId="5" borderId="12" xfId="0" applyNumberFormat="1" applyFont="1" applyFill="1" applyBorder="1" applyAlignment="1">
      <alignment vertical="center"/>
    </xf>
    <xf numFmtId="176" fontId="2" fillId="8" borderId="4" xfId="1" applyNumberFormat="1" applyFont="1" applyFill="1" applyBorder="1" applyAlignment="1">
      <alignment horizontal="right"/>
    </xf>
    <xf numFmtId="176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6" xfId="0" applyFont="1" applyBorder="1" applyAlignment="1">
      <alignment vertical="center"/>
    </xf>
    <xf numFmtId="168" fontId="3" fillId="4" borderId="153" xfId="1" applyNumberFormat="1" applyFont="1" applyFill="1" applyBorder="1" applyAlignment="1">
      <alignment horizontal="center"/>
    </xf>
    <xf numFmtId="0" fontId="0" fillId="0" borderId="186" xfId="0" applyBorder="1"/>
    <xf numFmtId="0" fontId="0" fillId="0" borderId="82" xfId="0" applyBorder="1"/>
    <xf numFmtId="166" fontId="0" fillId="0" borderId="82" xfId="0" applyNumberFormat="1" applyBorder="1"/>
    <xf numFmtId="0" fontId="0" fillId="0" borderId="187" xfId="0" applyBorder="1"/>
    <xf numFmtId="0" fontId="2" fillId="0" borderId="82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6" fontId="2" fillId="5" borderId="12" xfId="0" applyNumberFormat="1" applyFont="1" applyFill="1" applyBorder="1"/>
    <xf numFmtId="0" fontId="88" fillId="0" borderId="125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8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6" xfId="0" applyFont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6" xfId="0" applyFont="1" applyBorder="1" applyAlignment="1">
      <alignment vertical="center"/>
    </xf>
    <xf numFmtId="0" fontId="93" fillId="0" borderId="136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9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5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5" xfId="0" applyFont="1" applyBorder="1"/>
    <xf numFmtId="0" fontId="19" fillId="0" borderId="189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0" xfId="0" applyFont="1" applyBorder="1"/>
    <xf numFmtId="169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8" fontId="2" fillId="4" borderId="153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8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9" fontId="9" fillId="0" borderId="4" xfId="1" applyNumberFormat="1" applyFont="1" applyFill="1" applyBorder="1" applyAlignment="1">
      <alignment vertical="center"/>
    </xf>
    <xf numFmtId="169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2" xfId="0" applyNumberFormat="1" applyFont="1" applyBorder="1" applyAlignment="1">
      <alignment horizontal="center"/>
    </xf>
    <xf numFmtId="0" fontId="0" fillId="0" borderId="191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2" fontId="2" fillId="0" borderId="0" xfId="0" applyNumberFormat="1" applyFont="1"/>
    <xf numFmtId="201" fontId="0" fillId="0" borderId="0" xfId="0" applyNumberFormat="1"/>
    <xf numFmtId="202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9" fontId="10" fillId="7" borderId="4" xfId="1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horizontal="center" vertical="center"/>
    </xf>
    <xf numFmtId="168" fontId="1" fillId="6" borderId="11" xfId="6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8" fontId="3" fillId="0" borderId="7" xfId="1" applyNumberFormat="1" applyFont="1" applyBorder="1"/>
    <xf numFmtId="2" fontId="2" fillId="0" borderId="0" xfId="0" applyNumberFormat="1" applyFont="1" applyAlignment="1">
      <alignment horizontal="center"/>
    </xf>
    <xf numFmtId="168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8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2" fontId="2" fillId="0" borderId="3" xfId="1" applyNumberFormat="1" applyFont="1" applyBorder="1"/>
    <xf numFmtId="182" fontId="1" fillId="21" borderId="11" xfId="73" applyNumberFormat="1" applyFill="1" applyBorder="1"/>
    <xf numFmtId="168" fontId="1" fillId="0" borderId="11" xfId="73" applyNumberFormat="1" applyBorder="1"/>
    <xf numFmtId="0" fontId="1" fillId="0" borderId="11" xfId="73" applyBorder="1"/>
    <xf numFmtId="0" fontId="1" fillId="26" borderId="11" xfId="73" applyFill="1" applyBorder="1"/>
    <xf numFmtId="168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8" fontId="2" fillId="4" borderId="6" xfId="95" applyNumberFormat="1" applyFont="1" applyFill="1" applyBorder="1" applyAlignment="1">
      <alignment vertical="center"/>
    </xf>
    <xf numFmtId="168" fontId="2" fillId="6" borderId="4" xfId="95" applyNumberFormat="1" applyFont="1" applyFill="1" applyBorder="1" applyAlignment="1">
      <alignment vertical="center"/>
    </xf>
    <xf numFmtId="168" fontId="2" fillId="6" borderId="2" xfId="95" applyNumberFormat="1" applyFont="1" applyFill="1" applyBorder="1" applyAlignment="1">
      <alignment vertical="center"/>
    </xf>
    <xf numFmtId="168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8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8" fontId="3" fillId="0" borderId="4" xfId="95" applyNumberFormat="1" applyFont="1" applyFill="1" applyBorder="1" applyAlignment="1">
      <alignment vertical="center"/>
    </xf>
    <xf numFmtId="167" fontId="2" fillId="5" borderId="4" xfId="124" applyNumberFormat="1" applyFont="1" applyFill="1" applyBorder="1" applyAlignment="1">
      <alignment vertical="center"/>
    </xf>
    <xf numFmtId="168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7" fontId="3" fillId="6" borderId="11" xfId="124" applyNumberFormat="1" applyFont="1" applyFill="1" applyBorder="1" applyAlignment="1">
      <alignment vertical="center"/>
    </xf>
    <xf numFmtId="170" fontId="3" fillId="4" borderId="4" xfId="95" applyNumberFormat="1" applyFont="1" applyFill="1" applyBorder="1" applyAlignment="1">
      <alignment vertical="center"/>
    </xf>
    <xf numFmtId="168" fontId="2" fillId="0" borderId="4" xfId="95" applyNumberFormat="1" applyFont="1" applyBorder="1" applyAlignment="1">
      <alignment vertical="center"/>
    </xf>
    <xf numFmtId="168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6" fontId="2" fillId="0" borderId="3" xfId="1" applyNumberFormat="1" applyFont="1" applyBorder="1"/>
    <xf numFmtId="176" fontId="2" fillId="5" borderId="3" xfId="1" applyNumberFormat="1" applyFont="1" applyFill="1" applyBorder="1"/>
    <xf numFmtId="166" fontId="10" fillId="18" borderId="4" xfId="0" applyNumberFormat="1" applyFont="1" applyFill="1" applyBorder="1"/>
    <xf numFmtId="0" fontId="4" fillId="0" borderId="8" xfId="0" applyFont="1" applyBorder="1"/>
    <xf numFmtId="168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2" fontId="1" fillId="21" borderId="16" xfId="73" applyNumberFormat="1" applyFill="1" applyBorder="1" applyAlignment="1">
      <alignment vertical="center"/>
    </xf>
    <xf numFmtId="168" fontId="2" fillId="6" borderId="4" xfId="163" applyNumberFormat="1" applyFont="1" applyFill="1" applyBorder="1" applyAlignment="1">
      <alignment vertical="center"/>
    </xf>
    <xf numFmtId="170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9" fontId="3" fillId="7" borderId="4" xfId="308" applyNumberFormat="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8" fontId="2" fillId="7" borderId="4" xfId="310" applyNumberFormat="1" applyFont="1" applyFill="1" applyBorder="1" applyAlignment="1">
      <alignment vertical="center"/>
    </xf>
    <xf numFmtId="168" fontId="2" fillId="7" borderId="4" xfId="309" applyNumberFormat="1" applyFont="1" applyFill="1" applyBorder="1" applyAlignment="1">
      <alignment vertical="center"/>
    </xf>
    <xf numFmtId="0" fontId="3" fillId="4" borderId="33" xfId="0" quotePrefix="1" applyFont="1" applyFill="1" applyBorder="1" applyAlignment="1">
      <alignment horizontal="center"/>
    </xf>
    <xf numFmtId="176" fontId="2" fillId="5" borderId="2" xfId="1" applyNumberFormat="1" applyFont="1" applyFill="1" applyBorder="1" applyAlignment="1">
      <alignment vertical="center"/>
    </xf>
    <xf numFmtId="179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8" fontId="2" fillId="22" borderId="4" xfId="1" applyNumberFormat="1" applyFont="1" applyFill="1" applyBorder="1" applyAlignment="1">
      <alignment vertical="center"/>
    </xf>
    <xf numFmtId="168" fontId="6" fillId="22" borderId="3" xfId="0" applyNumberFormat="1" applyFont="1" applyFill="1" applyBorder="1"/>
    <xf numFmtId="199" fontId="81" fillId="21" borderId="11" xfId="553" applyNumberFormat="1" applyFont="1" applyFill="1" applyBorder="1" applyAlignment="1">
      <alignment vertical="center"/>
    </xf>
    <xf numFmtId="170" fontId="2" fillId="7" borderId="4" xfId="632" applyNumberFormat="1" applyFont="1" applyFill="1" applyBorder="1" applyAlignment="1">
      <alignment horizontal="center"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8" fontId="2" fillId="7" borderId="4" xfId="614" applyNumberFormat="1" applyFont="1" applyFill="1" applyBorder="1" applyAlignment="1">
      <alignment vertical="center"/>
    </xf>
    <xf numFmtId="168" fontId="2" fillId="7" borderId="4" xfId="628" applyNumberFormat="1" applyFont="1" applyFill="1" applyBorder="1" applyAlignment="1">
      <alignment vertical="center"/>
    </xf>
    <xf numFmtId="168" fontId="2" fillId="7" borderId="4" xfId="1247" applyNumberFormat="1" applyFont="1" applyFill="1" applyBorder="1" applyAlignment="1">
      <alignment vertical="center"/>
    </xf>
    <xf numFmtId="168" fontId="2" fillId="7" borderId="4" xfId="1146" applyNumberFormat="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vertical="center"/>
    </xf>
    <xf numFmtId="170" fontId="2" fillId="0" borderId="4" xfId="1260" applyNumberFormat="1" applyFont="1" applyFill="1" applyBorder="1" applyAlignment="1">
      <alignment vertical="center"/>
    </xf>
    <xf numFmtId="170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9" fontId="3" fillId="7" borderId="4" xfId="1250" applyNumberFormat="1" applyFont="1" applyFill="1" applyBorder="1" applyAlignment="1">
      <alignment vertical="center"/>
    </xf>
    <xf numFmtId="168" fontId="3" fillId="0" borderId="4" xfId="1146" applyNumberFormat="1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8" fontId="3" fillId="0" borderId="4" xfId="1264" applyNumberFormat="1" applyFont="1" applyFill="1" applyBorder="1" applyAlignment="1">
      <alignment vertical="center"/>
    </xf>
    <xf numFmtId="201" fontId="2" fillId="0" borderId="0" xfId="0" applyNumberFormat="1" applyFont="1"/>
    <xf numFmtId="203" fontId="2" fillId="0" borderId="0" xfId="0" applyNumberFormat="1" applyFont="1"/>
    <xf numFmtId="197" fontId="2" fillId="0" borderId="0" xfId="0" applyNumberFormat="1" applyFont="1"/>
    <xf numFmtId="168" fontId="2" fillId="7" borderId="4" xfId="2529" applyNumberFormat="1" applyFont="1" applyFill="1" applyBorder="1" applyAlignment="1">
      <alignment vertical="center"/>
    </xf>
    <xf numFmtId="170" fontId="2" fillId="7" borderId="4" xfId="2528" applyNumberFormat="1" applyFont="1" applyFill="1" applyBorder="1" applyAlignment="1">
      <alignment horizontal="center" vertical="center"/>
    </xf>
    <xf numFmtId="170" fontId="2" fillId="0" borderId="4" xfId="2528" applyNumberFormat="1" applyFont="1" applyFill="1" applyBorder="1" applyAlignment="1">
      <alignment vertical="center"/>
    </xf>
    <xf numFmtId="169" fontId="3" fillId="7" borderId="4" xfId="2540" applyNumberFormat="1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168" fontId="3" fillId="0" borderId="4" xfId="2535" applyNumberFormat="1" applyFont="1" applyFill="1" applyBorder="1" applyAlignment="1">
      <alignment vertical="center"/>
    </xf>
    <xf numFmtId="169" fontId="2" fillId="0" borderId="0" xfId="0" applyNumberFormat="1" applyFont="1"/>
    <xf numFmtId="0" fontId="2" fillId="27" borderId="0" xfId="0" applyFont="1" applyFill="1"/>
    <xf numFmtId="168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8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8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6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9" fontId="2" fillId="7" borderId="3" xfId="0" applyNumberFormat="1" applyFont="1" applyFill="1" applyBorder="1"/>
    <xf numFmtId="169" fontId="2" fillId="0" borderId="4" xfId="1" applyNumberFormat="1" applyFont="1" applyFill="1" applyBorder="1" applyAlignment="1">
      <alignment vertical="center"/>
    </xf>
    <xf numFmtId="168" fontId="2" fillId="7" borderId="4" xfId="5142" applyNumberFormat="1" applyFont="1" applyFill="1" applyBorder="1" applyAlignment="1">
      <alignment vertical="center"/>
    </xf>
    <xf numFmtId="168" fontId="2" fillId="7" borderId="4" xfId="5149" applyNumberFormat="1" applyFont="1" applyFill="1" applyBorder="1" applyAlignment="1">
      <alignment vertical="center"/>
    </xf>
    <xf numFmtId="168" fontId="2" fillId="7" borderId="4" xfId="10092" applyNumberFormat="1" applyFont="1" applyFill="1" applyBorder="1" applyAlignment="1">
      <alignment vertical="center"/>
    </xf>
    <xf numFmtId="179" fontId="2" fillId="7" borderId="4" xfId="10172" applyNumberFormat="1" applyFont="1" applyFill="1" applyBorder="1" applyAlignment="1">
      <alignment vertical="center"/>
    </xf>
    <xf numFmtId="179" fontId="2" fillId="7" borderId="4" xfId="10206" applyNumberFormat="1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8" fontId="2" fillId="7" borderId="4" xfId="10302" applyNumberFormat="1" applyFont="1" applyFill="1" applyBorder="1" applyAlignment="1">
      <alignment vertical="center"/>
    </xf>
    <xf numFmtId="168" fontId="2" fillId="7" borderId="4" xfId="10190" applyNumberFormat="1" applyFont="1" applyFill="1" applyBorder="1" applyAlignment="1">
      <alignment vertical="center"/>
    </xf>
    <xf numFmtId="167" fontId="2" fillId="0" borderId="4" xfId="11455" applyNumberFormat="1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8" fontId="2" fillId="7" borderId="4" xfId="15353" applyNumberFormat="1" applyFont="1" applyFill="1" applyBorder="1" applyAlignment="1">
      <alignment vertical="center"/>
    </xf>
    <xf numFmtId="168" fontId="2" fillId="7" borderId="4" xfId="15346" applyNumberFormat="1" applyFont="1" applyFill="1" applyBorder="1" applyAlignment="1">
      <alignment vertical="center"/>
    </xf>
    <xf numFmtId="168" fontId="2" fillId="7" borderId="4" xfId="15343" applyNumberFormat="1" applyFont="1" applyFill="1" applyBorder="1" applyAlignment="1">
      <alignment vertical="center"/>
    </xf>
    <xf numFmtId="199" fontId="81" fillId="21" borderId="11" xfId="15254" applyNumberFormat="1" applyFont="1" applyFill="1" applyBorder="1"/>
    <xf numFmtId="168" fontId="2" fillId="6" borderId="4" xfId="30869" applyNumberFormat="1" applyFont="1" applyFill="1" applyBorder="1" applyAlignment="1">
      <alignment vertical="center"/>
    </xf>
    <xf numFmtId="168" fontId="2" fillId="6" borderId="4" xfId="30867" applyNumberFormat="1" applyFont="1" applyFill="1" applyBorder="1" applyAlignment="1">
      <alignment vertical="center"/>
    </xf>
    <xf numFmtId="182" fontId="1" fillId="21" borderId="16" xfId="73" applyNumberFormat="1" applyFill="1" applyBorder="1"/>
    <xf numFmtId="168" fontId="1" fillId="0" borderId="11" xfId="73" applyNumberFormat="1" applyBorder="1" applyAlignment="1">
      <alignment horizontal="center" vertical="center"/>
    </xf>
    <xf numFmtId="0" fontId="1" fillId="4" borderId="11" xfId="73" applyFill="1" applyBorder="1"/>
    <xf numFmtId="168" fontId="1" fillId="0" borderId="11" xfId="73" applyNumberFormat="1" applyBorder="1" applyAlignment="1">
      <alignment vertical="center"/>
    </xf>
    <xf numFmtId="0" fontId="2" fillId="0" borderId="128" xfId="0" applyFont="1" applyBorder="1"/>
    <xf numFmtId="0" fontId="0" fillId="0" borderId="128" xfId="0" applyBorder="1"/>
    <xf numFmtId="169" fontId="3" fillId="7" borderId="4" xfId="630" applyNumberFormat="1" applyFont="1" applyFill="1" applyBorder="1" applyAlignment="1">
      <alignment vertical="center"/>
    </xf>
    <xf numFmtId="169" fontId="2" fillId="7" borderId="4" xfId="10175" applyNumberFormat="1" applyFont="1" applyFill="1" applyBorder="1" applyAlignment="1">
      <alignment vertical="center"/>
    </xf>
    <xf numFmtId="169" fontId="2" fillId="7" borderId="4" xfId="1267" applyNumberFormat="1" applyFont="1" applyFill="1" applyBorder="1" applyAlignment="1">
      <alignment vertical="center"/>
    </xf>
    <xf numFmtId="43" fontId="2" fillId="7" borderId="4" xfId="10180" applyFont="1" applyFill="1" applyBorder="1" applyAlignment="1">
      <alignment vertical="center"/>
    </xf>
    <xf numFmtId="43" fontId="2" fillId="7" borderId="4" xfId="15323" applyFont="1" applyFill="1" applyBorder="1" applyAlignment="1">
      <alignment vertical="center"/>
    </xf>
    <xf numFmtId="168" fontId="10" fillId="6" borderId="2" xfId="1" applyNumberFormat="1" applyFont="1" applyFill="1" applyBorder="1" applyAlignment="1">
      <alignment vertical="center"/>
    </xf>
    <xf numFmtId="168" fontId="2" fillId="0" borderId="4" xfId="3" applyNumberFormat="1" applyFont="1" applyFill="1" applyBorder="1"/>
    <xf numFmtId="0" fontId="3" fillId="26" borderId="6" xfId="0" quotePrefix="1" applyFont="1" applyFill="1" applyBorder="1"/>
    <xf numFmtId="172" fontId="2" fillId="26" borderId="6" xfId="1" applyNumberFormat="1" applyFont="1" applyFill="1" applyBorder="1" applyAlignment="1">
      <alignment horizontal="center"/>
    </xf>
    <xf numFmtId="0" fontId="2" fillId="26" borderId="6" xfId="0" quotePrefix="1" applyFont="1" applyFill="1" applyBorder="1" applyAlignment="1">
      <alignment horizontal="center"/>
    </xf>
    <xf numFmtId="43" fontId="16" fillId="26" borderId="6" xfId="1" applyFont="1" applyFill="1" applyBorder="1"/>
    <xf numFmtId="168" fontId="34" fillId="6" borderId="4" xfId="1" applyNumberFormat="1" applyFont="1" applyFill="1" applyBorder="1" applyAlignment="1">
      <alignment vertical="center"/>
    </xf>
    <xf numFmtId="168" fontId="34" fillId="6" borderId="2" xfId="1" applyNumberFormat="1" applyFont="1" applyFill="1" applyBorder="1" applyAlignment="1">
      <alignment vertical="center"/>
    </xf>
    <xf numFmtId="168" fontId="34" fillId="4" borderId="4" xfId="1" applyNumberFormat="1" applyFont="1" applyFill="1" applyBorder="1" applyAlignment="1">
      <alignment vertical="center"/>
    </xf>
    <xf numFmtId="168" fontId="34" fillId="0" borderId="4" xfId="1" applyNumberFormat="1" applyFont="1" applyFill="1" applyBorder="1" applyAlignment="1">
      <alignment vertical="center"/>
    </xf>
    <xf numFmtId="168" fontId="34" fillId="4" borderId="6" xfId="1" applyNumberFormat="1" applyFont="1" applyFill="1" applyBorder="1" applyAlignment="1">
      <alignment vertical="center"/>
    </xf>
    <xf numFmtId="43" fontId="2" fillId="0" borderId="0" xfId="1" applyFont="1"/>
    <xf numFmtId="199" fontId="2" fillId="6" borderId="11" xfId="2" applyNumberFormat="1" applyFont="1" applyFill="1" applyBorder="1"/>
    <xf numFmtId="168" fontId="2" fillId="7" borderId="4" xfId="5150" applyNumberFormat="1" applyFont="1" applyFill="1" applyBorder="1" applyAlignment="1">
      <alignment vertical="center"/>
    </xf>
    <xf numFmtId="168" fontId="1" fillId="0" borderId="0" xfId="17" applyNumberFormat="1" applyFont="1" applyFill="1" applyBorder="1"/>
    <xf numFmtId="0" fontId="9" fillId="27" borderId="11" xfId="0" applyFont="1" applyFill="1" applyBorder="1" applyAlignment="1">
      <alignment horizontal="center" vertical="center" wrapText="1"/>
    </xf>
    <xf numFmtId="168" fontId="2" fillId="0" borderId="0" xfId="3" applyNumberFormat="1" applyFont="1"/>
    <xf numFmtId="206" fontId="2" fillId="7" borderId="4" xfId="10206" applyNumberFormat="1" applyFont="1" applyFill="1" applyBorder="1" applyAlignment="1">
      <alignment vertical="center"/>
    </xf>
    <xf numFmtId="166" fontId="2" fillId="7" borderId="4" xfId="2538" applyNumberFormat="1" applyFont="1" applyFill="1" applyBorder="1" applyAlignment="1">
      <alignment vertical="center"/>
    </xf>
    <xf numFmtId="0" fontId="0" fillId="0" borderId="11" xfId="6" applyFont="1" applyBorder="1" applyAlignment="1">
      <alignment horizontal="center"/>
    </xf>
    <xf numFmtId="43" fontId="2" fillId="7" borderId="4" xfId="1" applyFont="1" applyFill="1" applyBorder="1" applyAlignment="1">
      <alignment vertical="center"/>
    </xf>
    <xf numFmtId="166" fontId="2" fillId="7" borderId="4" xfId="5151" applyNumberFormat="1" applyFont="1" applyFill="1" applyBorder="1" applyAlignment="1">
      <alignment vertical="center"/>
    </xf>
    <xf numFmtId="166" fontId="2" fillId="7" borderId="8" xfId="1" applyNumberFormat="1" applyFont="1" applyFill="1" applyBorder="1" applyAlignment="1">
      <alignment vertical="center"/>
    </xf>
    <xf numFmtId="166" fontId="2" fillId="7" borderId="4" xfId="616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166" fontId="2" fillId="7" borderId="4" xfId="1264" applyNumberFormat="1" applyFont="1" applyFill="1" applyBorder="1" applyAlignment="1">
      <alignment vertical="center"/>
    </xf>
    <xf numFmtId="43" fontId="2" fillId="7" borderId="4" xfId="2535" applyFont="1" applyFill="1" applyBorder="1" applyAlignment="1">
      <alignment vertical="center"/>
    </xf>
    <xf numFmtId="0" fontId="2" fillId="5" borderId="32" xfId="0" applyFont="1" applyFill="1" applyBorder="1"/>
    <xf numFmtId="182" fontId="2" fillId="5" borderId="12" xfId="0" applyNumberFormat="1" applyFont="1" applyFill="1" applyBorder="1"/>
    <xf numFmtId="0" fontId="3" fillId="5" borderId="12" xfId="0" applyFont="1" applyFill="1" applyBorder="1" applyAlignment="1">
      <alignment horizontal="center"/>
    </xf>
    <xf numFmtId="176" fontId="2" fillId="5" borderId="12" xfId="1" applyNumberFormat="1" applyFont="1" applyFill="1" applyBorder="1" applyAlignment="1">
      <alignment vertical="center"/>
    </xf>
    <xf numFmtId="166" fontId="2" fillId="5" borderId="12" xfId="1" applyNumberFormat="1" applyFont="1" applyFill="1" applyBorder="1" applyAlignment="1">
      <alignment vertical="center"/>
    </xf>
    <xf numFmtId="176" fontId="2" fillId="0" borderId="1" xfId="1" applyNumberFormat="1" applyFont="1" applyBorder="1"/>
    <xf numFmtId="0" fontId="2" fillId="5" borderId="128" xfId="0" applyFont="1" applyFill="1" applyBorder="1"/>
    <xf numFmtId="43" fontId="2" fillId="7" borderId="4" xfId="306" applyFont="1" applyFill="1" applyBorder="1" applyAlignment="1">
      <alignment vertical="center"/>
    </xf>
    <xf numFmtId="166" fontId="2" fillId="0" borderId="6" xfId="5" applyFont="1" applyBorder="1"/>
    <xf numFmtId="0" fontId="19" fillId="0" borderId="11" xfId="6" applyFont="1" applyBorder="1" applyAlignment="1">
      <alignment horizontal="center"/>
    </xf>
    <xf numFmtId="16" fontId="2" fillId="0" borderId="0" xfId="0" applyNumberFormat="1" applyFont="1"/>
    <xf numFmtId="166" fontId="10" fillId="0" borderId="4" xfId="1" applyNumberFormat="1" applyFont="1" applyFill="1" applyBorder="1"/>
    <xf numFmtId="41" fontId="10" fillId="0" borderId="4" xfId="2" applyFont="1" applyBorder="1"/>
    <xf numFmtId="168" fontId="3" fillId="0" borderId="193" xfId="0" applyNumberFormat="1" applyFont="1" applyBorder="1"/>
    <xf numFmtId="168" fontId="3" fillId="4" borderId="6" xfId="1" applyNumberFormat="1" applyFont="1" applyFill="1" applyBorder="1" applyAlignment="1">
      <alignment horizontal="center" vertical="center"/>
    </xf>
    <xf numFmtId="0" fontId="2" fillId="0" borderId="84" xfId="0" applyFont="1" applyBorder="1"/>
    <xf numFmtId="0" fontId="2" fillId="8" borderId="84" xfId="0" applyFont="1" applyFill="1" applyBorder="1"/>
    <xf numFmtId="0" fontId="2" fillId="5" borderId="84" xfId="0" applyFont="1" applyFill="1" applyBorder="1" applyAlignment="1">
      <alignment horizontal="center"/>
    </xf>
    <xf numFmtId="41" fontId="2" fillId="0" borderId="12" xfId="2" applyFont="1" applyBorder="1"/>
    <xf numFmtId="0" fontId="3" fillId="5" borderId="31" xfId="0" applyFont="1" applyFill="1" applyBorder="1" applyAlignment="1">
      <alignment vertical="top"/>
    </xf>
    <xf numFmtId="0" fontId="3" fillId="5" borderId="32" xfId="0" applyFont="1" applyFill="1" applyBorder="1" applyAlignment="1">
      <alignment vertical="top"/>
    </xf>
    <xf numFmtId="182" fontId="2" fillId="4" borderId="4" xfId="0" applyNumberFormat="1" applyFont="1" applyFill="1" applyBorder="1"/>
    <xf numFmtId="176" fontId="2" fillId="4" borderId="4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0" fontId="6" fillId="4" borderId="8" xfId="0" quotePrefix="1" applyFont="1" applyFill="1" applyBorder="1"/>
    <xf numFmtId="169" fontId="2" fillId="0" borderId="1" xfId="0" applyNumberFormat="1" applyFont="1" applyBorder="1"/>
    <xf numFmtId="0" fontId="3" fillId="4" borderId="8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31" xfId="0" quotePrefix="1" applyFont="1" applyFill="1" applyBorder="1"/>
    <xf numFmtId="0" fontId="3" fillId="0" borderId="7" xfId="0" applyFont="1" applyBorder="1" applyAlignment="1">
      <alignment horizontal="center"/>
    </xf>
    <xf numFmtId="168" fontId="3" fillId="8" borderId="2" xfId="1" applyNumberFormat="1" applyFont="1" applyFill="1" applyBorder="1" applyAlignment="1">
      <alignment horizontal="center"/>
    </xf>
    <xf numFmtId="169" fontId="3" fillId="0" borderId="2" xfId="1" applyNumberFormat="1" applyFont="1" applyFill="1" applyBorder="1" applyAlignment="1">
      <alignment vertical="center"/>
    </xf>
    <xf numFmtId="0" fontId="9" fillId="4" borderId="13" xfId="0" quotePrefix="1" applyFont="1" applyFill="1" applyBorder="1" applyAlignment="1">
      <alignment horizontal="center"/>
    </xf>
    <xf numFmtId="179" fontId="2" fillId="7" borderId="4" xfId="1" applyNumberFormat="1" applyFont="1" applyFill="1" applyBorder="1" applyAlignment="1">
      <alignment vertical="center"/>
    </xf>
    <xf numFmtId="2" fontId="16" fillId="0" borderId="5" xfId="1" applyNumberFormat="1" applyFont="1" applyFill="1" applyBorder="1"/>
    <xf numFmtId="0" fontId="101" fillId="0" borderId="8" xfId="0" quotePrefix="1" applyFont="1" applyBorder="1" applyAlignment="1">
      <alignment wrapText="1"/>
    </xf>
    <xf numFmtId="166" fontId="2" fillId="0" borderId="4" xfId="3" applyNumberFormat="1" applyFont="1" applyFill="1" applyBorder="1"/>
    <xf numFmtId="0" fontId="15" fillId="6" borderId="11" xfId="6" applyFill="1" applyBorder="1" applyAlignment="1">
      <alignment horizontal="center" vertical="center"/>
    </xf>
    <xf numFmtId="0" fontId="15" fillId="26" borderId="11" xfId="6" applyFill="1" applyBorder="1" applyAlignment="1">
      <alignment horizontal="center" vertical="center"/>
    </xf>
    <xf numFmtId="168" fontId="10" fillId="6" borderId="4" xfId="1" applyNumberFormat="1" applyFont="1" applyFill="1" applyBorder="1" applyAlignment="1">
      <alignment vertical="center"/>
    </xf>
    <xf numFmtId="0" fontId="3" fillId="4" borderId="78" xfId="0" quotePrefix="1" applyFont="1" applyFill="1" applyBorder="1" applyAlignment="1">
      <alignment vertical="center"/>
    </xf>
    <xf numFmtId="166" fontId="2" fillId="5" borderId="2" xfId="1" applyNumberFormat="1" applyFont="1" applyFill="1" applyBorder="1" applyAlignment="1">
      <alignment vertical="center"/>
    </xf>
    <xf numFmtId="170" fontId="2" fillId="0" borderId="3" xfId="1" applyNumberFormat="1" applyFont="1" applyBorder="1"/>
    <xf numFmtId="43" fontId="8" fillId="5" borderId="0" xfId="0" applyNumberFormat="1" applyFont="1" applyFill="1"/>
    <xf numFmtId="166" fontId="2" fillId="0" borderId="42" xfId="5" applyFont="1" applyBorder="1"/>
    <xf numFmtId="0" fontId="98" fillId="0" borderId="0" xfId="30886"/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43" fontId="10" fillId="0" borderId="56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79" fontId="2" fillId="7" borderId="4" xfId="1261" applyNumberFormat="1" applyFont="1" applyFill="1" applyBorder="1" applyAlignment="1">
      <alignment vertical="center"/>
    </xf>
    <xf numFmtId="0" fontId="3" fillId="27" borderId="0" xfId="0" applyFont="1" applyFill="1"/>
    <xf numFmtId="168" fontId="3" fillId="27" borderId="0" xfId="0" applyNumberFormat="1" applyFont="1" applyFill="1"/>
    <xf numFmtId="0" fontId="3" fillId="27" borderId="0" xfId="0" applyFont="1" applyFill="1" applyAlignment="1">
      <alignment horizontal="left"/>
    </xf>
    <xf numFmtId="179" fontId="3" fillId="0" borderId="0" xfId="0" applyNumberFormat="1" applyFont="1"/>
    <xf numFmtId="166" fontId="3" fillId="27" borderId="0" xfId="0" applyNumberFormat="1" applyFont="1" applyFill="1"/>
    <xf numFmtId="168" fontId="3" fillId="4" borderId="0" xfId="0" applyNumberFormat="1" applyFont="1" applyFill="1"/>
    <xf numFmtId="168" fontId="3" fillId="27" borderId="0" xfId="0" applyNumberFormat="1" applyFont="1" applyFill="1" applyAlignment="1">
      <alignment horizontal="left"/>
    </xf>
    <xf numFmtId="3" fontId="3" fillId="27" borderId="0" xfId="0" applyNumberFormat="1" applyFont="1" applyFill="1"/>
    <xf numFmtId="168" fontId="3" fillId="27" borderId="0" xfId="0" applyNumberFormat="1" applyFont="1" applyFill="1" applyAlignment="1">
      <alignment horizontal="center"/>
    </xf>
    <xf numFmtId="180" fontId="3" fillId="0" borderId="0" xfId="0" applyNumberFormat="1" applyFont="1"/>
    <xf numFmtId="1" fontId="3" fillId="27" borderId="0" xfId="0" applyNumberFormat="1" applyFont="1" applyFill="1"/>
    <xf numFmtId="0" fontId="3" fillId="0" borderId="0" xfId="0" applyFont="1" applyAlignment="1">
      <alignment vertical="center"/>
    </xf>
    <xf numFmtId="0" fontId="3" fillId="27" borderId="0" xfId="0" applyFont="1" applyFill="1" applyAlignment="1">
      <alignment vertical="center"/>
    </xf>
    <xf numFmtId="168" fontId="3" fillId="5" borderId="0" xfId="0" applyNumberFormat="1" applyFont="1" applyFill="1"/>
    <xf numFmtId="168" fontId="6" fillId="4" borderId="15" xfId="0" applyNumberFormat="1" applyFont="1" applyFill="1" applyBorder="1" applyAlignment="1">
      <alignment vertical="center"/>
    </xf>
    <xf numFmtId="0" fontId="98" fillId="0" borderId="0" xfId="30886" applyAlignment="1">
      <alignment vertical="center"/>
    </xf>
    <xf numFmtId="41" fontId="15" fillId="0" borderId="0" xfId="2" applyFont="1" applyFill="1"/>
    <xf numFmtId="41" fontId="15" fillId="0" borderId="0" xfId="6" applyNumberFormat="1"/>
    <xf numFmtId="205" fontId="2" fillId="7" borderId="4" xfId="10308" applyNumberFormat="1" applyFont="1" applyFill="1" applyBorder="1" applyAlignment="1">
      <alignment vertical="center"/>
    </xf>
    <xf numFmtId="43" fontId="2" fillId="7" borderId="4" xfId="10092" applyFont="1" applyFill="1" applyBorder="1" applyAlignment="1">
      <alignment vertical="center"/>
    </xf>
    <xf numFmtId="205" fontId="2" fillId="7" borderId="4" xfId="10092" applyNumberFormat="1" applyFont="1" applyFill="1" applyBorder="1" applyAlignment="1">
      <alignment vertical="center"/>
    </xf>
    <xf numFmtId="207" fontId="2" fillId="7" borderId="4" xfId="10206" applyNumberFormat="1" applyFont="1" applyFill="1" applyBorder="1" applyAlignment="1">
      <alignment vertical="center"/>
    </xf>
    <xf numFmtId="207" fontId="2" fillId="7" borderId="4" xfId="10172" applyNumberFormat="1" applyFont="1" applyFill="1" applyBorder="1" applyAlignment="1">
      <alignment vertical="center"/>
    </xf>
    <xf numFmtId="41" fontId="15" fillId="0" borderId="0" xfId="2" applyFont="1"/>
    <xf numFmtId="168" fontId="2" fillId="7" borderId="4" xfId="10177" applyNumberFormat="1" applyFont="1" applyFill="1" applyBorder="1" applyAlignment="1">
      <alignment vertical="center"/>
    </xf>
    <xf numFmtId="166" fontId="2" fillId="0" borderId="192" xfId="1" applyNumberFormat="1" applyFont="1" applyFill="1" applyBorder="1"/>
    <xf numFmtId="43" fontId="3" fillId="0" borderId="0" xfId="1" applyFont="1"/>
    <xf numFmtId="169" fontId="2" fillId="7" borderId="4" xfId="308" applyNumberFormat="1" applyFont="1" applyFill="1" applyBorder="1" applyAlignment="1">
      <alignment vertical="center"/>
    </xf>
    <xf numFmtId="166" fontId="2" fillId="0" borderId="128" xfId="1" applyNumberFormat="1" applyFont="1" applyFill="1" applyBorder="1"/>
    <xf numFmtId="168" fontId="2" fillId="0" borderId="1" xfId="0" applyNumberFormat="1" applyFont="1" applyBorder="1"/>
    <xf numFmtId="169" fontId="2" fillId="0" borderId="4" xfId="1" applyNumberFormat="1" applyFont="1" applyFill="1" applyBorder="1"/>
    <xf numFmtId="169" fontId="3" fillId="0" borderId="4" xfId="1" applyNumberFormat="1" applyFont="1" applyFill="1" applyBorder="1"/>
    <xf numFmtId="169" fontId="3" fillId="6" borderId="3" xfId="0" applyNumberFormat="1" applyFont="1" applyFill="1" applyBorder="1"/>
    <xf numFmtId="169" fontId="3" fillId="0" borderId="3" xfId="0" applyNumberFormat="1" applyFont="1" applyBorder="1"/>
    <xf numFmtId="14" fontId="69" fillId="0" borderId="0" xfId="0" applyNumberFormat="1" applyFont="1" applyAlignment="1">
      <alignment horizontal="left"/>
    </xf>
    <xf numFmtId="0" fontId="69" fillId="0" borderId="0" xfId="0" applyFont="1" applyAlignment="1">
      <alignment horizontal="left"/>
    </xf>
    <xf numFmtId="3" fontId="21" fillId="0" borderId="0" xfId="0" applyNumberFormat="1" applyFont="1" applyAlignment="1">
      <alignment horizontal="right"/>
    </xf>
    <xf numFmtId="168" fontId="69" fillId="0" borderId="0" xfId="0" applyNumberFormat="1" applyFont="1" applyAlignment="1">
      <alignment horizontal="right"/>
    </xf>
    <xf numFmtId="43" fontId="2" fillId="7" borderId="4" xfId="1261" applyFont="1" applyFill="1" applyBorder="1" applyAlignment="1">
      <alignment vertical="center"/>
    </xf>
    <xf numFmtId="182" fontId="82" fillId="21" borderId="0" xfId="73" applyNumberFormat="1" applyFont="1" applyFill="1"/>
    <xf numFmtId="168" fontId="2" fillId="0" borderId="14" xfId="3" applyNumberFormat="1" applyFont="1" applyFill="1" applyBorder="1"/>
    <xf numFmtId="168" fontId="2" fillId="0" borderId="8" xfId="3" applyNumberFormat="1" applyFont="1" applyFill="1" applyBorder="1"/>
    <xf numFmtId="4" fontId="2" fillId="0" borderId="0" xfId="0" applyNumberFormat="1" applyFont="1"/>
    <xf numFmtId="205" fontId="2" fillId="0" borderId="0" xfId="0" applyNumberFormat="1" applyFont="1"/>
    <xf numFmtId="0" fontId="3" fillId="5" borderId="31" xfId="0" applyFont="1" applyFill="1" applyBorder="1" applyAlignment="1">
      <alignment horizontal="center"/>
    </xf>
    <xf numFmtId="0" fontId="3" fillId="26" borderId="4" xfId="0" quotePrefix="1" applyFont="1" applyFill="1" applyBorder="1"/>
    <xf numFmtId="172" fontId="2" fillId="26" borderId="4" xfId="1" applyNumberFormat="1" applyFont="1" applyFill="1" applyBorder="1" applyAlignment="1">
      <alignment horizontal="center"/>
    </xf>
    <xf numFmtId="0" fontId="2" fillId="26" borderId="4" xfId="0" quotePrefix="1" applyFont="1" applyFill="1" applyBorder="1" applyAlignment="1">
      <alignment horizontal="center"/>
    </xf>
    <xf numFmtId="43" fontId="16" fillId="26" borderId="4" xfId="1" applyFont="1" applyFill="1" applyBorder="1"/>
    <xf numFmtId="2" fontId="16" fillId="0" borderId="3" xfId="1" applyNumberFormat="1" applyFont="1" applyFill="1" applyBorder="1"/>
    <xf numFmtId="43" fontId="16" fillId="0" borderId="0" xfId="1" applyFont="1" applyFill="1" applyBorder="1"/>
    <xf numFmtId="179" fontId="16" fillId="26" borderId="4" xfId="1" applyNumberFormat="1" applyFont="1" applyFill="1" applyBorder="1"/>
    <xf numFmtId="206" fontId="16" fillId="26" borderId="4" xfId="1" applyNumberFormat="1" applyFont="1" applyFill="1" applyBorder="1"/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" fontId="53" fillId="2" borderId="16" xfId="0" quotePrefix="1" applyNumberFormat="1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8" fontId="15" fillId="0" borderId="16" xfId="6" applyNumberFormat="1" applyBorder="1" applyAlignment="1">
      <alignment horizont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5" xfId="0" applyFont="1" applyFill="1" applyBorder="1" applyAlignment="1">
      <alignment horizontal="center" vertical="center" wrapText="1"/>
    </xf>
    <xf numFmtId="0" fontId="3" fillId="3" borderId="84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87" fillId="0" borderId="145" xfId="0" applyFont="1" applyBorder="1" applyAlignment="1">
      <alignment horizontal="center"/>
    </xf>
    <xf numFmtId="0" fontId="87" fillId="0" borderId="173" xfId="0" applyFont="1" applyBorder="1" applyAlignment="1">
      <alignment horizontal="center"/>
    </xf>
    <xf numFmtId="0" fontId="87" fillId="0" borderId="147" xfId="0" applyFont="1" applyBorder="1" applyAlignment="1">
      <alignment horizontal="center"/>
    </xf>
    <xf numFmtId="0" fontId="88" fillId="0" borderId="124" xfId="0" applyFont="1" applyBorder="1" applyAlignment="1">
      <alignment horizontal="center" vertical="center"/>
    </xf>
    <xf numFmtId="0" fontId="88" fillId="0" borderId="123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4" xfId="0" applyFont="1" applyBorder="1" applyAlignment="1">
      <alignment horizontal="center" vertical="center" wrapText="1"/>
    </xf>
    <xf numFmtId="0" fontId="89" fillId="0" borderId="148" xfId="0" applyFont="1" applyBorder="1" applyAlignment="1">
      <alignment horizontal="center" vertical="center" wrapText="1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25" fillId="9" borderId="100" xfId="7" applyFont="1" applyFill="1" applyBorder="1" applyAlignment="1">
      <alignment horizontal="center" vertical="center"/>
    </xf>
    <xf numFmtId="3" fontId="25" fillId="9" borderId="100" xfId="7" applyNumberFormat="1" applyFont="1" applyFill="1" applyBorder="1" applyAlignment="1">
      <alignment horizontal="center" vertical="center"/>
    </xf>
    <xf numFmtId="3" fontId="25" fillId="9" borderId="101" xfId="7" applyNumberFormat="1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horizontal="center" vertical="center"/>
    </xf>
    <xf numFmtId="0" fontId="30" fillId="10" borderId="119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1" xfId="0" applyFont="1" applyFill="1" applyBorder="1" applyAlignment="1">
      <alignment horizontal="left" vertical="center"/>
    </xf>
    <xf numFmtId="0" fontId="42" fillId="0" borderId="130" xfId="0" applyFont="1" applyBorder="1" applyAlignment="1">
      <alignment horizontal="left" vertical="center"/>
    </xf>
    <xf numFmtId="169" fontId="82" fillId="5" borderId="0" xfId="6" applyNumberFormat="1" applyFont="1" applyFill="1" applyAlignment="1">
      <alignment horizontal="center" vertical="center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17" fontId="3" fillId="5" borderId="74" xfId="6" quotePrefix="1" applyNumberFormat="1" applyFont="1" applyFill="1" applyBorder="1" applyAlignment="1">
      <alignment horizontal="left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5" borderId="78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0" borderId="78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58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26" xfId="0" applyFont="1" applyBorder="1" applyAlignment="1">
      <alignment horizontal="center" vertical="center" wrapText="1"/>
    </xf>
    <xf numFmtId="0" fontId="2" fillId="0" borderId="163" xfId="0" applyFont="1" applyBorder="1" applyAlignment="1">
      <alignment horizontal="center" vertical="center" wrapText="1"/>
    </xf>
    <xf numFmtId="0" fontId="9" fillId="0" borderId="124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59" xfId="0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16" applyFont="1" applyAlignment="1">
      <alignment horizontal="center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3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98" xfId="16" applyFont="1" applyBorder="1" applyAlignment="1">
      <alignment horizontal="left" vertical="center" wrapText="1"/>
    </xf>
    <xf numFmtId="0" fontId="23" fillId="0" borderId="115" xfId="16" applyFont="1" applyBorder="1" applyAlignment="1">
      <alignment horizontal="left" vertical="center" wrapText="1"/>
    </xf>
    <xf numFmtId="40" fontId="23" fillId="0" borderId="98" xfId="16" applyNumberFormat="1" applyFont="1" applyBorder="1" applyAlignment="1">
      <alignment horizontal="left" vertical="center"/>
    </xf>
    <xf numFmtId="40" fontId="23" fillId="0" borderId="115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2" fillId="4" borderId="18" xfId="0" applyFont="1" applyFill="1" applyBorder="1" applyAlignment="1">
      <alignment horizontal="left" vertical="center"/>
    </xf>
    <xf numFmtId="0" fontId="62" fillId="4" borderId="83" xfId="0" applyFont="1" applyFill="1" applyBorder="1" applyAlignment="1">
      <alignment horizontal="left" vertical="center"/>
    </xf>
    <xf numFmtId="0" fontId="61" fillId="0" borderId="145" xfId="0" applyFont="1" applyBorder="1" applyAlignment="1">
      <alignment horizontal="left" vertical="center"/>
    </xf>
    <xf numFmtId="0" fontId="61" fillId="0" borderId="123" xfId="0" applyFont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48" xfId="0" applyFont="1" applyBorder="1" applyAlignment="1">
      <alignment horizontal="left" vertical="center"/>
    </xf>
    <xf numFmtId="179" fontId="61" fillId="0" borderId="146" xfId="0" applyNumberFormat="1" applyFont="1" applyBorder="1" applyAlignment="1">
      <alignment horizontal="center" vertical="center"/>
    </xf>
    <xf numFmtId="0" fontId="61" fillId="0" borderId="149" xfId="0" applyFont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0" fillId="0" borderId="143" xfId="0" applyFont="1" applyBorder="1" applyAlignment="1">
      <alignment horizontal="left" vertical="center"/>
    </xf>
    <xf numFmtId="0" fontId="60" fillId="0" borderId="135" xfId="0" applyFont="1" applyBorder="1" applyAlignment="1">
      <alignment horizontal="left" vertical="center"/>
    </xf>
    <xf numFmtId="0" fontId="60" fillId="0" borderId="144" xfId="0" applyFont="1" applyBorder="1" applyAlignment="1">
      <alignment horizontal="left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64" fontId="49" fillId="9" borderId="19" xfId="0" applyNumberFormat="1" applyFont="1" applyFill="1" applyBorder="1" applyAlignment="1">
      <alignment horizontal="center" vertical="center" wrapText="1"/>
    </xf>
    <xf numFmtId="164" fontId="49" fillId="9" borderId="20" xfId="0" applyNumberFormat="1" applyFont="1" applyFill="1" applyBorder="1" applyAlignment="1">
      <alignment horizontal="center" vertical="center" wrapText="1"/>
    </xf>
    <xf numFmtId="0" fontId="49" fillId="0" borderId="139" xfId="0" applyFont="1" applyBorder="1" applyAlignment="1">
      <alignment horizontal="left" vertical="center" wrapText="1"/>
    </xf>
    <xf numFmtId="0" fontId="49" fillId="0" borderId="140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7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6" xfId="0" applyFont="1" applyFill="1" applyBorder="1" applyAlignment="1">
      <alignment horizontal="center" vertical="center" wrapText="1"/>
    </xf>
    <xf numFmtId="164" fontId="49" fillId="9" borderId="83" xfId="0" applyNumberFormat="1" applyFont="1" applyFill="1" applyBorder="1" applyAlignment="1">
      <alignment horizontal="center" vertical="center" wrapText="1"/>
    </xf>
    <xf numFmtId="164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1" xfId="0" applyFont="1" applyFill="1" applyBorder="1" applyAlignment="1">
      <alignment horizontal="left" vertical="center"/>
    </xf>
    <xf numFmtId="0" fontId="47" fillId="0" borderId="135" xfId="0" applyFont="1" applyBorder="1" applyAlignment="1">
      <alignment horizontal="left" vertical="center"/>
    </xf>
    <xf numFmtId="0" fontId="28" fillId="9" borderId="100" xfId="0" applyFont="1" applyFill="1" applyBorder="1" applyAlignment="1">
      <alignment horizontal="left" vertical="center"/>
    </xf>
    <xf numFmtId="0" fontId="28" fillId="9" borderId="100" xfId="0" applyFont="1" applyFill="1" applyBorder="1" applyAlignment="1">
      <alignment horizontal="center" vertical="center"/>
    </xf>
    <xf numFmtId="0" fontId="28" fillId="9" borderId="101" xfId="0" applyFont="1" applyFill="1" applyBorder="1" applyAlignment="1">
      <alignment horizontal="center" vertical="center"/>
    </xf>
    <xf numFmtId="164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30887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18" xfId="30879" xr:uid="{D2795025-B2C4-4A1A-9199-68E69A66587B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20" xfId="30883" xr:uid="{E788F7D6-270C-4216-8188-84930A5B46C8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20" xfId="30881" xr:uid="{70810B4B-3F84-47A5-A20B-5FC94E5CB4B0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79" xfId="30885" xr:uid="{C4570164-B719-473E-BDE3-34EC67D349AA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19" xfId="30882" xr:uid="{3EB6A801-D451-4F9F-9D7A-4AB982A4DDE2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19" xfId="30880" xr:uid="{CD75C1BE-2950-453B-A565-5E571ED5D7B3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14" xfId="30884" xr:uid="{F4B20EE8-5B4F-46D5-8A1E-7565D23184E3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ipertaut" xfId="30886" builtinId="8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15" xfId="30878" xr:uid="{4AA305A4-3633-42AE-A539-E63A6F44C834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7A4-C8D7-4A95-B229-FB734FEBD710}">
  <sheetPr>
    <tabColor rgb="FF00B050"/>
    <pageSetUpPr fitToPage="1"/>
  </sheetPr>
  <dimension ref="A1:VUA347"/>
  <sheetViews>
    <sheetView zoomScale="80" zoomScaleNormal="80" workbookViewId="0">
      <pane xSplit="6" ySplit="3" topLeftCell="AH76" activePane="bottomRight" state="frozen"/>
      <selection activeCell="D35" sqref="D35"/>
      <selection pane="topRight" activeCell="D35" sqref="D35"/>
      <selection pane="bottomLeft" activeCell="D35" sqref="D35"/>
      <selection pane="bottomRight" activeCell="AX85" sqref="AX85:AX242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hidden="1" customWidth="1"/>
    <col min="8" max="8" width="15.140625" style="1" hidden="1" customWidth="1"/>
    <col min="9" max="9" width="14.5703125" style="1" hidden="1" customWidth="1"/>
    <col min="10" max="11" width="13.5703125" style="1" hidden="1" customWidth="1"/>
    <col min="12" max="12" width="14" style="1" bestFit="1" customWidth="1"/>
    <col min="13" max="13" width="14.5703125" style="1" customWidth="1"/>
    <col min="14" max="14" width="14" style="1" bestFit="1" customWidth="1"/>
    <col min="15" max="16" width="14.5703125" style="1" customWidth="1"/>
    <col min="17" max="17" width="14.7109375" style="1" customWidth="1"/>
    <col min="18" max="18" width="14.28515625" style="1" bestFit="1" customWidth="1"/>
    <col min="19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5" width="13.5703125" style="1" customWidth="1"/>
    <col min="36" max="37" width="13.5703125" style="1" hidden="1" customWidth="1"/>
    <col min="38" max="38" width="3.5703125" style="1" customWidth="1"/>
    <col min="39" max="39" width="22.85546875" style="1" bestFit="1" customWidth="1"/>
    <col min="40" max="40" width="10.7109375" style="1" bestFit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3.7109375" style="1" bestFit="1" customWidth="1"/>
    <col min="48" max="48" width="14.42578125" style="1" customWidth="1"/>
    <col min="49" max="49" width="13.5703125" style="1" customWidth="1"/>
    <col min="50" max="50" width="21.5703125" style="1" customWidth="1"/>
    <col min="51" max="51" width="26.42578125" style="1" customWidth="1"/>
    <col min="52" max="52" width="10.85546875" style="1" bestFit="1" customWidth="1"/>
    <col min="53" max="53" width="12.42578125" style="1" bestFit="1" customWidth="1"/>
    <col min="54" max="54" width="9" style="1"/>
    <col min="55" max="55" width="9.140625" style="511" customWidth="1"/>
    <col min="56" max="56" width="23.85546875" style="511" bestFit="1" customWidth="1"/>
    <col min="57" max="60" width="9" style="1"/>
    <col min="61" max="61" width="9.5703125" style="140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178" t="s">
        <v>1141</v>
      </c>
      <c r="D1" s="2178"/>
      <c r="E1" s="2178"/>
      <c r="F1" s="2178"/>
      <c r="G1" s="2178"/>
      <c r="H1" s="2178"/>
      <c r="I1" s="2178"/>
      <c r="J1" s="2178"/>
      <c r="K1" s="2178"/>
      <c r="L1" s="2178"/>
      <c r="M1" s="2178"/>
      <c r="N1" s="2178"/>
      <c r="O1" s="2178"/>
      <c r="P1" s="2178"/>
      <c r="Q1" s="2178"/>
      <c r="R1" s="2178"/>
      <c r="S1" s="2178"/>
      <c r="T1" s="2178"/>
      <c r="U1" s="2178"/>
      <c r="V1" s="2178"/>
      <c r="W1" s="2178"/>
      <c r="X1" s="2178"/>
      <c r="Y1" s="2178"/>
      <c r="Z1" s="2178"/>
      <c r="AA1" s="2178"/>
      <c r="AB1" s="2178"/>
      <c r="AC1" s="2178"/>
      <c r="AD1" s="2178"/>
      <c r="AE1" s="2178"/>
      <c r="AF1" s="2178"/>
      <c r="AG1" s="2178"/>
      <c r="AH1" s="2178"/>
      <c r="AI1" s="2178"/>
      <c r="AJ1" s="2178"/>
      <c r="AK1" s="2178"/>
      <c r="AL1" s="2178"/>
      <c r="AM1" s="2178"/>
    </row>
    <row r="2" spans="3:61" ht="30" customHeight="1" x14ac:dyDescent="0.25">
      <c r="C2" s="2179" t="s">
        <v>98</v>
      </c>
      <c r="D2" s="2181" t="s">
        <v>99</v>
      </c>
      <c r="E2" s="2183" t="s">
        <v>100</v>
      </c>
      <c r="F2" s="2185" t="s">
        <v>101</v>
      </c>
      <c r="G2" s="2187" t="s">
        <v>1136</v>
      </c>
      <c r="H2" s="2188"/>
      <c r="I2" s="2188"/>
      <c r="J2" s="2188"/>
      <c r="K2" s="2188"/>
      <c r="L2" s="2188"/>
      <c r="M2" s="2188"/>
      <c r="N2" s="2188"/>
      <c r="O2" s="2188"/>
      <c r="P2" s="2188"/>
      <c r="Q2" s="2188"/>
      <c r="R2" s="2188"/>
      <c r="S2" s="2188"/>
      <c r="T2" s="2188"/>
      <c r="U2" s="2188"/>
      <c r="V2" s="2188"/>
      <c r="W2" s="2188"/>
      <c r="X2" s="2188"/>
      <c r="Y2" s="2188"/>
      <c r="Z2" s="2188"/>
      <c r="AA2" s="2188"/>
      <c r="AB2" s="2188"/>
      <c r="AC2" s="2188"/>
      <c r="AD2" s="2188"/>
      <c r="AE2" s="2188"/>
      <c r="AF2" s="2188"/>
      <c r="AG2" s="2188"/>
      <c r="AH2" s="2188"/>
      <c r="AI2" s="2188"/>
      <c r="AJ2" s="2188"/>
      <c r="AK2" s="2189"/>
      <c r="AM2" s="2190" t="s">
        <v>295</v>
      </c>
    </row>
    <row r="3" spans="3:61" x14ac:dyDescent="0.25">
      <c r="C3" s="2180"/>
      <c r="D3" s="2182"/>
      <c r="E3" s="2184"/>
      <c r="F3" s="2186"/>
      <c r="G3" s="2059">
        <v>1</v>
      </c>
      <c r="H3" s="2059">
        <v>2</v>
      </c>
      <c r="I3" s="2059">
        <v>3</v>
      </c>
      <c r="J3" s="2059">
        <v>4</v>
      </c>
      <c r="K3" s="2059">
        <v>5</v>
      </c>
      <c r="L3" s="2059">
        <v>6</v>
      </c>
      <c r="M3" s="2059">
        <v>7</v>
      </c>
      <c r="N3" s="2059">
        <v>8</v>
      </c>
      <c r="O3" s="2059">
        <v>9</v>
      </c>
      <c r="P3" s="2059">
        <v>10</v>
      </c>
      <c r="Q3" s="2059">
        <v>11</v>
      </c>
      <c r="R3" s="360">
        <v>12</v>
      </c>
      <c r="S3" s="360">
        <v>13</v>
      </c>
      <c r="T3" s="360">
        <v>14</v>
      </c>
      <c r="U3" s="360">
        <v>15</v>
      </c>
      <c r="V3" s="360">
        <v>16</v>
      </c>
      <c r="W3" s="360">
        <v>17</v>
      </c>
      <c r="X3" s="360">
        <v>18</v>
      </c>
      <c r="Y3" s="360">
        <v>19</v>
      </c>
      <c r="Z3" s="360">
        <v>20</v>
      </c>
      <c r="AA3" s="360">
        <v>21</v>
      </c>
      <c r="AB3" s="360">
        <v>22</v>
      </c>
      <c r="AC3" s="360">
        <v>23</v>
      </c>
      <c r="AD3" s="360">
        <v>24</v>
      </c>
      <c r="AE3" s="360">
        <v>25</v>
      </c>
      <c r="AF3" s="360">
        <v>26</v>
      </c>
      <c r="AG3" s="360">
        <v>27</v>
      </c>
      <c r="AH3" s="360">
        <v>28</v>
      </c>
      <c r="AI3" s="360">
        <v>29</v>
      </c>
      <c r="AJ3" s="360">
        <v>30</v>
      </c>
      <c r="AK3" s="360">
        <v>31</v>
      </c>
      <c r="AM3" s="2191"/>
    </row>
    <row r="4" spans="3:61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1964" t="s">
        <v>126</v>
      </c>
      <c r="AO4" s="2010" t="s">
        <v>1104</v>
      </c>
      <c r="AP4" s="2005"/>
      <c r="AQ4" s="2005"/>
      <c r="AR4" s="2005" t="s">
        <v>1110</v>
      </c>
      <c r="AS4" s="2006">
        <f>AS6+AS7+AS9</f>
        <v>80236</v>
      </c>
      <c r="AT4" s="2005"/>
    </row>
    <row r="5" spans="3:61" x14ac:dyDescent="0.25">
      <c r="C5" s="8"/>
      <c r="D5" s="9" t="s">
        <v>16</v>
      </c>
      <c r="E5" s="246"/>
      <c r="F5" s="10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3"/>
      <c r="AM5" s="52" t="s">
        <v>16</v>
      </c>
      <c r="AO5" s="2005" t="s">
        <v>1102</v>
      </c>
      <c r="AP5" s="2006">
        <f>AM9</f>
        <v>16794736</v>
      </c>
      <c r="AQ5" s="2005"/>
      <c r="AR5" s="2005" t="s">
        <v>1108</v>
      </c>
      <c r="AS5" s="2005"/>
      <c r="AT5" s="2005"/>
    </row>
    <row r="6" spans="3:61" x14ac:dyDescent="0.25">
      <c r="C6" s="8"/>
      <c r="D6" s="11" t="s">
        <v>83</v>
      </c>
      <c r="E6" s="247"/>
      <c r="F6" s="12" t="s">
        <v>82</v>
      </c>
      <c r="G6" s="916"/>
      <c r="H6" s="916"/>
      <c r="I6" s="916"/>
      <c r="J6" s="916"/>
      <c r="K6" s="916"/>
      <c r="L6" s="916">
        <v>1</v>
      </c>
      <c r="M6" s="916">
        <v>1</v>
      </c>
      <c r="N6" s="916">
        <v>1</v>
      </c>
      <c r="O6" s="916">
        <v>1</v>
      </c>
      <c r="P6" s="916">
        <v>1</v>
      </c>
      <c r="Q6" s="916">
        <v>1</v>
      </c>
      <c r="R6" s="916">
        <v>1</v>
      </c>
      <c r="S6" s="916">
        <v>1</v>
      </c>
      <c r="T6" s="916">
        <v>1</v>
      </c>
      <c r="U6" s="916">
        <v>1</v>
      </c>
      <c r="V6" s="916">
        <v>1</v>
      </c>
      <c r="W6" s="916"/>
      <c r="X6" s="916"/>
      <c r="Y6" s="916"/>
      <c r="Z6" s="916"/>
      <c r="AA6" s="916"/>
      <c r="AB6" s="916"/>
      <c r="AC6" s="916"/>
      <c r="AD6" s="916"/>
      <c r="AE6" s="916"/>
      <c r="AF6" s="916"/>
      <c r="AG6" s="916"/>
      <c r="AH6" s="916"/>
      <c r="AI6" s="916"/>
      <c r="AJ6" s="916"/>
      <c r="AK6" s="916"/>
      <c r="AL6" s="3"/>
      <c r="AM6" s="54">
        <f>SUM(G6:AK6)</f>
        <v>11</v>
      </c>
      <c r="AO6" s="2005" t="s">
        <v>1103</v>
      </c>
      <c r="AP6" s="2006">
        <f>AM20+AM19+AM18</f>
        <v>15901359</v>
      </c>
      <c r="AQ6" s="2005"/>
      <c r="AR6" s="2011" t="s">
        <v>1109</v>
      </c>
      <c r="AS6" s="2006">
        <v>80236</v>
      </c>
      <c r="AT6" s="2005"/>
    </row>
    <row r="7" spans="3:61" x14ac:dyDescent="0.25">
      <c r="C7" s="8"/>
      <c r="D7" s="71" t="s">
        <v>124</v>
      </c>
      <c r="E7" s="247"/>
      <c r="F7" s="72" t="s">
        <v>14</v>
      </c>
      <c r="G7" s="266"/>
      <c r="H7" s="266"/>
      <c r="I7" s="266"/>
      <c r="J7" s="266"/>
      <c r="K7" s="266"/>
      <c r="L7" s="266">
        <v>2047361</v>
      </c>
      <c r="M7" s="266">
        <v>2895861</v>
      </c>
      <c r="N7" s="266">
        <v>2094222</v>
      </c>
      <c r="O7" s="266">
        <v>1599295</v>
      </c>
      <c r="P7" s="266">
        <v>2822387</v>
      </c>
      <c r="Q7" s="266">
        <v>1400949</v>
      </c>
      <c r="R7" s="266">
        <v>2135308</v>
      </c>
      <c r="S7" s="1926">
        <v>2069937</v>
      </c>
      <c r="T7" s="266">
        <v>2270473</v>
      </c>
      <c r="U7" s="266">
        <v>2856728</v>
      </c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3"/>
      <c r="AM7" s="57">
        <f>SUM(G7:AK7)</f>
        <v>22192521</v>
      </c>
      <c r="AO7" s="2007"/>
      <c r="AP7" s="2008"/>
      <c r="AQ7" s="2007"/>
      <c r="AR7" s="2012"/>
      <c r="AS7" s="2006"/>
      <c r="AT7" s="2005"/>
      <c r="AU7" s="3"/>
      <c r="AV7" s="3"/>
    </row>
    <row r="8" spans="3:61" x14ac:dyDescent="0.25">
      <c r="C8" s="8"/>
      <c r="D8" s="11" t="s">
        <v>1093</v>
      </c>
      <c r="E8" s="247"/>
      <c r="F8" s="13" t="s">
        <v>25</v>
      </c>
      <c r="G8" s="1735"/>
      <c r="H8" s="1735"/>
      <c r="I8" s="1735"/>
      <c r="J8" s="1735"/>
      <c r="K8" s="1735"/>
      <c r="L8" s="1735">
        <f t="shared" ref="L8:V8" si="0">L9/2500000</f>
        <v>6.9087200000000001E-2</v>
      </c>
      <c r="M8" s="1735">
        <f t="shared" si="0"/>
        <v>0.58475480000000002</v>
      </c>
      <c r="N8" s="1735">
        <f t="shared" si="0"/>
        <v>0.8215036</v>
      </c>
      <c r="O8" s="1735">
        <f t="shared" si="0"/>
        <v>0.83634600000000003</v>
      </c>
      <c r="P8" s="1735">
        <f t="shared" si="0"/>
        <v>0.8000988</v>
      </c>
      <c r="Q8" s="1735">
        <f t="shared" si="0"/>
        <v>0.81738160000000004</v>
      </c>
      <c r="R8" s="1735">
        <f t="shared" si="0"/>
        <v>0.66170680000000004</v>
      </c>
      <c r="S8" s="1735">
        <f t="shared" si="0"/>
        <v>0.73419599999999996</v>
      </c>
      <c r="T8" s="1735">
        <f t="shared" si="0"/>
        <v>0.73237640000000004</v>
      </c>
      <c r="U8" s="1735">
        <f t="shared" si="0"/>
        <v>0.66044320000000001</v>
      </c>
      <c r="V8" s="1735">
        <f t="shared" si="0"/>
        <v>0</v>
      </c>
      <c r="W8" s="1735">
        <v>0.80906040000000001</v>
      </c>
      <c r="X8" s="1735">
        <v>0</v>
      </c>
      <c r="Y8" s="1735">
        <f t="shared" ref="Y8:AK8" si="1">Y9/2500000</f>
        <v>0</v>
      </c>
      <c r="Z8" s="1735">
        <f t="shared" si="1"/>
        <v>0</v>
      </c>
      <c r="AA8" s="1735">
        <f t="shared" si="1"/>
        <v>0</v>
      </c>
      <c r="AB8" s="1735">
        <f t="shared" si="1"/>
        <v>0</v>
      </c>
      <c r="AC8" s="1735">
        <f t="shared" si="1"/>
        <v>0</v>
      </c>
      <c r="AD8" s="1735">
        <f t="shared" si="1"/>
        <v>0</v>
      </c>
      <c r="AE8" s="1735">
        <f t="shared" si="1"/>
        <v>0</v>
      </c>
      <c r="AF8" s="1735">
        <f t="shared" si="1"/>
        <v>0</v>
      </c>
      <c r="AG8" s="1735">
        <f t="shared" si="1"/>
        <v>0</v>
      </c>
      <c r="AH8" s="1735">
        <f t="shared" si="1"/>
        <v>0</v>
      </c>
      <c r="AI8" s="1735">
        <f t="shared" si="1"/>
        <v>0</v>
      </c>
      <c r="AJ8" s="1735">
        <f t="shared" si="1"/>
        <v>0</v>
      </c>
      <c r="AK8" s="1735">
        <f t="shared" si="1"/>
        <v>0</v>
      </c>
      <c r="AL8" s="3"/>
      <c r="AM8" s="1771">
        <f>AM9/2500000/AM6</f>
        <v>0.61071767272727273</v>
      </c>
      <c r="AO8" s="2005"/>
      <c r="AP8" s="2009"/>
      <c r="AQ8" s="2005"/>
      <c r="AR8" s="2013"/>
      <c r="AS8" s="2006"/>
      <c r="AT8" s="2005"/>
      <c r="AU8" s="3"/>
    </row>
    <row r="9" spans="3:61" s="1" customFormat="1" x14ac:dyDescent="0.25">
      <c r="C9" s="8"/>
      <c r="D9" s="55" t="s">
        <v>95</v>
      </c>
      <c r="E9" s="231">
        <v>58900000</v>
      </c>
      <c r="F9" s="56" t="s">
        <v>14</v>
      </c>
      <c r="G9" s="1926"/>
      <c r="H9" s="266"/>
      <c r="I9" s="266"/>
      <c r="J9" s="266"/>
      <c r="K9" s="266"/>
      <c r="L9" s="266">
        <v>172718</v>
      </c>
      <c r="M9" s="266">
        <v>1461887</v>
      </c>
      <c r="N9" s="266">
        <v>2053759</v>
      </c>
      <c r="O9" s="266">
        <f>2100865-10000</f>
        <v>2090865</v>
      </c>
      <c r="P9" s="266">
        <v>2000247</v>
      </c>
      <c r="Q9" s="266">
        <v>2043454</v>
      </c>
      <c r="R9" s="266">
        <v>1654267</v>
      </c>
      <c r="S9" s="266">
        <v>1835490</v>
      </c>
      <c r="T9" s="266">
        <v>1830941</v>
      </c>
      <c r="U9" s="2110">
        <v>1651108</v>
      </c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M9" s="57">
        <f>SUM(G9:U9)</f>
        <v>16794736</v>
      </c>
      <c r="AN9" s="3"/>
      <c r="AO9" s="2005"/>
      <c r="AP9" s="2009"/>
      <c r="AQ9" s="2006"/>
      <c r="AR9" s="2005"/>
      <c r="AS9" s="2005"/>
      <c r="AT9" s="2005"/>
      <c r="AU9" s="3"/>
      <c r="AV9" s="3"/>
      <c r="AX9" s="2060"/>
      <c r="AY9" s="3"/>
      <c r="BC9" s="511"/>
      <c r="BD9" s="511"/>
      <c r="BI9" s="141"/>
    </row>
    <row r="10" spans="3:61" s="1" customFormat="1" x14ac:dyDescent="0.25">
      <c r="C10" s="8"/>
      <c r="D10" s="914" t="s">
        <v>374</v>
      </c>
      <c r="E10" s="915"/>
      <c r="F10" s="61"/>
      <c r="G10" s="916"/>
      <c r="H10" s="916"/>
      <c r="I10" s="916"/>
      <c r="J10" s="916"/>
      <c r="K10" s="916"/>
      <c r="L10" s="916"/>
      <c r="M10" s="916"/>
      <c r="N10" s="916"/>
      <c r="O10" s="916"/>
      <c r="P10" s="916"/>
      <c r="Q10" s="916"/>
      <c r="R10" s="916"/>
      <c r="S10" s="1946"/>
      <c r="T10" s="916"/>
      <c r="U10" s="916"/>
      <c r="V10" s="916"/>
      <c r="W10" s="916"/>
      <c r="X10" s="916"/>
      <c r="Y10" s="916"/>
      <c r="Z10" s="916"/>
      <c r="AA10" s="916"/>
      <c r="AB10" s="916"/>
      <c r="AC10" s="916"/>
      <c r="AD10" s="916"/>
      <c r="AE10" s="916"/>
      <c r="AF10" s="916"/>
      <c r="AG10" s="916"/>
      <c r="AH10" s="916"/>
      <c r="AI10" s="916"/>
      <c r="AJ10" s="916"/>
      <c r="AK10" s="916"/>
      <c r="AL10" s="62"/>
      <c r="AM10" s="514">
        <f>AM9/AM6</f>
        <v>1526794.1818181819</v>
      </c>
      <c r="AN10" s="468"/>
      <c r="AO10" s="2005"/>
      <c r="AP10" s="2009"/>
      <c r="AQ10" s="2005"/>
      <c r="AR10" s="2005"/>
      <c r="AS10" s="2006"/>
      <c r="AT10" s="2005"/>
      <c r="AX10" s="2055"/>
      <c r="BC10" s="511"/>
      <c r="BD10" s="511"/>
      <c r="BI10" s="141"/>
    </row>
    <row r="11" spans="3:61" s="1" customFormat="1" x14ac:dyDescent="0.25">
      <c r="C11" s="8"/>
      <c r="D11" s="21" t="s">
        <v>96</v>
      </c>
      <c r="E11" s="231"/>
      <c r="F11" s="13" t="s">
        <v>14</v>
      </c>
      <c r="G11" s="33"/>
      <c r="H11" s="33"/>
      <c r="I11" s="33"/>
      <c r="J11" s="33"/>
      <c r="K11" s="33"/>
      <c r="L11" s="33">
        <f>L9-L12</f>
        <v>172718</v>
      </c>
      <c r="M11" s="33">
        <f t="shared" ref="M11:Q11" si="2">M9-M12</f>
        <v>1461887</v>
      </c>
      <c r="N11" s="33">
        <f t="shared" si="2"/>
        <v>2053759</v>
      </c>
      <c r="O11" s="33">
        <f t="shared" si="2"/>
        <v>2090865</v>
      </c>
      <c r="P11" s="33">
        <f t="shared" si="2"/>
        <v>2000247</v>
      </c>
      <c r="Q11" s="33">
        <f t="shared" si="2"/>
        <v>2043454</v>
      </c>
      <c r="R11" s="33">
        <f>R9-R12</f>
        <v>1654267</v>
      </c>
      <c r="S11" s="33">
        <f>S9-S12</f>
        <v>1835490</v>
      </c>
      <c r="T11" s="33">
        <f>T9-T12</f>
        <v>1830941</v>
      </c>
      <c r="U11" s="33">
        <f>U9-U12</f>
        <v>1651108</v>
      </c>
      <c r="V11" s="33">
        <f t="shared" ref="V11:AK11" si="3">V9-V12</f>
        <v>0</v>
      </c>
      <c r="W11" s="33">
        <f t="shared" si="3"/>
        <v>0</v>
      </c>
      <c r="X11" s="33">
        <f>X9-X12</f>
        <v>0</v>
      </c>
      <c r="Y11" s="33">
        <f>Y9-Y12</f>
        <v>0</v>
      </c>
      <c r="Z11" s="33">
        <f>Z9-Z12</f>
        <v>0</v>
      </c>
      <c r="AA11" s="33">
        <f t="shared" si="3"/>
        <v>0</v>
      </c>
      <c r="AB11" s="33">
        <f t="shared" si="3"/>
        <v>0</v>
      </c>
      <c r="AC11" s="33">
        <f t="shared" si="3"/>
        <v>0</v>
      </c>
      <c r="AD11" s="33">
        <f t="shared" si="3"/>
        <v>0</v>
      </c>
      <c r="AE11" s="33">
        <f t="shared" si="3"/>
        <v>0</v>
      </c>
      <c r="AF11" s="33">
        <f t="shared" si="3"/>
        <v>0</v>
      </c>
      <c r="AG11" s="33">
        <f t="shared" si="3"/>
        <v>0</v>
      </c>
      <c r="AH11" s="33">
        <f t="shared" si="3"/>
        <v>0</v>
      </c>
      <c r="AI11" s="33">
        <f t="shared" si="3"/>
        <v>0</v>
      </c>
      <c r="AJ11" s="33">
        <f t="shared" si="3"/>
        <v>0</v>
      </c>
      <c r="AK11" s="33">
        <f t="shared" si="3"/>
        <v>0</v>
      </c>
      <c r="AM11" s="54">
        <f>SUM(G11:AK11)</f>
        <v>16794736</v>
      </c>
      <c r="AO11" s="2005"/>
      <c r="AP11" s="2006"/>
      <c r="AQ11" s="2005"/>
      <c r="AR11" s="2005"/>
      <c r="AS11" s="2006"/>
      <c r="AT11" s="2006"/>
      <c r="AX11" s="3"/>
      <c r="BC11" s="511"/>
      <c r="BD11" s="511"/>
      <c r="BI11" s="141"/>
    </row>
    <row r="12" spans="3:61" s="1" customFormat="1" x14ac:dyDescent="0.25">
      <c r="C12" s="8"/>
      <c r="D12" s="21" t="s">
        <v>97</v>
      </c>
      <c r="E12" s="231"/>
      <c r="F12" s="13" t="s">
        <v>14</v>
      </c>
      <c r="G12" s="33"/>
      <c r="H12" s="33"/>
      <c r="I12" s="33"/>
      <c r="J12" s="33"/>
      <c r="K12" s="33"/>
      <c r="L12" s="33">
        <f>L40+L49+L54</f>
        <v>0</v>
      </c>
      <c r="M12" s="33">
        <f t="shared" ref="M12:AH12" si="4">M40+M49+M54</f>
        <v>0</v>
      </c>
      <c r="N12" s="33">
        <f t="shared" si="4"/>
        <v>0</v>
      </c>
      <c r="O12" s="33">
        <f t="shared" si="4"/>
        <v>0</v>
      </c>
      <c r="P12" s="33">
        <f t="shared" si="4"/>
        <v>0</v>
      </c>
      <c r="Q12" s="33">
        <f t="shared" si="4"/>
        <v>0</v>
      </c>
      <c r="R12" s="33">
        <f t="shared" si="4"/>
        <v>0</v>
      </c>
      <c r="S12" s="1922">
        <v>0</v>
      </c>
      <c r="T12" s="33">
        <f t="shared" si="4"/>
        <v>0</v>
      </c>
      <c r="U12" s="33">
        <f t="shared" si="4"/>
        <v>0</v>
      </c>
      <c r="V12" s="33">
        <f t="shared" si="4"/>
        <v>0</v>
      </c>
      <c r="W12" s="33">
        <v>0</v>
      </c>
      <c r="X12" s="33">
        <v>0</v>
      </c>
      <c r="Y12" s="33">
        <f>Y40+Y49+Y54</f>
        <v>0</v>
      </c>
      <c r="Z12" s="33">
        <f>Z40+Z49+Z54</f>
        <v>0</v>
      </c>
      <c r="AA12" s="33">
        <f t="shared" si="4"/>
        <v>0</v>
      </c>
      <c r="AB12" s="33">
        <f t="shared" si="4"/>
        <v>0</v>
      </c>
      <c r="AC12" s="33">
        <v>0</v>
      </c>
      <c r="AD12" s="33">
        <v>0</v>
      </c>
      <c r="AE12" s="33">
        <f t="shared" si="4"/>
        <v>0</v>
      </c>
      <c r="AF12" s="33">
        <f t="shared" si="4"/>
        <v>0</v>
      </c>
      <c r="AG12" s="33">
        <f t="shared" si="4"/>
        <v>0</v>
      </c>
      <c r="AH12" s="33">
        <f t="shared" si="4"/>
        <v>0</v>
      </c>
      <c r="AI12" s="33"/>
      <c r="AJ12" s="33"/>
      <c r="AK12" s="33"/>
      <c r="AM12" s="54">
        <f>SUM(G12:AK12)</f>
        <v>0</v>
      </c>
      <c r="AO12" s="2010"/>
      <c r="AP12" s="2006"/>
      <c r="AQ12" s="2005"/>
      <c r="AR12" s="2006"/>
      <c r="AS12" s="2006"/>
      <c r="AT12" s="2005"/>
      <c r="BC12" s="511"/>
      <c r="BD12" s="511"/>
      <c r="BI12" s="141"/>
    </row>
    <row r="13" spans="3:61" s="1" customFormat="1" x14ac:dyDescent="0.25">
      <c r="C13" s="8"/>
      <c r="D13" s="14" t="s">
        <v>1133</v>
      </c>
      <c r="E13" s="248">
        <v>5</v>
      </c>
      <c r="F13" s="13" t="s">
        <v>25</v>
      </c>
      <c r="G13" s="29"/>
      <c r="H13" s="29"/>
      <c r="I13" s="29"/>
      <c r="J13" s="29"/>
      <c r="K13" s="29"/>
      <c r="L13" s="29">
        <v>3.6</v>
      </c>
      <c r="M13" s="29">
        <f>(4.4+3.74)/2</f>
        <v>4.07</v>
      </c>
      <c r="N13" s="29">
        <f>(3.93+3.79)/2</f>
        <v>3.8600000000000003</v>
      </c>
      <c r="O13" s="29">
        <v>3.97</v>
      </c>
      <c r="P13" s="29">
        <v>4.03</v>
      </c>
      <c r="Q13" s="29">
        <f>(4.1+3.79)/2</f>
        <v>3.9449999999999998</v>
      </c>
      <c r="R13" s="29">
        <f>(4.01+3.79)/2</f>
        <v>3.9</v>
      </c>
      <c r="S13" s="29">
        <f>(4.21+4.01)/2</f>
        <v>4.1099999999999994</v>
      </c>
      <c r="T13" s="29">
        <f>(4.12+3.89)/2</f>
        <v>4.0049999999999999</v>
      </c>
      <c r="U13" s="29">
        <v>4.0999999999999996</v>
      </c>
      <c r="V13" s="29">
        <v>4.07</v>
      </c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4"/>
      <c r="AH13" s="29"/>
      <c r="AI13" s="29"/>
      <c r="AJ13" s="29"/>
      <c r="AK13" s="29"/>
      <c r="AM13" s="58">
        <f>SUM(G13:AK13)/AM6</f>
        <v>3.9690909090909092</v>
      </c>
      <c r="AO13" s="2005" t="s">
        <v>1105</v>
      </c>
      <c r="AP13" s="2006">
        <f>AP14+AP15</f>
        <v>221307</v>
      </c>
      <c r="AQ13" s="2005"/>
      <c r="AR13" s="2005" t="s">
        <v>1111</v>
      </c>
      <c r="AS13" s="2005">
        <f>'OIP Fract PMG 2'!T13</f>
        <v>133300</v>
      </c>
      <c r="AT13" s="2005"/>
      <c r="AY13" s="2116"/>
      <c r="BA13" s="511"/>
      <c r="BC13" s="511"/>
      <c r="BD13" s="511"/>
      <c r="BI13" s="140"/>
    </row>
    <row r="14" spans="3:61" s="1" customFormat="1" x14ac:dyDescent="0.25">
      <c r="C14" s="8"/>
      <c r="D14" s="14" t="s">
        <v>80</v>
      </c>
      <c r="E14" s="248">
        <v>0.5</v>
      </c>
      <c r="F14" s="13" t="s">
        <v>25</v>
      </c>
      <c r="G14" s="29"/>
      <c r="H14" s="29"/>
      <c r="I14" s="29"/>
      <c r="J14" s="29"/>
      <c r="K14" s="29"/>
      <c r="L14" s="29">
        <v>0.38</v>
      </c>
      <c r="M14" s="29">
        <f>(0.43+0.38)/2</f>
        <v>0.40500000000000003</v>
      </c>
      <c r="N14" s="29">
        <f>(0.36+0.4)/2</f>
        <v>0.38</v>
      </c>
      <c r="O14" s="29">
        <v>0.39</v>
      </c>
      <c r="P14" s="29">
        <v>0.41</v>
      </c>
      <c r="Q14" s="29">
        <f>(0.42+0.39)/2</f>
        <v>0.40500000000000003</v>
      </c>
      <c r="R14" s="29">
        <f>(0.38+0.39)/2</f>
        <v>0.38500000000000001</v>
      </c>
      <c r="S14" s="29">
        <f>(0.39+0.4)/2</f>
        <v>0.39500000000000002</v>
      </c>
      <c r="T14" s="29">
        <f>(0.39+0.47)/2</f>
        <v>0.43</v>
      </c>
      <c r="U14" s="29">
        <v>0.4</v>
      </c>
      <c r="V14" s="29">
        <v>0.39</v>
      </c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4"/>
      <c r="AH14" s="29"/>
      <c r="AI14" s="29"/>
      <c r="AJ14" s="29"/>
      <c r="AK14" s="29"/>
      <c r="AM14" s="58">
        <f>SUM(G14:AK14)/AM6</f>
        <v>0.39727272727272728</v>
      </c>
      <c r="AO14" s="2005" t="s">
        <v>1100</v>
      </c>
      <c r="AP14" s="2006">
        <f>AM33</f>
        <v>182200</v>
      </c>
      <c r="AQ14" s="2005"/>
      <c r="AR14" s="2005" t="s">
        <v>1112</v>
      </c>
      <c r="AS14" s="2005">
        <f>'OIP Fract PMG 2'!U13</f>
        <v>0</v>
      </c>
      <c r="AT14" s="2005"/>
      <c r="BA14" s="511"/>
      <c r="BC14" s="511"/>
      <c r="BD14" s="511"/>
      <c r="BI14" s="141"/>
    </row>
    <row r="15" spans="3:61" s="1" customFormat="1" x14ac:dyDescent="0.25">
      <c r="C15" s="8"/>
      <c r="D15" s="14" t="s">
        <v>79</v>
      </c>
      <c r="E15" s="249" t="s">
        <v>78</v>
      </c>
      <c r="F15" s="13" t="s">
        <v>25</v>
      </c>
      <c r="G15" s="3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025"/>
      <c r="AB15" s="29"/>
      <c r="AC15" s="34"/>
      <c r="AD15" s="29"/>
      <c r="AE15" s="29"/>
      <c r="AF15" s="2025"/>
      <c r="AG15" s="33"/>
      <c r="AH15" s="29"/>
      <c r="AI15" s="2025"/>
      <c r="AJ15" s="29"/>
      <c r="AK15" s="29"/>
      <c r="AM15" s="58">
        <f>SUM(G15:AK15)/AM6</f>
        <v>0</v>
      </c>
      <c r="AO15" s="2005" t="s">
        <v>1101</v>
      </c>
      <c r="AP15" s="2006">
        <f>AM34</f>
        <v>39107</v>
      </c>
      <c r="AQ15" s="2005"/>
      <c r="AR15" s="2005" t="s">
        <v>1113</v>
      </c>
      <c r="AS15" s="2006"/>
      <c r="AT15" s="2005"/>
      <c r="BA15" s="511"/>
      <c r="BC15" s="2117"/>
      <c r="BD15" s="2120"/>
      <c r="BE15" s="2"/>
      <c r="BF15" s="2"/>
      <c r="BI15" s="141"/>
    </row>
    <row r="16" spans="3:61" s="1" customFormat="1" x14ac:dyDescent="0.25">
      <c r="C16" s="8"/>
      <c r="D16" s="64" t="s">
        <v>942</v>
      </c>
      <c r="E16" s="1645"/>
      <c r="F16" s="56"/>
      <c r="G16" s="266"/>
      <c r="H16" s="266"/>
      <c r="I16" s="266"/>
      <c r="J16" s="266"/>
      <c r="K16" s="266"/>
      <c r="L16" s="266">
        <v>106</v>
      </c>
      <c r="M16" s="266">
        <v>104106</v>
      </c>
      <c r="N16" s="266">
        <v>104106</v>
      </c>
      <c r="O16" s="266">
        <v>104</v>
      </c>
      <c r="P16" s="266">
        <v>104</v>
      </c>
      <c r="Q16" s="266">
        <v>104107</v>
      </c>
      <c r="R16" s="266">
        <v>106107</v>
      </c>
      <c r="S16" s="266">
        <v>104106</v>
      </c>
      <c r="T16" s="266">
        <v>104107</v>
      </c>
      <c r="U16" s="266">
        <v>104</v>
      </c>
      <c r="V16" s="266">
        <v>106</v>
      </c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M16" s="58"/>
      <c r="AO16" s="2005" t="s">
        <v>1106</v>
      </c>
      <c r="AP16" s="2009">
        <f>AP14/(AP14+AP15)*100</f>
        <v>82.329072284202482</v>
      </c>
      <c r="AQ16" s="2005"/>
      <c r="AR16" s="2005" t="s">
        <v>1111</v>
      </c>
      <c r="AS16" s="2006">
        <f>AS13</f>
        <v>133300</v>
      </c>
      <c r="AT16" s="2005"/>
      <c r="BA16" s="511"/>
      <c r="BC16" s="2117"/>
      <c r="BD16" s="2120"/>
      <c r="BE16" s="2"/>
      <c r="BF16" s="2"/>
      <c r="BI16" s="141"/>
    </row>
    <row r="17" spans="3:61 15030:15074" s="1" customFormat="1" x14ac:dyDescent="0.25">
      <c r="C17" s="8"/>
      <c r="D17" s="59" t="s">
        <v>77</v>
      </c>
      <c r="E17" s="250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22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2005" t="s">
        <v>1107</v>
      </c>
      <c r="AP17" s="2007">
        <f>AP15/(AP14+AP15)*100</f>
        <v>17.670927715797514</v>
      </c>
      <c r="AQ17" s="2005"/>
      <c r="AR17" s="2005" t="s">
        <v>1112</v>
      </c>
      <c r="AS17" s="2006">
        <f>AS14-AP13</f>
        <v>-221307</v>
      </c>
      <c r="AT17" s="2005"/>
      <c r="BA17" s="511"/>
      <c r="BC17" s="2117"/>
      <c r="BD17" s="2120"/>
      <c r="BE17" s="2"/>
      <c r="BF17" s="2"/>
      <c r="BI17" s="141"/>
    </row>
    <row r="18" spans="3:61 15030:15074" s="1" customFormat="1" x14ac:dyDescent="0.25">
      <c r="C18" s="8"/>
      <c r="D18" s="797" t="s">
        <v>355</v>
      </c>
      <c r="E18" s="250"/>
      <c r="F18" s="65" t="s">
        <v>14</v>
      </c>
      <c r="G18" s="1968"/>
      <c r="H18" s="1968"/>
      <c r="I18" s="1968"/>
      <c r="J18" s="1968"/>
      <c r="K18" s="1968"/>
      <c r="L18" s="1968"/>
      <c r="M18" s="1968">
        <f>'OIP Ref PMG 1'!K7</f>
        <v>0</v>
      </c>
      <c r="N18" s="1968"/>
      <c r="O18" s="1968"/>
      <c r="P18" s="1968"/>
      <c r="Q18" s="1968"/>
      <c r="R18" s="1968"/>
      <c r="S18" s="1968"/>
      <c r="T18" s="1968"/>
      <c r="U18" s="1968"/>
      <c r="V18" s="1968"/>
      <c r="W18" s="1968"/>
      <c r="X18" s="1968"/>
      <c r="Y18" s="1968"/>
      <c r="Z18" s="1968"/>
      <c r="AA18" s="1968"/>
      <c r="AB18" s="1968"/>
      <c r="AC18" s="1968"/>
      <c r="AD18" s="1968"/>
      <c r="AE18" s="1968"/>
      <c r="AF18" s="1968"/>
      <c r="AG18" s="1968"/>
      <c r="AH18" s="1968"/>
      <c r="AI18" s="1968"/>
      <c r="AJ18" s="1968"/>
      <c r="AK18" s="1968"/>
      <c r="AL18" s="62"/>
      <c r="AM18" s="1969">
        <f>SUM(G18:AK18)</f>
        <v>0</v>
      </c>
      <c r="AO18" s="2001"/>
      <c r="AP18" s="2002"/>
      <c r="AQ18" s="2002"/>
      <c r="AR18" s="2002"/>
      <c r="AS18" s="2002"/>
      <c r="AT18" s="2001"/>
      <c r="BC18" s="2117"/>
      <c r="BD18" s="2120"/>
      <c r="BE18" s="2"/>
      <c r="BF18" s="2"/>
      <c r="BI18" s="141"/>
    </row>
    <row r="19" spans="3:61 15030:15074" s="1" customFormat="1" x14ac:dyDescent="0.25">
      <c r="C19" s="8"/>
      <c r="D19" s="797" t="s">
        <v>1099</v>
      </c>
      <c r="E19" s="250"/>
      <c r="F19" s="65" t="s">
        <v>14</v>
      </c>
      <c r="G19" s="1968"/>
      <c r="H19" s="1968"/>
      <c r="I19" s="1968"/>
      <c r="J19" s="1968"/>
      <c r="K19" s="1968"/>
      <c r="L19" s="1968">
        <v>169993</v>
      </c>
      <c r="M19" s="1968">
        <v>1372080</v>
      </c>
      <c r="N19" s="1968">
        <v>1888301</v>
      </c>
      <c r="O19" s="1968">
        <v>1997308</v>
      </c>
      <c r="P19" s="1968">
        <v>1895612</v>
      </c>
      <c r="Q19" s="1968">
        <v>1942581</v>
      </c>
      <c r="R19" s="1968">
        <v>1563435</v>
      </c>
      <c r="S19" s="1968">
        <v>1750349</v>
      </c>
      <c r="T19" s="1968">
        <v>1747544</v>
      </c>
      <c r="U19" s="1968">
        <v>1574156</v>
      </c>
      <c r="V19" s="1968"/>
      <c r="W19" s="1968"/>
      <c r="X19" s="1968"/>
      <c r="Y19" s="1968"/>
      <c r="Z19" s="1968"/>
      <c r="AA19" s="1968"/>
      <c r="AB19" s="1968"/>
      <c r="AC19" s="1968"/>
      <c r="AD19" s="1968"/>
      <c r="AE19" s="1968"/>
      <c r="AF19" s="1968"/>
      <c r="AG19" s="1968"/>
      <c r="AH19" s="1968"/>
      <c r="AI19" s="1968"/>
      <c r="AJ19" s="1968"/>
      <c r="AK19" s="1968"/>
      <c r="AL19" s="62"/>
      <c r="AM19" s="1969">
        <f>SUM(G19:U19)</f>
        <v>15901359</v>
      </c>
      <c r="AN19" s="2"/>
      <c r="AO19" s="474"/>
      <c r="AP19" s="2125"/>
      <c r="AQ19" s="2125"/>
      <c r="AR19" s="2125"/>
      <c r="AS19" s="2125"/>
      <c r="AT19" s="2125"/>
      <c r="AU19" s="2"/>
      <c r="AV19" s="2"/>
      <c r="AW19" s="2"/>
      <c r="AX19" s="2"/>
      <c r="AY19" s="2151"/>
      <c r="AZ19" s="2"/>
      <c r="BC19" s="2117"/>
      <c r="BD19" s="2120"/>
      <c r="BE19" s="2"/>
      <c r="BF19" s="2"/>
      <c r="BI19" s="141"/>
    </row>
    <row r="20" spans="3:61 15030:15074" s="1" customFormat="1" x14ac:dyDescent="0.25">
      <c r="C20" s="15"/>
      <c r="D20" s="64" t="s">
        <v>192</v>
      </c>
      <c r="E20" s="231">
        <v>55661000</v>
      </c>
      <c r="F20" s="65" t="s">
        <v>14</v>
      </c>
      <c r="G20" s="266"/>
      <c r="H20" s="266"/>
      <c r="I20" s="266"/>
      <c r="J20" s="266"/>
      <c r="K20" s="266"/>
      <c r="L20" s="266">
        <v>0</v>
      </c>
      <c r="M20" s="266"/>
      <c r="N20" s="266"/>
      <c r="O20" s="266"/>
      <c r="P20" s="266"/>
      <c r="Q20" s="266"/>
      <c r="R20" s="266"/>
      <c r="S20" s="1926"/>
      <c r="T20" s="266"/>
      <c r="U20" s="2031"/>
      <c r="V20" s="2031"/>
      <c r="W20" s="2031"/>
      <c r="X20" s="2031"/>
      <c r="Y20" s="2031"/>
      <c r="Z20" s="2031"/>
      <c r="AA20" s="1955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M20" s="57">
        <f>SUM(G20:AK20)</f>
        <v>0</v>
      </c>
      <c r="AN20" s="2"/>
      <c r="AO20" s="2125"/>
      <c r="AP20" s="2126"/>
      <c r="AQ20" s="2125"/>
      <c r="AR20" s="2125"/>
      <c r="AS20" s="2126"/>
      <c r="AT20" s="2126"/>
      <c r="AU20" s="2"/>
      <c r="AV20" s="2"/>
      <c r="AW20" s="2"/>
      <c r="AX20" s="2"/>
      <c r="AY20" s="27"/>
      <c r="AZ20" s="2"/>
      <c r="BC20" s="2117"/>
      <c r="BD20" s="2120"/>
      <c r="BE20" s="2"/>
      <c r="BF20" s="2"/>
      <c r="BI20" s="140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1">
        <v>2827000</v>
      </c>
      <c r="F21" s="65" t="s">
        <v>14</v>
      </c>
      <c r="G21" s="266"/>
      <c r="H21" s="266"/>
      <c r="I21" s="266"/>
      <c r="J21" s="266"/>
      <c r="K21" s="266"/>
      <c r="L21" s="266">
        <v>0</v>
      </c>
      <c r="M21" s="266">
        <v>52979</v>
      </c>
      <c r="N21" s="266">
        <v>80109</v>
      </c>
      <c r="O21" s="266">
        <v>91693</v>
      </c>
      <c r="P21" s="266">
        <v>80627</v>
      </c>
      <c r="Q21" s="266">
        <v>70559</v>
      </c>
      <c r="R21" s="266">
        <v>67084</v>
      </c>
      <c r="S21" s="266">
        <v>76310</v>
      </c>
      <c r="T21" s="266">
        <v>74082</v>
      </c>
      <c r="U21" s="266">
        <v>62874</v>
      </c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M21" s="57">
        <f>SUM(G21:U21)</f>
        <v>656317</v>
      </c>
      <c r="AN21" s="2"/>
      <c r="AO21" s="2125"/>
      <c r="AP21" s="2126"/>
      <c r="AQ21" s="2125"/>
      <c r="AR21" s="2125"/>
      <c r="AS21" s="2126"/>
      <c r="AT21" s="2126"/>
      <c r="AU21" s="2"/>
      <c r="AV21" s="2"/>
      <c r="AW21" s="2"/>
      <c r="AX21" s="2"/>
      <c r="AY21" s="2"/>
      <c r="AZ21" s="2"/>
      <c r="BA21" s="3"/>
      <c r="BC21" s="2117"/>
      <c r="BD21" s="2120"/>
      <c r="BE21" s="2"/>
      <c r="BF21" s="2"/>
      <c r="BI21" s="140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696" t="s">
        <v>348</v>
      </c>
      <c r="E22" s="718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2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N22" s="2"/>
      <c r="AO22" s="2125"/>
      <c r="AP22" s="2126"/>
      <c r="AQ22" s="2125"/>
      <c r="AR22" s="2125"/>
      <c r="AS22" s="2126"/>
      <c r="AT22" s="2126"/>
      <c r="AU22" s="2"/>
      <c r="AV22" s="2"/>
      <c r="AW22" s="2"/>
      <c r="AX22" s="27"/>
      <c r="AY22" s="2"/>
      <c r="AZ22" s="2"/>
      <c r="BC22" s="2120"/>
      <c r="BD22" s="2117"/>
      <c r="BE22" s="2"/>
      <c r="BF22" s="2"/>
      <c r="BI22" s="140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47"/>
      <c r="F23" s="12" t="s">
        <v>82</v>
      </c>
      <c r="G23" s="33"/>
      <c r="H23" s="33"/>
      <c r="I23" s="33"/>
      <c r="J23" s="33"/>
      <c r="K23" s="33"/>
      <c r="L23" s="33"/>
      <c r="M23" s="33"/>
      <c r="N23" s="33"/>
      <c r="O23" s="33"/>
      <c r="P23" s="33">
        <v>1</v>
      </c>
      <c r="Q23" s="33">
        <v>1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>
        <v>1</v>
      </c>
      <c r="AD23" s="33"/>
      <c r="AE23" s="33"/>
      <c r="AF23" s="33">
        <v>1</v>
      </c>
      <c r="AG23" s="33">
        <v>1</v>
      </c>
      <c r="AH23" s="33">
        <v>1</v>
      </c>
      <c r="AI23" s="33"/>
      <c r="AJ23" s="33"/>
      <c r="AK23" s="33"/>
      <c r="AL23" s="3"/>
      <c r="AM23" s="54">
        <f>SUM(G23:AK23)</f>
        <v>6</v>
      </c>
      <c r="AN23" s="2"/>
      <c r="AO23" s="2127"/>
      <c r="AP23" s="2126"/>
      <c r="AQ23" s="2125"/>
      <c r="AR23" s="474"/>
      <c r="AS23" s="474"/>
      <c r="AT23" s="474"/>
      <c r="AU23" s="2"/>
      <c r="AV23" s="2128"/>
      <c r="AW23" s="2"/>
      <c r="AX23" s="2"/>
      <c r="AY23" s="2"/>
      <c r="AZ23" s="2"/>
      <c r="BC23" s="2117"/>
      <c r="BD23" s="2117"/>
      <c r="BE23" s="2"/>
      <c r="BF23" s="2"/>
    </row>
    <row r="24" spans="3:61 15030:15074" x14ac:dyDescent="0.25">
      <c r="C24" s="8"/>
      <c r="D24" s="914" t="s">
        <v>1007</v>
      </c>
      <c r="E24" s="247"/>
      <c r="F24" s="12" t="s">
        <v>14</v>
      </c>
      <c r="G24" s="33"/>
      <c r="H24" s="33"/>
      <c r="I24" s="33"/>
      <c r="J24" s="33"/>
      <c r="K24" s="33"/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1922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"/>
      <c r="AM24" s="54">
        <f>AM29/AM23</f>
        <v>396151.66666666669</v>
      </c>
      <c r="AN24" s="2"/>
      <c r="AO24" s="2125"/>
      <c r="AP24" s="2129"/>
      <c r="AQ24" s="2125"/>
      <c r="AR24" s="474"/>
      <c r="AS24" s="2130"/>
      <c r="AT24" s="2130"/>
      <c r="AU24" s="2"/>
      <c r="AV24" s="2"/>
      <c r="AW24" s="2"/>
      <c r="AX24" s="2"/>
      <c r="AY24" s="2"/>
      <c r="AZ24" s="2"/>
    </row>
    <row r="25" spans="3:61 15030:15074" s="1" customFormat="1" x14ac:dyDescent="0.25">
      <c r="C25" s="15"/>
      <c r="D25" s="64" t="s">
        <v>979</v>
      </c>
      <c r="E25" s="231"/>
      <c r="F25" s="65" t="s">
        <v>14</v>
      </c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1926"/>
      <c r="T25" s="266"/>
      <c r="U25" s="2032"/>
      <c r="V25" s="2032"/>
      <c r="W25" s="2032"/>
      <c r="X25" s="2032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>
        <v>0</v>
      </c>
      <c r="AK25" s="266">
        <v>0</v>
      </c>
      <c r="AM25" s="57">
        <f>SUM(G25:AK25)</f>
        <v>0</v>
      </c>
      <c r="AN25" s="2"/>
      <c r="AO25" s="2131"/>
      <c r="AP25" s="2129"/>
      <c r="AQ25" s="2125"/>
      <c r="AR25" s="474"/>
      <c r="AS25" s="2130"/>
      <c r="AT25" s="2130"/>
      <c r="AU25" s="2"/>
      <c r="AV25" s="2"/>
      <c r="AW25" s="2"/>
      <c r="AX25" s="2"/>
      <c r="AY25" s="27"/>
      <c r="AZ25" s="2"/>
      <c r="BC25" s="511"/>
      <c r="BD25" s="511"/>
      <c r="BI25" s="140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980</v>
      </c>
      <c r="E26" s="1726">
        <v>559</v>
      </c>
      <c r="F26" s="65" t="s">
        <v>982</v>
      </c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192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M26" s="57"/>
      <c r="AN26" s="2"/>
      <c r="AO26" s="2125"/>
      <c r="AP26" s="2126"/>
      <c r="AQ26" s="2132"/>
      <c r="AR26" s="2125"/>
      <c r="AS26" s="2126"/>
      <c r="AT26" s="2126"/>
      <c r="AU26" s="2"/>
      <c r="AV26" s="2"/>
      <c r="AW26" s="2"/>
      <c r="AX26" s="2"/>
      <c r="AY26" s="2"/>
      <c r="AZ26" s="2"/>
      <c r="BC26" s="511"/>
      <c r="BD26" s="511"/>
      <c r="BI26" s="140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981</v>
      </c>
      <c r="E27" s="1727">
        <v>559</v>
      </c>
      <c r="F27" s="65" t="s">
        <v>982</v>
      </c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192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M27" s="57"/>
      <c r="AN27" s="2"/>
      <c r="AO27" s="2133"/>
      <c r="AP27" s="2126"/>
      <c r="AQ27" s="2125"/>
      <c r="AR27" s="2125"/>
      <c r="AS27" s="2125"/>
      <c r="AT27" s="2125"/>
      <c r="AU27" s="2"/>
      <c r="AV27" s="2"/>
      <c r="AW27" s="2"/>
      <c r="AX27" s="2"/>
      <c r="AY27" s="2"/>
      <c r="AZ27" s="2"/>
      <c r="BC27" s="511"/>
      <c r="BD27" s="511"/>
      <c r="BI27" s="140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15"/>
      <c r="F28" s="13" t="s">
        <v>25</v>
      </c>
      <c r="G28" s="1735"/>
      <c r="H28" s="1735"/>
      <c r="I28" s="1735"/>
      <c r="J28" s="1735"/>
      <c r="K28" s="1735"/>
      <c r="L28" s="1735">
        <f t="shared" ref="L28:R28" si="5">L29/2500000</f>
        <v>0</v>
      </c>
      <c r="M28" s="1735">
        <f t="shared" si="5"/>
        <v>0</v>
      </c>
      <c r="N28" s="1735">
        <f t="shared" si="5"/>
        <v>0</v>
      </c>
      <c r="O28" s="1735">
        <f t="shared" si="5"/>
        <v>0</v>
      </c>
      <c r="P28" s="1735">
        <f t="shared" si="5"/>
        <v>0</v>
      </c>
      <c r="Q28" s="1735">
        <f t="shared" si="5"/>
        <v>0</v>
      </c>
      <c r="R28" s="1735">
        <f t="shared" si="5"/>
        <v>0</v>
      </c>
      <c r="S28" s="1735">
        <f>S29/2500000</f>
        <v>0</v>
      </c>
      <c r="T28" s="1735">
        <f>T29/2500000</f>
        <v>0</v>
      </c>
      <c r="U28" s="1735">
        <f>U29/2500000</f>
        <v>0</v>
      </c>
      <c r="V28" s="1735">
        <f>V29/2500000</f>
        <v>0</v>
      </c>
      <c r="W28" s="1735">
        <v>0.72746279999999997</v>
      </c>
      <c r="X28" s="1735">
        <v>0</v>
      </c>
      <c r="Y28" s="1735">
        <f>Y29/2500000</f>
        <v>0</v>
      </c>
      <c r="Z28" s="1735">
        <f>Z29/2500000</f>
        <v>0</v>
      </c>
      <c r="AA28" s="1735">
        <f t="shared" ref="AA28:AK28" si="6">AA29/2500000</f>
        <v>0</v>
      </c>
      <c r="AB28" s="1735">
        <f>AB29/2500000</f>
        <v>0</v>
      </c>
      <c r="AC28" s="1735">
        <v>0.52886</v>
      </c>
      <c r="AD28" s="1735">
        <f t="shared" si="6"/>
        <v>0</v>
      </c>
      <c r="AE28" s="1735">
        <f t="shared" si="6"/>
        <v>0</v>
      </c>
      <c r="AF28" s="1735">
        <f t="shared" si="6"/>
        <v>0.21776000000000001</v>
      </c>
      <c r="AG28" s="1735">
        <f t="shared" si="6"/>
        <v>0.40436</v>
      </c>
      <c r="AH28" s="1735">
        <f t="shared" si="6"/>
        <v>0.32864399999999999</v>
      </c>
      <c r="AI28" s="1735">
        <f t="shared" si="6"/>
        <v>0</v>
      </c>
      <c r="AJ28" s="1735">
        <f t="shared" si="6"/>
        <v>0</v>
      </c>
      <c r="AK28" s="1735">
        <f t="shared" si="6"/>
        <v>0</v>
      </c>
      <c r="AL28" s="62"/>
      <c r="AM28" s="1771">
        <f>AM29/2500000/AM23</f>
        <v>0.15846066666666667</v>
      </c>
      <c r="AN28" s="2"/>
      <c r="AO28" s="2130"/>
      <c r="AP28" s="2126"/>
      <c r="AQ28" s="2125"/>
      <c r="AR28" s="2125"/>
      <c r="AS28" s="2125"/>
      <c r="AT28" s="2132"/>
      <c r="AU28" s="2"/>
      <c r="AX28" s="2"/>
      <c r="AY28" s="2"/>
      <c r="AZ28" s="2"/>
      <c r="BC28" s="511"/>
      <c r="BD28" s="511"/>
      <c r="BI28" s="140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350</v>
      </c>
      <c r="E29" s="717">
        <v>35501000</v>
      </c>
      <c r="F29" s="13" t="s">
        <v>14</v>
      </c>
      <c r="G29" s="33"/>
      <c r="H29" s="33"/>
      <c r="I29" s="33"/>
      <c r="J29" s="33"/>
      <c r="K29" s="33"/>
      <c r="L29" s="33">
        <f t="shared" ref="L29" si="7">SUM(L32,L36,L41,L45,L55)</f>
        <v>0</v>
      </c>
      <c r="M29" s="33">
        <f t="shared" ref="M29:AK29" si="8">SUM(M32,M36,M41,M45,M55)</f>
        <v>0</v>
      </c>
      <c r="N29" s="33">
        <f t="shared" si="8"/>
        <v>0</v>
      </c>
      <c r="O29" s="33">
        <f t="shared" si="8"/>
        <v>0</v>
      </c>
      <c r="P29" s="33">
        <f t="shared" si="8"/>
        <v>0</v>
      </c>
      <c r="Q29" s="33">
        <f t="shared" si="8"/>
        <v>0</v>
      </c>
      <c r="R29" s="33">
        <f t="shared" si="8"/>
        <v>0</v>
      </c>
      <c r="S29" s="33">
        <f t="shared" si="8"/>
        <v>0</v>
      </c>
      <c r="T29" s="33">
        <f t="shared" si="8"/>
        <v>0</v>
      </c>
      <c r="U29" s="33">
        <f t="shared" si="8"/>
        <v>0</v>
      </c>
      <c r="V29" s="33">
        <f t="shared" si="8"/>
        <v>0</v>
      </c>
      <c r="W29" s="33">
        <f t="shared" si="8"/>
        <v>0</v>
      </c>
      <c r="X29" s="33">
        <f t="shared" si="8"/>
        <v>0</v>
      </c>
      <c r="Y29" s="33">
        <f t="shared" si="8"/>
        <v>0</v>
      </c>
      <c r="Z29" s="33">
        <f t="shared" si="8"/>
        <v>0</v>
      </c>
      <c r="AA29" s="33">
        <f t="shared" si="8"/>
        <v>0</v>
      </c>
      <c r="AB29" s="33">
        <f t="shared" si="8"/>
        <v>0</v>
      </c>
      <c r="AC29" s="33">
        <f t="shared" si="8"/>
        <v>0</v>
      </c>
      <c r="AD29" s="33">
        <f t="shared" si="8"/>
        <v>0</v>
      </c>
      <c r="AE29" s="33">
        <f t="shared" si="8"/>
        <v>0</v>
      </c>
      <c r="AF29" s="33">
        <f t="shared" si="8"/>
        <v>544400</v>
      </c>
      <c r="AG29" s="33">
        <f t="shared" si="8"/>
        <v>1010900</v>
      </c>
      <c r="AH29" s="33">
        <f t="shared" si="8"/>
        <v>821610</v>
      </c>
      <c r="AI29" s="33">
        <f t="shared" si="8"/>
        <v>0</v>
      </c>
      <c r="AJ29" s="33">
        <f t="shared" si="8"/>
        <v>0</v>
      </c>
      <c r="AK29" s="33">
        <f t="shared" si="8"/>
        <v>0</v>
      </c>
      <c r="AM29" s="54">
        <f>SUM(G29:AK29)</f>
        <v>2376910</v>
      </c>
      <c r="AN29" s="2134"/>
      <c r="AO29" s="2131"/>
      <c r="AP29" s="2126"/>
      <c r="AQ29" s="2125"/>
      <c r="AR29" s="2125"/>
      <c r="AS29" s="2125"/>
      <c r="AT29" s="2126"/>
      <c r="AU29" s="2"/>
      <c r="AX29" s="2"/>
      <c r="AY29" s="2"/>
      <c r="AZ29" s="2"/>
      <c r="BC29" s="511"/>
      <c r="BD29" s="511"/>
      <c r="BI29" s="141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349</v>
      </c>
      <c r="E30" s="719"/>
      <c r="F30" s="13" t="s">
        <v>14</v>
      </c>
      <c r="G30" s="33"/>
      <c r="H30" s="33"/>
      <c r="I30" s="33"/>
      <c r="J30" s="33"/>
      <c r="K30" s="33"/>
      <c r="L30" s="33">
        <f t="shared" ref="L30" si="9">L25-L29</f>
        <v>0</v>
      </c>
      <c r="M30" s="33">
        <f t="shared" ref="M30:AK30" si="10">M25-M29</f>
        <v>0</v>
      </c>
      <c r="N30" s="33">
        <f t="shared" si="10"/>
        <v>0</v>
      </c>
      <c r="O30" s="33">
        <f t="shared" si="10"/>
        <v>0</v>
      </c>
      <c r="P30" s="33">
        <f t="shared" si="10"/>
        <v>0</v>
      </c>
      <c r="Q30" s="33">
        <f t="shared" si="10"/>
        <v>0</v>
      </c>
      <c r="R30" s="33">
        <f t="shared" si="10"/>
        <v>0</v>
      </c>
      <c r="S30" s="33">
        <f t="shared" si="10"/>
        <v>0</v>
      </c>
      <c r="T30" s="33">
        <f t="shared" si="10"/>
        <v>0</v>
      </c>
      <c r="U30" s="33">
        <f t="shared" si="10"/>
        <v>0</v>
      </c>
      <c r="V30" s="33">
        <f t="shared" si="10"/>
        <v>0</v>
      </c>
      <c r="W30" s="33">
        <f t="shared" si="10"/>
        <v>0</v>
      </c>
      <c r="X30" s="33">
        <f t="shared" si="10"/>
        <v>0</v>
      </c>
      <c r="Y30" s="33">
        <f t="shared" si="10"/>
        <v>0</v>
      </c>
      <c r="Z30" s="33">
        <f t="shared" si="10"/>
        <v>0</v>
      </c>
      <c r="AA30" s="33">
        <f t="shared" si="10"/>
        <v>0</v>
      </c>
      <c r="AB30" s="33">
        <f t="shared" si="10"/>
        <v>0</v>
      </c>
      <c r="AC30" s="33">
        <f t="shared" si="10"/>
        <v>0</v>
      </c>
      <c r="AD30" s="33">
        <f t="shared" si="10"/>
        <v>0</v>
      </c>
      <c r="AE30" s="33">
        <f t="shared" si="10"/>
        <v>0</v>
      </c>
      <c r="AF30" s="33">
        <f t="shared" si="10"/>
        <v>-544400</v>
      </c>
      <c r="AG30" s="33">
        <f t="shared" si="10"/>
        <v>-1010900</v>
      </c>
      <c r="AH30" s="33">
        <f t="shared" si="10"/>
        <v>-821610</v>
      </c>
      <c r="AI30" s="33">
        <f t="shared" si="10"/>
        <v>0</v>
      </c>
      <c r="AJ30" s="33">
        <f t="shared" si="10"/>
        <v>0</v>
      </c>
      <c r="AK30" s="33">
        <f t="shared" si="10"/>
        <v>0</v>
      </c>
      <c r="AM30" s="54">
        <f>SUM(G30:AK30)</f>
        <v>-2376910</v>
      </c>
      <c r="AN30" s="2"/>
      <c r="AO30" s="2125"/>
      <c r="AP30" s="2125"/>
      <c r="AQ30" s="2125"/>
      <c r="AR30" s="2125"/>
      <c r="AS30" s="2125"/>
      <c r="AT30" s="2125"/>
      <c r="AU30" s="2"/>
      <c r="AX30" s="2"/>
      <c r="AY30" s="2"/>
      <c r="AZ30" s="2"/>
      <c r="BC30" s="511"/>
      <c r="BD30" s="511"/>
      <c r="BI30" s="141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27" t="s">
        <v>76</v>
      </c>
      <c r="E31" s="228"/>
      <c r="F31" s="229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N31" s="2"/>
      <c r="AO31" s="2131"/>
      <c r="AP31" s="2126"/>
      <c r="AQ31" s="2125"/>
      <c r="AR31" s="2125"/>
      <c r="AS31" s="2125"/>
      <c r="AT31" s="2132"/>
      <c r="AU31" s="2"/>
      <c r="AX31" s="2"/>
      <c r="AY31" s="2"/>
      <c r="AZ31" s="2"/>
    </row>
    <row r="32" spans="3:61 15030:15074" s="1" customFormat="1" x14ac:dyDescent="0.25">
      <c r="C32" s="15"/>
      <c r="D32" s="14" t="s">
        <v>75</v>
      </c>
      <c r="E32" s="251"/>
      <c r="F32" s="20" t="s">
        <v>14</v>
      </c>
      <c r="G32" s="33"/>
      <c r="H32" s="33"/>
      <c r="I32" s="33"/>
      <c r="J32" s="33"/>
      <c r="K32" s="33"/>
      <c r="L32" s="33">
        <f t="shared" ref="L32" si="11">L33+L34</f>
        <v>0</v>
      </c>
      <c r="M32" s="33">
        <f t="shared" ref="M32:AK32" si="12">M33+M34</f>
        <v>0</v>
      </c>
      <c r="N32" s="33">
        <f t="shared" si="12"/>
        <v>0</v>
      </c>
      <c r="O32" s="33">
        <f t="shared" si="12"/>
        <v>0</v>
      </c>
      <c r="P32" s="33">
        <f t="shared" si="12"/>
        <v>0</v>
      </c>
      <c r="Q32" s="33">
        <f t="shared" si="12"/>
        <v>0</v>
      </c>
      <c r="R32" s="33">
        <f t="shared" si="12"/>
        <v>0</v>
      </c>
      <c r="S32" s="33">
        <f t="shared" si="12"/>
        <v>0</v>
      </c>
      <c r="T32" s="33">
        <f t="shared" si="12"/>
        <v>0</v>
      </c>
      <c r="U32" s="33">
        <f t="shared" si="12"/>
        <v>0</v>
      </c>
      <c r="V32" s="33">
        <f t="shared" si="12"/>
        <v>0</v>
      </c>
      <c r="W32" s="33">
        <f t="shared" si="12"/>
        <v>0</v>
      </c>
      <c r="X32" s="33">
        <f t="shared" si="12"/>
        <v>0</v>
      </c>
      <c r="Y32" s="33">
        <f t="shared" si="12"/>
        <v>0</v>
      </c>
      <c r="Z32" s="33">
        <f t="shared" si="12"/>
        <v>0</v>
      </c>
      <c r="AA32" s="33">
        <f t="shared" si="12"/>
        <v>0</v>
      </c>
      <c r="AB32" s="33">
        <f t="shared" si="12"/>
        <v>0</v>
      </c>
      <c r="AC32" s="33">
        <f t="shared" si="12"/>
        <v>0</v>
      </c>
      <c r="AD32" s="33">
        <f t="shared" si="12"/>
        <v>0</v>
      </c>
      <c r="AE32" s="33">
        <f t="shared" si="12"/>
        <v>0</v>
      </c>
      <c r="AF32" s="33">
        <f t="shared" si="12"/>
        <v>164064</v>
      </c>
      <c r="AG32" s="33">
        <f t="shared" si="12"/>
        <v>0</v>
      </c>
      <c r="AH32" s="33">
        <f t="shared" si="12"/>
        <v>57243</v>
      </c>
      <c r="AI32" s="33">
        <f t="shared" si="12"/>
        <v>0</v>
      </c>
      <c r="AJ32" s="33">
        <f t="shared" si="12"/>
        <v>0</v>
      </c>
      <c r="AK32" s="33">
        <f t="shared" si="12"/>
        <v>0</v>
      </c>
      <c r="AM32" s="54">
        <f>SUM(G32:AK32)</f>
        <v>221307</v>
      </c>
      <c r="AN32" s="2"/>
      <c r="AO32" s="2126"/>
      <c r="AP32" s="2126"/>
      <c r="AQ32" s="2125"/>
      <c r="AR32" s="2125"/>
      <c r="AS32" s="2125"/>
      <c r="AT32" s="2126"/>
      <c r="AU32" s="2"/>
      <c r="AV32" s="2"/>
      <c r="AW32" s="2"/>
      <c r="AX32" s="2"/>
      <c r="AY32" s="2"/>
      <c r="AZ32" s="2"/>
      <c r="BC32" s="511"/>
      <c r="BD32" s="511"/>
      <c r="BI32" s="141"/>
    </row>
    <row r="33" spans="1:15026" x14ac:dyDescent="0.25">
      <c r="C33" s="15"/>
      <c r="D33" s="64" t="s">
        <v>74</v>
      </c>
      <c r="E33" s="251">
        <v>25000000</v>
      </c>
      <c r="F33" s="65" t="s">
        <v>14</v>
      </c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>
        <v>135000</v>
      </c>
      <c r="AG33" s="266"/>
      <c r="AH33" s="266">
        <v>47200</v>
      </c>
      <c r="AI33" s="266"/>
      <c r="AJ33" s="266"/>
      <c r="AK33" s="266"/>
      <c r="AM33" s="57">
        <f>SUM(G33:AK33)</f>
        <v>182200</v>
      </c>
      <c r="AO33" s="2126"/>
      <c r="AP33" s="2126"/>
      <c r="AQ33" s="2125"/>
      <c r="AR33" s="2125"/>
      <c r="AS33" s="2125"/>
      <c r="AT33" s="2126"/>
      <c r="AU33" s="2"/>
      <c r="AV33" s="2"/>
      <c r="AW33" s="2"/>
      <c r="AX33" s="2"/>
      <c r="AY33" s="2"/>
      <c r="AZ33" s="2117"/>
    </row>
    <row r="34" spans="1:15026" x14ac:dyDescent="0.25">
      <c r="C34" s="15"/>
      <c r="D34" s="64" t="s">
        <v>73</v>
      </c>
      <c r="E34" s="251">
        <v>639000</v>
      </c>
      <c r="F34" s="65" t="s">
        <v>14</v>
      </c>
      <c r="G34" s="267"/>
      <c r="H34" s="267"/>
      <c r="I34" s="267"/>
      <c r="J34" s="267"/>
      <c r="K34" s="266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6"/>
      <c r="AA34" s="266"/>
      <c r="AB34" s="266"/>
      <c r="AC34" s="266"/>
      <c r="AD34" s="266"/>
      <c r="AE34" s="267"/>
      <c r="AF34" s="266">
        <v>29064</v>
      </c>
      <c r="AG34" s="266"/>
      <c r="AH34" s="266">
        <v>10043</v>
      </c>
      <c r="AI34" s="266"/>
      <c r="AJ34" s="266"/>
      <c r="AK34" s="266"/>
      <c r="AM34" s="57">
        <f>SUM(G34:AK34)</f>
        <v>39107</v>
      </c>
      <c r="AN34" s="3"/>
      <c r="AO34" s="2126"/>
      <c r="AP34" s="2135"/>
      <c r="AQ34" s="2125"/>
      <c r="AR34" s="2125"/>
      <c r="AS34" s="2125"/>
      <c r="AT34" s="2126"/>
      <c r="AU34" s="2"/>
      <c r="AV34" s="2"/>
      <c r="AW34" s="2"/>
      <c r="AX34" s="2"/>
      <c r="AY34" s="2"/>
      <c r="AZ34" s="2121"/>
      <c r="BA34" s="3"/>
      <c r="BB34" s="3"/>
    </row>
    <row r="35" spans="1:15026" s="70" customFormat="1" ht="15" hidden="1" customHeight="1" x14ac:dyDescent="0.25">
      <c r="A35" s="62"/>
      <c r="B35" s="62"/>
      <c r="C35" s="68"/>
      <c r="D35" s="227" t="s">
        <v>103</v>
      </c>
      <c r="E35" s="301"/>
      <c r="F35" s="92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1928"/>
      <c r="T35" s="268"/>
      <c r="U35" s="268"/>
      <c r="V35" s="268"/>
      <c r="W35" s="268"/>
      <c r="X35" s="268"/>
      <c r="Y35" s="268"/>
      <c r="Z35" s="267">
        <v>0</v>
      </c>
      <c r="AA35" s="268"/>
      <c r="AB35" s="268"/>
      <c r="AC35" s="268"/>
      <c r="AD35" s="268"/>
      <c r="AE35" s="268"/>
      <c r="AF35" s="268"/>
      <c r="AG35" s="268"/>
      <c r="AH35" s="268"/>
      <c r="AI35" s="2052"/>
      <c r="AJ35" s="2052"/>
      <c r="AK35" s="2052"/>
      <c r="AL35" s="62"/>
      <c r="AM35" s="66" t="s">
        <v>105</v>
      </c>
      <c r="AN35" s="778"/>
      <c r="AO35" s="2125"/>
      <c r="AP35" s="2125"/>
      <c r="AQ35" s="2125"/>
      <c r="AR35" s="2125"/>
      <c r="AS35" s="2125"/>
      <c r="AT35" s="2125"/>
      <c r="AU35" s="2"/>
      <c r="AV35" s="2"/>
      <c r="AW35" s="2"/>
      <c r="AX35" s="2"/>
      <c r="AY35" s="2"/>
      <c r="AZ35" s="2"/>
      <c r="BA35" s="1"/>
      <c r="BB35" s="1"/>
      <c r="BC35" s="511"/>
      <c r="BD35" s="2118"/>
      <c r="BE35" s="62"/>
      <c r="BF35" s="62"/>
      <c r="BG35" s="62"/>
      <c r="BH35" s="62"/>
      <c r="BI35" s="14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1"/>
      <c r="F36" s="20" t="s">
        <v>14</v>
      </c>
      <c r="G36" s="33"/>
      <c r="H36" s="33"/>
      <c r="I36" s="33"/>
      <c r="J36" s="33"/>
      <c r="K36" s="33"/>
      <c r="L36" s="33">
        <f>L37+L38</f>
        <v>0</v>
      </c>
      <c r="M36" s="33">
        <v>0</v>
      </c>
      <c r="N36" s="33"/>
      <c r="O36" s="33"/>
      <c r="P36" s="33"/>
      <c r="Q36" s="33"/>
      <c r="R36" s="33">
        <f t="shared" ref="R36:AH36" si="13">R37+R38</f>
        <v>0</v>
      </c>
      <c r="S36" s="1922">
        <v>0</v>
      </c>
      <c r="T36" s="33">
        <f t="shared" si="13"/>
        <v>0</v>
      </c>
      <c r="U36" s="33">
        <f t="shared" si="13"/>
        <v>0</v>
      </c>
      <c r="V36" s="33">
        <f t="shared" si="13"/>
        <v>0</v>
      </c>
      <c r="W36" s="33">
        <v>0</v>
      </c>
      <c r="X36" s="33">
        <v>0</v>
      </c>
      <c r="Y36" s="33"/>
      <c r="Z36" s="33"/>
      <c r="AA36" s="33">
        <f t="shared" si="13"/>
        <v>0</v>
      </c>
      <c r="AB36" s="33">
        <f t="shared" si="13"/>
        <v>0</v>
      </c>
      <c r="AC36" s="33">
        <v>0</v>
      </c>
      <c r="AD36" s="33">
        <f t="shared" si="13"/>
        <v>0</v>
      </c>
      <c r="AE36" s="33">
        <f t="shared" si="13"/>
        <v>0</v>
      </c>
      <c r="AF36" s="33">
        <f t="shared" si="13"/>
        <v>0</v>
      </c>
      <c r="AG36" s="33">
        <f t="shared" si="13"/>
        <v>0</v>
      </c>
      <c r="AH36" s="33">
        <f t="shared" si="13"/>
        <v>0</v>
      </c>
      <c r="AI36" s="2053"/>
      <c r="AJ36" s="2053"/>
      <c r="AK36" s="2053"/>
      <c r="AM36" s="54">
        <f>SUM(G36:AK36)</f>
        <v>0</v>
      </c>
      <c r="AN36" s="2"/>
      <c r="AO36" s="2125"/>
      <c r="AP36" s="2125"/>
      <c r="AQ36" s="2125"/>
      <c r="AR36" s="2125"/>
      <c r="AS36" s="2125"/>
      <c r="AT36" s="2125"/>
      <c r="AU36" s="2"/>
      <c r="AV36" s="2"/>
      <c r="AW36" s="2"/>
      <c r="AX36" s="2"/>
      <c r="AY36" s="2"/>
      <c r="AZ36" s="2"/>
    </row>
    <row r="37" spans="1:15026" ht="15" hidden="1" customHeight="1" x14ac:dyDescent="0.25">
      <c r="C37" s="15"/>
      <c r="D37" s="64" t="s">
        <v>104</v>
      </c>
      <c r="E37" s="251"/>
      <c r="F37" s="65" t="s">
        <v>14</v>
      </c>
      <c r="G37" s="266"/>
      <c r="H37" s="266"/>
      <c r="I37" s="266"/>
      <c r="J37" s="266"/>
      <c r="K37" s="266"/>
      <c r="L37" s="266">
        <v>0</v>
      </c>
      <c r="M37" s="266">
        <v>0</v>
      </c>
      <c r="N37" s="266"/>
      <c r="O37" s="266"/>
      <c r="P37" s="266"/>
      <c r="Q37" s="266"/>
      <c r="R37" s="266">
        <v>0</v>
      </c>
      <c r="S37" s="1926">
        <v>0</v>
      </c>
      <c r="T37" s="266">
        <v>0</v>
      </c>
      <c r="U37" s="266">
        <v>0</v>
      </c>
      <c r="V37" s="266">
        <v>0</v>
      </c>
      <c r="W37" s="266">
        <v>0</v>
      </c>
      <c r="X37" s="266">
        <v>0</v>
      </c>
      <c r="Y37" s="266"/>
      <c r="Z37" s="266"/>
      <c r="AA37" s="266">
        <v>0</v>
      </c>
      <c r="AB37" s="266">
        <v>0</v>
      </c>
      <c r="AC37" s="266">
        <v>0</v>
      </c>
      <c r="AD37" s="266">
        <v>0</v>
      </c>
      <c r="AE37" s="266">
        <v>0</v>
      </c>
      <c r="AF37" s="266">
        <v>0</v>
      </c>
      <c r="AG37" s="266">
        <v>0</v>
      </c>
      <c r="AH37" s="266"/>
      <c r="AI37" s="2050"/>
      <c r="AJ37" s="2050"/>
      <c r="AK37" s="2050"/>
      <c r="AM37" s="57">
        <f>SUM(G37:AK37)</f>
        <v>0</v>
      </c>
      <c r="AN37" s="2"/>
      <c r="AO37" s="2125"/>
      <c r="AP37" s="2125"/>
      <c r="AQ37" s="2125"/>
      <c r="AR37" s="2125"/>
      <c r="AS37" s="2125"/>
      <c r="AT37" s="2125"/>
      <c r="AU37" s="2"/>
      <c r="AV37" s="2"/>
      <c r="AW37" s="2"/>
      <c r="AX37" s="2"/>
      <c r="AY37" s="2"/>
      <c r="AZ37" s="2"/>
    </row>
    <row r="38" spans="1:15026" ht="15" hidden="1" customHeight="1" x14ac:dyDescent="0.25">
      <c r="C38" s="15"/>
      <c r="D38" s="64" t="s">
        <v>73</v>
      </c>
      <c r="E38" s="251"/>
      <c r="F38" s="65" t="s">
        <v>14</v>
      </c>
      <c r="G38" s="266"/>
      <c r="H38" s="266"/>
      <c r="I38" s="266"/>
      <c r="J38" s="266"/>
      <c r="K38" s="266"/>
      <c r="L38" s="266">
        <v>0</v>
      </c>
      <c r="M38" s="266">
        <v>0</v>
      </c>
      <c r="N38" s="266"/>
      <c r="O38" s="266"/>
      <c r="P38" s="266"/>
      <c r="Q38" s="266"/>
      <c r="R38" s="266">
        <v>0</v>
      </c>
      <c r="S38" s="1926">
        <v>0</v>
      </c>
      <c r="T38" s="266">
        <v>0</v>
      </c>
      <c r="U38" s="266">
        <v>0</v>
      </c>
      <c r="V38" s="266">
        <v>0</v>
      </c>
      <c r="W38" s="266">
        <v>0</v>
      </c>
      <c r="X38" s="266">
        <v>0</v>
      </c>
      <c r="Y38" s="266"/>
      <c r="Z38" s="266"/>
      <c r="AA38" s="266">
        <v>0</v>
      </c>
      <c r="AB38" s="266">
        <v>0</v>
      </c>
      <c r="AC38" s="266">
        <v>0</v>
      </c>
      <c r="AD38" s="266">
        <v>0</v>
      </c>
      <c r="AE38" s="266">
        <v>0</v>
      </c>
      <c r="AF38" s="266">
        <v>0</v>
      </c>
      <c r="AG38" s="266">
        <v>0</v>
      </c>
      <c r="AH38" s="266"/>
      <c r="AI38" s="2050"/>
      <c r="AJ38" s="2050"/>
      <c r="AK38" s="2050"/>
      <c r="AM38" s="57">
        <f>SUM(G38:AK38)</f>
        <v>0</v>
      </c>
      <c r="AN38" s="2"/>
      <c r="AO38" s="2125"/>
      <c r="AP38" s="2125"/>
      <c r="AQ38" s="2125"/>
      <c r="AR38" s="2125"/>
      <c r="AS38" s="2125"/>
      <c r="AT38" s="2125"/>
      <c r="AU38" s="2"/>
      <c r="AV38" s="2"/>
      <c r="AW38" s="2"/>
      <c r="AX38" s="2"/>
      <c r="AY38" s="2"/>
      <c r="AZ38" s="2"/>
    </row>
    <row r="39" spans="1:15026" ht="15" hidden="1" customHeight="1" x14ac:dyDescent="0.25">
      <c r="C39" s="15"/>
      <c r="D39" s="227" t="s">
        <v>106</v>
      </c>
      <c r="E39" s="230"/>
      <c r="F39" s="229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25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054"/>
      <c r="AJ39" s="2054"/>
      <c r="AK39" s="2054"/>
      <c r="AM39" s="66" t="s">
        <v>107</v>
      </c>
      <c r="AN39" s="2"/>
      <c r="AO39" s="2125"/>
      <c r="AP39" s="2125"/>
      <c r="AQ39" s="2125"/>
      <c r="AR39" s="2125"/>
      <c r="AS39" s="2125"/>
      <c r="AT39" s="2125"/>
      <c r="AU39" s="2"/>
      <c r="AV39" s="2"/>
      <c r="AW39" s="2"/>
      <c r="AX39" s="2"/>
      <c r="AY39" s="2"/>
      <c r="AZ39" s="2"/>
    </row>
    <row r="40" spans="1:15026" s="73" customFormat="1" ht="15" hidden="1" customHeight="1" x14ac:dyDescent="0.25">
      <c r="A40" s="16"/>
      <c r="B40" s="16"/>
      <c r="C40" s="17"/>
      <c r="D40" s="11" t="s">
        <v>71</v>
      </c>
      <c r="E40" s="252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2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053"/>
      <c r="AJ40" s="2053"/>
      <c r="AK40" s="2053"/>
      <c r="AL40" s="16"/>
      <c r="AM40" s="54">
        <f>SUM(G40:AK40)</f>
        <v>0</v>
      </c>
      <c r="AN40" s="2136"/>
      <c r="AO40" s="2137"/>
      <c r="AP40" s="2137"/>
      <c r="AQ40" s="2137"/>
      <c r="AR40" s="2137"/>
      <c r="AS40" s="2137"/>
      <c r="AT40" s="2137"/>
      <c r="AU40" s="2"/>
      <c r="AV40" s="2"/>
      <c r="AW40" s="2"/>
      <c r="AX40" s="2"/>
      <c r="AY40" s="2"/>
      <c r="AZ40" s="2"/>
      <c r="BA40" s="1"/>
      <c r="BB40" s="1"/>
      <c r="BC40" s="511"/>
      <c r="BD40" s="511"/>
      <c r="BE40" s="16"/>
      <c r="BF40" s="16"/>
      <c r="BG40" s="16"/>
      <c r="BH40" s="16"/>
      <c r="BI40" s="143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1"/>
      <c r="F41" s="20" t="s">
        <v>14</v>
      </c>
      <c r="G41" s="33"/>
      <c r="H41" s="33"/>
      <c r="I41" s="33"/>
      <c r="J41" s="33"/>
      <c r="K41" s="33"/>
      <c r="L41" s="33">
        <f>L42+L43</f>
        <v>0</v>
      </c>
      <c r="M41" s="33">
        <v>0</v>
      </c>
      <c r="N41" s="33"/>
      <c r="O41" s="33"/>
      <c r="P41" s="33"/>
      <c r="Q41" s="33"/>
      <c r="R41" s="33">
        <f t="shared" ref="R41:AH41" si="14">R42+R43</f>
        <v>0</v>
      </c>
      <c r="S41" s="1922">
        <v>0</v>
      </c>
      <c r="T41" s="33">
        <f t="shared" si="14"/>
        <v>0</v>
      </c>
      <c r="U41" s="33">
        <f t="shared" si="14"/>
        <v>0</v>
      </c>
      <c r="V41" s="33">
        <f t="shared" si="14"/>
        <v>0</v>
      </c>
      <c r="W41" s="33">
        <v>0</v>
      </c>
      <c r="X41" s="33">
        <v>0</v>
      </c>
      <c r="Y41" s="33"/>
      <c r="Z41" s="33"/>
      <c r="AA41" s="33">
        <f t="shared" si="14"/>
        <v>0</v>
      </c>
      <c r="AB41" s="33">
        <f t="shared" si="14"/>
        <v>0</v>
      </c>
      <c r="AC41" s="33">
        <v>0</v>
      </c>
      <c r="AD41" s="33">
        <f t="shared" si="14"/>
        <v>0</v>
      </c>
      <c r="AE41" s="33">
        <f t="shared" si="14"/>
        <v>0</v>
      </c>
      <c r="AF41" s="33">
        <f t="shared" si="14"/>
        <v>0</v>
      </c>
      <c r="AG41" s="33">
        <f t="shared" si="14"/>
        <v>0</v>
      </c>
      <c r="AH41" s="33">
        <f t="shared" si="14"/>
        <v>0</v>
      </c>
      <c r="AI41" s="2053"/>
      <c r="AJ41" s="2053"/>
      <c r="AK41" s="2053"/>
      <c r="AM41" s="54">
        <f>SUM(G41:AK41)</f>
        <v>0</v>
      </c>
      <c r="AN41" s="2"/>
      <c r="AO41" s="2125"/>
      <c r="AP41" s="2125"/>
      <c r="AQ41" s="2125"/>
      <c r="AR41" s="2125"/>
      <c r="AS41" s="2125"/>
      <c r="AT41" s="2125"/>
      <c r="AU41" s="2"/>
      <c r="AV41" s="2"/>
      <c r="AW41" s="2"/>
      <c r="AX41" s="2"/>
      <c r="AY41" s="2"/>
      <c r="AZ41" s="2"/>
      <c r="BC41" s="511"/>
      <c r="BD41" s="511"/>
      <c r="BI41" s="141"/>
    </row>
    <row r="42" spans="1:15026" s="1" customFormat="1" ht="15" hidden="1" customHeight="1" x14ac:dyDescent="0.25">
      <c r="C42" s="15"/>
      <c r="D42" s="64" t="s">
        <v>108</v>
      </c>
      <c r="E42" s="251"/>
      <c r="F42" s="65" t="s">
        <v>14</v>
      </c>
      <c r="G42" s="266"/>
      <c r="H42" s="266"/>
      <c r="I42" s="266"/>
      <c r="J42" s="266"/>
      <c r="K42" s="266"/>
      <c r="L42" s="266">
        <v>0</v>
      </c>
      <c r="M42" s="266">
        <v>0</v>
      </c>
      <c r="N42" s="266"/>
      <c r="O42" s="266"/>
      <c r="P42" s="266"/>
      <c r="Q42" s="266"/>
      <c r="R42" s="266">
        <v>0</v>
      </c>
      <c r="S42" s="1926">
        <v>0</v>
      </c>
      <c r="T42" s="266">
        <v>0</v>
      </c>
      <c r="U42" s="266">
        <v>0</v>
      </c>
      <c r="V42" s="266">
        <v>0</v>
      </c>
      <c r="W42" s="266">
        <v>0</v>
      </c>
      <c r="X42" s="266">
        <v>0</v>
      </c>
      <c r="Y42" s="266"/>
      <c r="Z42" s="266"/>
      <c r="AA42" s="266">
        <v>0</v>
      </c>
      <c r="AB42" s="266">
        <v>0</v>
      </c>
      <c r="AC42" s="266">
        <v>0</v>
      </c>
      <c r="AD42" s="266">
        <v>0</v>
      </c>
      <c r="AE42" s="266">
        <v>0</v>
      </c>
      <c r="AF42" s="266">
        <v>0</v>
      </c>
      <c r="AG42" s="266">
        <v>0</v>
      </c>
      <c r="AH42" s="266"/>
      <c r="AI42" s="2050"/>
      <c r="AJ42" s="2050"/>
      <c r="AK42" s="2050"/>
      <c r="AM42" s="57">
        <f>SUM(G42:AK42)</f>
        <v>0</v>
      </c>
      <c r="AN42" s="2"/>
      <c r="AO42" s="2125"/>
      <c r="AP42" s="2125"/>
      <c r="AQ42" s="2125"/>
      <c r="AR42" s="2125"/>
      <c r="AS42" s="2125"/>
      <c r="AT42" s="2125"/>
      <c r="AU42" s="2"/>
      <c r="AV42" s="2"/>
      <c r="AW42" s="2"/>
      <c r="AX42" s="2"/>
      <c r="AY42" s="2"/>
      <c r="AZ42" s="2"/>
      <c r="BC42" s="511"/>
      <c r="BD42" s="511"/>
      <c r="BI42" s="141"/>
    </row>
    <row r="43" spans="1:15026" s="1" customFormat="1" ht="15" hidden="1" customHeight="1" x14ac:dyDescent="0.25">
      <c r="C43" s="15"/>
      <c r="D43" s="55" t="s">
        <v>73</v>
      </c>
      <c r="E43" s="251"/>
      <c r="F43" s="65" t="s">
        <v>14</v>
      </c>
      <c r="G43" s="267"/>
      <c r="H43" s="267"/>
      <c r="I43" s="267"/>
      <c r="J43" s="267"/>
      <c r="K43" s="267"/>
      <c r="L43" s="267">
        <v>0</v>
      </c>
      <c r="M43" s="267">
        <v>0</v>
      </c>
      <c r="N43" s="267"/>
      <c r="O43" s="267"/>
      <c r="P43" s="267"/>
      <c r="Q43" s="267"/>
      <c r="R43" s="267">
        <v>0</v>
      </c>
      <c r="S43" s="1927">
        <v>0</v>
      </c>
      <c r="T43" s="267">
        <v>0</v>
      </c>
      <c r="U43" s="267">
        <v>0</v>
      </c>
      <c r="V43" s="267">
        <v>0</v>
      </c>
      <c r="W43" s="267">
        <v>0</v>
      </c>
      <c r="X43" s="267">
        <v>0</v>
      </c>
      <c r="Y43" s="267"/>
      <c r="Z43" s="267"/>
      <c r="AA43" s="267">
        <v>0</v>
      </c>
      <c r="AB43" s="267">
        <v>0</v>
      </c>
      <c r="AC43" s="267">
        <v>0</v>
      </c>
      <c r="AD43" s="267">
        <v>0</v>
      </c>
      <c r="AE43" s="267">
        <v>0</v>
      </c>
      <c r="AF43" s="267">
        <v>0</v>
      </c>
      <c r="AG43" s="267">
        <v>0</v>
      </c>
      <c r="AH43" s="267"/>
      <c r="AI43" s="2051"/>
      <c r="AJ43" s="2051"/>
      <c r="AK43" s="2051"/>
      <c r="AM43" s="57">
        <f>SUM(G43:AK43)</f>
        <v>0</v>
      </c>
      <c r="AN43" s="2"/>
      <c r="AO43" s="2125"/>
      <c r="AP43" s="2125"/>
      <c r="AQ43" s="2125"/>
      <c r="AR43" s="2125"/>
      <c r="AS43" s="2125"/>
      <c r="AT43" s="2125"/>
      <c r="AU43" s="2"/>
      <c r="AV43" s="2"/>
      <c r="AW43" s="2"/>
      <c r="AX43" s="2"/>
      <c r="AY43" s="2"/>
      <c r="AZ43" s="2"/>
      <c r="BC43" s="511"/>
      <c r="BD43" s="511"/>
      <c r="BI43" s="141"/>
    </row>
    <row r="44" spans="1:15026" s="70" customFormat="1" x14ac:dyDescent="0.25">
      <c r="A44" s="62"/>
      <c r="B44" s="62"/>
      <c r="C44" s="68"/>
      <c r="D44" s="227" t="s">
        <v>109</v>
      </c>
      <c r="E44" s="301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25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054"/>
      <c r="AJ44" s="2054"/>
      <c r="AK44" s="2054"/>
      <c r="AL44" s="62"/>
      <c r="AM44" s="66" t="s">
        <v>110</v>
      </c>
      <c r="AN44" s="2138"/>
      <c r="AO44" s="2125"/>
      <c r="AP44" s="2125"/>
      <c r="AQ44" s="2125"/>
      <c r="AR44" s="2125"/>
      <c r="AS44" s="2125"/>
      <c r="AT44" s="2125"/>
      <c r="AU44" s="2"/>
      <c r="AV44" s="2"/>
      <c r="AW44" s="2"/>
      <c r="AX44" s="2"/>
      <c r="AY44" s="2"/>
      <c r="AZ44" s="27"/>
      <c r="BA44" s="3"/>
      <c r="BB44" s="1"/>
      <c r="BC44" s="511"/>
      <c r="BD44" s="2118"/>
      <c r="BE44" s="62"/>
      <c r="BF44" s="62"/>
      <c r="BG44" s="62"/>
      <c r="BH44" s="62"/>
      <c r="BI44" s="14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6">
        <v>17143</v>
      </c>
      <c r="F45" s="20" t="s">
        <v>14</v>
      </c>
      <c r="G45" s="33"/>
      <c r="H45" s="33"/>
      <c r="I45" s="33"/>
      <c r="J45" s="33"/>
      <c r="K45" s="33"/>
      <c r="L45" s="33">
        <f t="shared" ref="L45" si="15">L46+L47</f>
        <v>0</v>
      </c>
      <c r="M45" s="33">
        <f t="shared" ref="M45:AK45" si="16">M46+M47</f>
        <v>0</v>
      </c>
      <c r="N45" s="33">
        <f t="shared" si="16"/>
        <v>0</v>
      </c>
      <c r="O45" s="33">
        <f t="shared" si="16"/>
        <v>0</v>
      </c>
      <c r="P45" s="33">
        <f t="shared" si="16"/>
        <v>0</v>
      </c>
      <c r="Q45" s="33">
        <f t="shared" si="16"/>
        <v>0</v>
      </c>
      <c r="R45" s="33">
        <f t="shared" si="16"/>
        <v>0</v>
      </c>
      <c r="S45" s="33">
        <f t="shared" si="16"/>
        <v>0</v>
      </c>
      <c r="T45" s="33">
        <f t="shared" si="16"/>
        <v>0</v>
      </c>
      <c r="U45" s="33">
        <f t="shared" si="16"/>
        <v>0</v>
      </c>
      <c r="V45" s="33">
        <f t="shared" si="16"/>
        <v>0</v>
      </c>
      <c r="W45" s="33">
        <f t="shared" si="16"/>
        <v>0</v>
      </c>
      <c r="X45" s="33">
        <f t="shared" si="16"/>
        <v>0</v>
      </c>
      <c r="Y45" s="33">
        <f t="shared" si="16"/>
        <v>0</v>
      </c>
      <c r="Z45" s="33">
        <f t="shared" si="16"/>
        <v>0</v>
      </c>
      <c r="AA45" s="33">
        <f t="shared" si="16"/>
        <v>0</v>
      </c>
      <c r="AB45" s="33">
        <f t="shared" si="16"/>
        <v>0</v>
      </c>
      <c r="AC45" s="33">
        <f t="shared" si="16"/>
        <v>0</v>
      </c>
      <c r="AD45" s="33">
        <f t="shared" si="16"/>
        <v>0</v>
      </c>
      <c r="AE45" s="33">
        <f t="shared" si="16"/>
        <v>0</v>
      </c>
      <c r="AF45" s="33">
        <f t="shared" si="16"/>
        <v>380336</v>
      </c>
      <c r="AG45" s="33">
        <f t="shared" si="16"/>
        <v>1010900</v>
      </c>
      <c r="AH45" s="33">
        <f t="shared" si="16"/>
        <v>764367</v>
      </c>
      <c r="AI45" s="33">
        <f t="shared" si="16"/>
        <v>0</v>
      </c>
      <c r="AJ45" s="33">
        <f t="shared" si="16"/>
        <v>0</v>
      </c>
      <c r="AK45" s="33">
        <f t="shared" si="16"/>
        <v>0</v>
      </c>
      <c r="AM45" s="54">
        <f>SUM(G45:AK45)</f>
        <v>2155603</v>
      </c>
      <c r="AN45" s="27"/>
      <c r="AO45" s="2125"/>
      <c r="AP45" s="2125"/>
      <c r="AQ45" s="2125"/>
      <c r="AR45" s="2125"/>
      <c r="AS45" s="2125"/>
      <c r="AT45" s="2125"/>
      <c r="AU45" s="27"/>
      <c r="AV45" s="2"/>
      <c r="AW45" s="2"/>
      <c r="AX45" s="2"/>
      <c r="AY45" s="2"/>
      <c r="AZ45" s="2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>
        <v>288100</v>
      </c>
      <c r="AG46" s="266">
        <v>772500</v>
      </c>
      <c r="AH46" s="266">
        <v>583900</v>
      </c>
      <c r="AI46" s="266"/>
      <c r="AJ46" s="266"/>
      <c r="AK46" s="266"/>
      <c r="AM46" s="57">
        <f>SUM(G46:AK46)</f>
        <v>1644500</v>
      </c>
      <c r="AN46" s="2"/>
      <c r="AO46" s="2125"/>
      <c r="AP46" s="2126"/>
      <c r="AQ46" s="2125"/>
      <c r="AR46" s="2125"/>
      <c r="AS46" s="2125"/>
      <c r="AT46" s="2125"/>
      <c r="AU46" s="2"/>
      <c r="AV46" s="2"/>
      <c r="AW46" s="2"/>
      <c r="AX46" s="2"/>
      <c r="AY46" s="2"/>
      <c r="AZ46" s="2"/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044"/>
      <c r="T47" s="2044"/>
      <c r="U47" s="2044"/>
      <c r="V47" s="267"/>
      <c r="W47" s="267"/>
      <c r="X47" s="267"/>
      <c r="Y47" s="267"/>
      <c r="Z47" s="267"/>
      <c r="AA47" s="267"/>
      <c r="AB47" s="267"/>
      <c r="AC47" s="267"/>
      <c r="AD47" s="266"/>
      <c r="AE47" s="267"/>
      <c r="AF47" s="267">
        <v>92236</v>
      </c>
      <c r="AG47" s="267">
        <v>238400</v>
      </c>
      <c r="AH47" s="267">
        <v>180467</v>
      </c>
      <c r="AI47" s="267"/>
      <c r="AJ47" s="267"/>
      <c r="AK47" s="267"/>
      <c r="AM47" s="57">
        <f>SUM(G47:AK47)</f>
        <v>511103</v>
      </c>
      <c r="AO47" s="2001"/>
      <c r="AP47" s="2002"/>
      <c r="AQ47" s="2001"/>
      <c r="AR47" s="2001"/>
      <c r="AS47" s="2001"/>
      <c r="AT47" s="2001"/>
      <c r="AU47" s="2"/>
      <c r="AV47" s="2"/>
      <c r="AW47" s="2"/>
      <c r="AX47" s="2"/>
      <c r="AY47" s="2"/>
      <c r="BA47" s="3"/>
    </row>
    <row r="48" spans="1:15026" s="70" customFormat="1" ht="15" hidden="1" customHeight="1" x14ac:dyDescent="0.25">
      <c r="A48" s="62"/>
      <c r="B48" s="62"/>
      <c r="C48" s="68"/>
      <c r="D48" s="227" t="s">
        <v>834</v>
      </c>
      <c r="E48" s="301"/>
      <c r="F48" s="92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192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62"/>
      <c r="AM48" s="66" t="s">
        <v>835</v>
      </c>
      <c r="AN48" s="62"/>
      <c r="AO48" s="2001"/>
      <c r="AP48" s="2001"/>
      <c r="AQ48" s="2001"/>
      <c r="AR48" s="2001"/>
      <c r="AS48" s="2001"/>
      <c r="AT48" s="2001"/>
      <c r="AU48" s="2"/>
      <c r="AV48" s="2"/>
      <c r="AW48" s="2"/>
      <c r="AX48" s="2"/>
      <c r="AY48" s="2"/>
      <c r="AZ48" s="1"/>
      <c r="BA48" s="1"/>
      <c r="BB48" s="1"/>
      <c r="BC48" s="511"/>
      <c r="BD48" s="2118"/>
      <c r="BE48" s="62"/>
      <c r="BF48" s="62"/>
      <c r="BG48" s="62"/>
      <c r="BH48" s="62"/>
      <c r="BI48" s="14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5">
      <c r="A49" s="16"/>
      <c r="B49" s="16"/>
      <c r="C49" s="17"/>
      <c r="D49" s="11" t="s">
        <v>71</v>
      </c>
      <c r="E49" s="252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2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SUM(G49:AK49)</f>
        <v>0</v>
      </c>
      <c r="AN49" s="16"/>
      <c r="AO49" s="2003"/>
      <c r="AP49" s="2003"/>
      <c r="AQ49" s="2003"/>
      <c r="AR49" s="2003"/>
      <c r="AS49" s="2003"/>
      <c r="AT49" s="2003"/>
      <c r="AU49" s="2"/>
      <c r="AV49" s="2"/>
      <c r="AW49" s="2"/>
      <c r="AX49" s="2"/>
      <c r="AY49" s="2"/>
      <c r="AZ49" s="1"/>
      <c r="BA49" s="1"/>
      <c r="BB49" s="1"/>
      <c r="BC49" s="511"/>
      <c r="BD49" s="511"/>
      <c r="BE49" s="16"/>
      <c r="BF49" s="16"/>
      <c r="BG49" s="16"/>
      <c r="BH49" s="16"/>
      <c r="BI49" s="1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6">
        <f>E51+E52</f>
        <v>21429000</v>
      </c>
      <c r="F50" s="20" t="s">
        <v>14</v>
      </c>
      <c r="G50" s="33"/>
      <c r="H50" s="33"/>
      <c r="I50" s="33"/>
      <c r="J50" s="33"/>
      <c r="K50" s="33"/>
      <c r="L50" s="33">
        <f t="shared" ref="L50" si="17">L51+L52</f>
        <v>0</v>
      </c>
      <c r="M50" s="33">
        <v>0</v>
      </c>
      <c r="N50" s="33"/>
      <c r="O50" s="33"/>
      <c r="P50" s="33"/>
      <c r="Q50" s="33"/>
      <c r="R50" s="33">
        <f t="shared" ref="R50:AH50" si="18">R51+R52</f>
        <v>0</v>
      </c>
      <c r="S50" s="1922">
        <v>0</v>
      </c>
      <c r="T50" s="33">
        <f t="shared" si="18"/>
        <v>0</v>
      </c>
      <c r="U50" s="33">
        <f t="shared" si="18"/>
        <v>0</v>
      </c>
      <c r="V50" s="33">
        <f t="shared" si="18"/>
        <v>0</v>
      </c>
      <c r="W50" s="33">
        <v>0</v>
      </c>
      <c r="X50" s="33">
        <v>0</v>
      </c>
      <c r="Y50" s="33">
        <f>Y51+Y52</f>
        <v>0</v>
      </c>
      <c r="Z50" s="33">
        <f>Z51+Z52</f>
        <v>0</v>
      </c>
      <c r="AA50" s="33">
        <f t="shared" si="18"/>
        <v>0</v>
      </c>
      <c r="AB50" s="33">
        <f t="shared" si="18"/>
        <v>0</v>
      </c>
      <c r="AC50" s="33">
        <f>AC51+AC52</f>
        <v>0</v>
      </c>
      <c r="AD50" s="33">
        <f t="shared" si="18"/>
        <v>0</v>
      </c>
      <c r="AE50" s="33">
        <f t="shared" si="18"/>
        <v>0</v>
      </c>
      <c r="AF50" s="33">
        <f t="shared" si="18"/>
        <v>0</v>
      </c>
      <c r="AG50" s="33">
        <f t="shared" si="18"/>
        <v>0</v>
      </c>
      <c r="AH50" s="33">
        <f t="shared" si="18"/>
        <v>0</v>
      </c>
      <c r="AI50" s="33"/>
      <c r="AJ50" s="33"/>
      <c r="AK50" s="33"/>
      <c r="AM50" s="54">
        <f>SUM(G50:AK50)</f>
        <v>0</v>
      </c>
      <c r="AO50" s="2001"/>
      <c r="AP50" s="2001"/>
      <c r="AQ50" s="2001"/>
      <c r="AR50" s="2001"/>
      <c r="AS50" s="2001"/>
      <c r="AT50" s="2001"/>
      <c r="AU50" s="2"/>
      <c r="AV50" s="2"/>
      <c r="AW50" s="2"/>
      <c r="AX50" s="2"/>
      <c r="AY50" s="2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6"/>
      <c r="H51" s="266"/>
      <c r="I51" s="266"/>
      <c r="J51" s="266"/>
      <c r="K51" s="266"/>
      <c r="L51" s="266">
        <v>0</v>
      </c>
      <c r="M51" s="266">
        <v>0</v>
      </c>
      <c r="N51" s="266"/>
      <c r="O51" s="266"/>
      <c r="P51" s="266"/>
      <c r="Q51" s="266"/>
      <c r="R51" s="266">
        <v>0</v>
      </c>
      <c r="S51" s="1926">
        <v>0</v>
      </c>
      <c r="T51" s="266">
        <v>0</v>
      </c>
      <c r="U51" s="266">
        <v>0</v>
      </c>
      <c r="V51" s="266">
        <v>0</v>
      </c>
      <c r="W51" s="266">
        <v>0</v>
      </c>
      <c r="X51" s="266">
        <v>0</v>
      </c>
      <c r="Y51" s="266">
        <v>0</v>
      </c>
      <c r="Z51" s="266">
        <v>0</v>
      </c>
      <c r="AA51" s="266">
        <v>0</v>
      </c>
      <c r="AB51" s="266">
        <v>0</v>
      </c>
      <c r="AC51" s="266">
        <v>0</v>
      </c>
      <c r="AD51" s="266">
        <v>0</v>
      </c>
      <c r="AE51" s="266">
        <v>0</v>
      </c>
      <c r="AF51" s="266">
        <v>0</v>
      </c>
      <c r="AG51" s="266">
        <v>0</v>
      </c>
      <c r="AH51" s="266">
        <v>0</v>
      </c>
      <c r="AI51" s="266"/>
      <c r="AJ51" s="266"/>
      <c r="AK51" s="266"/>
      <c r="AM51" s="57">
        <f>SUM(G51:AK51)</f>
        <v>0</v>
      </c>
      <c r="AO51" s="2001"/>
      <c r="AP51" s="2001"/>
      <c r="AQ51" s="2001"/>
      <c r="AR51" s="2001"/>
      <c r="AS51" s="2001"/>
      <c r="AT51" s="2001"/>
      <c r="AU51" s="2"/>
      <c r="AV51" s="2"/>
      <c r="AW51" s="2"/>
      <c r="AX51" s="2"/>
      <c r="AY51" s="2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6"/>
      <c r="H52" s="266"/>
      <c r="I52" s="266"/>
      <c r="J52" s="266"/>
      <c r="K52" s="266"/>
      <c r="L52" s="266">
        <v>0</v>
      </c>
      <c r="M52" s="266">
        <v>0</v>
      </c>
      <c r="N52" s="266"/>
      <c r="O52" s="266"/>
      <c r="P52" s="266"/>
      <c r="Q52" s="266"/>
      <c r="R52" s="266">
        <v>0</v>
      </c>
      <c r="S52" s="1926">
        <v>0</v>
      </c>
      <c r="T52" s="266">
        <v>0</v>
      </c>
      <c r="U52" s="266">
        <v>0</v>
      </c>
      <c r="V52" s="266">
        <v>0</v>
      </c>
      <c r="W52" s="266">
        <v>0</v>
      </c>
      <c r="X52" s="266">
        <v>0</v>
      </c>
      <c r="Y52" s="266">
        <v>0</v>
      </c>
      <c r="Z52" s="266">
        <v>0</v>
      </c>
      <c r="AA52" s="266">
        <v>0</v>
      </c>
      <c r="AB52" s="266">
        <v>0</v>
      </c>
      <c r="AC52" s="266">
        <v>0</v>
      </c>
      <c r="AD52" s="266">
        <v>0</v>
      </c>
      <c r="AE52" s="266">
        <v>0</v>
      </c>
      <c r="AF52" s="266">
        <v>0</v>
      </c>
      <c r="AG52" s="266">
        <v>0</v>
      </c>
      <c r="AH52" s="266">
        <v>0</v>
      </c>
      <c r="AI52" s="266"/>
      <c r="AJ52" s="266"/>
      <c r="AK52" s="266"/>
      <c r="AM52" s="57">
        <f>SUM(G52:AK52)</f>
        <v>0</v>
      </c>
      <c r="AO52" s="2001"/>
      <c r="AP52" s="2001"/>
      <c r="AQ52" s="2001"/>
      <c r="AR52" s="2001"/>
      <c r="AS52" s="2001"/>
      <c r="AT52" s="2001"/>
      <c r="AU52" s="2"/>
      <c r="AV52" s="2"/>
      <c r="AW52" s="2"/>
      <c r="AX52" s="2"/>
      <c r="AY52" s="2"/>
    </row>
    <row r="53" spans="1:15026" hidden="1" x14ac:dyDescent="0.25">
      <c r="C53" s="15"/>
      <c r="D53" s="227" t="s">
        <v>72</v>
      </c>
      <c r="E53" s="230"/>
      <c r="F53" s="229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25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2001"/>
      <c r="AP53" s="2001"/>
      <c r="AQ53" s="2001"/>
      <c r="AR53" s="2001"/>
      <c r="AS53" s="2001"/>
      <c r="AT53" s="2001"/>
      <c r="AU53" s="2"/>
      <c r="AV53" s="2"/>
      <c r="AW53" s="2"/>
      <c r="AX53" s="2"/>
      <c r="AY53" s="2"/>
    </row>
    <row r="54" spans="1:15026" s="73" customFormat="1" hidden="1" x14ac:dyDescent="0.25">
      <c r="A54" s="16"/>
      <c r="B54" s="16"/>
      <c r="C54" s="17"/>
      <c r="D54" s="11" t="s">
        <v>71</v>
      </c>
      <c r="E54" s="252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2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SUM(G54:AK54)</f>
        <v>0</v>
      </c>
      <c r="AN54" s="16"/>
      <c r="AO54" s="2003"/>
      <c r="AP54" s="2004"/>
      <c r="AQ54" s="2003"/>
      <c r="AR54" s="2003"/>
      <c r="AS54" s="2003"/>
      <c r="AT54" s="2003"/>
      <c r="AU54" s="2"/>
      <c r="AV54" s="2"/>
      <c r="AW54" s="2"/>
      <c r="AX54" s="2"/>
      <c r="AY54" s="2"/>
      <c r="AZ54" s="1"/>
      <c r="BA54" s="1"/>
      <c r="BB54" s="1"/>
      <c r="BC54" s="511"/>
      <c r="BD54" s="511"/>
      <c r="BE54" s="16"/>
      <c r="BF54" s="16"/>
      <c r="BG54" s="16"/>
      <c r="BH54" s="16"/>
      <c r="BI54" s="143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1">
        <f>E56+E57</f>
        <v>1333300</v>
      </c>
      <c r="F55" s="20" t="s">
        <v>14</v>
      </c>
      <c r="G55" s="33"/>
      <c r="H55" s="33"/>
      <c r="I55" s="33"/>
      <c r="J55" s="33"/>
      <c r="K55" s="33"/>
      <c r="L55" s="33">
        <f>L56+L57</f>
        <v>0</v>
      </c>
      <c r="M55" s="33">
        <v>0</v>
      </c>
      <c r="N55" s="33"/>
      <c r="O55" s="33"/>
      <c r="P55" s="33"/>
      <c r="Q55" s="33"/>
      <c r="R55" s="33"/>
      <c r="S55" s="1922">
        <f>S56+S57</f>
        <v>0</v>
      </c>
      <c r="T55" s="33">
        <f t="shared" ref="T55:AH55" si="19">T56+T57</f>
        <v>0</v>
      </c>
      <c r="U55" s="33">
        <f t="shared" si="19"/>
        <v>0</v>
      </c>
      <c r="V55" s="33">
        <f t="shared" si="19"/>
        <v>0</v>
      </c>
      <c r="W55" s="33">
        <v>0</v>
      </c>
      <c r="X55" s="33">
        <v>0</v>
      </c>
      <c r="Y55" s="33">
        <f>Y56+Y57</f>
        <v>0</v>
      </c>
      <c r="Z55" s="33"/>
      <c r="AA55" s="33">
        <f>AA56+AA57</f>
        <v>0</v>
      </c>
      <c r="AB55" s="33">
        <f t="shared" si="19"/>
        <v>0</v>
      </c>
      <c r="AC55" s="33">
        <f>AC56+AC57</f>
        <v>0</v>
      </c>
      <c r="AD55" s="33">
        <f t="shared" si="19"/>
        <v>0</v>
      </c>
      <c r="AE55" s="33">
        <f t="shared" si="19"/>
        <v>0</v>
      </c>
      <c r="AF55" s="33">
        <f t="shared" si="19"/>
        <v>0</v>
      </c>
      <c r="AG55" s="33">
        <f t="shared" si="19"/>
        <v>0</v>
      </c>
      <c r="AH55" s="33">
        <f t="shared" si="19"/>
        <v>0</v>
      </c>
      <c r="AI55" s="33"/>
      <c r="AJ55" s="33"/>
      <c r="AK55" s="33"/>
      <c r="AM55" s="54">
        <f>SUM(G55:AK55)</f>
        <v>0</v>
      </c>
      <c r="AO55" s="2001"/>
      <c r="AP55" s="2001"/>
      <c r="AQ55" s="2001"/>
      <c r="AR55" s="2001"/>
      <c r="AS55" s="2001"/>
      <c r="AT55" s="2001"/>
      <c r="AU55" s="2"/>
      <c r="AV55" s="2"/>
      <c r="AW55" s="2"/>
      <c r="AX55" s="2"/>
      <c r="AY55" s="2"/>
      <c r="BC55" s="511"/>
      <c r="BD55" s="511"/>
      <c r="BI55" s="141"/>
    </row>
    <row r="56" spans="1:15026" s="1" customFormat="1" hidden="1" x14ac:dyDescent="0.25">
      <c r="C56" s="15"/>
      <c r="D56" s="64" t="s">
        <v>68</v>
      </c>
      <c r="E56" s="251">
        <v>1250000</v>
      </c>
      <c r="F56" s="65" t="s">
        <v>14</v>
      </c>
      <c r="G56" s="266"/>
      <c r="H56" s="266"/>
      <c r="I56" s="266"/>
      <c r="J56" s="266"/>
      <c r="K56" s="266"/>
      <c r="L56" s="266">
        <v>0</v>
      </c>
      <c r="M56" s="266">
        <v>0</v>
      </c>
      <c r="N56" s="266"/>
      <c r="O56" s="266"/>
      <c r="P56" s="266"/>
      <c r="Q56" s="266"/>
      <c r="R56" s="266">
        <v>0</v>
      </c>
      <c r="S56" s="1926"/>
      <c r="T56" s="266">
        <v>0</v>
      </c>
      <c r="U56" s="266">
        <v>0</v>
      </c>
      <c r="V56" s="266">
        <v>0</v>
      </c>
      <c r="W56" s="266">
        <v>0</v>
      </c>
      <c r="X56" s="266">
        <v>0</v>
      </c>
      <c r="Y56" s="266">
        <v>0</v>
      </c>
      <c r="Z56" s="266"/>
      <c r="AA56" s="266"/>
      <c r="AB56" s="266">
        <v>0</v>
      </c>
      <c r="AC56" s="266">
        <v>0</v>
      </c>
      <c r="AD56" s="266">
        <v>0</v>
      </c>
      <c r="AE56" s="266">
        <v>0</v>
      </c>
      <c r="AF56" s="266">
        <v>0</v>
      </c>
      <c r="AG56" s="266"/>
      <c r="AH56" s="266">
        <v>0</v>
      </c>
      <c r="AI56" s="266"/>
      <c r="AJ56" s="266"/>
      <c r="AK56" s="266"/>
      <c r="AM56" s="57">
        <f>SUM(G56:AK56)</f>
        <v>0</v>
      </c>
      <c r="AO56" s="2001"/>
      <c r="AP56" s="2002"/>
      <c r="AQ56" s="2001"/>
      <c r="AR56" s="2001"/>
      <c r="AS56" s="2001"/>
      <c r="AT56" s="2001"/>
      <c r="AU56" s="2"/>
      <c r="AV56" s="2"/>
      <c r="AW56" s="2"/>
      <c r="AX56" s="2"/>
      <c r="AY56" s="2"/>
      <c r="BC56" s="511"/>
      <c r="BD56" s="511"/>
      <c r="BI56" s="141"/>
    </row>
    <row r="57" spans="1:15026" s="1" customFormat="1" hidden="1" x14ac:dyDescent="0.25">
      <c r="C57" s="15"/>
      <c r="D57" s="64" t="s">
        <v>67</v>
      </c>
      <c r="E57" s="251">
        <v>83300</v>
      </c>
      <c r="F57" s="65" t="s">
        <v>14</v>
      </c>
      <c r="G57" s="266"/>
      <c r="H57" s="266"/>
      <c r="I57" s="266"/>
      <c r="J57" s="266"/>
      <c r="K57" s="266"/>
      <c r="L57" s="266">
        <v>0</v>
      </c>
      <c r="M57" s="266">
        <v>0</v>
      </c>
      <c r="N57" s="266"/>
      <c r="O57" s="266"/>
      <c r="P57" s="266"/>
      <c r="Q57" s="266"/>
      <c r="R57" s="266">
        <v>0</v>
      </c>
      <c r="S57" s="1926"/>
      <c r="T57" s="266">
        <v>0</v>
      </c>
      <c r="U57" s="266">
        <v>0</v>
      </c>
      <c r="V57" s="266">
        <v>0</v>
      </c>
      <c r="W57" s="266">
        <v>0</v>
      </c>
      <c r="X57" s="266">
        <v>0</v>
      </c>
      <c r="Y57" s="266">
        <v>0</v>
      </c>
      <c r="Z57" s="266"/>
      <c r="AA57" s="266"/>
      <c r="AB57" s="266">
        <v>0</v>
      </c>
      <c r="AC57" s="266">
        <v>0</v>
      </c>
      <c r="AD57" s="266">
        <v>0</v>
      </c>
      <c r="AE57" s="266">
        <v>0</v>
      </c>
      <c r="AF57" s="266">
        <v>0</v>
      </c>
      <c r="AG57" s="266"/>
      <c r="AH57" s="266">
        <v>0</v>
      </c>
      <c r="AI57" s="266"/>
      <c r="AJ57" s="266"/>
      <c r="AK57" s="266"/>
      <c r="AM57" s="57">
        <f>SUM(G57:AK57)</f>
        <v>0</v>
      </c>
      <c r="AO57" s="2001"/>
      <c r="AP57" s="2002"/>
      <c r="AQ57" s="2001"/>
      <c r="AR57" s="2001"/>
      <c r="AS57" s="2001"/>
      <c r="AT57" s="2001"/>
      <c r="AU57" s="2"/>
      <c r="AV57" s="2"/>
      <c r="AW57" s="2"/>
      <c r="AX57" s="2"/>
      <c r="AY57" s="2"/>
      <c r="BC57" s="511"/>
      <c r="BD57" s="511"/>
      <c r="BI57" s="141"/>
    </row>
    <row r="58" spans="1:15026" s="1" customFormat="1" hidden="1" x14ac:dyDescent="0.25">
      <c r="C58" s="15"/>
      <c r="D58" s="74" t="s">
        <v>112</v>
      </c>
      <c r="E58" s="251"/>
      <c r="F58" s="13" t="s">
        <v>25</v>
      </c>
      <c r="G58" s="269"/>
      <c r="H58" s="269"/>
      <c r="I58" s="269"/>
      <c r="J58" s="269"/>
      <c r="K58" s="269"/>
      <c r="L58" s="269">
        <v>0</v>
      </c>
      <c r="M58" s="269">
        <v>0</v>
      </c>
      <c r="N58" s="269"/>
      <c r="O58" s="269"/>
      <c r="P58" s="269"/>
      <c r="Q58" s="269"/>
      <c r="R58" s="269">
        <v>0</v>
      </c>
      <c r="S58" s="1929">
        <v>0</v>
      </c>
      <c r="T58" s="269">
        <v>0</v>
      </c>
      <c r="U58" s="269">
        <v>0</v>
      </c>
      <c r="V58" s="269">
        <v>0</v>
      </c>
      <c r="W58" s="269">
        <v>0</v>
      </c>
      <c r="X58" s="269">
        <v>0</v>
      </c>
      <c r="Y58" s="269">
        <v>0</v>
      </c>
      <c r="Z58" s="269">
        <v>0</v>
      </c>
      <c r="AA58" s="269">
        <v>0</v>
      </c>
      <c r="AB58" s="269">
        <v>0</v>
      </c>
      <c r="AC58" s="269">
        <v>0</v>
      </c>
      <c r="AD58" s="269">
        <v>0</v>
      </c>
      <c r="AE58" s="269">
        <v>0</v>
      </c>
      <c r="AF58" s="269">
        <v>0</v>
      </c>
      <c r="AG58" s="269">
        <v>0</v>
      </c>
      <c r="AH58" s="269">
        <v>0</v>
      </c>
      <c r="AI58" s="269"/>
      <c r="AJ58" s="269"/>
      <c r="AK58" s="269"/>
      <c r="AL58" s="62"/>
      <c r="AM58" s="57">
        <f>SUM(G58:AK58)</f>
        <v>0</v>
      </c>
      <c r="AO58" s="2001"/>
      <c r="AP58" s="2002"/>
      <c r="AQ58" s="2001"/>
      <c r="AR58" s="2001"/>
      <c r="AS58" s="2001"/>
      <c r="AT58" s="2001"/>
      <c r="AU58" s="2"/>
      <c r="AV58" s="2"/>
      <c r="AW58" s="2"/>
      <c r="AX58" s="2"/>
      <c r="AY58" s="2"/>
      <c r="BC58" s="511"/>
      <c r="BD58" s="511"/>
      <c r="BI58" s="141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25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127</v>
      </c>
      <c r="AO59" s="2002"/>
      <c r="AP59" s="2001"/>
      <c r="AQ59" s="2001"/>
      <c r="AR59" s="2001"/>
      <c r="AS59" s="2001"/>
      <c r="AT59" s="2001"/>
      <c r="AU59" s="2"/>
      <c r="AV59" s="2"/>
      <c r="AW59" s="2"/>
      <c r="AX59" s="2"/>
      <c r="AY59" s="2"/>
    </row>
    <row r="60" spans="1:15026" x14ac:dyDescent="0.25">
      <c r="C60" s="15"/>
      <c r="D60" s="74" t="s">
        <v>65</v>
      </c>
      <c r="E60" s="1581">
        <v>94.2</v>
      </c>
      <c r="F60" s="69" t="s">
        <v>25</v>
      </c>
      <c r="G60" s="270"/>
      <c r="H60" s="270"/>
      <c r="I60" s="270"/>
      <c r="J60" s="270"/>
      <c r="K60" s="270"/>
      <c r="L60" s="270">
        <f t="shared" ref="L60" si="20">((L20+L19+L18)/(L9))*100</f>
        <v>98.422283722599843</v>
      </c>
      <c r="M60" s="270">
        <f>((M20+M19+M18)/(M9))*100</f>
        <v>93.856775523689578</v>
      </c>
      <c r="N60" s="270">
        <f t="shared" ref="N60:AK60" si="21">((N20+N19+N18)/(N9))*100</f>
        <v>91.943650642553493</v>
      </c>
      <c r="O60" s="270">
        <f t="shared" si="21"/>
        <v>95.525440427765545</v>
      </c>
      <c r="P60" s="270">
        <f t="shared" si="21"/>
        <v>94.768896041338891</v>
      </c>
      <c r="Q60" s="270">
        <f t="shared" si="21"/>
        <v>95.063603095543129</v>
      </c>
      <c r="R60" s="270">
        <f t="shared" si="21"/>
        <v>94.509229767625186</v>
      </c>
      <c r="S60" s="270">
        <f t="shared" si="21"/>
        <v>95.361402132400613</v>
      </c>
      <c r="T60" s="270">
        <f t="shared" si="21"/>
        <v>95.445129034742251</v>
      </c>
      <c r="U60" s="270">
        <f t="shared" si="21"/>
        <v>95.339372106488497</v>
      </c>
      <c r="V60" s="270" t="e">
        <f t="shared" si="21"/>
        <v>#DIV/0!</v>
      </c>
      <c r="W60" s="270" t="e">
        <f t="shared" si="21"/>
        <v>#DIV/0!</v>
      </c>
      <c r="X60" s="270" t="e">
        <f t="shared" si="21"/>
        <v>#DIV/0!</v>
      </c>
      <c r="Y60" s="270" t="e">
        <f t="shared" si="21"/>
        <v>#DIV/0!</v>
      </c>
      <c r="Z60" s="270" t="e">
        <f t="shared" si="21"/>
        <v>#DIV/0!</v>
      </c>
      <c r="AA60" s="270" t="e">
        <f t="shared" si="21"/>
        <v>#DIV/0!</v>
      </c>
      <c r="AB60" s="270" t="e">
        <f t="shared" si="21"/>
        <v>#DIV/0!</v>
      </c>
      <c r="AC60" s="270" t="e">
        <f t="shared" si="21"/>
        <v>#DIV/0!</v>
      </c>
      <c r="AD60" s="270" t="e">
        <f t="shared" si="21"/>
        <v>#DIV/0!</v>
      </c>
      <c r="AE60" s="270" t="e">
        <f t="shared" si="21"/>
        <v>#DIV/0!</v>
      </c>
      <c r="AF60" s="270" t="e">
        <f t="shared" si="21"/>
        <v>#DIV/0!</v>
      </c>
      <c r="AG60" s="270" t="e">
        <f t="shared" si="21"/>
        <v>#DIV/0!</v>
      </c>
      <c r="AH60" s="270" t="e">
        <f t="shared" si="21"/>
        <v>#DIV/0!</v>
      </c>
      <c r="AI60" s="270" t="e">
        <f t="shared" si="21"/>
        <v>#DIV/0!</v>
      </c>
      <c r="AJ60" s="270" t="e">
        <f t="shared" si="21"/>
        <v>#DIV/0!</v>
      </c>
      <c r="AK60" s="270" t="e">
        <f t="shared" si="21"/>
        <v>#DIV/0!</v>
      </c>
      <c r="AL60" s="62"/>
      <c r="AM60" s="1495">
        <f>((AM20+AM19+AM18)/(AM9))*100</f>
        <v>94.680613020651222</v>
      </c>
      <c r="AU60" s="2"/>
      <c r="AV60" s="2"/>
      <c r="AW60" s="2"/>
      <c r="AX60" s="2"/>
      <c r="AY60" s="2"/>
    </row>
    <row r="61" spans="1:15026" x14ac:dyDescent="0.25">
      <c r="C61" s="15"/>
      <c r="D61" s="74" t="s">
        <v>64</v>
      </c>
      <c r="E61" s="125">
        <v>5</v>
      </c>
      <c r="F61" s="69" t="s">
        <v>25</v>
      </c>
      <c r="G61" s="270"/>
      <c r="H61" s="270"/>
      <c r="I61" s="270"/>
      <c r="J61" s="270"/>
      <c r="K61" s="270"/>
      <c r="L61" s="270">
        <f t="shared" ref="L61" si="22">(L21/(L9))*100</f>
        <v>0</v>
      </c>
      <c r="M61" s="270">
        <f t="shared" ref="M61:AK61" si="23">(M21/(M9))*100</f>
        <v>3.6240147152276476</v>
      </c>
      <c r="N61" s="270">
        <f t="shared" si="23"/>
        <v>3.9006037222478391</v>
      </c>
      <c r="O61" s="270">
        <f t="shared" si="23"/>
        <v>4.3854098662515275</v>
      </c>
      <c r="P61" s="270">
        <f t="shared" si="23"/>
        <v>4.0308521897545653</v>
      </c>
      <c r="Q61" s="270">
        <f t="shared" si="23"/>
        <v>3.4529282283819454</v>
      </c>
      <c r="R61" s="270">
        <f t="shared" si="23"/>
        <v>4.055209950993401</v>
      </c>
      <c r="S61" s="270">
        <f t="shared" si="23"/>
        <v>4.1574729363821099</v>
      </c>
      <c r="T61" s="270">
        <f t="shared" si="23"/>
        <v>4.0461161774191519</v>
      </c>
      <c r="U61" s="270">
        <f t="shared" si="23"/>
        <v>3.8079883326832644</v>
      </c>
      <c r="V61" s="270" t="e">
        <f t="shared" si="23"/>
        <v>#DIV/0!</v>
      </c>
      <c r="W61" s="270" t="e">
        <f t="shared" si="23"/>
        <v>#DIV/0!</v>
      </c>
      <c r="X61" s="270" t="e">
        <f t="shared" si="23"/>
        <v>#DIV/0!</v>
      </c>
      <c r="Y61" s="270" t="e">
        <f t="shared" si="23"/>
        <v>#DIV/0!</v>
      </c>
      <c r="Z61" s="270" t="e">
        <f t="shared" si="23"/>
        <v>#DIV/0!</v>
      </c>
      <c r="AA61" s="270" t="e">
        <f t="shared" si="23"/>
        <v>#DIV/0!</v>
      </c>
      <c r="AB61" s="270" t="e">
        <f t="shared" si="23"/>
        <v>#DIV/0!</v>
      </c>
      <c r="AC61" s="270" t="e">
        <f t="shared" si="23"/>
        <v>#DIV/0!</v>
      </c>
      <c r="AD61" s="270" t="e">
        <f t="shared" si="23"/>
        <v>#DIV/0!</v>
      </c>
      <c r="AE61" s="270" t="e">
        <f t="shared" si="23"/>
        <v>#DIV/0!</v>
      </c>
      <c r="AF61" s="270" t="e">
        <f t="shared" si="23"/>
        <v>#DIV/0!</v>
      </c>
      <c r="AG61" s="270" t="e">
        <f t="shared" si="23"/>
        <v>#DIV/0!</v>
      </c>
      <c r="AH61" s="270" t="e">
        <f t="shared" si="23"/>
        <v>#DIV/0!</v>
      </c>
      <c r="AI61" s="270" t="e">
        <f t="shared" si="23"/>
        <v>#DIV/0!</v>
      </c>
      <c r="AJ61" s="270" t="e">
        <f t="shared" si="23"/>
        <v>#DIV/0!</v>
      </c>
      <c r="AK61" s="270" t="e">
        <f t="shared" si="23"/>
        <v>#DIV/0!</v>
      </c>
      <c r="AL61" s="62"/>
      <c r="AM61" s="297">
        <f>(AM21/(AM9))*100</f>
        <v>3.9078732764837745</v>
      </c>
      <c r="AP61" s="3"/>
      <c r="AU61" s="2"/>
      <c r="AV61" s="2"/>
      <c r="AW61" s="2"/>
      <c r="AX61" s="2"/>
      <c r="AY61" s="2"/>
    </row>
    <row r="62" spans="1:15026" x14ac:dyDescent="0.25">
      <c r="C62" s="15"/>
      <c r="D62" s="74" t="s">
        <v>63</v>
      </c>
      <c r="E62" s="125">
        <v>82</v>
      </c>
      <c r="F62" s="69" t="s">
        <v>25</v>
      </c>
      <c r="G62" s="270"/>
      <c r="H62" s="270"/>
      <c r="I62" s="270"/>
      <c r="J62" s="270"/>
      <c r="K62" s="270"/>
      <c r="L62" s="270" t="e">
        <f>L33/(L33+L34)*100</f>
        <v>#DIV/0!</v>
      </c>
      <c r="M62" s="270" t="e">
        <f t="shared" ref="M62:AK62" si="24">M33/(M33+M34)*100</f>
        <v>#DIV/0!</v>
      </c>
      <c r="N62" s="270" t="e">
        <f t="shared" si="24"/>
        <v>#DIV/0!</v>
      </c>
      <c r="O62" s="270" t="e">
        <f t="shared" si="24"/>
        <v>#DIV/0!</v>
      </c>
      <c r="P62" s="270" t="e">
        <f t="shared" si="24"/>
        <v>#DIV/0!</v>
      </c>
      <c r="Q62" s="270" t="e">
        <f t="shared" si="24"/>
        <v>#DIV/0!</v>
      </c>
      <c r="R62" s="270" t="e">
        <f t="shared" si="24"/>
        <v>#DIV/0!</v>
      </c>
      <c r="S62" s="270" t="e">
        <f t="shared" si="24"/>
        <v>#DIV/0!</v>
      </c>
      <c r="T62" s="270" t="e">
        <f t="shared" si="24"/>
        <v>#DIV/0!</v>
      </c>
      <c r="U62" s="270" t="e">
        <f t="shared" si="24"/>
        <v>#DIV/0!</v>
      </c>
      <c r="V62" s="270" t="e">
        <f t="shared" si="24"/>
        <v>#DIV/0!</v>
      </c>
      <c r="W62" s="270" t="e">
        <f t="shared" si="24"/>
        <v>#DIV/0!</v>
      </c>
      <c r="X62" s="270" t="e">
        <f t="shared" si="24"/>
        <v>#DIV/0!</v>
      </c>
      <c r="Y62" s="270" t="e">
        <f t="shared" si="24"/>
        <v>#DIV/0!</v>
      </c>
      <c r="Z62" s="270" t="e">
        <f t="shared" si="24"/>
        <v>#DIV/0!</v>
      </c>
      <c r="AA62" s="270" t="e">
        <f t="shared" si="24"/>
        <v>#DIV/0!</v>
      </c>
      <c r="AB62" s="270" t="e">
        <f t="shared" si="24"/>
        <v>#DIV/0!</v>
      </c>
      <c r="AC62" s="270" t="e">
        <f t="shared" si="24"/>
        <v>#DIV/0!</v>
      </c>
      <c r="AD62" s="270" t="e">
        <f t="shared" si="24"/>
        <v>#DIV/0!</v>
      </c>
      <c r="AE62" s="270" t="e">
        <f t="shared" si="24"/>
        <v>#DIV/0!</v>
      </c>
      <c r="AF62" s="270">
        <f t="shared" si="24"/>
        <v>82.284961966062014</v>
      </c>
      <c r="AG62" s="270" t="e">
        <f t="shared" si="24"/>
        <v>#DIV/0!</v>
      </c>
      <c r="AH62" s="270">
        <f t="shared" si="24"/>
        <v>82.455496741959706</v>
      </c>
      <c r="AI62" s="270" t="e">
        <f t="shared" si="24"/>
        <v>#DIV/0!</v>
      </c>
      <c r="AJ62" s="270" t="e">
        <f t="shared" si="24"/>
        <v>#DIV/0!</v>
      </c>
      <c r="AK62" s="270" t="e">
        <f t="shared" si="24"/>
        <v>#DIV/0!</v>
      </c>
      <c r="AL62" s="62"/>
      <c r="AM62" s="297">
        <f>AM33/(AM33+AM34)*100</f>
        <v>82.329072284202482</v>
      </c>
      <c r="AP62" s="3"/>
    </row>
    <row r="63" spans="1:15026" x14ac:dyDescent="0.25">
      <c r="C63" s="15"/>
      <c r="D63" s="74" t="s">
        <v>62</v>
      </c>
      <c r="E63" s="125">
        <v>18</v>
      </c>
      <c r="F63" s="69" t="s">
        <v>25</v>
      </c>
      <c r="G63" s="270"/>
      <c r="H63" s="270"/>
      <c r="I63" s="270"/>
      <c r="J63" s="270"/>
      <c r="K63" s="270"/>
      <c r="L63" s="270" t="e">
        <f t="shared" ref="L63" si="25">(L34/L32)*100</f>
        <v>#DIV/0!</v>
      </c>
      <c r="M63" s="270" t="e">
        <f t="shared" ref="M63:AK63" si="26">(M34/M32)*100</f>
        <v>#DIV/0!</v>
      </c>
      <c r="N63" s="270" t="e">
        <f t="shared" si="26"/>
        <v>#DIV/0!</v>
      </c>
      <c r="O63" s="270" t="e">
        <f t="shared" si="26"/>
        <v>#DIV/0!</v>
      </c>
      <c r="P63" s="270" t="e">
        <f t="shared" si="26"/>
        <v>#DIV/0!</v>
      </c>
      <c r="Q63" s="270" t="e">
        <f t="shared" si="26"/>
        <v>#DIV/0!</v>
      </c>
      <c r="R63" s="270" t="e">
        <f t="shared" si="26"/>
        <v>#DIV/0!</v>
      </c>
      <c r="S63" s="270" t="e">
        <f t="shared" si="26"/>
        <v>#DIV/0!</v>
      </c>
      <c r="T63" s="270" t="e">
        <f t="shared" si="26"/>
        <v>#DIV/0!</v>
      </c>
      <c r="U63" s="270" t="e">
        <f t="shared" si="26"/>
        <v>#DIV/0!</v>
      </c>
      <c r="V63" s="270" t="e">
        <f t="shared" si="26"/>
        <v>#DIV/0!</v>
      </c>
      <c r="W63" s="270" t="e">
        <f t="shared" si="26"/>
        <v>#DIV/0!</v>
      </c>
      <c r="X63" s="270" t="e">
        <f t="shared" si="26"/>
        <v>#DIV/0!</v>
      </c>
      <c r="Y63" s="270" t="e">
        <f t="shared" si="26"/>
        <v>#DIV/0!</v>
      </c>
      <c r="Z63" s="270" t="e">
        <f t="shared" si="26"/>
        <v>#DIV/0!</v>
      </c>
      <c r="AA63" s="270" t="e">
        <f t="shared" si="26"/>
        <v>#DIV/0!</v>
      </c>
      <c r="AB63" s="270" t="e">
        <f t="shared" si="26"/>
        <v>#DIV/0!</v>
      </c>
      <c r="AC63" s="270" t="e">
        <f t="shared" si="26"/>
        <v>#DIV/0!</v>
      </c>
      <c r="AD63" s="270" t="e">
        <f t="shared" si="26"/>
        <v>#DIV/0!</v>
      </c>
      <c r="AE63" s="270" t="e">
        <f t="shared" si="26"/>
        <v>#DIV/0!</v>
      </c>
      <c r="AF63" s="270">
        <f t="shared" si="26"/>
        <v>17.715038033937976</v>
      </c>
      <c r="AG63" s="270" t="e">
        <f t="shared" si="26"/>
        <v>#DIV/0!</v>
      </c>
      <c r="AH63" s="270">
        <f t="shared" si="26"/>
        <v>17.544503258040283</v>
      </c>
      <c r="AI63" s="270" t="e">
        <f t="shared" si="26"/>
        <v>#DIV/0!</v>
      </c>
      <c r="AJ63" s="270" t="e">
        <f t="shared" si="26"/>
        <v>#DIV/0!</v>
      </c>
      <c r="AK63" s="270" t="e">
        <f t="shared" si="26"/>
        <v>#DIV/0!</v>
      </c>
      <c r="AL63" s="62"/>
      <c r="AM63" s="1495">
        <f>AM34/(AM33+AM34)*100</f>
        <v>17.670927715797514</v>
      </c>
      <c r="AP63" s="3"/>
    </row>
    <row r="64" spans="1:15026" ht="15" hidden="1" customHeight="1" x14ac:dyDescent="0.25">
      <c r="C64" s="15"/>
      <c r="D64" s="74" t="s">
        <v>105</v>
      </c>
      <c r="E64" s="125">
        <v>75</v>
      </c>
      <c r="F64" s="79"/>
      <c r="G64" s="270"/>
      <c r="H64" s="270"/>
      <c r="I64" s="270"/>
      <c r="J64" s="270"/>
      <c r="K64" s="270"/>
      <c r="L64" s="270" t="e">
        <f t="shared" ref="L64" si="27">(L37/L36)*100</f>
        <v>#DIV/0!</v>
      </c>
      <c r="M64" s="270" t="e">
        <f t="shared" ref="M64:AK64" si="28">(M37/M36)*100</f>
        <v>#DIV/0!</v>
      </c>
      <c r="N64" s="270" t="e">
        <f t="shared" si="28"/>
        <v>#DIV/0!</v>
      </c>
      <c r="O64" s="270" t="e">
        <f t="shared" si="28"/>
        <v>#DIV/0!</v>
      </c>
      <c r="P64" s="270" t="e">
        <f t="shared" si="28"/>
        <v>#DIV/0!</v>
      </c>
      <c r="Q64" s="270" t="e">
        <f t="shared" si="28"/>
        <v>#DIV/0!</v>
      </c>
      <c r="R64" s="270" t="e">
        <f t="shared" si="28"/>
        <v>#DIV/0!</v>
      </c>
      <c r="S64" s="270" t="e">
        <f t="shared" si="28"/>
        <v>#DIV/0!</v>
      </c>
      <c r="T64" s="270" t="e">
        <f t="shared" si="28"/>
        <v>#DIV/0!</v>
      </c>
      <c r="U64" s="270" t="e">
        <f t="shared" si="28"/>
        <v>#DIV/0!</v>
      </c>
      <c r="V64" s="270" t="e">
        <f t="shared" si="28"/>
        <v>#DIV/0!</v>
      </c>
      <c r="W64" s="270" t="e">
        <f t="shared" si="28"/>
        <v>#DIV/0!</v>
      </c>
      <c r="X64" s="270" t="e">
        <f t="shared" si="28"/>
        <v>#DIV/0!</v>
      </c>
      <c r="Y64" s="270" t="e">
        <f t="shared" si="28"/>
        <v>#DIV/0!</v>
      </c>
      <c r="Z64" s="270" t="e">
        <f t="shared" si="28"/>
        <v>#DIV/0!</v>
      </c>
      <c r="AA64" s="270" t="e">
        <f t="shared" si="28"/>
        <v>#DIV/0!</v>
      </c>
      <c r="AB64" s="270" t="e">
        <f t="shared" si="28"/>
        <v>#DIV/0!</v>
      </c>
      <c r="AC64" s="270" t="e">
        <f t="shared" si="28"/>
        <v>#DIV/0!</v>
      </c>
      <c r="AD64" s="270" t="e">
        <f t="shared" si="28"/>
        <v>#DIV/0!</v>
      </c>
      <c r="AE64" s="270" t="e">
        <f t="shared" si="28"/>
        <v>#DIV/0!</v>
      </c>
      <c r="AF64" s="270" t="e">
        <f t="shared" si="28"/>
        <v>#DIV/0!</v>
      </c>
      <c r="AG64" s="270" t="e">
        <f t="shared" si="28"/>
        <v>#DIV/0!</v>
      </c>
      <c r="AH64" s="270" t="e">
        <f t="shared" si="28"/>
        <v>#DIV/0!</v>
      </c>
      <c r="AI64" s="270" t="e">
        <f t="shared" si="28"/>
        <v>#DIV/0!</v>
      </c>
      <c r="AJ64" s="270" t="e">
        <f t="shared" si="28"/>
        <v>#DIV/0!</v>
      </c>
      <c r="AK64" s="270" t="e">
        <f t="shared" si="28"/>
        <v>#DIV/0!</v>
      </c>
      <c r="AL64" s="62"/>
      <c r="AM64" s="297" t="e">
        <f>(AM42/AM41)*100</f>
        <v>#DIV/0!</v>
      </c>
    </row>
    <row r="65" spans="3:52" ht="15" hidden="1" customHeight="1" x14ac:dyDescent="0.25">
      <c r="C65" s="15"/>
      <c r="D65" s="74" t="s">
        <v>62</v>
      </c>
      <c r="E65" s="125">
        <v>25</v>
      </c>
      <c r="F65" s="79"/>
      <c r="G65" s="270"/>
      <c r="H65" s="270"/>
      <c r="I65" s="270"/>
      <c r="J65" s="270"/>
      <c r="K65" s="270"/>
      <c r="L65" s="270" t="e">
        <f t="shared" ref="L65" si="29">(L38/L36)*100</f>
        <v>#DIV/0!</v>
      </c>
      <c r="M65" s="270" t="e">
        <f t="shared" ref="M65:AK65" si="30">(M38/M36)*100</f>
        <v>#DIV/0!</v>
      </c>
      <c r="N65" s="270" t="e">
        <f t="shared" si="30"/>
        <v>#DIV/0!</v>
      </c>
      <c r="O65" s="270" t="e">
        <f t="shared" si="30"/>
        <v>#DIV/0!</v>
      </c>
      <c r="P65" s="270" t="e">
        <f t="shared" si="30"/>
        <v>#DIV/0!</v>
      </c>
      <c r="Q65" s="270" t="e">
        <f t="shared" si="30"/>
        <v>#DIV/0!</v>
      </c>
      <c r="R65" s="270" t="e">
        <f t="shared" si="30"/>
        <v>#DIV/0!</v>
      </c>
      <c r="S65" s="270" t="e">
        <f t="shared" si="30"/>
        <v>#DIV/0!</v>
      </c>
      <c r="T65" s="270" t="e">
        <f t="shared" si="30"/>
        <v>#DIV/0!</v>
      </c>
      <c r="U65" s="270" t="e">
        <f t="shared" si="30"/>
        <v>#DIV/0!</v>
      </c>
      <c r="V65" s="270" t="e">
        <f t="shared" si="30"/>
        <v>#DIV/0!</v>
      </c>
      <c r="W65" s="270" t="e">
        <f t="shared" si="30"/>
        <v>#DIV/0!</v>
      </c>
      <c r="X65" s="270" t="e">
        <f t="shared" si="30"/>
        <v>#DIV/0!</v>
      </c>
      <c r="Y65" s="270" t="e">
        <f t="shared" si="30"/>
        <v>#DIV/0!</v>
      </c>
      <c r="Z65" s="270" t="e">
        <f t="shared" si="30"/>
        <v>#DIV/0!</v>
      </c>
      <c r="AA65" s="270" t="e">
        <f t="shared" si="30"/>
        <v>#DIV/0!</v>
      </c>
      <c r="AB65" s="270" t="e">
        <f t="shared" si="30"/>
        <v>#DIV/0!</v>
      </c>
      <c r="AC65" s="270" t="e">
        <f t="shared" si="30"/>
        <v>#DIV/0!</v>
      </c>
      <c r="AD65" s="270" t="e">
        <f t="shared" si="30"/>
        <v>#DIV/0!</v>
      </c>
      <c r="AE65" s="270" t="e">
        <f t="shared" si="30"/>
        <v>#DIV/0!</v>
      </c>
      <c r="AF65" s="270" t="e">
        <f t="shared" si="30"/>
        <v>#DIV/0!</v>
      </c>
      <c r="AG65" s="270" t="e">
        <f t="shared" si="30"/>
        <v>#DIV/0!</v>
      </c>
      <c r="AH65" s="270" t="e">
        <f t="shared" si="30"/>
        <v>#DIV/0!</v>
      </c>
      <c r="AI65" s="270" t="e">
        <f t="shared" si="30"/>
        <v>#DIV/0!</v>
      </c>
      <c r="AJ65" s="270" t="e">
        <f t="shared" si="30"/>
        <v>#DIV/0!</v>
      </c>
      <c r="AK65" s="270" t="e">
        <f t="shared" si="30"/>
        <v>#DIV/0!</v>
      </c>
      <c r="AL65" s="62"/>
      <c r="AM65" s="297" t="e">
        <f>(AM43/AM41)*100</f>
        <v>#DIV/0!</v>
      </c>
    </row>
    <row r="66" spans="3:52" ht="15" hidden="1" customHeight="1" x14ac:dyDescent="0.25">
      <c r="C66" s="15"/>
      <c r="D66" s="74" t="s">
        <v>107</v>
      </c>
      <c r="E66" s="125">
        <v>75</v>
      </c>
      <c r="F66" s="69" t="s">
        <v>25</v>
      </c>
      <c r="G66" s="270"/>
      <c r="H66" s="270"/>
      <c r="I66" s="270"/>
      <c r="J66" s="270"/>
      <c r="K66" s="270"/>
      <c r="L66" s="270" t="e">
        <f t="shared" ref="L66" si="31">L42/L41*100</f>
        <v>#DIV/0!</v>
      </c>
      <c r="M66" s="270" t="e">
        <f t="shared" ref="M66:AK66" si="32">M42/M41*100</f>
        <v>#DIV/0!</v>
      </c>
      <c r="N66" s="270" t="e">
        <f t="shared" si="32"/>
        <v>#DIV/0!</v>
      </c>
      <c r="O66" s="270" t="e">
        <f t="shared" si="32"/>
        <v>#DIV/0!</v>
      </c>
      <c r="P66" s="270" t="e">
        <f t="shared" si="32"/>
        <v>#DIV/0!</v>
      </c>
      <c r="Q66" s="270" t="e">
        <f t="shared" si="32"/>
        <v>#DIV/0!</v>
      </c>
      <c r="R66" s="270" t="e">
        <f t="shared" si="32"/>
        <v>#DIV/0!</v>
      </c>
      <c r="S66" s="270" t="e">
        <f t="shared" si="32"/>
        <v>#DIV/0!</v>
      </c>
      <c r="T66" s="270" t="e">
        <f t="shared" si="32"/>
        <v>#DIV/0!</v>
      </c>
      <c r="U66" s="270" t="e">
        <f t="shared" si="32"/>
        <v>#DIV/0!</v>
      </c>
      <c r="V66" s="270" t="e">
        <f t="shared" si="32"/>
        <v>#DIV/0!</v>
      </c>
      <c r="W66" s="270" t="e">
        <f t="shared" si="32"/>
        <v>#DIV/0!</v>
      </c>
      <c r="X66" s="270" t="e">
        <f t="shared" si="32"/>
        <v>#DIV/0!</v>
      </c>
      <c r="Y66" s="270" t="e">
        <f t="shared" si="32"/>
        <v>#DIV/0!</v>
      </c>
      <c r="Z66" s="270" t="e">
        <f t="shared" si="32"/>
        <v>#DIV/0!</v>
      </c>
      <c r="AA66" s="270" t="e">
        <f t="shared" si="32"/>
        <v>#DIV/0!</v>
      </c>
      <c r="AB66" s="270" t="e">
        <f t="shared" si="32"/>
        <v>#DIV/0!</v>
      </c>
      <c r="AC66" s="270" t="e">
        <f t="shared" si="32"/>
        <v>#DIV/0!</v>
      </c>
      <c r="AD66" s="270" t="e">
        <f t="shared" si="32"/>
        <v>#DIV/0!</v>
      </c>
      <c r="AE66" s="270" t="e">
        <f t="shared" si="32"/>
        <v>#DIV/0!</v>
      </c>
      <c r="AF66" s="270" t="e">
        <f t="shared" si="32"/>
        <v>#DIV/0!</v>
      </c>
      <c r="AG66" s="270" t="e">
        <f t="shared" si="32"/>
        <v>#DIV/0!</v>
      </c>
      <c r="AH66" s="270" t="e">
        <f t="shared" si="32"/>
        <v>#DIV/0!</v>
      </c>
      <c r="AI66" s="270" t="e">
        <f t="shared" si="32"/>
        <v>#DIV/0!</v>
      </c>
      <c r="AJ66" s="270" t="e">
        <f t="shared" si="32"/>
        <v>#DIV/0!</v>
      </c>
      <c r="AK66" s="270" t="e">
        <f t="shared" si="32"/>
        <v>#DIV/0!</v>
      </c>
      <c r="AL66" s="62"/>
      <c r="AM66" s="297" t="e">
        <f>AM42/AM41*100</f>
        <v>#DIV/0!</v>
      </c>
    </row>
    <row r="67" spans="3:52" ht="15" hidden="1" customHeight="1" x14ac:dyDescent="0.25">
      <c r="C67" s="15"/>
      <c r="D67" s="74" t="s">
        <v>62</v>
      </c>
      <c r="E67" s="125">
        <v>25</v>
      </c>
      <c r="F67" s="69" t="s">
        <v>25</v>
      </c>
      <c r="G67" s="270"/>
      <c r="H67" s="270"/>
      <c r="I67" s="270"/>
      <c r="J67" s="270"/>
      <c r="K67" s="270"/>
      <c r="L67" s="270" t="e">
        <f t="shared" ref="L67" si="33">L43/L41*100</f>
        <v>#DIV/0!</v>
      </c>
      <c r="M67" s="270" t="e">
        <f t="shared" ref="M67:AK67" si="34">M43/M41*100</f>
        <v>#DIV/0!</v>
      </c>
      <c r="N67" s="270" t="e">
        <f t="shared" si="34"/>
        <v>#DIV/0!</v>
      </c>
      <c r="O67" s="270" t="e">
        <f t="shared" si="34"/>
        <v>#DIV/0!</v>
      </c>
      <c r="P67" s="270" t="e">
        <f t="shared" si="34"/>
        <v>#DIV/0!</v>
      </c>
      <c r="Q67" s="270" t="e">
        <f t="shared" si="34"/>
        <v>#DIV/0!</v>
      </c>
      <c r="R67" s="270" t="e">
        <f t="shared" si="34"/>
        <v>#DIV/0!</v>
      </c>
      <c r="S67" s="270" t="e">
        <f t="shared" si="34"/>
        <v>#DIV/0!</v>
      </c>
      <c r="T67" s="270" t="e">
        <f t="shared" si="34"/>
        <v>#DIV/0!</v>
      </c>
      <c r="U67" s="270" t="e">
        <f t="shared" si="34"/>
        <v>#DIV/0!</v>
      </c>
      <c r="V67" s="270" t="e">
        <f t="shared" si="34"/>
        <v>#DIV/0!</v>
      </c>
      <c r="W67" s="270" t="e">
        <f t="shared" si="34"/>
        <v>#DIV/0!</v>
      </c>
      <c r="X67" s="270" t="e">
        <f t="shared" si="34"/>
        <v>#DIV/0!</v>
      </c>
      <c r="Y67" s="270" t="e">
        <f t="shared" si="34"/>
        <v>#DIV/0!</v>
      </c>
      <c r="Z67" s="270" t="e">
        <f t="shared" si="34"/>
        <v>#DIV/0!</v>
      </c>
      <c r="AA67" s="270" t="e">
        <f t="shared" si="34"/>
        <v>#DIV/0!</v>
      </c>
      <c r="AB67" s="270" t="e">
        <f t="shared" si="34"/>
        <v>#DIV/0!</v>
      </c>
      <c r="AC67" s="270" t="e">
        <f t="shared" si="34"/>
        <v>#DIV/0!</v>
      </c>
      <c r="AD67" s="270" t="e">
        <f t="shared" si="34"/>
        <v>#DIV/0!</v>
      </c>
      <c r="AE67" s="270" t="e">
        <f t="shared" si="34"/>
        <v>#DIV/0!</v>
      </c>
      <c r="AF67" s="270" t="e">
        <f t="shared" si="34"/>
        <v>#DIV/0!</v>
      </c>
      <c r="AG67" s="270" t="e">
        <f t="shared" si="34"/>
        <v>#DIV/0!</v>
      </c>
      <c r="AH67" s="270" t="e">
        <f t="shared" si="34"/>
        <v>#DIV/0!</v>
      </c>
      <c r="AI67" s="270" t="e">
        <f t="shared" si="34"/>
        <v>#DIV/0!</v>
      </c>
      <c r="AJ67" s="270" t="e">
        <f t="shared" si="34"/>
        <v>#DIV/0!</v>
      </c>
      <c r="AK67" s="270" t="e">
        <f t="shared" si="34"/>
        <v>#DIV/0!</v>
      </c>
      <c r="AL67" s="18"/>
      <c r="AM67" s="297" t="e">
        <f>AM43/AM41*100</f>
        <v>#DIV/0!</v>
      </c>
    </row>
    <row r="68" spans="3:52" x14ac:dyDescent="0.25">
      <c r="C68" s="15"/>
      <c r="D68" s="74" t="s">
        <v>110</v>
      </c>
      <c r="E68" s="125">
        <v>70</v>
      </c>
      <c r="F68" s="69" t="s">
        <v>25</v>
      </c>
      <c r="G68" s="270"/>
      <c r="H68" s="270"/>
      <c r="I68" s="270"/>
      <c r="J68" s="270"/>
      <c r="K68" s="270"/>
      <c r="L68" s="270" t="e">
        <f t="shared" ref="L68" si="35">L46/(L46+L47)*100</f>
        <v>#DIV/0!</v>
      </c>
      <c r="M68" s="270" t="e">
        <f t="shared" ref="M68:AK68" si="36">M46/(M46+M47)*100</f>
        <v>#DIV/0!</v>
      </c>
      <c r="N68" s="270" t="e">
        <f t="shared" si="36"/>
        <v>#DIV/0!</v>
      </c>
      <c r="O68" s="270" t="e">
        <f t="shared" si="36"/>
        <v>#DIV/0!</v>
      </c>
      <c r="P68" s="270" t="e">
        <f t="shared" si="36"/>
        <v>#DIV/0!</v>
      </c>
      <c r="Q68" s="270" t="e">
        <f t="shared" si="36"/>
        <v>#DIV/0!</v>
      </c>
      <c r="R68" s="270" t="e">
        <f t="shared" si="36"/>
        <v>#DIV/0!</v>
      </c>
      <c r="S68" s="270" t="e">
        <f t="shared" si="36"/>
        <v>#DIV/0!</v>
      </c>
      <c r="T68" s="270" t="e">
        <f t="shared" si="36"/>
        <v>#DIV/0!</v>
      </c>
      <c r="U68" s="270" t="e">
        <f t="shared" si="36"/>
        <v>#DIV/0!</v>
      </c>
      <c r="V68" s="270" t="e">
        <f t="shared" si="36"/>
        <v>#DIV/0!</v>
      </c>
      <c r="W68" s="270" t="e">
        <f t="shared" si="36"/>
        <v>#DIV/0!</v>
      </c>
      <c r="X68" s="270" t="e">
        <f t="shared" si="36"/>
        <v>#DIV/0!</v>
      </c>
      <c r="Y68" s="270" t="e">
        <f t="shared" si="36"/>
        <v>#DIV/0!</v>
      </c>
      <c r="Z68" s="270" t="e">
        <f t="shared" si="36"/>
        <v>#DIV/0!</v>
      </c>
      <c r="AA68" s="270" t="e">
        <f t="shared" si="36"/>
        <v>#DIV/0!</v>
      </c>
      <c r="AB68" s="270" t="e">
        <f t="shared" si="36"/>
        <v>#DIV/0!</v>
      </c>
      <c r="AC68" s="270" t="e">
        <f t="shared" si="36"/>
        <v>#DIV/0!</v>
      </c>
      <c r="AD68" s="270" t="e">
        <f t="shared" si="36"/>
        <v>#DIV/0!</v>
      </c>
      <c r="AE68" s="270" t="e">
        <f t="shared" si="36"/>
        <v>#DIV/0!</v>
      </c>
      <c r="AF68" s="270">
        <f t="shared" si="36"/>
        <v>75.748811577131804</v>
      </c>
      <c r="AG68" s="270">
        <f t="shared" si="36"/>
        <v>76.417054110198833</v>
      </c>
      <c r="AH68" s="270">
        <f t="shared" si="36"/>
        <v>76.390006371284997</v>
      </c>
      <c r="AI68" s="270" t="e">
        <f t="shared" si="36"/>
        <v>#DIV/0!</v>
      </c>
      <c r="AJ68" s="270" t="e">
        <f t="shared" si="36"/>
        <v>#DIV/0!</v>
      </c>
      <c r="AK68" s="270" t="e">
        <f t="shared" si="36"/>
        <v>#DIV/0!</v>
      </c>
      <c r="AL68" s="18"/>
      <c r="AM68" s="1495">
        <f>AM46/(AM46+AM47)*100</f>
        <v>76.289557956636727</v>
      </c>
      <c r="AW68" s="3"/>
    </row>
    <row r="69" spans="3:52" x14ac:dyDescent="0.25">
      <c r="C69" s="15"/>
      <c r="D69" s="74" t="s">
        <v>62</v>
      </c>
      <c r="E69" s="125">
        <v>30</v>
      </c>
      <c r="F69" s="69" t="s">
        <v>25</v>
      </c>
      <c r="G69" s="270"/>
      <c r="H69" s="270"/>
      <c r="I69" s="270"/>
      <c r="J69" s="270"/>
      <c r="K69" s="270"/>
      <c r="L69" s="270" t="e">
        <f t="shared" ref="L69" si="37">L47/(L47+L46)*100</f>
        <v>#DIV/0!</v>
      </c>
      <c r="M69" s="270" t="e">
        <f t="shared" ref="M69:AK69" si="38">M47/(M47+M46)*100</f>
        <v>#DIV/0!</v>
      </c>
      <c r="N69" s="270" t="e">
        <f t="shared" si="38"/>
        <v>#DIV/0!</v>
      </c>
      <c r="O69" s="270" t="e">
        <f t="shared" si="38"/>
        <v>#DIV/0!</v>
      </c>
      <c r="P69" s="270" t="e">
        <f t="shared" si="38"/>
        <v>#DIV/0!</v>
      </c>
      <c r="Q69" s="270" t="e">
        <f t="shared" si="38"/>
        <v>#DIV/0!</v>
      </c>
      <c r="R69" s="270" t="e">
        <f t="shared" si="38"/>
        <v>#DIV/0!</v>
      </c>
      <c r="S69" s="270" t="e">
        <f t="shared" si="38"/>
        <v>#DIV/0!</v>
      </c>
      <c r="T69" s="270" t="e">
        <f t="shared" si="38"/>
        <v>#DIV/0!</v>
      </c>
      <c r="U69" s="270" t="e">
        <f t="shared" si="38"/>
        <v>#DIV/0!</v>
      </c>
      <c r="V69" s="270" t="e">
        <f t="shared" si="38"/>
        <v>#DIV/0!</v>
      </c>
      <c r="W69" s="270" t="e">
        <f t="shared" si="38"/>
        <v>#DIV/0!</v>
      </c>
      <c r="X69" s="270" t="e">
        <f t="shared" si="38"/>
        <v>#DIV/0!</v>
      </c>
      <c r="Y69" s="270" t="e">
        <f t="shared" si="38"/>
        <v>#DIV/0!</v>
      </c>
      <c r="Z69" s="270" t="e">
        <f t="shared" si="38"/>
        <v>#DIV/0!</v>
      </c>
      <c r="AA69" s="270" t="e">
        <f t="shared" si="38"/>
        <v>#DIV/0!</v>
      </c>
      <c r="AB69" s="270" t="e">
        <f t="shared" si="38"/>
        <v>#DIV/0!</v>
      </c>
      <c r="AC69" s="270" t="e">
        <f t="shared" si="38"/>
        <v>#DIV/0!</v>
      </c>
      <c r="AD69" s="270" t="e">
        <f t="shared" si="38"/>
        <v>#DIV/0!</v>
      </c>
      <c r="AE69" s="270" t="e">
        <f t="shared" si="38"/>
        <v>#DIV/0!</v>
      </c>
      <c r="AF69" s="270">
        <f t="shared" si="38"/>
        <v>24.2511884228682</v>
      </c>
      <c r="AG69" s="270">
        <f t="shared" si="38"/>
        <v>23.58294588980117</v>
      </c>
      <c r="AH69" s="270">
        <f t="shared" si="38"/>
        <v>23.609993628714999</v>
      </c>
      <c r="AI69" s="270" t="e">
        <f t="shared" si="38"/>
        <v>#DIV/0!</v>
      </c>
      <c r="AJ69" s="270" t="e">
        <f t="shared" si="38"/>
        <v>#DIV/0!</v>
      </c>
      <c r="AK69" s="270" t="e">
        <f t="shared" si="38"/>
        <v>#DIV/0!</v>
      </c>
      <c r="AL69" s="18"/>
      <c r="AM69" s="297">
        <f>AM47/AM45*100</f>
        <v>23.710442043363273</v>
      </c>
    </row>
    <row r="70" spans="3:52" hidden="1" x14ac:dyDescent="0.25">
      <c r="C70" s="15"/>
      <c r="D70" s="74" t="s">
        <v>835</v>
      </c>
      <c r="E70" s="125">
        <v>70</v>
      </c>
      <c r="F70" s="69" t="s">
        <v>25</v>
      </c>
      <c r="G70" s="270"/>
      <c r="H70" s="270"/>
      <c r="I70" s="270"/>
      <c r="J70" s="270"/>
      <c r="K70" s="270"/>
      <c r="L70" s="270" t="e">
        <f>L51/(L51+L52)*100</f>
        <v>#DIV/0!</v>
      </c>
      <c r="M70" s="270" t="e">
        <v>#DIV/0!</v>
      </c>
      <c r="N70" s="270"/>
      <c r="O70" s="270"/>
      <c r="P70" s="270"/>
      <c r="Q70" s="270"/>
      <c r="R70" s="270" t="e">
        <f t="shared" ref="R70:AK70" si="39">R51/(R51+R52)*100</f>
        <v>#DIV/0!</v>
      </c>
      <c r="S70" s="270" t="e">
        <f t="shared" si="39"/>
        <v>#DIV/0!</v>
      </c>
      <c r="T70" s="270" t="e">
        <f>T51/(T51+T52)*100</f>
        <v>#DIV/0!</v>
      </c>
      <c r="U70" s="270" t="e">
        <f t="shared" si="39"/>
        <v>#DIV/0!</v>
      </c>
      <c r="V70" s="270" t="e">
        <f t="shared" si="39"/>
        <v>#DIV/0!</v>
      </c>
      <c r="W70" s="270" t="e">
        <v>#DIV/0!</v>
      </c>
      <c r="X70" s="270" t="e">
        <f t="shared" si="39"/>
        <v>#DIV/0!</v>
      </c>
      <c r="Y70" s="270" t="e">
        <f t="shared" si="39"/>
        <v>#DIV/0!</v>
      </c>
      <c r="Z70" s="270" t="e">
        <f t="shared" si="39"/>
        <v>#DIV/0!</v>
      </c>
      <c r="AA70" s="270" t="e">
        <f t="shared" si="39"/>
        <v>#DIV/0!</v>
      </c>
      <c r="AB70" s="270" t="e">
        <f t="shared" si="39"/>
        <v>#DIV/0!</v>
      </c>
      <c r="AC70" s="270" t="e">
        <f t="shared" si="39"/>
        <v>#DIV/0!</v>
      </c>
      <c r="AD70" s="270" t="e">
        <f t="shared" si="39"/>
        <v>#DIV/0!</v>
      </c>
      <c r="AE70" s="270" t="e">
        <f t="shared" si="39"/>
        <v>#DIV/0!</v>
      </c>
      <c r="AF70" s="270" t="e">
        <f t="shared" si="39"/>
        <v>#DIV/0!</v>
      </c>
      <c r="AG70" s="270" t="e">
        <f t="shared" si="39"/>
        <v>#DIV/0!</v>
      </c>
      <c r="AH70" s="270" t="e">
        <f t="shared" si="39"/>
        <v>#DIV/0!</v>
      </c>
      <c r="AI70" s="270" t="e">
        <f t="shared" si="39"/>
        <v>#DIV/0!</v>
      </c>
      <c r="AJ70" s="270" t="e">
        <f t="shared" si="39"/>
        <v>#DIV/0!</v>
      </c>
      <c r="AK70" s="270" t="e">
        <f t="shared" si="39"/>
        <v>#DIV/0!</v>
      </c>
      <c r="AL70" s="18"/>
      <c r="AM70" s="1495" t="e">
        <f>AM51/(AM51+AM52)*100</f>
        <v>#DIV/0!</v>
      </c>
    </row>
    <row r="71" spans="3:52" hidden="1" x14ac:dyDescent="0.25">
      <c r="C71" s="15"/>
      <c r="D71" s="74" t="s">
        <v>62</v>
      </c>
      <c r="E71" s="125">
        <v>30</v>
      </c>
      <c r="F71" s="69" t="s">
        <v>25</v>
      </c>
      <c r="G71" s="270"/>
      <c r="H71" s="270"/>
      <c r="I71" s="270"/>
      <c r="J71" s="270"/>
      <c r="K71" s="270"/>
      <c r="L71" s="270" t="e">
        <f>L52/(L51+L52)*100</f>
        <v>#DIV/0!</v>
      </c>
      <c r="M71" s="270" t="e">
        <v>#DIV/0!</v>
      </c>
      <c r="N71" s="270"/>
      <c r="O71" s="270"/>
      <c r="P71" s="270"/>
      <c r="Q71" s="270"/>
      <c r="R71" s="270" t="e">
        <f t="shared" ref="R71:AK71" si="40">R52/(R51+R52)*100</f>
        <v>#DIV/0!</v>
      </c>
      <c r="S71" s="270" t="e">
        <f t="shared" si="40"/>
        <v>#DIV/0!</v>
      </c>
      <c r="T71" s="270" t="e">
        <f>T52/(T51+T52)*100</f>
        <v>#DIV/0!</v>
      </c>
      <c r="U71" s="270" t="e">
        <f t="shared" si="40"/>
        <v>#DIV/0!</v>
      </c>
      <c r="V71" s="270" t="e">
        <f t="shared" si="40"/>
        <v>#DIV/0!</v>
      </c>
      <c r="W71" s="270" t="e">
        <v>#DIV/0!</v>
      </c>
      <c r="X71" s="270" t="e">
        <f t="shared" si="40"/>
        <v>#DIV/0!</v>
      </c>
      <c r="Y71" s="270" t="e">
        <f t="shared" si="40"/>
        <v>#DIV/0!</v>
      </c>
      <c r="Z71" s="270" t="e">
        <f t="shared" si="40"/>
        <v>#DIV/0!</v>
      </c>
      <c r="AA71" s="270" t="e">
        <f t="shared" si="40"/>
        <v>#DIV/0!</v>
      </c>
      <c r="AB71" s="270" t="e">
        <f t="shared" si="40"/>
        <v>#DIV/0!</v>
      </c>
      <c r="AC71" s="270" t="e">
        <f t="shared" si="40"/>
        <v>#DIV/0!</v>
      </c>
      <c r="AD71" s="270" t="e">
        <f t="shared" si="40"/>
        <v>#DIV/0!</v>
      </c>
      <c r="AE71" s="270" t="e">
        <f t="shared" si="40"/>
        <v>#DIV/0!</v>
      </c>
      <c r="AF71" s="270" t="e">
        <f t="shared" si="40"/>
        <v>#DIV/0!</v>
      </c>
      <c r="AG71" s="270" t="e">
        <f t="shared" si="40"/>
        <v>#DIV/0!</v>
      </c>
      <c r="AH71" s="270" t="e">
        <f t="shared" si="40"/>
        <v>#DIV/0!</v>
      </c>
      <c r="AI71" s="270" t="e">
        <f t="shared" si="40"/>
        <v>#DIV/0!</v>
      </c>
      <c r="AJ71" s="270" t="e">
        <f t="shared" si="40"/>
        <v>#DIV/0!</v>
      </c>
      <c r="AK71" s="270" t="e">
        <f t="shared" si="40"/>
        <v>#DIV/0!</v>
      </c>
      <c r="AL71" s="18"/>
      <c r="AM71" s="1495" t="e">
        <f>AM52/(AM51+AM52)*100</f>
        <v>#DIV/0!</v>
      </c>
    </row>
    <row r="72" spans="3:52" hidden="1" x14ac:dyDescent="0.25">
      <c r="C72" s="15"/>
      <c r="D72" s="74" t="s">
        <v>61</v>
      </c>
      <c r="E72" s="125">
        <v>60</v>
      </c>
      <c r="F72" s="69" t="s">
        <v>25</v>
      </c>
      <c r="G72" s="270"/>
      <c r="H72" s="270"/>
      <c r="I72" s="270"/>
      <c r="J72" s="270"/>
      <c r="K72" s="270"/>
      <c r="L72" s="270" t="e">
        <f t="shared" ref="L72" si="41">L56/(L56+L57)*100</f>
        <v>#DIV/0!</v>
      </c>
      <c r="M72" s="270" t="e">
        <v>#DIV/0!</v>
      </c>
      <c r="N72" s="270"/>
      <c r="O72" s="270"/>
      <c r="P72" s="270"/>
      <c r="Q72" s="270"/>
      <c r="R72" s="270" t="e">
        <f t="shared" ref="R72:AK72" si="42">R56/(R56+R57)*100</f>
        <v>#DIV/0!</v>
      </c>
      <c r="S72" s="270" t="e">
        <f t="shared" si="42"/>
        <v>#DIV/0!</v>
      </c>
      <c r="T72" s="270" t="e">
        <f>T56/(T56+T57)*100</f>
        <v>#DIV/0!</v>
      </c>
      <c r="U72" s="270" t="e">
        <f t="shared" si="42"/>
        <v>#DIV/0!</v>
      </c>
      <c r="V72" s="270" t="e">
        <f t="shared" si="42"/>
        <v>#DIV/0!</v>
      </c>
      <c r="W72" s="270" t="e">
        <v>#DIV/0!</v>
      </c>
      <c r="X72" s="270" t="e">
        <f t="shared" si="42"/>
        <v>#DIV/0!</v>
      </c>
      <c r="Y72" s="270" t="e">
        <f t="shared" si="42"/>
        <v>#DIV/0!</v>
      </c>
      <c r="Z72" s="270" t="e">
        <f t="shared" si="42"/>
        <v>#DIV/0!</v>
      </c>
      <c r="AA72" s="270" t="e">
        <f t="shared" si="42"/>
        <v>#DIV/0!</v>
      </c>
      <c r="AB72" s="270" t="e">
        <f t="shared" si="42"/>
        <v>#DIV/0!</v>
      </c>
      <c r="AC72" s="270" t="e">
        <f t="shared" si="42"/>
        <v>#DIV/0!</v>
      </c>
      <c r="AD72" s="270" t="e">
        <f t="shared" si="42"/>
        <v>#DIV/0!</v>
      </c>
      <c r="AE72" s="270" t="e">
        <f t="shared" si="42"/>
        <v>#DIV/0!</v>
      </c>
      <c r="AF72" s="270" t="e">
        <f t="shared" si="42"/>
        <v>#DIV/0!</v>
      </c>
      <c r="AG72" s="270" t="e">
        <f t="shared" si="42"/>
        <v>#DIV/0!</v>
      </c>
      <c r="AH72" s="270" t="e">
        <f t="shared" si="42"/>
        <v>#DIV/0!</v>
      </c>
      <c r="AI72" s="270" t="e">
        <f t="shared" si="42"/>
        <v>#DIV/0!</v>
      </c>
      <c r="AJ72" s="270" t="e">
        <f t="shared" si="42"/>
        <v>#DIV/0!</v>
      </c>
      <c r="AK72" s="270" t="e">
        <f t="shared" si="42"/>
        <v>#DIV/0!</v>
      </c>
      <c r="AL72" s="62"/>
      <c r="AM72" s="1495" t="e">
        <f>AM56/(AM57+AM56)*100</f>
        <v>#DIV/0!</v>
      </c>
    </row>
    <row r="73" spans="3:52" ht="15.75" hidden="1" thickBot="1" x14ac:dyDescent="0.3">
      <c r="C73" s="19"/>
      <c r="D73" s="74" t="s">
        <v>60</v>
      </c>
      <c r="E73" s="125">
        <v>40</v>
      </c>
      <c r="F73" s="69" t="s">
        <v>25</v>
      </c>
      <c r="G73" s="270"/>
      <c r="H73" s="270"/>
      <c r="I73" s="270"/>
      <c r="J73" s="270"/>
      <c r="K73" s="270"/>
      <c r="L73" s="270" t="e">
        <f>L57/L55*100</f>
        <v>#DIV/0!</v>
      </c>
      <c r="M73" s="270" t="e">
        <v>#DIV/0!</v>
      </c>
      <c r="N73" s="270"/>
      <c r="O73" s="270"/>
      <c r="P73" s="270"/>
      <c r="Q73" s="270"/>
      <c r="R73" s="270" t="e">
        <f t="shared" ref="R73:AK73" si="43">R57/R55*100</f>
        <v>#DIV/0!</v>
      </c>
      <c r="S73" s="270" t="e">
        <f t="shared" si="43"/>
        <v>#DIV/0!</v>
      </c>
      <c r="T73" s="270" t="e">
        <f>T57/T55*100</f>
        <v>#DIV/0!</v>
      </c>
      <c r="U73" s="270" t="e">
        <f t="shared" si="43"/>
        <v>#DIV/0!</v>
      </c>
      <c r="V73" s="270" t="e">
        <f t="shared" si="43"/>
        <v>#DIV/0!</v>
      </c>
      <c r="W73" s="270" t="e">
        <v>#DIV/0!</v>
      </c>
      <c r="X73" s="270" t="e">
        <f t="shared" si="43"/>
        <v>#DIV/0!</v>
      </c>
      <c r="Y73" s="270" t="e">
        <f t="shared" si="43"/>
        <v>#DIV/0!</v>
      </c>
      <c r="Z73" s="270" t="e">
        <f t="shared" si="43"/>
        <v>#DIV/0!</v>
      </c>
      <c r="AA73" s="270" t="e">
        <f t="shared" si="43"/>
        <v>#DIV/0!</v>
      </c>
      <c r="AB73" s="270" t="e">
        <f t="shared" si="43"/>
        <v>#DIV/0!</v>
      </c>
      <c r="AC73" s="270" t="e">
        <f t="shared" si="43"/>
        <v>#DIV/0!</v>
      </c>
      <c r="AD73" s="270" t="e">
        <f t="shared" si="43"/>
        <v>#DIV/0!</v>
      </c>
      <c r="AE73" s="270" t="e">
        <f t="shared" si="43"/>
        <v>#DIV/0!</v>
      </c>
      <c r="AF73" s="270" t="e">
        <f t="shared" si="43"/>
        <v>#DIV/0!</v>
      </c>
      <c r="AG73" s="270" t="e">
        <f t="shared" si="43"/>
        <v>#DIV/0!</v>
      </c>
      <c r="AH73" s="270" t="e">
        <f t="shared" si="43"/>
        <v>#DIV/0!</v>
      </c>
      <c r="AI73" s="270" t="e">
        <f t="shared" si="43"/>
        <v>#DIV/0!</v>
      </c>
      <c r="AJ73" s="270" t="e">
        <f t="shared" si="43"/>
        <v>#DIV/0!</v>
      </c>
      <c r="AK73" s="270" t="e">
        <f t="shared" si="43"/>
        <v>#DIV/0!</v>
      </c>
      <c r="AL73" s="18"/>
      <c r="AM73" s="297" t="e">
        <f>AM57/(AM56+AM57)*100</f>
        <v>#DIV/0!</v>
      </c>
    </row>
    <row r="74" spans="3:52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25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/>
      <c r="AX74" s="3"/>
    </row>
    <row r="75" spans="3:52" x14ac:dyDescent="0.25">
      <c r="C75" s="8"/>
      <c r="D75" s="232" t="s">
        <v>1121</v>
      </c>
      <c r="E75" s="248">
        <v>9</v>
      </c>
      <c r="F75" s="233" t="s">
        <v>56</v>
      </c>
      <c r="G75" s="271"/>
      <c r="H75" s="271"/>
      <c r="I75" s="271"/>
      <c r="J75" s="271"/>
      <c r="K75" s="271"/>
      <c r="L75" s="271">
        <v>1770</v>
      </c>
      <c r="M75" s="271">
        <v>9750</v>
      </c>
      <c r="N75" s="271">
        <v>13246</v>
      </c>
      <c r="O75" s="271">
        <v>14055</v>
      </c>
      <c r="P75" s="271">
        <v>13993</v>
      </c>
      <c r="Q75" s="271">
        <v>14004</v>
      </c>
      <c r="R75" s="2149">
        <v>10832</v>
      </c>
      <c r="S75" s="2018">
        <v>12089</v>
      </c>
      <c r="T75" s="2018">
        <v>10781</v>
      </c>
      <c r="U75" s="1977">
        <v>9986</v>
      </c>
      <c r="V75" s="271">
        <v>5632</v>
      </c>
      <c r="W75" s="1994"/>
      <c r="X75" s="1994"/>
      <c r="Y75" s="1994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M75" s="82">
        <f>SUM(G75:AK75)</f>
        <v>116138</v>
      </c>
      <c r="AN75" s="3"/>
      <c r="AP75" s="3"/>
      <c r="AW75" s="3"/>
      <c r="AX75" s="3"/>
      <c r="AZ75" s="3"/>
    </row>
    <row r="76" spans="3:52" ht="26.25" x14ac:dyDescent="0.25">
      <c r="C76" s="15"/>
      <c r="D76" s="2106" t="s">
        <v>1131</v>
      </c>
      <c r="E76" s="250"/>
      <c r="F76" s="20" t="s">
        <v>25</v>
      </c>
      <c r="G76" s="272"/>
      <c r="H76" s="272"/>
      <c r="I76" s="272"/>
      <c r="J76" s="272"/>
      <c r="K76" s="272"/>
      <c r="L76" s="272">
        <f t="shared" ref="L76" si="44">L75/(L11)*100</f>
        <v>1.0247918572470733</v>
      </c>
      <c r="M76" s="272">
        <f t="shared" ref="M76:Q76" si="45">M75/(M11)*100</f>
        <v>0.666946214037063</v>
      </c>
      <c r="N76" s="272">
        <f t="shared" si="45"/>
        <v>0.64496369827228994</v>
      </c>
      <c r="O76" s="272">
        <f t="shared" si="45"/>
        <v>0.67220982703330923</v>
      </c>
      <c r="P76" s="272">
        <f t="shared" si="45"/>
        <v>0.69956360389491901</v>
      </c>
      <c r="Q76" s="272">
        <f t="shared" si="45"/>
        <v>0.68531026389632455</v>
      </c>
      <c r="R76" s="272">
        <f t="shared" ref="R76:W76" si="46">R75/(R11)*1000</f>
        <v>6.5479151793513379</v>
      </c>
      <c r="S76" s="272">
        <f t="shared" si="46"/>
        <v>6.5862521724444152</v>
      </c>
      <c r="T76" s="272">
        <f t="shared" si="46"/>
        <v>5.8882290581728194</v>
      </c>
      <c r="U76" s="272">
        <f t="shared" si="46"/>
        <v>6.0480598482958108</v>
      </c>
      <c r="V76" s="272" t="e">
        <f t="shared" si="46"/>
        <v>#DIV/0!</v>
      </c>
      <c r="W76" s="272" t="e">
        <f t="shared" si="46"/>
        <v>#DIV/0!</v>
      </c>
      <c r="X76" s="272" t="e">
        <f t="shared" ref="X76:AK76" si="47">X75/(X11)*100</f>
        <v>#DIV/0!</v>
      </c>
      <c r="Y76" s="272" t="e">
        <f t="shared" si="47"/>
        <v>#DIV/0!</v>
      </c>
      <c r="Z76" s="272" t="e">
        <f t="shared" si="47"/>
        <v>#DIV/0!</v>
      </c>
      <c r="AA76" s="272" t="e">
        <f t="shared" si="47"/>
        <v>#DIV/0!</v>
      </c>
      <c r="AB76" s="272" t="e">
        <f t="shared" si="47"/>
        <v>#DIV/0!</v>
      </c>
      <c r="AC76" s="272" t="e">
        <f t="shared" si="47"/>
        <v>#DIV/0!</v>
      </c>
      <c r="AD76" s="272" t="e">
        <f t="shared" si="47"/>
        <v>#DIV/0!</v>
      </c>
      <c r="AE76" s="272" t="e">
        <f t="shared" si="47"/>
        <v>#DIV/0!</v>
      </c>
      <c r="AF76" s="272" t="e">
        <f t="shared" si="47"/>
        <v>#DIV/0!</v>
      </c>
      <c r="AG76" s="272" t="e">
        <f t="shared" si="47"/>
        <v>#DIV/0!</v>
      </c>
      <c r="AH76" s="272" t="e">
        <f t="shared" si="47"/>
        <v>#DIV/0!</v>
      </c>
      <c r="AI76" s="272" t="e">
        <f t="shared" si="47"/>
        <v>#DIV/0!</v>
      </c>
      <c r="AJ76" s="272" t="e">
        <f t="shared" si="47"/>
        <v>#DIV/0!</v>
      </c>
      <c r="AK76" s="272" t="e">
        <f t="shared" si="47"/>
        <v>#DIV/0!</v>
      </c>
      <c r="AM76" s="2122">
        <f>AM75/(AM11)*100</f>
        <v>0.69151429352625726</v>
      </c>
      <c r="AW76" s="3"/>
    </row>
    <row r="77" spans="3:52" hidden="1" x14ac:dyDescent="0.25">
      <c r="C77" s="15"/>
      <c r="D77" s="232" t="s">
        <v>1090</v>
      </c>
      <c r="E77" s="1762">
        <v>40000</v>
      </c>
      <c r="F77" s="233" t="s">
        <v>56</v>
      </c>
      <c r="G77" s="1900"/>
      <c r="H77" s="1899"/>
      <c r="I77" s="1899"/>
      <c r="J77" s="1899"/>
      <c r="K77" s="1899"/>
      <c r="L77" s="1899"/>
      <c r="M77" s="1899"/>
      <c r="N77" s="1899"/>
      <c r="O77" s="1899"/>
      <c r="P77" s="1899"/>
      <c r="Q77" s="1899"/>
      <c r="R77" s="1899"/>
      <c r="S77" s="1933"/>
      <c r="T77" s="1899"/>
      <c r="U77" s="1899"/>
      <c r="V77" s="1900">
        <v>0</v>
      </c>
      <c r="W77" s="1900">
        <v>0</v>
      </c>
      <c r="X77" s="1900">
        <v>0</v>
      </c>
      <c r="Y77" s="1900">
        <v>0</v>
      </c>
      <c r="Z77" s="1900"/>
      <c r="AA77" s="1900">
        <v>0</v>
      </c>
      <c r="AB77" s="1900">
        <v>0</v>
      </c>
      <c r="AC77" s="1900">
        <v>0</v>
      </c>
      <c r="AD77" s="1900">
        <v>0</v>
      </c>
      <c r="AE77" s="1900">
        <v>0</v>
      </c>
      <c r="AF77" s="1900">
        <v>0</v>
      </c>
      <c r="AG77" s="1900">
        <v>0</v>
      </c>
      <c r="AH77" s="1900">
        <v>0</v>
      </c>
      <c r="AI77" s="1900">
        <v>0</v>
      </c>
      <c r="AJ77" s="1900">
        <v>0</v>
      </c>
      <c r="AK77" s="1900">
        <v>0</v>
      </c>
      <c r="AM77" s="82">
        <f>SUM(G77:AK77)</f>
        <v>0</v>
      </c>
    </row>
    <row r="78" spans="3:52" hidden="1" x14ac:dyDescent="0.25">
      <c r="C78" s="15"/>
      <c r="D78" s="21"/>
      <c r="E78" s="250"/>
      <c r="F78" s="20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1930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M78" s="1898"/>
      <c r="AW78" s="16"/>
    </row>
    <row r="79" spans="3:52" hidden="1" x14ac:dyDescent="0.25">
      <c r="C79" s="15"/>
      <c r="D79" s="232" t="s">
        <v>1091</v>
      </c>
      <c r="E79" s="1762">
        <v>40000</v>
      </c>
      <c r="F79" s="233" t="s">
        <v>56</v>
      </c>
      <c r="G79" s="1900"/>
      <c r="H79" s="1899"/>
      <c r="I79" s="1899"/>
      <c r="J79" s="1899"/>
      <c r="K79" s="1899"/>
      <c r="L79" s="1899"/>
      <c r="M79" s="1899"/>
      <c r="N79" s="1899"/>
      <c r="O79" s="1899"/>
      <c r="P79" s="1899"/>
      <c r="Q79" s="1899"/>
      <c r="R79" s="1899"/>
      <c r="S79" s="1933"/>
      <c r="T79" s="1899"/>
      <c r="U79" s="1899"/>
      <c r="V79" s="1899">
        <v>0</v>
      </c>
      <c r="W79" s="1900">
        <v>0</v>
      </c>
      <c r="X79" s="1900">
        <v>0</v>
      </c>
      <c r="Y79" s="1900">
        <v>0</v>
      </c>
      <c r="Z79" s="1900">
        <v>0</v>
      </c>
      <c r="AA79" s="1900">
        <v>0</v>
      </c>
      <c r="AB79" s="1900">
        <v>0</v>
      </c>
      <c r="AC79" s="1900">
        <v>0</v>
      </c>
      <c r="AD79" s="1900">
        <v>0</v>
      </c>
      <c r="AE79" s="1900">
        <v>0</v>
      </c>
      <c r="AF79" s="1900">
        <v>0</v>
      </c>
      <c r="AG79" s="1900">
        <v>0</v>
      </c>
      <c r="AH79" s="1900">
        <v>0</v>
      </c>
      <c r="AI79" s="1900">
        <v>0</v>
      </c>
      <c r="AJ79" s="1900">
        <v>0</v>
      </c>
      <c r="AK79" s="1900">
        <v>0</v>
      </c>
      <c r="AM79" s="82">
        <f>SUM(G79:AK79)</f>
        <v>0</v>
      </c>
    </row>
    <row r="80" spans="3:52" hidden="1" x14ac:dyDescent="0.25">
      <c r="C80" s="15"/>
      <c r="D80" s="21"/>
      <c r="E80" s="250"/>
      <c r="F80" s="20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1930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M80" s="1898"/>
    </row>
    <row r="81" spans="3:61 15027:15040" s="1" customFormat="1" hidden="1" x14ac:dyDescent="0.25">
      <c r="C81" s="8"/>
      <c r="D81" s="234" t="s">
        <v>57</v>
      </c>
      <c r="E81" s="253">
        <v>18</v>
      </c>
      <c r="F81" s="235" t="s">
        <v>56</v>
      </c>
      <c r="G81" s="273"/>
      <c r="H81" s="273"/>
      <c r="I81" s="273"/>
      <c r="J81" s="273"/>
      <c r="K81" s="273"/>
      <c r="L81" s="273">
        <v>0</v>
      </c>
      <c r="M81" s="273">
        <v>0</v>
      </c>
      <c r="N81" s="273">
        <v>0</v>
      </c>
      <c r="O81" s="273">
        <v>0</v>
      </c>
      <c r="P81" s="273">
        <v>0</v>
      </c>
      <c r="Q81" s="273">
        <v>0</v>
      </c>
      <c r="R81" s="273">
        <v>0</v>
      </c>
      <c r="S81" s="1931">
        <v>0</v>
      </c>
      <c r="T81" s="273">
        <v>0</v>
      </c>
      <c r="U81" s="273">
        <v>0</v>
      </c>
      <c r="V81" s="273">
        <v>0</v>
      </c>
      <c r="W81" s="273">
        <v>0</v>
      </c>
      <c r="X81" s="273">
        <v>0</v>
      </c>
      <c r="Y81" s="273">
        <v>0</v>
      </c>
      <c r="Z81" s="273">
        <v>0</v>
      </c>
      <c r="AA81" s="273">
        <v>0</v>
      </c>
      <c r="AB81" s="273">
        <v>0</v>
      </c>
      <c r="AC81" s="273">
        <v>0</v>
      </c>
      <c r="AD81" s="273">
        <v>0</v>
      </c>
      <c r="AE81" s="273">
        <v>0</v>
      </c>
      <c r="AF81" s="273">
        <v>0</v>
      </c>
      <c r="AG81" s="273">
        <v>0</v>
      </c>
      <c r="AH81" s="273">
        <v>0</v>
      </c>
      <c r="AI81" s="273">
        <v>0</v>
      </c>
      <c r="AJ81" s="273">
        <v>0</v>
      </c>
      <c r="AK81" s="273">
        <v>0</v>
      </c>
      <c r="AM81" s="82">
        <f>SUM(G81:AK81)</f>
        <v>0</v>
      </c>
      <c r="BC81" s="511"/>
      <c r="BD81" s="511"/>
      <c r="BI81" s="140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hidden="1" x14ac:dyDescent="0.25">
      <c r="C82" s="15"/>
      <c r="D82" s="232" t="s">
        <v>1122</v>
      </c>
      <c r="E82" s="254"/>
      <c r="F82" s="23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1932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M82" s="298"/>
      <c r="AW82" s="62"/>
      <c r="AX82" s="139"/>
      <c r="BC82" s="511"/>
      <c r="BD82" s="511"/>
      <c r="BI82" s="140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s="1" customFormat="1" hidden="1" x14ac:dyDescent="0.25">
      <c r="C83" s="15"/>
      <c r="D83" s="14"/>
      <c r="E83" s="250"/>
      <c r="F83" s="2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1923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M83" s="1898"/>
      <c r="AW83" s="62"/>
      <c r="AX83" s="139"/>
      <c r="BC83" s="511"/>
      <c r="BD83" s="511"/>
      <c r="BI83" s="140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  <c r="VFL83" s="46"/>
    </row>
    <row r="84" spans="3:61 15027:15040" s="1" customFormat="1" x14ac:dyDescent="0.25">
      <c r="C84" s="15"/>
      <c r="D84" s="232" t="s">
        <v>1123</v>
      </c>
      <c r="E84" s="250"/>
      <c r="F84" s="233" t="s">
        <v>56</v>
      </c>
      <c r="G84" s="2104"/>
      <c r="H84" s="2104"/>
      <c r="I84" s="2104"/>
      <c r="J84" s="2104"/>
      <c r="K84" s="2104"/>
      <c r="L84" s="2104">
        <v>0</v>
      </c>
      <c r="M84" s="2104">
        <v>11000</v>
      </c>
      <c r="N84" s="2104">
        <v>16000</v>
      </c>
      <c r="O84" s="2104">
        <v>15000</v>
      </c>
      <c r="P84" s="2104">
        <v>13000</v>
      </c>
      <c r="Q84" s="2104">
        <v>14000</v>
      </c>
      <c r="R84" s="2104">
        <v>17000</v>
      </c>
      <c r="S84" s="2104">
        <v>8000</v>
      </c>
      <c r="T84" s="2104">
        <v>12000</v>
      </c>
      <c r="U84" s="2104">
        <v>7000</v>
      </c>
      <c r="V84" s="2104">
        <v>0</v>
      </c>
      <c r="W84" s="2104"/>
      <c r="X84" s="2104"/>
      <c r="Y84" s="2104"/>
      <c r="Z84" s="2104"/>
      <c r="AA84" s="2104"/>
      <c r="AB84" s="2104"/>
      <c r="AC84" s="2104"/>
      <c r="AD84" s="2104"/>
      <c r="AE84" s="2104"/>
      <c r="AF84" s="2104"/>
      <c r="AG84" s="2104"/>
      <c r="AH84" s="2104"/>
      <c r="AI84" s="2104"/>
      <c r="AJ84" s="2104"/>
      <c r="AK84" s="2104"/>
      <c r="AM84" s="82">
        <f>SUM(G84:AK84)</f>
        <v>113000</v>
      </c>
      <c r="AW84" s="62"/>
      <c r="AX84" s="139"/>
      <c r="BC84" s="511"/>
      <c r="BD84" s="511"/>
      <c r="BI84" s="140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  <c r="VFL84" s="46"/>
    </row>
    <row r="85" spans="3:61 15027:15040" s="1" customFormat="1" x14ac:dyDescent="0.25">
      <c r="C85" s="15"/>
      <c r="D85" s="14"/>
      <c r="E85" s="250"/>
      <c r="F85" s="20"/>
      <c r="G85" s="270"/>
      <c r="H85" s="270"/>
      <c r="I85" s="270"/>
      <c r="J85" s="270"/>
      <c r="K85" s="270"/>
      <c r="L85" s="270">
        <f t="shared" ref="L85" si="48">L84/L9*100</f>
        <v>0</v>
      </c>
      <c r="M85" s="270">
        <f t="shared" ref="M85:AK85" si="49">M84/M9*100</f>
        <v>0.75245213891360962</v>
      </c>
      <c r="N85" s="270">
        <f t="shared" si="49"/>
        <v>0.77905927618576476</v>
      </c>
      <c r="O85" s="270">
        <f t="shared" si="49"/>
        <v>0.7174064322660717</v>
      </c>
      <c r="P85" s="270">
        <f t="shared" si="49"/>
        <v>0.64991973491273825</v>
      </c>
      <c r="Q85" s="270">
        <f t="shared" si="49"/>
        <v>0.68511451689149838</v>
      </c>
      <c r="R85" s="270">
        <f t="shared" si="49"/>
        <v>1.0276454768184338</v>
      </c>
      <c r="S85" s="270">
        <f t="shared" si="49"/>
        <v>0.43585091719377383</v>
      </c>
      <c r="T85" s="270">
        <f t="shared" si="49"/>
        <v>0.65540069286776581</v>
      </c>
      <c r="U85" s="270">
        <f t="shared" si="49"/>
        <v>0.42395773020299093</v>
      </c>
      <c r="V85" s="270" t="e">
        <f t="shared" si="49"/>
        <v>#DIV/0!</v>
      </c>
      <c r="W85" s="270" t="e">
        <f t="shared" si="49"/>
        <v>#DIV/0!</v>
      </c>
      <c r="X85" s="270" t="e">
        <f t="shared" si="49"/>
        <v>#DIV/0!</v>
      </c>
      <c r="Y85" s="270" t="e">
        <f t="shared" si="49"/>
        <v>#DIV/0!</v>
      </c>
      <c r="Z85" s="270" t="e">
        <f t="shared" si="49"/>
        <v>#DIV/0!</v>
      </c>
      <c r="AA85" s="270" t="e">
        <f t="shared" si="49"/>
        <v>#DIV/0!</v>
      </c>
      <c r="AB85" s="270" t="e">
        <f t="shared" si="49"/>
        <v>#DIV/0!</v>
      </c>
      <c r="AC85" s="270" t="e">
        <f t="shared" si="49"/>
        <v>#DIV/0!</v>
      </c>
      <c r="AD85" s="270" t="e">
        <f t="shared" si="49"/>
        <v>#DIV/0!</v>
      </c>
      <c r="AE85" s="270" t="e">
        <f t="shared" si="49"/>
        <v>#DIV/0!</v>
      </c>
      <c r="AF85" s="270" t="e">
        <f t="shared" si="49"/>
        <v>#DIV/0!</v>
      </c>
      <c r="AG85" s="270" t="e">
        <f t="shared" si="49"/>
        <v>#DIV/0!</v>
      </c>
      <c r="AH85" s="270" t="e">
        <f t="shared" si="49"/>
        <v>#DIV/0!</v>
      </c>
      <c r="AI85" s="270" t="e">
        <f t="shared" si="49"/>
        <v>#DIV/0!</v>
      </c>
      <c r="AJ85" s="270" t="e">
        <f t="shared" si="49"/>
        <v>#DIV/0!</v>
      </c>
      <c r="AK85" s="270" t="e">
        <f t="shared" si="49"/>
        <v>#DIV/0!</v>
      </c>
      <c r="AM85" s="1898">
        <f>AM84/AM9*100</f>
        <v>0.6728298676442428</v>
      </c>
      <c r="AW85" s="62"/>
      <c r="AX85" s="139"/>
      <c r="BC85" s="511"/>
      <c r="BD85" s="511"/>
      <c r="BI85" s="140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  <c r="VFL85" s="46"/>
    </row>
    <row r="86" spans="3:61 15027:15040" x14ac:dyDescent="0.25">
      <c r="C86" s="15"/>
      <c r="D86" s="232" t="s">
        <v>55</v>
      </c>
      <c r="E86" s="248">
        <v>0.6</v>
      </c>
      <c r="F86" s="233" t="s">
        <v>14</v>
      </c>
      <c r="G86" s="1639"/>
      <c r="H86" s="1639"/>
      <c r="I86" s="1639"/>
      <c r="J86" s="1639"/>
      <c r="K86" s="1639"/>
      <c r="L86" s="241">
        <v>90.48</v>
      </c>
      <c r="M86" s="1497">
        <v>661.12599999999998</v>
      </c>
      <c r="N86" s="1639">
        <v>1028.412</v>
      </c>
      <c r="O86" s="1639">
        <v>1068.056</v>
      </c>
      <c r="P86" s="1639">
        <v>1042.404</v>
      </c>
      <c r="Q86" s="1639">
        <v>1040.0719999999999</v>
      </c>
      <c r="R86" s="2143">
        <v>831.35799999999995</v>
      </c>
      <c r="S86" s="2145">
        <v>994.59799999999996</v>
      </c>
      <c r="T86" s="2145">
        <v>884.99400000000003</v>
      </c>
      <c r="U86" s="2163">
        <v>792.88</v>
      </c>
      <c r="V86" s="1497">
        <v>426.75599999999997</v>
      </c>
      <c r="W86" s="2062"/>
      <c r="X86" s="241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  <c r="AK86" s="241"/>
      <c r="AL86" s="302"/>
      <c r="AM86" s="931">
        <f>SUM(G86:AK86)</f>
        <v>8861.1359999999986</v>
      </c>
      <c r="AN86" s="302"/>
      <c r="AO86" s="302"/>
      <c r="AP86" s="302"/>
      <c r="AU86" s="139"/>
    </row>
    <row r="87" spans="3:61 15027:15040" ht="15.75" thickBot="1" x14ac:dyDescent="0.3">
      <c r="C87" s="19"/>
      <c r="D87" s="24"/>
      <c r="E87" s="250"/>
      <c r="F87" s="25" t="s">
        <v>25</v>
      </c>
      <c r="G87" s="275"/>
      <c r="H87" s="275"/>
      <c r="I87" s="275"/>
      <c r="J87" s="275"/>
      <c r="K87" s="275"/>
      <c r="L87" s="275">
        <f>L86/(L9)*100</f>
        <v>5.238597019418937E-2</v>
      </c>
      <c r="M87" s="275">
        <f t="shared" ref="M87:Q87" si="50">M86/(M9)*100</f>
        <v>4.5224152071945363E-2</v>
      </c>
      <c r="N87" s="275">
        <f t="shared" si="50"/>
        <v>5.0074619271297173E-2</v>
      </c>
      <c r="O87" s="275">
        <f t="shared" si="50"/>
        <v>5.1082016294691439E-2</v>
      </c>
      <c r="P87" s="275">
        <f t="shared" si="50"/>
        <v>5.2113763950152159E-2</v>
      </c>
      <c r="Q87" s="275">
        <f t="shared" si="50"/>
        <v>5.0897744700883887E-2</v>
      </c>
      <c r="R87" s="34">
        <f t="shared" ref="R87:AK87" si="51">R86/(R9)*1000</f>
        <v>0.50255369900989377</v>
      </c>
      <c r="S87" s="34">
        <f t="shared" si="51"/>
        <v>0.54187056317386628</v>
      </c>
      <c r="T87" s="34">
        <f t="shared" si="51"/>
        <v>0.48335473398651296</v>
      </c>
      <c r="U87" s="34">
        <f t="shared" si="51"/>
        <v>0.48021086446192496</v>
      </c>
      <c r="V87" s="34" t="e">
        <f t="shared" si="51"/>
        <v>#DIV/0!</v>
      </c>
      <c r="W87" s="34" t="e">
        <f t="shared" si="51"/>
        <v>#DIV/0!</v>
      </c>
      <c r="X87" s="34" t="e">
        <f t="shared" si="51"/>
        <v>#DIV/0!</v>
      </c>
      <c r="Y87" s="34" t="e">
        <f t="shared" si="51"/>
        <v>#DIV/0!</v>
      </c>
      <c r="Z87" s="34" t="e">
        <f t="shared" si="51"/>
        <v>#DIV/0!</v>
      </c>
      <c r="AA87" s="34" t="e">
        <f t="shared" si="51"/>
        <v>#DIV/0!</v>
      </c>
      <c r="AB87" s="34" t="e">
        <f t="shared" si="51"/>
        <v>#DIV/0!</v>
      </c>
      <c r="AC87" s="34" t="e">
        <f t="shared" si="51"/>
        <v>#DIV/0!</v>
      </c>
      <c r="AD87" s="34" t="e">
        <f t="shared" si="51"/>
        <v>#DIV/0!</v>
      </c>
      <c r="AE87" s="34" t="e">
        <f t="shared" si="51"/>
        <v>#DIV/0!</v>
      </c>
      <c r="AF87" s="34" t="e">
        <f t="shared" si="51"/>
        <v>#DIV/0!</v>
      </c>
      <c r="AG87" s="34" t="e">
        <f t="shared" si="51"/>
        <v>#DIV/0!</v>
      </c>
      <c r="AH87" s="34" t="e">
        <f t="shared" si="51"/>
        <v>#DIV/0!</v>
      </c>
      <c r="AI87" s="34" t="e">
        <f t="shared" si="51"/>
        <v>#DIV/0!</v>
      </c>
      <c r="AJ87" s="34" t="e">
        <f t="shared" si="51"/>
        <v>#DIV/0!</v>
      </c>
      <c r="AK87" s="34" t="e">
        <f t="shared" si="51"/>
        <v>#DIV/0!</v>
      </c>
      <c r="AM87" s="1917">
        <f>AM86/AM9*1000</f>
        <v>0.52761389044757823</v>
      </c>
    </row>
    <row r="88" spans="3:61 15027:15040" s="136" customFormat="1" x14ac:dyDescent="0.25">
      <c r="C88" s="137">
        <v>3</v>
      </c>
      <c r="D88" s="236" t="s">
        <v>167</v>
      </c>
      <c r="E88" s="237">
        <v>0.7</v>
      </c>
      <c r="F88" s="2103" t="s">
        <v>25</v>
      </c>
      <c r="G88" s="276"/>
      <c r="H88" s="276"/>
      <c r="I88" s="276"/>
      <c r="J88" s="276"/>
      <c r="K88" s="276"/>
      <c r="L88" s="276">
        <f>((SUM(L19:L21))-(SUM(L9)))/(SUM(L9))*100</f>
        <v>-1.5777162774001552</v>
      </c>
      <c r="M88" s="276">
        <f>((SUM(M19:M21))-(SUM(M9)))/(SUM(M9))*100</f>
        <v>-2.5192097610827648</v>
      </c>
      <c r="N88" s="276">
        <f t="shared" ref="N88:AK88" si="52">((SUM(N19:N21))-(SUM(N9)))/(SUM(N9))*100</f>
        <v>-4.1557456351986772</v>
      </c>
      <c r="O88" s="276">
        <f>((SUM(O19:O21))-(SUM(O9)))/(SUM(O9))*100</f>
        <v>-8.9149705982930511E-2</v>
      </c>
      <c r="P88" s="276">
        <f t="shared" si="52"/>
        <v>-1.2002517689065402</v>
      </c>
      <c r="Q88" s="276">
        <f t="shared" si="52"/>
        <v>-1.4834686760749203</v>
      </c>
      <c r="R88" s="276">
        <f t="shared" si="52"/>
        <v>-1.4355602813814214</v>
      </c>
      <c r="S88" s="276">
        <f t="shared" si="52"/>
        <v>-0.48112493121727712</v>
      </c>
      <c r="T88" s="276">
        <f t="shared" si="52"/>
        <v>-0.50875478783860317</v>
      </c>
      <c r="U88" s="276">
        <f t="shared" si="52"/>
        <v>-0.85263956082824377</v>
      </c>
      <c r="V88" s="276" t="e">
        <f t="shared" si="52"/>
        <v>#DIV/0!</v>
      </c>
      <c r="W88" s="276" t="e">
        <f t="shared" si="52"/>
        <v>#DIV/0!</v>
      </c>
      <c r="X88" s="276" t="e">
        <f t="shared" si="52"/>
        <v>#DIV/0!</v>
      </c>
      <c r="Y88" s="276" t="e">
        <f t="shared" si="52"/>
        <v>#DIV/0!</v>
      </c>
      <c r="Z88" s="276" t="e">
        <f t="shared" si="52"/>
        <v>#DIV/0!</v>
      </c>
      <c r="AA88" s="276" t="e">
        <f t="shared" si="52"/>
        <v>#DIV/0!</v>
      </c>
      <c r="AB88" s="276" t="e">
        <f t="shared" si="52"/>
        <v>#DIV/0!</v>
      </c>
      <c r="AC88" s="276" t="e">
        <f t="shared" si="52"/>
        <v>#DIV/0!</v>
      </c>
      <c r="AD88" s="276" t="e">
        <f t="shared" si="52"/>
        <v>#DIV/0!</v>
      </c>
      <c r="AE88" s="276" t="e">
        <f t="shared" si="52"/>
        <v>#DIV/0!</v>
      </c>
      <c r="AF88" s="276" t="e">
        <f t="shared" si="52"/>
        <v>#DIV/0!</v>
      </c>
      <c r="AG88" s="276" t="e">
        <f t="shared" si="52"/>
        <v>#DIV/0!</v>
      </c>
      <c r="AH88" s="276" t="e">
        <f t="shared" si="52"/>
        <v>#DIV/0!</v>
      </c>
      <c r="AI88" s="276" t="e">
        <f t="shared" si="52"/>
        <v>#DIV/0!</v>
      </c>
      <c r="AJ88" s="276" t="e">
        <f t="shared" si="52"/>
        <v>#DIV/0!</v>
      </c>
      <c r="AK88" s="276" t="e">
        <f t="shared" si="52"/>
        <v>#DIV/0!</v>
      </c>
      <c r="AM88" s="300">
        <f>((SUM(AM18:AM21))-(SUM(AM9)))/(SUM(AM9))*100</f>
        <v>-1.4115137028649929</v>
      </c>
      <c r="AW88" s="1"/>
      <c r="AX88" s="2114"/>
      <c r="BC88" s="2119"/>
      <c r="BD88" s="2119"/>
      <c r="BI88" s="146"/>
    </row>
    <row r="89" spans="3:61 15027:15040" s="136" customFormat="1" x14ac:dyDescent="0.25">
      <c r="C89" s="137"/>
      <c r="D89" s="305"/>
      <c r="E89" s="306"/>
      <c r="F89" s="307" t="s">
        <v>14</v>
      </c>
      <c r="G89" s="308"/>
      <c r="H89" s="308"/>
      <c r="I89" s="308"/>
      <c r="J89" s="308"/>
      <c r="K89" s="308"/>
      <c r="L89" s="308">
        <f t="shared" ref="L89" si="53">L88%*L9</f>
        <v>-2725</v>
      </c>
      <c r="M89" s="308">
        <f t="shared" ref="M89:AK89" si="54">M88%*M9</f>
        <v>-36828</v>
      </c>
      <c r="N89" s="308">
        <f>N88%*N9</f>
        <v>-85349</v>
      </c>
      <c r="O89" s="308">
        <f t="shared" si="54"/>
        <v>-1864</v>
      </c>
      <c r="P89" s="308">
        <f t="shared" si="54"/>
        <v>-24008</v>
      </c>
      <c r="Q89" s="308">
        <f t="shared" si="54"/>
        <v>-30314</v>
      </c>
      <c r="R89" s="308">
        <f t="shared" si="54"/>
        <v>-23748</v>
      </c>
      <c r="S89" s="308">
        <f t="shared" si="54"/>
        <v>-8831</v>
      </c>
      <c r="T89" s="308">
        <f t="shared" si="54"/>
        <v>-9315</v>
      </c>
      <c r="U89" s="308">
        <f t="shared" si="54"/>
        <v>-14077.999999999998</v>
      </c>
      <c r="V89" s="308" t="e">
        <f t="shared" si="54"/>
        <v>#DIV/0!</v>
      </c>
      <c r="W89" s="308" t="e">
        <f t="shared" si="54"/>
        <v>#DIV/0!</v>
      </c>
      <c r="X89" s="308" t="e">
        <f t="shared" si="54"/>
        <v>#DIV/0!</v>
      </c>
      <c r="Y89" s="308" t="e">
        <f t="shared" si="54"/>
        <v>#DIV/0!</v>
      </c>
      <c r="Z89" s="308" t="e">
        <f t="shared" si="54"/>
        <v>#DIV/0!</v>
      </c>
      <c r="AA89" s="308" t="e">
        <f t="shared" si="54"/>
        <v>#DIV/0!</v>
      </c>
      <c r="AB89" s="308" t="e">
        <f t="shared" si="54"/>
        <v>#DIV/0!</v>
      </c>
      <c r="AC89" s="308" t="e">
        <f t="shared" si="54"/>
        <v>#DIV/0!</v>
      </c>
      <c r="AD89" s="308" t="e">
        <f t="shared" si="54"/>
        <v>#DIV/0!</v>
      </c>
      <c r="AE89" s="308" t="e">
        <f t="shared" si="54"/>
        <v>#DIV/0!</v>
      </c>
      <c r="AF89" s="308" t="e">
        <f t="shared" si="54"/>
        <v>#DIV/0!</v>
      </c>
      <c r="AG89" s="308" t="e">
        <f t="shared" si="54"/>
        <v>#DIV/0!</v>
      </c>
      <c r="AH89" s="308" t="e">
        <f t="shared" si="54"/>
        <v>#DIV/0!</v>
      </c>
      <c r="AI89" s="308" t="e">
        <f t="shared" si="54"/>
        <v>#DIV/0!</v>
      </c>
      <c r="AJ89" s="308" t="e">
        <f t="shared" si="54"/>
        <v>#DIV/0!</v>
      </c>
      <c r="AK89" s="308" t="e">
        <f t="shared" si="54"/>
        <v>#DIV/0!</v>
      </c>
      <c r="AM89" s="309">
        <f>AM88%*AM9</f>
        <v>-237060</v>
      </c>
      <c r="AW89" s="62"/>
      <c r="BC89" s="2119"/>
      <c r="BD89" s="2119"/>
      <c r="BI89" s="146"/>
    </row>
    <row r="90" spans="3:61 15027:15040" s="62" customFormat="1" x14ac:dyDescent="0.25">
      <c r="C90" s="68"/>
      <c r="D90" s="232" t="s">
        <v>54</v>
      </c>
      <c r="E90" s="255">
        <v>22</v>
      </c>
      <c r="F90" s="233" t="s">
        <v>25</v>
      </c>
      <c r="G90" s="277"/>
      <c r="H90" s="277"/>
      <c r="I90" s="277"/>
      <c r="J90" s="277"/>
      <c r="K90" s="277"/>
      <c r="L90" s="277"/>
      <c r="M90" s="277">
        <v>17.18</v>
      </c>
      <c r="N90" s="277">
        <v>17.18</v>
      </c>
      <c r="O90" s="277">
        <v>17.14</v>
      </c>
      <c r="P90" s="277">
        <v>17.13</v>
      </c>
      <c r="Q90" s="277">
        <v>17.100000000000001</v>
      </c>
      <c r="R90" s="277">
        <v>17.100000000000001</v>
      </c>
      <c r="S90" s="277">
        <v>17.13</v>
      </c>
      <c r="T90" s="277">
        <v>17.13</v>
      </c>
      <c r="U90" s="277">
        <v>17.100000000000001</v>
      </c>
      <c r="V90" s="277">
        <v>17.16</v>
      </c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  <c r="AH90" s="277"/>
      <c r="AI90" s="277"/>
      <c r="AJ90" s="277"/>
      <c r="AK90" s="277"/>
      <c r="AM90" s="303">
        <f>AVERAGE(G90:AK90)</f>
        <v>17.134999999999998</v>
      </c>
      <c r="AN90" s="782"/>
      <c r="AW90" s="16"/>
      <c r="BC90" s="2118"/>
      <c r="BD90" s="2118"/>
      <c r="BI90" s="142"/>
    </row>
    <row r="91" spans="3:61 15027:15040" s="62" customFormat="1" ht="15.75" thickBot="1" x14ac:dyDescent="0.3">
      <c r="C91" s="85"/>
      <c r="D91" s="86" t="s">
        <v>53</v>
      </c>
      <c r="E91" s="250"/>
      <c r="F91" s="87" t="s">
        <v>14</v>
      </c>
      <c r="G91" s="272"/>
      <c r="H91" s="272"/>
      <c r="I91" s="272"/>
      <c r="J91" s="272"/>
      <c r="K91" s="272"/>
      <c r="L91" s="272">
        <f t="shared" ref="L91" si="55">SUM(L75,L81)+(L90%*SUM(L75,L81))</f>
        <v>1770</v>
      </c>
      <c r="M91" s="272">
        <f t="shared" ref="M91:AK91" si="56">SUM(M75,M81)+(M90%*SUM(M75,M81))</f>
        <v>11425.05</v>
      </c>
      <c r="N91" s="272">
        <f t="shared" si="56"/>
        <v>15521.6628</v>
      </c>
      <c r="O91" s="272">
        <f t="shared" si="56"/>
        <v>16464.027000000002</v>
      </c>
      <c r="P91" s="272">
        <f t="shared" si="56"/>
        <v>16390.000899999999</v>
      </c>
      <c r="Q91" s="272">
        <f t="shared" si="56"/>
        <v>16398.684000000001</v>
      </c>
      <c r="R91" s="272">
        <f t="shared" si="56"/>
        <v>12684.272000000001</v>
      </c>
      <c r="S91" s="272">
        <f t="shared" si="56"/>
        <v>14159.8457</v>
      </c>
      <c r="T91" s="272">
        <f t="shared" si="56"/>
        <v>12627.7853</v>
      </c>
      <c r="U91" s="272">
        <f t="shared" si="56"/>
        <v>11693.606</v>
      </c>
      <c r="V91" s="272">
        <f t="shared" si="56"/>
        <v>6598.4511999999995</v>
      </c>
      <c r="W91" s="272">
        <f t="shared" si="56"/>
        <v>0</v>
      </c>
      <c r="X91" s="272">
        <f t="shared" si="56"/>
        <v>0</v>
      </c>
      <c r="Y91" s="272">
        <f t="shared" si="56"/>
        <v>0</v>
      </c>
      <c r="Z91" s="272">
        <f t="shared" si="56"/>
        <v>0</v>
      </c>
      <c r="AA91" s="272">
        <f t="shared" si="56"/>
        <v>0</v>
      </c>
      <c r="AB91" s="272">
        <f t="shared" si="56"/>
        <v>0</v>
      </c>
      <c r="AC91" s="272">
        <f t="shared" si="56"/>
        <v>0</v>
      </c>
      <c r="AD91" s="272">
        <f t="shared" si="56"/>
        <v>0</v>
      </c>
      <c r="AE91" s="272">
        <f t="shared" si="56"/>
        <v>0</v>
      </c>
      <c r="AF91" s="272">
        <f t="shared" si="56"/>
        <v>0</v>
      </c>
      <c r="AG91" s="272">
        <f t="shared" si="56"/>
        <v>0</v>
      </c>
      <c r="AH91" s="272">
        <f t="shared" si="56"/>
        <v>0</v>
      </c>
      <c r="AI91" s="272">
        <f t="shared" si="56"/>
        <v>0</v>
      </c>
      <c r="AJ91" s="272">
        <f t="shared" si="56"/>
        <v>0</v>
      </c>
      <c r="AK91" s="272">
        <f t="shared" si="56"/>
        <v>0</v>
      </c>
      <c r="AM91" s="930">
        <f>SUM(AM75,AM81)+(AM90%*SUM(AM75,AM81))/AM6</f>
        <v>117947.1133</v>
      </c>
      <c r="AU91" s="783"/>
      <c r="AW91" s="1"/>
      <c r="BC91" s="2118"/>
      <c r="BD91" s="2118"/>
      <c r="BI91" s="142"/>
    </row>
    <row r="92" spans="3:61 15027:15040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25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3"/>
      <c r="AM92" s="78" t="s">
        <v>129</v>
      </c>
    </row>
    <row r="93" spans="3:61 15027:15040" s="2" customFormat="1" ht="15" hidden="1" customHeight="1" x14ac:dyDescent="0.25">
      <c r="C93" s="8"/>
      <c r="D93" s="26" t="s">
        <v>51</v>
      </c>
      <c r="E93" s="88"/>
      <c r="F93" s="12" t="s">
        <v>14</v>
      </c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1934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"/>
      <c r="AM93" s="89">
        <v>0</v>
      </c>
      <c r="AW93" s="1"/>
      <c r="BC93" s="2117"/>
      <c r="BD93" s="2117"/>
      <c r="BI93" s="145"/>
    </row>
    <row r="94" spans="3:61 15027:15040" s="1" customFormat="1" ht="15" hidden="1" customHeight="1" x14ac:dyDescent="0.25">
      <c r="C94" s="15"/>
      <c r="D94" s="28" t="s">
        <v>46</v>
      </c>
      <c r="E94" s="90"/>
      <c r="F94" s="20" t="s">
        <v>14</v>
      </c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1935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"/>
      <c r="AM94" s="89">
        <v>0</v>
      </c>
      <c r="BC94" s="511"/>
      <c r="BD94" s="511"/>
      <c r="BI94" s="141"/>
    </row>
    <row r="95" spans="3:61 15027:15040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/>
      <c r="H95" s="34"/>
      <c r="I95" s="34"/>
      <c r="J95" s="34"/>
      <c r="K95" s="34"/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1923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/>
      <c r="AJ95" s="34"/>
      <c r="AK95" s="34"/>
      <c r="AM95" s="58">
        <v>0</v>
      </c>
      <c r="AW95" s="16"/>
      <c r="BC95" s="511"/>
      <c r="BD95" s="511"/>
      <c r="BI95" s="141"/>
    </row>
    <row r="96" spans="3:61 15027:15040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/>
      <c r="H96" s="34"/>
      <c r="I96" s="34"/>
      <c r="J96" s="34"/>
      <c r="K96" s="34"/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1923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/>
      <c r="AK96" s="34"/>
      <c r="AM96" s="58">
        <v>0</v>
      </c>
      <c r="BC96" s="511"/>
      <c r="BD96" s="511"/>
      <c r="BI96" s="141"/>
    </row>
    <row r="97" spans="3:61 15027:15419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/>
      <c r="H97" s="34"/>
      <c r="I97" s="34"/>
      <c r="J97" s="34"/>
      <c r="K97" s="34"/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1923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/>
      <c r="AK97" s="34"/>
      <c r="AM97" s="58">
        <v>0</v>
      </c>
      <c r="BC97" s="511"/>
      <c r="BD97" s="511"/>
      <c r="BI97" s="141"/>
    </row>
    <row r="98" spans="3:61 15027:15419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2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29</v>
      </c>
      <c r="BC98" s="511"/>
      <c r="BD98" s="511"/>
      <c r="BI98" s="141"/>
    </row>
    <row r="99" spans="3:61 15027:15419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2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4">
        <v>0</v>
      </c>
      <c r="AW99" s="1"/>
      <c r="BC99" s="511"/>
      <c r="BD99" s="511"/>
      <c r="BI99" s="147"/>
    </row>
    <row r="100" spans="3:61 15027:15419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2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54">
        <v>0</v>
      </c>
      <c r="AW100" s="1">
        <v>37542</v>
      </c>
      <c r="BC100" s="511"/>
      <c r="BD100" s="511"/>
      <c r="BI100" s="147"/>
    </row>
    <row r="101" spans="3:61 15027:15419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2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M101" s="63" t="s">
        <v>28</v>
      </c>
      <c r="BC101" s="511"/>
      <c r="BD101" s="511"/>
      <c r="BI101" s="141"/>
    </row>
    <row r="102" spans="3:61 15027:15419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/>
      <c r="H102" s="33"/>
      <c r="I102" s="33"/>
      <c r="J102" s="33"/>
      <c r="K102" s="33"/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22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/>
      <c r="AK102" s="33"/>
      <c r="AM102" s="54">
        <v>0</v>
      </c>
      <c r="BC102" s="511"/>
      <c r="BD102" s="511"/>
      <c r="BI102" s="141"/>
    </row>
    <row r="103" spans="3:61 15027:15419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/>
      <c r="H103" s="33"/>
      <c r="I103" s="33"/>
      <c r="J103" s="33"/>
      <c r="K103" s="33"/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1922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/>
      <c r="AK103" s="33"/>
      <c r="AM103" s="54">
        <v>0</v>
      </c>
      <c r="BC103" s="511"/>
      <c r="BD103" s="511"/>
      <c r="BI103" s="141"/>
    </row>
    <row r="104" spans="3:61 15027:15419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0"/>
      <c r="H104" s="280"/>
      <c r="I104" s="280"/>
      <c r="J104" s="280"/>
      <c r="K104" s="280"/>
      <c r="L104" s="280">
        <v>0</v>
      </c>
      <c r="M104" s="280">
        <v>0</v>
      </c>
      <c r="N104" s="280">
        <v>0</v>
      </c>
      <c r="O104" s="280">
        <v>0</v>
      </c>
      <c r="P104" s="280">
        <v>0</v>
      </c>
      <c r="Q104" s="280">
        <v>0</v>
      </c>
      <c r="R104" s="280">
        <v>0</v>
      </c>
      <c r="S104" s="1936">
        <v>0</v>
      </c>
      <c r="T104" s="280">
        <v>0</v>
      </c>
      <c r="U104" s="280">
        <v>0</v>
      </c>
      <c r="V104" s="280">
        <v>0</v>
      </c>
      <c r="W104" s="280">
        <v>0</v>
      </c>
      <c r="X104" s="280">
        <v>0</v>
      </c>
      <c r="Y104" s="280">
        <v>0</v>
      </c>
      <c r="Z104" s="280">
        <v>0</v>
      </c>
      <c r="AA104" s="280">
        <v>0</v>
      </c>
      <c r="AB104" s="280">
        <v>0</v>
      </c>
      <c r="AC104" s="280">
        <v>0</v>
      </c>
      <c r="AD104" s="280">
        <v>0</v>
      </c>
      <c r="AE104" s="280">
        <v>0</v>
      </c>
      <c r="AF104" s="280">
        <v>0</v>
      </c>
      <c r="AG104" s="280">
        <v>0</v>
      </c>
      <c r="AH104" s="280">
        <v>0</v>
      </c>
      <c r="AI104" s="280"/>
      <c r="AJ104" s="280"/>
      <c r="AK104" s="280"/>
      <c r="AM104" s="54">
        <v>0</v>
      </c>
      <c r="BC104" s="511"/>
      <c r="BD104" s="511"/>
      <c r="BI104" s="141"/>
    </row>
    <row r="105" spans="3:61 15027:15419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/>
      <c r="H105" s="33"/>
      <c r="I105" s="33"/>
      <c r="J105" s="33"/>
      <c r="K105" s="33"/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1922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/>
      <c r="AK105" s="33"/>
      <c r="AM105" s="54">
        <v>0</v>
      </c>
      <c r="BC105" s="511"/>
      <c r="BD105" s="511"/>
      <c r="BI105" s="141"/>
    </row>
    <row r="106" spans="3:61 15027:15419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25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3"/>
      <c r="AM106" s="78" t="s">
        <v>130</v>
      </c>
      <c r="BC106" s="511"/>
      <c r="BD106" s="511"/>
      <c r="BI106" s="140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  <c r="VUA106" s="46"/>
    </row>
    <row r="107" spans="3:61 15027:15419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2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29</v>
      </c>
      <c r="BC107" s="511"/>
      <c r="BD107" s="511"/>
      <c r="BI107" s="141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2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54">
        <v>0</v>
      </c>
      <c r="BC108" s="511"/>
      <c r="BD108" s="511"/>
      <c r="BI108" s="141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2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54">
        <v>0</v>
      </c>
      <c r="BC109" s="511"/>
      <c r="BD109" s="511"/>
      <c r="BI109" s="141"/>
    </row>
    <row r="110" spans="3:61 15027:15419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2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3" t="s">
        <v>28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C110" s="511"/>
      <c r="BD110" s="511"/>
      <c r="BI110" s="141"/>
    </row>
    <row r="111" spans="3:61 15027:15419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/>
      <c r="H111" s="33"/>
      <c r="I111" s="33"/>
      <c r="J111" s="33"/>
      <c r="K111" s="33"/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1922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/>
      <c r="AJ111" s="33"/>
      <c r="AK111" s="33"/>
      <c r="AM111" s="54">
        <v>0</v>
      </c>
      <c r="AQ111" s="145"/>
      <c r="AR111" s="141"/>
      <c r="AS111" s="141"/>
      <c r="AT111" s="141"/>
      <c r="AU111" s="148"/>
      <c r="AV111" s="141"/>
      <c r="AW111" s="141"/>
      <c r="AX111" s="141"/>
      <c r="AY111" s="141"/>
      <c r="AZ111" s="141"/>
      <c r="BC111" s="511"/>
      <c r="BD111" s="511"/>
      <c r="BI111" s="141"/>
    </row>
    <row r="112" spans="3:61 15027:15419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/>
      <c r="H112" s="33"/>
      <c r="I112" s="33"/>
      <c r="J112" s="33"/>
      <c r="K112" s="33"/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1922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/>
      <c r="AK112" s="33"/>
      <c r="AM112" s="54">
        <v>0</v>
      </c>
      <c r="AQ112" s="140"/>
      <c r="AR112" s="141"/>
      <c r="AS112" s="141"/>
      <c r="AT112" s="141"/>
      <c r="AU112" s="141"/>
      <c r="AV112" s="141"/>
      <c r="AW112" s="141"/>
      <c r="AX112" s="141"/>
      <c r="AY112" s="141"/>
      <c r="AZ112" s="141"/>
      <c r="BC112" s="511"/>
      <c r="BD112" s="511"/>
      <c r="BI112" s="141"/>
    </row>
    <row r="113" spans="3:61 15027:15419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25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3"/>
      <c r="AM113" s="78" t="s">
        <v>130</v>
      </c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</row>
    <row r="114" spans="3:61 15027:15419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2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M114" s="63" t="s">
        <v>29</v>
      </c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C114" s="511"/>
      <c r="BD114" s="511"/>
      <c r="BI114" s="141"/>
    </row>
    <row r="115" spans="3:61 15027:15419" s="1" customFormat="1" ht="15" hidden="1" customHeight="1" x14ac:dyDescent="0.25">
      <c r="C115" s="15"/>
      <c r="D115" s="14" t="s">
        <v>49</v>
      </c>
      <c r="E115" s="125">
        <v>0.3</v>
      </c>
      <c r="F115" s="20" t="s">
        <v>25</v>
      </c>
      <c r="G115" s="34"/>
      <c r="H115" s="34"/>
      <c r="I115" s="34"/>
      <c r="J115" s="34"/>
      <c r="K115" s="34"/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23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/>
      <c r="AM115" s="58" t="e">
        <v>#DIV/0!</v>
      </c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C115" s="511"/>
      <c r="BD115" s="511"/>
      <c r="BI115" s="141"/>
    </row>
    <row r="116" spans="3:61 15027:15419" s="1" customFormat="1" ht="15" hidden="1" customHeight="1" x14ac:dyDescent="0.25">
      <c r="C116" s="15"/>
      <c r="D116" s="14" t="s">
        <v>48</v>
      </c>
      <c r="E116" s="125">
        <v>0.3</v>
      </c>
      <c r="F116" s="20" t="s">
        <v>25</v>
      </c>
      <c r="G116" s="34"/>
      <c r="H116" s="34"/>
      <c r="I116" s="34"/>
      <c r="J116" s="34"/>
      <c r="K116" s="34"/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23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/>
      <c r="AK116" s="34"/>
      <c r="AM116" s="58" t="e">
        <v>#DIV/0!</v>
      </c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C116" s="511"/>
      <c r="BD116" s="511"/>
      <c r="BI116" s="141"/>
    </row>
    <row r="117" spans="3:61 15027:15419" s="1" customFormat="1" ht="15" hidden="1" customHeight="1" x14ac:dyDescent="0.25">
      <c r="C117" s="15"/>
      <c r="D117" s="30" t="s">
        <v>28</v>
      </c>
      <c r="E117" s="125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23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M117" s="63" t="s">
        <v>28</v>
      </c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C117" s="511"/>
      <c r="BD117" s="511"/>
      <c r="BI117" s="141"/>
    </row>
    <row r="118" spans="3:61 15027:15419" s="1" customFormat="1" ht="15" hidden="1" customHeight="1" x14ac:dyDescent="0.25">
      <c r="C118" s="15"/>
      <c r="D118" s="14" t="s">
        <v>49</v>
      </c>
      <c r="E118" s="125">
        <v>0.5</v>
      </c>
      <c r="F118" s="20" t="s">
        <v>25</v>
      </c>
      <c r="G118" s="34"/>
      <c r="H118" s="34"/>
      <c r="I118" s="34"/>
      <c r="J118" s="34"/>
      <c r="K118" s="34"/>
      <c r="L118" s="34" t="e">
        <v>#DIV/0!</v>
      </c>
      <c r="M118" s="34" t="e">
        <v>#DIV/0!</v>
      </c>
      <c r="N118" s="34" t="e">
        <v>#DIV/0!</v>
      </c>
      <c r="O118" s="34" t="e">
        <v>#DIV/0!</v>
      </c>
      <c r="P118" s="34" t="e">
        <v>#DIV/0!</v>
      </c>
      <c r="Q118" s="34" t="e">
        <v>#DIV/0!</v>
      </c>
      <c r="R118" s="34" t="e">
        <v>#DIV/0!</v>
      </c>
      <c r="S118" s="1923" t="e">
        <v>#DIV/0!</v>
      </c>
      <c r="T118" s="34" t="e">
        <v>#DIV/0!</v>
      </c>
      <c r="U118" s="34" t="e">
        <v>#DIV/0!</v>
      </c>
      <c r="V118" s="34" t="e">
        <v>#DIV/0!</v>
      </c>
      <c r="W118" s="34" t="e">
        <v>#DIV/0!</v>
      </c>
      <c r="X118" s="34" t="e">
        <v>#DIV/0!</v>
      </c>
      <c r="Y118" s="34" t="e">
        <v>#DIV/0!</v>
      </c>
      <c r="Z118" s="34" t="e">
        <v>#DIV/0!</v>
      </c>
      <c r="AA118" s="34" t="e">
        <v>#DIV/0!</v>
      </c>
      <c r="AB118" s="34" t="e">
        <v>#DIV/0!</v>
      </c>
      <c r="AC118" s="34" t="e">
        <v>#DIV/0!</v>
      </c>
      <c r="AD118" s="34" t="e">
        <v>#DIV/0!</v>
      </c>
      <c r="AE118" s="34" t="e">
        <v>#DIV/0!</v>
      </c>
      <c r="AF118" s="34" t="e">
        <v>#DIV/0!</v>
      </c>
      <c r="AG118" s="34" t="e">
        <v>#DIV/0!</v>
      </c>
      <c r="AH118" s="34" t="e">
        <v>#DIV/0!</v>
      </c>
      <c r="AI118" s="34"/>
      <c r="AJ118" s="34"/>
      <c r="AK118" s="34"/>
      <c r="AM118" s="58" t="e">
        <v>#DIV/0!</v>
      </c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C118" s="511"/>
      <c r="BD118" s="511"/>
      <c r="BI118" s="141"/>
    </row>
    <row r="119" spans="3:61 15027:15419" s="1" customFormat="1" ht="15.75" hidden="1" customHeight="1" x14ac:dyDescent="0.25">
      <c r="C119" s="19"/>
      <c r="D119" s="14" t="s">
        <v>48</v>
      </c>
      <c r="E119" s="125">
        <v>0.5</v>
      </c>
      <c r="F119" s="20" t="s">
        <v>25</v>
      </c>
      <c r="G119" s="34"/>
      <c r="H119" s="34"/>
      <c r="I119" s="34"/>
      <c r="J119" s="34"/>
      <c r="K119" s="34"/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1923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/>
      <c r="AK119" s="34"/>
      <c r="AM119" s="58" t="e">
        <v>#DIV/0!</v>
      </c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C119" s="511"/>
      <c r="BD119" s="511"/>
      <c r="BI119" s="141"/>
    </row>
    <row r="120" spans="3:61 15027:15419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25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3"/>
      <c r="AM120" s="78" t="s">
        <v>129</v>
      </c>
      <c r="AQ120" s="140"/>
      <c r="AR120" s="140"/>
      <c r="AS120" s="141"/>
      <c r="AT120" s="141"/>
      <c r="AU120" s="140"/>
      <c r="AV120" s="141"/>
      <c r="AW120" s="140"/>
      <c r="AX120" s="140"/>
      <c r="AY120" s="140"/>
      <c r="AZ120" s="140"/>
      <c r="BC120" s="511"/>
      <c r="BD120" s="511"/>
      <c r="BI120" s="140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  <c r="VUA120" s="46"/>
    </row>
    <row r="121" spans="3:61 15027:15419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23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"/>
      <c r="AM121" s="89">
        <v>0</v>
      </c>
      <c r="AQ121" s="140"/>
      <c r="AR121" s="141"/>
      <c r="AS121" s="141"/>
      <c r="AT121" s="141"/>
      <c r="AU121" s="140"/>
      <c r="AV121" s="141"/>
      <c r="AW121" s="141"/>
      <c r="AX121" s="141"/>
      <c r="AY121" s="141"/>
      <c r="AZ121" s="141"/>
      <c r="BC121" s="511"/>
      <c r="BD121" s="511"/>
      <c r="BI121" s="141"/>
    </row>
    <row r="122" spans="3:61 15027:15419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/>
      <c r="H122" s="34"/>
      <c r="I122" s="34"/>
      <c r="J122" s="34"/>
      <c r="K122" s="34"/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1923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/>
      <c r="AJ122" s="34"/>
      <c r="AK122" s="34"/>
      <c r="AM122" s="58">
        <v>0</v>
      </c>
      <c r="AQ122" s="149"/>
      <c r="AR122" s="145"/>
      <c r="AS122" s="145"/>
      <c r="AT122" s="145"/>
      <c r="AU122" s="145"/>
      <c r="AV122" s="145"/>
      <c r="AW122" s="141"/>
      <c r="AX122" s="141"/>
      <c r="AY122" s="141"/>
      <c r="AZ122" s="141"/>
      <c r="BC122" s="511"/>
      <c r="BD122" s="511"/>
      <c r="BI122" s="141"/>
    </row>
    <row r="123" spans="3:61 15027:15419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/>
      <c r="H123" s="34"/>
      <c r="I123" s="34"/>
      <c r="J123" s="34"/>
      <c r="K123" s="34"/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1923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/>
      <c r="AJ123" s="34"/>
      <c r="AK123" s="34"/>
      <c r="AM123" s="58">
        <v>0</v>
      </c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C123" s="511"/>
      <c r="BD123" s="511"/>
      <c r="BI123" s="141"/>
    </row>
    <row r="124" spans="3:61 15027:15419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/>
      <c r="H124" s="34"/>
      <c r="I124" s="34"/>
      <c r="J124" s="34"/>
      <c r="K124" s="34"/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1923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/>
      <c r="AK124" s="34"/>
      <c r="AM124" s="58">
        <v>0</v>
      </c>
      <c r="BC124" s="511"/>
      <c r="BD124" s="511"/>
      <c r="BI124" s="141"/>
    </row>
    <row r="125" spans="3:61 15027:15419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2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29</v>
      </c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C125" s="511"/>
      <c r="BD125" s="511"/>
      <c r="BI125" s="141"/>
    </row>
    <row r="126" spans="3:61 15027:15419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2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91">
        <v>0</v>
      </c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C126" s="511"/>
      <c r="BD126" s="511"/>
      <c r="BI126" s="147"/>
    </row>
    <row r="127" spans="3:61 15027:15419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2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91">
        <v>0</v>
      </c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C127" s="511"/>
      <c r="BD127" s="511"/>
      <c r="BI127" s="147"/>
    </row>
    <row r="128" spans="3:61 15027:15419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2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M128" s="63" t="s">
        <v>28</v>
      </c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C128" s="511"/>
      <c r="BD128" s="511"/>
      <c r="BI128" s="141"/>
    </row>
    <row r="129" spans="3:61 15027:15419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/>
      <c r="H129" s="33"/>
      <c r="I129" s="33"/>
      <c r="J129" s="33"/>
      <c r="K129" s="33"/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22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/>
      <c r="AK129" s="33"/>
      <c r="AM129" s="54">
        <v>0</v>
      </c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C129" s="511"/>
      <c r="BD129" s="511"/>
      <c r="BI129" s="141"/>
    </row>
    <row r="130" spans="3:61 15027:15419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/>
      <c r="H130" s="33"/>
      <c r="I130" s="33"/>
      <c r="J130" s="33"/>
      <c r="K130" s="33"/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1922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/>
      <c r="AK130" s="33"/>
      <c r="AM130" s="54">
        <v>0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C130" s="511"/>
      <c r="BD130" s="511"/>
      <c r="BI130" s="141"/>
    </row>
    <row r="131" spans="3:61 15027:15419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/>
      <c r="H131" s="33"/>
      <c r="I131" s="33"/>
      <c r="J131" s="33"/>
      <c r="K131" s="33"/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1922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/>
      <c r="AK131" s="33"/>
      <c r="AM131" s="54">
        <v>0</v>
      </c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C131" s="511"/>
      <c r="BD131" s="511"/>
      <c r="BI131" s="141"/>
    </row>
    <row r="132" spans="3:61 15027:15419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/>
      <c r="H132" s="33"/>
      <c r="I132" s="33"/>
      <c r="J132" s="33"/>
      <c r="K132" s="33"/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1922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/>
      <c r="AK132" s="33"/>
      <c r="AM132" s="54">
        <v>0</v>
      </c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C132" s="511"/>
      <c r="BD132" s="511"/>
      <c r="BI132" s="141"/>
    </row>
    <row r="133" spans="3:61 15027:15419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25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"/>
      <c r="AM133" s="78" t="s">
        <v>130</v>
      </c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C133" s="511"/>
      <c r="BD133" s="511"/>
      <c r="BI133" s="140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  <c r="VUA133" s="46"/>
    </row>
    <row r="134" spans="3:61 15027:15419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2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29</v>
      </c>
      <c r="BC134" s="511"/>
      <c r="BD134" s="511"/>
      <c r="BI134" s="141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2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M135" s="54">
        <v>0</v>
      </c>
      <c r="BC135" s="511"/>
      <c r="BD135" s="511"/>
      <c r="BI135" s="141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2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M136" s="54">
        <v>0</v>
      </c>
      <c r="BC136" s="511"/>
      <c r="BD136" s="511"/>
      <c r="BI136" s="141"/>
    </row>
    <row r="137" spans="3:61 15027:15419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2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3" t="s">
        <v>28</v>
      </c>
      <c r="BC137" s="511"/>
      <c r="BD137" s="511"/>
      <c r="BI137" s="141"/>
    </row>
    <row r="138" spans="3:61 15027:15419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/>
      <c r="H138" s="33"/>
      <c r="I138" s="33"/>
      <c r="J138" s="33"/>
      <c r="K138" s="33"/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1922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  <c r="AI138" s="33"/>
      <c r="AJ138" s="33"/>
      <c r="AK138" s="33"/>
      <c r="AM138" s="54">
        <v>0</v>
      </c>
      <c r="BC138" s="511"/>
      <c r="BD138" s="511"/>
      <c r="BI138" s="141"/>
    </row>
    <row r="139" spans="3:61 15027:15419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/>
      <c r="H139" s="33"/>
      <c r="I139" s="33"/>
      <c r="J139" s="33"/>
      <c r="K139" s="33"/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1922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/>
      <c r="AK139" s="33"/>
      <c r="AM139" s="54">
        <v>0</v>
      </c>
      <c r="BC139" s="511"/>
      <c r="BD139" s="511"/>
      <c r="BI139" s="141"/>
    </row>
    <row r="140" spans="3:61 15027:15419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25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3"/>
      <c r="AM140" s="78" t="s">
        <v>130</v>
      </c>
      <c r="BC140" s="511"/>
      <c r="BD140" s="511"/>
      <c r="BI140" s="140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  <c r="VUA140" s="46"/>
    </row>
    <row r="141" spans="3:61 15027:15419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2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M141" s="63" t="s">
        <v>29</v>
      </c>
      <c r="BC141" s="511"/>
      <c r="BD141" s="511"/>
      <c r="BI141" s="141"/>
    </row>
    <row r="142" spans="3:61 15027:15419" s="1" customFormat="1" ht="15" hidden="1" customHeight="1" x14ac:dyDescent="0.25">
      <c r="C142" s="15"/>
      <c r="D142" s="11" t="s">
        <v>45</v>
      </c>
      <c r="E142" s="125">
        <v>0.3</v>
      </c>
      <c r="F142" s="20" t="s">
        <v>25</v>
      </c>
      <c r="G142" s="34"/>
      <c r="H142" s="34"/>
      <c r="I142" s="34"/>
      <c r="J142" s="34"/>
      <c r="K142" s="34"/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23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/>
      <c r="AM142" s="58" t="e">
        <v>#DIV/0!</v>
      </c>
      <c r="BC142" s="511"/>
      <c r="BD142" s="511"/>
      <c r="BI142" s="141"/>
    </row>
    <row r="143" spans="3:61 15027:15419" s="1" customFormat="1" ht="15" hidden="1" customHeight="1" x14ac:dyDescent="0.25">
      <c r="C143" s="15"/>
      <c r="D143" s="11" t="s">
        <v>44</v>
      </c>
      <c r="E143" s="125">
        <v>0.3</v>
      </c>
      <c r="F143" s="20" t="s">
        <v>25</v>
      </c>
      <c r="G143" s="34"/>
      <c r="H143" s="34"/>
      <c r="I143" s="34"/>
      <c r="J143" s="34"/>
      <c r="K143" s="34"/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23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/>
      <c r="AK143" s="34"/>
      <c r="AM143" s="58" t="e">
        <v>#DIV/0!</v>
      </c>
      <c r="BC143" s="511"/>
      <c r="BD143" s="511"/>
      <c r="BI143" s="141"/>
    </row>
    <row r="144" spans="3:61 15027:15419" s="1" customFormat="1" ht="15" hidden="1" customHeight="1" x14ac:dyDescent="0.25">
      <c r="C144" s="15"/>
      <c r="D144" s="30" t="s">
        <v>28</v>
      </c>
      <c r="E144" s="125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23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M144" s="63" t="s">
        <v>28</v>
      </c>
      <c r="BC144" s="511"/>
      <c r="BD144" s="511"/>
      <c r="BI144" s="141"/>
    </row>
    <row r="145" spans="3:61" s="1" customFormat="1" ht="15" hidden="1" customHeight="1" x14ac:dyDescent="0.25">
      <c r="C145" s="15"/>
      <c r="D145" s="11" t="s">
        <v>45</v>
      </c>
      <c r="E145" s="125">
        <v>0.5</v>
      </c>
      <c r="F145" s="20" t="s">
        <v>25</v>
      </c>
      <c r="G145" s="34"/>
      <c r="H145" s="34"/>
      <c r="I145" s="34"/>
      <c r="J145" s="34"/>
      <c r="K145" s="34"/>
      <c r="L145" s="34" t="e">
        <v>#DIV/0!</v>
      </c>
      <c r="M145" s="34" t="e">
        <v>#DIV/0!</v>
      </c>
      <c r="N145" s="34" t="e">
        <v>#DIV/0!</v>
      </c>
      <c r="O145" s="34" t="e">
        <v>#DIV/0!</v>
      </c>
      <c r="P145" s="34" t="e">
        <v>#DIV/0!</v>
      </c>
      <c r="Q145" s="34" t="e">
        <v>#DIV/0!</v>
      </c>
      <c r="R145" s="34" t="e">
        <v>#DIV/0!</v>
      </c>
      <c r="S145" s="1923" t="e">
        <v>#DIV/0!</v>
      </c>
      <c r="T145" s="34" t="e">
        <v>#DIV/0!</v>
      </c>
      <c r="U145" s="34" t="e">
        <v>#DIV/0!</v>
      </c>
      <c r="V145" s="34" t="e">
        <v>#DIV/0!</v>
      </c>
      <c r="W145" s="34" t="e">
        <v>#DIV/0!</v>
      </c>
      <c r="X145" s="34" t="e">
        <v>#DIV/0!</v>
      </c>
      <c r="Y145" s="34" t="e">
        <v>#DIV/0!</v>
      </c>
      <c r="Z145" s="34" t="e">
        <v>#DIV/0!</v>
      </c>
      <c r="AA145" s="34" t="e">
        <v>#DIV/0!</v>
      </c>
      <c r="AB145" s="34" t="e">
        <v>#DIV/0!</v>
      </c>
      <c r="AC145" s="34" t="e">
        <v>#DIV/0!</v>
      </c>
      <c r="AD145" s="34" t="e">
        <v>#DIV/0!</v>
      </c>
      <c r="AE145" s="34" t="e">
        <v>#DIV/0!</v>
      </c>
      <c r="AF145" s="34" t="e">
        <v>#DIV/0!</v>
      </c>
      <c r="AG145" s="34" t="e">
        <v>#DIV/0!</v>
      </c>
      <c r="AH145" s="34" t="e">
        <v>#DIV/0!</v>
      </c>
      <c r="AI145" s="34"/>
      <c r="AJ145" s="34"/>
      <c r="AK145" s="34"/>
      <c r="AM145" s="58" t="e">
        <v>#DIV/0!</v>
      </c>
      <c r="BC145" s="511"/>
      <c r="BD145" s="511"/>
      <c r="BI145" s="141"/>
    </row>
    <row r="146" spans="3:61" s="1" customFormat="1" ht="15" hidden="1" customHeight="1" x14ac:dyDescent="0.25">
      <c r="C146" s="15"/>
      <c r="D146" s="11" t="s">
        <v>44</v>
      </c>
      <c r="E146" s="125">
        <v>0.5</v>
      </c>
      <c r="F146" s="20" t="s">
        <v>25</v>
      </c>
      <c r="G146" s="34"/>
      <c r="H146" s="34"/>
      <c r="I146" s="34"/>
      <c r="J146" s="34"/>
      <c r="K146" s="34"/>
      <c r="L146" s="34" t="e">
        <v>#DIV/0!</v>
      </c>
      <c r="M146" s="34" t="e">
        <v>#DIV/0!</v>
      </c>
      <c r="N146" s="34" t="e">
        <v>#DIV/0!</v>
      </c>
      <c r="O146" s="34" t="e">
        <v>#DIV/0!</v>
      </c>
      <c r="P146" s="34" t="e">
        <v>#DIV/0!</v>
      </c>
      <c r="Q146" s="34" t="e">
        <v>#DIV/0!</v>
      </c>
      <c r="R146" s="34" t="e">
        <v>#DIV/0!</v>
      </c>
      <c r="S146" s="1923" t="e">
        <v>#DIV/0!</v>
      </c>
      <c r="T146" s="34" t="e">
        <v>#DIV/0!</v>
      </c>
      <c r="U146" s="34" t="e">
        <v>#DIV/0!</v>
      </c>
      <c r="V146" s="34" t="e">
        <v>#DIV/0!</v>
      </c>
      <c r="W146" s="34" t="e">
        <v>#DIV/0!</v>
      </c>
      <c r="X146" s="34" t="e">
        <v>#DIV/0!</v>
      </c>
      <c r="Y146" s="34" t="e">
        <v>#DIV/0!</v>
      </c>
      <c r="Z146" s="34" t="e">
        <v>#DIV/0!</v>
      </c>
      <c r="AA146" s="34" t="e">
        <v>#DIV/0!</v>
      </c>
      <c r="AB146" s="34" t="e">
        <v>#DIV/0!</v>
      </c>
      <c r="AC146" s="34" t="e">
        <v>#DIV/0!</v>
      </c>
      <c r="AD146" s="34" t="e">
        <v>#DIV/0!</v>
      </c>
      <c r="AE146" s="34" t="e">
        <v>#DIV/0!</v>
      </c>
      <c r="AF146" s="34" t="e">
        <v>#DIV/0!</v>
      </c>
      <c r="AG146" s="34" t="e">
        <v>#DIV/0!</v>
      </c>
      <c r="AH146" s="34" t="e">
        <v>#DIV/0!</v>
      </c>
      <c r="AI146" s="34"/>
      <c r="AJ146" s="34"/>
      <c r="AK146" s="34"/>
      <c r="AM146" s="58" t="e">
        <v>#DIV/0!</v>
      </c>
      <c r="BC146" s="511"/>
      <c r="BD146" s="511"/>
      <c r="BI146" s="141"/>
    </row>
    <row r="147" spans="3:61" s="1" customFormat="1" ht="15" hidden="1" customHeight="1" x14ac:dyDescent="0.25">
      <c r="C147" s="15"/>
      <c r="D147" s="47" t="s">
        <v>43</v>
      </c>
      <c r="E147" s="126"/>
      <c r="F147" s="92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1937"/>
      <c r="T147" s="281"/>
      <c r="U147" s="281"/>
      <c r="V147" s="281"/>
      <c r="W147" s="281"/>
      <c r="X147" s="281"/>
      <c r="Y147" s="281"/>
      <c r="Z147" s="281"/>
      <c r="AA147" s="281"/>
      <c r="AB147" s="281"/>
      <c r="AC147" s="281"/>
      <c r="AD147" s="281"/>
      <c r="AE147" s="281"/>
      <c r="AF147" s="281"/>
      <c r="AG147" s="281"/>
      <c r="AH147" s="281"/>
      <c r="AI147" s="281"/>
      <c r="AJ147" s="281"/>
      <c r="AK147" s="281"/>
      <c r="AL147" s="18"/>
      <c r="AM147" s="78" t="s">
        <v>129</v>
      </c>
      <c r="BC147" s="511"/>
      <c r="BD147" s="511"/>
    </row>
    <row r="148" spans="3:61" s="1" customFormat="1" ht="15" hidden="1" customHeight="1" x14ac:dyDescent="0.25">
      <c r="C148" s="15"/>
      <c r="D148" s="28" t="s">
        <v>113</v>
      </c>
      <c r="E148" s="125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24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35"/>
      <c r="AM148" s="89">
        <v>0</v>
      </c>
      <c r="BC148" s="511"/>
      <c r="BD148" s="511"/>
    </row>
    <row r="149" spans="3:61" s="1" customFormat="1" ht="15" hidden="1" customHeight="1" x14ac:dyDescent="0.25">
      <c r="C149" s="15"/>
      <c r="D149" s="28" t="s">
        <v>114</v>
      </c>
      <c r="E149" s="125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23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93">
        <v>0</v>
      </c>
      <c r="BC149" s="511"/>
      <c r="BD149" s="511"/>
    </row>
    <row r="150" spans="3:61" s="1" customFormat="1" ht="15" hidden="1" customHeight="1" x14ac:dyDescent="0.25">
      <c r="C150" s="15"/>
      <c r="D150" s="30" t="s">
        <v>39</v>
      </c>
      <c r="E150" s="125"/>
      <c r="F150" s="20" t="s">
        <v>14</v>
      </c>
      <c r="G150" s="34"/>
      <c r="H150" s="34"/>
      <c r="I150" s="34"/>
      <c r="J150" s="34"/>
      <c r="K150" s="34"/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1923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/>
      <c r="AK150" s="34"/>
      <c r="AL150" s="18"/>
      <c r="AM150" s="58">
        <v>0</v>
      </c>
      <c r="BC150" s="511"/>
      <c r="BD150" s="511"/>
    </row>
    <row r="151" spans="3:61" s="1" customFormat="1" ht="15" hidden="1" customHeight="1" x14ac:dyDescent="0.25">
      <c r="C151" s="15"/>
      <c r="D151" s="30" t="s">
        <v>38</v>
      </c>
      <c r="E151" s="125"/>
      <c r="F151" s="20" t="s">
        <v>14</v>
      </c>
      <c r="G151" s="34"/>
      <c r="H151" s="34"/>
      <c r="I151" s="34"/>
      <c r="J151" s="34"/>
      <c r="K151" s="34"/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1923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/>
      <c r="AK151" s="34"/>
      <c r="AL151" s="18"/>
      <c r="AM151" s="58">
        <v>0</v>
      </c>
      <c r="BC151" s="511"/>
      <c r="BD151" s="511"/>
    </row>
    <row r="152" spans="3:61" s="1" customFormat="1" ht="15" hidden="1" customHeight="1" x14ac:dyDescent="0.25">
      <c r="C152" s="15"/>
      <c r="D152" s="30" t="s">
        <v>29</v>
      </c>
      <c r="E152" s="125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2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29</v>
      </c>
      <c r="BC152" s="511"/>
      <c r="BD152" s="511"/>
    </row>
    <row r="153" spans="3:61" s="1" customFormat="1" ht="15" hidden="1" customHeight="1" x14ac:dyDescent="0.2">
      <c r="C153" s="15"/>
      <c r="D153" s="11" t="s">
        <v>42</v>
      </c>
      <c r="E153" s="125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2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7"/>
      <c r="AM153" s="91">
        <v>0</v>
      </c>
      <c r="BC153" s="511"/>
      <c r="BD153" s="511"/>
    </row>
    <row r="154" spans="3:61" s="1" customFormat="1" ht="15" hidden="1" customHeight="1" x14ac:dyDescent="0.2">
      <c r="C154" s="15"/>
      <c r="D154" s="11" t="s">
        <v>41</v>
      </c>
      <c r="E154" s="125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2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91">
        <v>0</v>
      </c>
      <c r="BC154" s="511"/>
      <c r="BD154" s="511"/>
    </row>
    <row r="155" spans="3:61" s="1" customFormat="1" ht="15" hidden="1" customHeight="1" x14ac:dyDescent="0.25">
      <c r="C155" s="15"/>
      <c r="D155" s="30" t="s">
        <v>28</v>
      </c>
      <c r="E155" s="125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2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6"/>
      <c r="AM155" s="63" t="s">
        <v>28</v>
      </c>
      <c r="BC155" s="511"/>
      <c r="BD155" s="511"/>
    </row>
    <row r="156" spans="3:61" s="1" customFormat="1" ht="15" hidden="1" customHeight="1" x14ac:dyDescent="0.25">
      <c r="C156" s="15"/>
      <c r="D156" s="11" t="s">
        <v>42</v>
      </c>
      <c r="E156" s="125"/>
      <c r="F156" s="20" t="s">
        <v>28</v>
      </c>
      <c r="G156" s="33"/>
      <c r="H156" s="33"/>
      <c r="I156" s="33"/>
      <c r="J156" s="33"/>
      <c r="K156" s="33"/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22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/>
      <c r="AK156" s="33"/>
      <c r="AL156" s="6"/>
      <c r="AM156" s="54">
        <v>0</v>
      </c>
      <c r="BC156" s="511"/>
      <c r="BD156" s="511"/>
    </row>
    <row r="157" spans="3:61" s="1" customFormat="1" ht="15" hidden="1" customHeight="1" x14ac:dyDescent="0.25">
      <c r="C157" s="15"/>
      <c r="D157" s="11" t="s">
        <v>41</v>
      </c>
      <c r="E157" s="125"/>
      <c r="F157" s="20" t="s">
        <v>28</v>
      </c>
      <c r="G157" s="33"/>
      <c r="H157" s="33"/>
      <c r="I157" s="33"/>
      <c r="J157" s="33"/>
      <c r="K157" s="33"/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1922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  <c r="AI157" s="33"/>
      <c r="AJ157" s="33"/>
      <c r="AK157" s="33"/>
      <c r="AL157" s="6"/>
      <c r="AM157" s="54">
        <v>0</v>
      </c>
      <c r="BC157" s="511"/>
      <c r="BD157" s="511"/>
    </row>
    <row r="158" spans="3:61" s="1" customFormat="1" ht="15" hidden="1" customHeight="1" x14ac:dyDescent="0.25">
      <c r="C158" s="15"/>
      <c r="D158" s="30" t="s">
        <v>36</v>
      </c>
      <c r="E158" s="125"/>
      <c r="F158" s="20" t="s">
        <v>35</v>
      </c>
      <c r="G158" s="33"/>
      <c r="H158" s="33"/>
      <c r="I158" s="33"/>
      <c r="J158" s="33"/>
      <c r="K158" s="33"/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1922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/>
      <c r="AK158" s="33"/>
      <c r="AL158" s="6"/>
      <c r="AM158" s="54">
        <v>0</v>
      </c>
      <c r="BC158" s="511"/>
      <c r="BD158" s="511"/>
    </row>
    <row r="159" spans="3:61" s="1" customFormat="1" ht="15" hidden="1" customHeight="1" x14ac:dyDescent="0.25">
      <c r="C159" s="15"/>
      <c r="D159" s="30" t="s">
        <v>34</v>
      </c>
      <c r="E159" s="125"/>
      <c r="F159" s="20" t="s">
        <v>33</v>
      </c>
      <c r="G159" s="33"/>
      <c r="H159" s="33"/>
      <c r="I159" s="33"/>
      <c r="J159" s="33"/>
      <c r="K159" s="33"/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1922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/>
      <c r="AK159" s="33"/>
      <c r="AL159" s="6"/>
      <c r="AM159" s="54">
        <v>0</v>
      </c>
      <c r="BC159" s="511"/>
      <c r="BD159" s="511"/>
    </row>
    <row r="160" spans="3:61" s="1" customFormat="1" ht="15" hidden="1" customHeight="1" x14ac:dyDescent="0.25">
      <c r="C160" s="15"/>
      <c r="D160" s="47" t="s">
        <v>32</v>
      </c>
      <c r="E160" s="126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25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18"/>
      <c r="AM160" s="78" t="s">
        <v>130</v>
      </c>
      <c r="BC160" s="511"/>
      <c r="BD160" s="511"/>
    </row>
    <row r="161" spans="3:61 15027:15419" s="1" customFormat="1" ht="15" hidden="1" customHeight="1" x14ac:dyDescent="0.25">
      <c r="C161" s="15"/>
      <c r="D161" s="30" t="s">
        <v>29</v>
      </c>
      <c r="E161" s="125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2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29</v>
      </c>
      <c r="BC161" s="511"/>
      <c r="BD161" s="511"/>
    </row>
    <row r="162" spans="3:61 15027:15419" s="1" customFormat="1" ht="15" hidden="1" customHeight="1" x14ac:dyDescent="0.25">
      <c r="C162" s="15"/>
      <c r="D162" s="11" t="s">
        <v>42</v>
      </c>
      <c r="E162" s="125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2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18"/>
      <c r="AM162" s="54">
        <v>0</v>
      </c>
      <c r="BC162" s="511"/>
      <c r="BD162" s="511"/>
    </row>
    <row r="163" spans="3:61 15027:15419" s="1" customFormat="1" ht="15" hidden="1" customHeight="1" x14ac:dyDescent="0.25">
      <c r="C163" s="15"/>
      <c r="D163" s="11" t="s">
        <v>41</v>
      </c>
      <c r="E163" s="125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2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18"/>
      <c r="AM163" s="54">
        <v>0</v>
      </c>
      <c r="BC163" s="511"/>
      <c r="BD163" s="511"/>
    </row>
    <row r="164" spans="3:61 15027:15419" s="1" customFormat="1" ht="15" hidden="1" customHeight="1" x14ac:dyDescent="0.25">
      <c r="C164" s="15"/>
      <c r="D164" s="30" t="s">
        <v>28</v>
      </c>
      <c r="E164" s="125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2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63" t="s">
        <v>28</v>
      </c>
      <c r="BC164" s="511"/>
      <c r="BD164" s="511"/>
    </row>
    <row r="165" spans="3:61 15027:15419" s="1" customFormat="1" ht="15" hidden="1" customHeight="1" x14ac:dyDescent="0.25">
      <c r="C165" s="15"/>
      <c r="D165" s="11" t="s">
        <v>42</v>
      </c>
      <c r="E165" s="125"/>
      <c r="F165" s="20" t="s">
        <v>28</v>
      </c>
      <c r="G165" s="33"/>
      <c r="H165" s="33"/>
      <c r="I165" s="33"/>
      <c r="J165" s="33"/>
      <c r="K165" s="33"/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1922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  <c r="AI165" s="33"/>
      <c r="AJ165" s="33"/>
      <c r="AK165" s="33"/>
      <c r="AL165" s="18"/>
      <c r="AM165" s="54">
        <v>0</v>
      </c>
      <c r="BC165" s="511"/>
      <c r="BD165" s="511"/>
    </row>
    <row r="166" spans="3:61 15027:15419" s="1" customFormat="1" ht="15" hidden="1" customHeight="1" x14ac:dyDescent="0.25">
      <c r="C166" s="15"/>
      <c r="D166" s="11" t="s">
        <v>41</v>
      </c>
      <c r="E166" s="125"/>
      <c r="F166" s="20" t="s">
        <v>28</v>
      </c>
      <c r="G166" s="33"/>
      <c r="H166" s="33"/>
      <c r="I166" s="33"/>
      <c r="J166" s="33"/>
      <c r="K166" s="33"/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1922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  <c r="AI166" s="33"/>
      <c r="AJ166" s="33"/>
      <c r="AK166" s="33"/>
      <c r="AL166" s="18"/>
      <c r="AM166" s="54">
        <v>0</v>
      </c>
      <c r="BC166" s="511"/>
      <c r="BD166" s="511"/>
    </row>
    <row r="167" spans="3:61 15027:15419" s="1" customFormat="1" ht="15" hidden="1" customHeight="1" x14ac:dyDescent="0.25">
      <c r="C167" s="15"/>
      <c r="D167" s="47" t="s">
        <v>30</v>
      </c>
      <c r="E167" s="126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25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18"/>
      <c r="AM167" s="95"/>
      <c r="BC167" s="511"/>
      <c r="BD167" s="511"/>
    </row>
    <row r="168" spans="3:61 15027:15419" s="1" customFormat="1" ht="15" hidden="1" customHeight="1" x14ac:dyDescent="0.25">
      <c r="C168" s="15"/>
      <c r="D168" s="30" t="s">
        <v>29</v>
      </c>
      <c r="E168" s="125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2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18"/>
      <c r="AM168" s="54"/>
      <c r="BC168" s="511"/>
      <c r="BD168" s="511"/>
    </row>
    <row r="169" spans="3:61 15027:15419" s="1" customFormat="1" ht="15" hidden="1" customHeight="1" x14ac:dyDescent="0.25">
      <c r="C169" s="15"/>
      <c r="D169" s="11" t="s">
        <v>42</v>
      </c>
      <c r="E169" s="125"/>
      <c r="F169" s="20" t="s">
        <v>25</v>
      </c>
      <c r="G169" s="33"/>
      <c r="H169" s="33"/>
      <c r="I169" s="33"/>
      <c r="J169" s="33"/>
      <c r="K169" s="33"/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22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/>
      <c r="AL169" s="37"/>
      <c r="AM169" s="54" t="e">
        <v>#DIV/0!</v>
      </c>
      <c r="BC169" s="511"/>
      <c r="BD169" s="511"/>
    </row>
    <row r="170" spans="3:61 15027:15419" s="1" customFormat="1" ht="15" hidden="1" customHeight="1" x14ac:dyDescent="0.25">
      <c r="C170" s="15"/>
      <c r="D170" s="11" t="s">
        <v>90</v>
      </c>
      <c r="E170" s="125"/>
      <c r="F170" s="20" t="s">
        <v>25</v>
      </c>
      <c r="G170" s="33"/>
      <c r="H170" s="33"/>
      <c r="I170" s="33"/>
      <c r="J170" s="33"/>
      <c r="K170" s="33"/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22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/>
      <c r="AK170" s="33"/>
      <c r="AL170" s="37"/>
      <c r="AM170" s="54" t="e">
        <v>#DIV/0!</v>
      </c>
      <c r="BC170" s="511"/>
      <c r="BD170" s="511"/>
    </row>
    <row r="171" spans="3:61 15027:15419" s="1" customFormat="1" ht="15" hidden="1" customHeight="1" x14ac:dyDescent="0.25">
      <c r="C171" s="15"/>
      <c r="D171" s="30" t="s">
        <v>28</v>
      </c>
      <c r="E171" s="125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2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7"/>
      <c r="AM171" s="54"/>
      <c r="BC171" s="511"/>
      <c r="BD171" s="511"/>
    </row>
    <row r="172" spans="3:61 15027:15419" s="1" customFormat="1" ht="15" hidden="1" customHeight="1" x14ac:dyDescent="0.25">
      <c r="C172" s="15"/>
      <c r="D172" s="11" t="s">
        <v>42</v>
      </c>
      <c r="E172" s="125"/>
      <c r="F172" s="20" t="s">
        <v>25</v>
      </c>
      <c r="G172" s="33"/>
      <c r="H172" s="33"/>
      <c r="I172" s="33"/>
      <c r="J172" s="33"/>
      <c r="K172" s="33"/>
      <c r="L172" s="33" t="e">
        <v>#DIV/0!</v>
      </c>
      <c r="M172" s="33" t="e">
        <v>#DIV/0!</v>
      </c>
      <c r="N172" s="33" t="e">
        <v>#DIV/0!</v>
      </c>
      <c r="O172" s="33" t="e">
        <v>#DIV/0!</v>
      </c>
      <c r="P172" s="33" t="e">
        <v>#DIV/0!</v>
      </c>
      <c r="Q172" s="33" t="e">
        <v>#DIV/0!</v>
      </c>
      <c r="R172" s="33" t="e">
        <v>#DIV/0!</v>
      </c>
      <c r="S172" s="1922" t="e">
        <v>#DIV/0!</v>
      </c>
      <c r="T172" s="33" t="e">
        <v>#DIV/0!</v>
      </c>
      <c r="U172" s="33" t="e">
        <v>#DIV/0!</v>
      </c>
      <c r="V172" s="33" t="e">
        <v>#DIV/0!</v>
      </c>
      <c r="W172" s="33" t="e">
        <v>#DIV/0!</v>
      </c>
      <c r="X172" s="33" t="e">
        <v>#DIV/0!</v>
      </c>
      <c r="Y172" s="33" t="e">
        <v>#DIV/0!</v>
      </c>
      <c r="Z172" s="33" t="e">
        <v>#DIV/0!</v>
      </c>
      <c r="AA172" s="33" t="e">
        <v>#DIV/0!</v>
      </c>
      <c r="AB172" s="33" t="e">
        <v>#DIV/0!</v>
      </c>
      <c r="AC172" s="33" t="e">
        <v>#DIV/0!</v>
      </c>
      <c r="AD172" s="33" t="e">
        <v>#DIV/0!</v>
      </c>
      <c r="AE172" s="33" t="e">
        <v>#DIV/0!</v>
      </c>
      <c r="AF172" s="33" t="e">
        <v>#DIV/0!</v>
      </c>
      <c r="AG172" s="33" t="e">
        <v>#DIV/0!</v>
      </c>
      <c r="AH172" s="33" t="e">
        <v>#DIV/0!</v>
      </c>
      <c r="AI172" s="33"/>
      <c r="AJ172" s="33"/>
      <c r="AK172" s="33"/>
      <c r="AL172" s="37"/>
      <c r="AM172" s="54" t="e">
        <v>#DIV/0!</v>
      </c>
      <c r="BC172" s="511"/>
      <c r="BD172" s="511"/>
    </row>
    <row r="173" spans="3:61 15027:15419" s="1" customFormat="1" ht="15.75" hidden="1" customHeight="1" x14ac:dyDescent="0.25">
      <c r="C173" s="19"/>
      <c r="D173" s="11" t="s">
        <v>90</v>
      </c>
      <c r="E173" s="125"/>
      <c r="F173" s="20" t="s">
        <v>25</v>
      </c>
      <c r="G173" s="33"/>
      <c r="H173" s="33"/>
      <c r="I173" s="33"/>
      <c r="J173" s="33"/>
      <c r="K173" s="33"/>
      <c r="L173" s="33" t="e">
        <v>#DIV/0!</v>
      </c>
      <c r="M173" s="33" t="e">
        <v>#DIV/0!</v>
      </c>
      <c r="N173" s="33" t="e">
        <v>#DIV/0!</v>
      </c>
      <c r="O173" s="33" t="e">
        <v>#DIV/0!</v>
      </c>
      <c r="P173" s="33" t="e">
        <v>#DIV/0!</v>
      </c>
      <c r="Q173" s="33" t="e">
        <v>#DIV/0!</v>
      </c>
      <c r="R173" s="33" t="e">
        <v>#DIV/0!</v>
      </c>
      <c r="S173" s="1922" t="e">
        <v>#DIV/0!</v>
      </c>
      <c r="T173" s="33" t="e">
        <v>#DIV/0!</v>
      </c>
      <c r="U173" s="33" t="e">
        <v>#DIV/0!</v>
      </c>
      <c r="V173" s="33" t="e">
        <v>#DIV/0!</v>
      </c>
      <c r="W173" s="33" t="e">
        <v>#DIV/0!</v>
      </c>
      <c r="X173" s="33" t="e">
        <v>#DIV/0!</v>
      </c>
      <c r="Y173" s="33" t="e">
        <v>#DIV/0!</v>
      </c>
      <c r="Z173" s="33" t="e">
        <v>#DIV/0!</v>
      </c>
      <c r="AA173" s="33" t="e">
        <v>#DIV/0!</v>
      </c>
      <c r="AB173" s="33" t="e">
        <v>#DIV/0!</v>
      </c>
      <c r="AC173" s="33" t="e">
        <v>#DIV/0!</v>
      </c>
      <c r="AD173" s="33" t="e">
        <v>#DIV/0!</v>
      </c>
      <c r="AE173" s="33" t="e">
        <v>#DIV/0!</v>
      </c>
      <c r="AF173" s="33" t="e">
        <v>#DIV/0!</v>
      </c>
      <c r="AG173" s="33" t="e">
        <v>#DIV/0!</v>
      </c>
      <c r="AH173" s="33" t="e">
        <v>#DIV/0!</v>
      </c>
      <c r="AI173" s="33"/>
      <c r="AJ173" s="33"/>
      <c r="AK173" s="33"/>
      <c r="AL173" s="37"/>
      <c r="AM173" s="54" t="e">
        <v>#DIV/0!</v>
      </c>
      <c r="BC173" s="511"/>
      <c r="BD173" s="511"/>
    </row>
    <row r="174" spans="3:61 15027:15419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25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3"/>
      <c r="AM174" s="78" t="s">
        <v>129</v>
      </c>
      <c r="BC174" s="511"/>
      <c r="BD174" s="511"/>
      <c r="BI174" s="140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  <c r="VUA174" s="46"/>
    </row>
    <row r="175" spans="3:61 15027:15419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24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2"/>
      <c r="AM175" s="89">
        <v>0</v>
      </c>
      <c r="BC175" s="511"/>
      <c r="BD175" s="511"/>
      <c r="BI175" s="141"/>
    </row>
    <row r="176" spans="3:61 15027:15419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/>
      <c r="H176" s="34"/>
      <c r="I176" s="34"/>
      <c r="J176" s="34"/>
      <c r="K176" s="34"/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1923">
        <v>0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/>
      <c r="AJ176" s="34"/>
      <c r="AK176" s="34"/>
      <c r="AM176" s="58">
        <v>0</v>
      </c>
      <c r="BC176" s="511"/>
      <c r="BD176" s="511"/>
      <c r="BI176" s="141"/>
    </row>
    <row r="177" spans="3:61 15027:15419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/>
      <c r="H177" s="34"/>
      <c r="I177" s="34"/>
      <c r="J177" s="34"/>
      <c r="K177" s="34"/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1923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/>
      <c r="AJ177" s="34"/>
      <c r="AK177" s="34"/>
      <c r="AM177" s="58">
        <v>0</v>
      </c>
      <c r="BC177" s="511"/>
      <c r="BD177" s="511"/>
      <c r="BI177" s="141"/>
    </row>
    <row r="178" spans="3:61 15027:15419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2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3" t="s">
        <v>29</v>
      </c>
      <c r="BC178" s="511"/>
      <c r="BD178" s="511"/>
      <c r="BI178" s="141"/>
    </row>
    <row r="179" spans="3:61 15027:15419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2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C179" s="511"/>
      <c r="BD179" s="511"/>
      <c r="BI179" s="141"/>
    </row>
    <row r="180" spans="3:61 15027:15419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2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91">
        <v>0</v>
      </c>
      <c r="BC180" s="511"/>
      <c r="BD180" s="511"/>
      <c r="BI180" s="147"/>
    </row>
    <row r="181" spans="3:61 15027:15419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2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91">
        <v>0</v>
      </c>
      <c r="BC181" s="511"/>
      <c r="BD181" s="511"/>
      <c r="BI181" s="147"/>
    </row>
    <row r="182" spans="3:61 15027:15419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2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M182" s="91">
        <v>0</v>
      </c>
      <c r="BC182" s="511"/>
      <c r="BD182" s="511"/>
      <c r="BI182" s="147"/>
    </row>
    <row r="183" spans="3:61 15027:15419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2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3" t="s">
        <v>28</v>
      </c>
      <c r="BC183" s="511"/>
      <c r="BD183" s="511"/>
      <c r="BI183" s="141"/>
    </row>
    <row r="184" spans="3:61 15027:15419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/>
      <c r="H184" s="33"/>
      <c r="I184" s="33"/>
      <c r="J184" s="33"/>
      <c r="K184" s="33"/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22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/>
      <c r="AM184" s="63"/>
      <c r="BC184" s="511"/>
      <c r="BD184" s="511"/>
      <c r="BI184" s="141"/>
    </row>
    <row r="185" spans="3:61 15027:15419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/>
      <c r="H185" s="33"/>
      <c r="I185" s="33"/>
      <c r="J185" s="33"/>
      <c r="K185" s="33"/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22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/>
      <c r="AM185" s="54">
        <v>0</v>
      </c>
      <c r="BC185" s="511"/>
      <c r="BD185" s="511"/>
      <c r="BI185" s="141"/>
    </row>
    <row r="186" spans="3:61 15027:15419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/>
      <c r="H186" s="33"/>
      <c r="I186" s="33"/>
      <c r="J186" s="33"/>
      <c r="K186" s="33"/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22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/>
      <c r="AK186" s="33"/>
      <c r="AM186" s="54">
        <v>0</v>
      </c>
      <c r="BC186" s="511"/>
      <c r="BD186" s="511"/>
      <c r="BI186" s="141"/>
    </row>
    <row r="187" spans="3:61 15027:15419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/>
      <c r="H187" s="33"/>
      <c r="I187" s="33"/>
      <c r="J187" s="33"/>
      <c r="K187" s="33"/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1922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/>
      <c r="AJ187" s="33"/>
      <c r="AK187" s="33"/>
      <c r="AM187" s="54">
        <v>0</v>
      </c>
      <c r="BC187" s="511"/>
      <c r="BD187" s="511"/>
      <c r="BI187" s="141"/>
    </row>
    <row r="188" spans="3:61 15027:15419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/>
      <c r="H188" s="33"/>
      <c r="I188" s="33"/>
      <c r="J188" s="33"/>
      <c r="K188" s="33"/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22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/>
      <c r="AM188" s="54">
        <v>0</v>
      </c>
      <c r="BC188" s="511"/>
      <c r="BD188" s="511"/>
      <c r="BI188" s="141"/>
    </row>
    <row r="189" spans="3:61 15027:15419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/>
      <c r="H189" s="33"/>
      <c r="I189" s="33"/>
      <c r="J189" s="33"/>
      <c r="K189" s="33"/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22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/>
      <c r="AM189" s="54">
        <v>0</v>
      </c>
      <c r="BC189" s="511"/>
      <c r="BD189" s="511"/>
      <c r="BI189" s="141"/>
    </row>
    <row r="190" spans="3:61 15027:15419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25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3"/>
      <c r="AM190" s="78" t="s">
        <v>130</v>
      </c>
      <c r="BC190" s="511"/>
      <c r="BD190" s="511"/>
      <c r="BI190" s="140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  <c r="VUA190" s="46"/>
    </row>
    <row r="191" spans="3:61 15027:15419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2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3" t="s">
        <v>29</v>
      </c>
      <c r="BC191" s="511"/>
      <c r="BD191" s="511"/>
      <c r="BI191" s="141"/>
    </row>
    <row r="192" spans="3:61 15027:15419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/>
      <c r="H192" s="33"/>
      <c r="I192" s="33"/>
      <c r="J192" s="33"/>
      <c r="K192" s="33"/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22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/>
      <c r="AM192" s="63"/>
      <c r="BC192" s="511"/>
      <c r="BD192" s="511"/>
      <c r="BI192" s="141"/>
    </row>
    <row r="193" spans="3:61 15027:15419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/>
      <c r="H193" s="33"/>
      <c r="I193" s="33"/>
      <c r="J193" s="33"/>
      <c r="K193" s="33"/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22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/>
      <c r="AM193" s="54">
        <v>0</v>
      </c>
      <c r="BC193" s="511"/>
      <c r="BD193" s="511"/>
      <c r="BI193" s="141"/>
    </row>
    <row r="194" spans="3:61 15027:15419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/>
      <c r="H194" s="33"/>
      <c r="I194" s="33"/>
      <c r="J194" s="33"/>
      <c r="K194" s="33"/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22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/>
      <c r="AM194" s="54">
        <v>0</v>
      </c>
      <c r="BC194" s="511"/>
      <c r="BD194" s="511"/>
      <c r="BI194" s="141"/>
    </row>
    <row r="195" spans="3:61 15027:15419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2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M195" s="63" t="s">
        <v>28</v>
      </c>
      <c r="BC195" s="511"/>
      <c r="BD195" s="511"/>
      <c r="BI195" s="141"/>
    </row>
    <row r="196" spans="3:61 15027:15419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/>
      <c r="H196" s="33"/>
      <c r="I196" s="33"/>
      <c r="J196" s="33"/>
      <c r="K196" s="33"/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1922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  <c r="AI196" s="33"/>
      <c r="AJ196" s="33"/>
      <c r="AK196" s="33"/>
      <c r="AM196" s="63"/>
      <c r="BC196" s="511"/>
      <c r="BD196" s="511"/>
      <c r="BI196" s="141"/>
    </row>
    <row r="197" spans="3:61 15027:15419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/>
      <c r="H197" s="33"/>
      <c r="I197" s="33"/>
      <c r="J197" s="33"/>
      <c r="K197" s="33"/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1922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  <c r="AI197" s="33"/>
      <c r="AJ197" s="33"/>
      <c r="AK197" s="33"/>
      <c r="AM197" s="54">
        <v>0</v>
      </c>
      <c r="BC197" s="511"/>
      <c r="BD197" s="511"/>
      <c r="BI197" s="141"/>
    </row>
    <row r="198" spans="3:61 15027:15419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/>
      <c r="H198" s="33"/>
      <c r="I198" s="33"/>
      <c r="J198" s="33"/>
      <c r="K198" s="33"/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1922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0</v>
      </c>
      <c r="AG198" s="33">
        <v>0</v>
      </c>
      <c r="AH198" s="33">
        <v>0</v>
      </c>
      <c r="AI198" s="33"/>
      <c r="AJ198" s="33"/>
      <c r="AK198" s="33"/>
      <c r="AM198" s="54">
        <v>0</v>
      </c>
      <c r="BC198" s="511"/>
      <c r="BD198" s="511"/>
      <c r="BI198" s="141"/>
    </row>
    <row r="199" spans="3:61 15027:15419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25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3"/>
      <c r="AM199" s="78" t="s">
        <v>130</v>
      </c>
      <c r="BC199" s="511"/>
      <c r="BD199" s="511"/>
      <c r="BI199" s="140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  <c r="VUA199" s="46"/>
    </row>
    <row r="200" spans="3:61 15027:15419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2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M200" s="63" t="s">
        <v>29</v>
      </c>
      <c r="BC200" s="511"/>
      <c r="BD200" s="511"/>
      <c r="BI200" s="141"/>
    </row>
    <row r="201" spans="3:61 15027:15419" s="1" customFormat="1" ht="15" hidden="1" customHeight="1" x14ac:dyDescent="0.25">
      <c r="C201" s="15"/>
      <c r="D201" s="11" t="s">
        <v>115</v>
      </c>
      <c r="E201" s="125">
        <v>0.3</v>
      </c>
      <c r="F201" s="20" t="s">
        <v>25</v>
      </c>
      <c r="G201" s="34"/>
      <c r="H201" s="34"/>
      <c r="I201" s="34"/>
      <c r="J201" s="34"/>
      <c r="K201" s="34"/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23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/>
      <c r="AM201" s="63"/>
      <c r="BC201" s="511"/>
      <c r="BD201" s="511"/>
      <c r="BI201" s="141"/>
    </row>
    <row r="202" spans="3:61 15027:15419" s="1" customFormat="1" ht="15" hidden="1" customHeight="1" x14ac:dyDescent="0.25">
      <c r="C202" s="15"/>
      <c r="D202" s="11" t="s">
        <v>27</v>
      </c>
      <c r="E202" s="125">
        <v>0.3</v>
      </c>
      <c r="F202" s="20" t="s">
        <v>25</v>
      </c>
      <c r="G202" s="34"/>
      <c r="H202" s="34"/>
      <c r="I202" s="34"/>
      <c r="J202" s="34"/>
      <c r="K202" s="34"/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23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/>
      <c r="AM202" s="58" t="e">
        <v>#DIV/0!</v>
      </c>
      <c r="BC202" s="511"/>
      <c r="BD202" s="511"/>
      <c r="BI202" s="141"/>
    </row>
    <row r="203" spans="3:61 15027:15419" s="1" customFormat="1" ht="15" hidden="1" customHeight="1" x14ac:dyDescent="0.25">
      <c r="C203" s="15"/>
      <c r="D203" s="11" t="s">
        <v>26</v>
      </c>
      <c r="E203" s="125">
        <v>0.3</v>
      </c>
      <c r="F203" s="20" t="s">
        <v>25</v>
      </c>
      <c r="G203" s="34"/>
      <c r="H203" s="34"/>
      <c r="I203" s="34"/>
      <c r="J203" s="34"/>
      <c r="K203" s="34"/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23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/>
      <c r="AM203" s="58" t="e">
        <v>#DIV/0!</v>
      </c>
      <c r="BC203" s="511"/>
      <c r="BD203" s="511"/>
      <c r="BI203" s="141"/>
    </row>
    <row r="204" spans="3:61 15027:15419" s="1" customFormat="1" ht="15" hidden="1" customHeight="1" x14ac:dyDescent="0.25">
      <c r="C204" s="15"/>
      <c r="D204" s="30" t="s">
        <v>28</v>
      </c>
      <c r="E204" s="125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23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M204" s="63" t="s">
        <v>28</v>
      </c>
      <c r="BC204" s="511"/>
      <c r="BD204" s="511"/>
      <c r="BI204" s="141"/>
    </row>
    <row r="205" spans="3:61 15027:15419" s="1" customFormat="1" ht="15" hidden="1" customHeight="1" x14ac:dyDescent="0.25">
      <c r="C205" s="15"/>
      <c r="D205" s="11" t="s">
        <v>115</v>
      </c>
      <c r="E205" s="125">
        <v>0.5</v>
      </c>
      <c r="F205" s="20" t="s">
        <v>25</v>
      </c>
      <c r="G205" s="34"/>
      <c r="H205" s="34"/>
      <c r="I205" s="34"/>
      <c r="J205" s="34"/>
      <c r="K205" s="34"/>
      <c r="L205" s="34" t="e">
        <v>#DIV/0!</v>
      </c>
      <c r="M205" s="34" t="e">
        <v>#DIV/0!</v>
      </c>
      <c r="N205" s="34" t="e">
        <v>#DIV/0!</v>
      </c>
      <c r="O205" s="34" t="e">
        <v>#DIV/0!</v>
      </c>
      <c r="P205" s="34" t="e">
        <v>#DIV/0!</v>
      </c>
      <c r="Q205" s="34" t="e">
        <v>#DIV/0!</v>
      </c>
      <c r="R205" s="34" t="e">
        <v>#DIV/0!</v>
      </c>
      <c r="S205" s="1923" t="e">
        <v>#DIV/0!</v>
      </c>
      <c r="T205" s="34" t="e">
        <v>#DIV/0!</v>
      </c>
      <c r="U205" s="34" t="e">
        <v>#DIV/0!</v>
      </c>
      <c r="V205" s="34" t="e">
        <v>#DIV/0!</v>
      </c>
      <c r="W205" s="34" t="e">
        <v>#DIV/0!</v>
      </c>
      <c r="X205" s="34" t="e">
        <v>#DIV/0!</v>
      </c>
      <c r="Y205" s="34" t="e">
        <v>#DIV/0!</v>
      </c>
      <c r="Z205" s="34" t="e">
        <v>#DIV/0!</v>
      </c>
      <c r="AA205" s="34" t="e">
        <v>#DIV/0!</v>
      </c>
      <c r="AB205" s="34" t="e">
        <v>#DIV/0!</v>
      </c>
      <c r="AC205" s="34" t="e">
        <v>#DIV/0!</v>
      </c>
      <c r="AD205" s="34" t="e">
        <v>#DIV/0!</v>
      </c>
      <c r="AE205" s="34" t="e">
        <v>#DIV/0!</v>
      </c>
      <c r="AF205" s="34" t="e">
        <v>#DIV/0!</v>
      </c>
      <c r="AG205" s="34" t="e">
        <v>#DIV/0!</v>
      </c>
      <c r="AH205" s="34" t="e">
        <v>#DIV/0!</v>
      </c>
      <c r="AI205" s="34"/>
      <c r="AJ205" s="34"/>
      <c r="AK205" s="34"/>
      <c r="AM205" s="63"/>
      <c r="BC205" s="511"/>
      <c r="BD205" s="511"/>
      <c r="BI205" s="141"/>
    </row>
    <row r="206" spans="3:61 15027:15419" s="1" customFormat="1" ht="15" hidden="1" customHeight="1" x14ac:dyDescent="0.25">
      <c r="C206" s="15"/>
      <c r="D206" s="11" t="s">
        <v>27</v>
      </c>
      <c r="E206" s="125">
        <v>0.5</v>
      </c>
      <c r="F206" s="20" t="s">
        <v>25</v>
      </c>
      <c r="G206" s="34"/>
      <c r="H206" s="34"/>
      <c r="I206" s="34"/>
      <c r="J206" s="34"/>
      <c r="K206" s="34"/>
      <c r="L206" s="34" t="e">
        <v>#DIV/0!</v>
      </c>
      <c r="M206" s="34" t="e">
        <v>#DIV/0!</v>
      </c>
      <c r="N206" s="34" t="e">
        <v>#DIV/0!</v>
      </c>
      <c r="O206" s="34" t="e">
        <v>#DIV/0!</v>
      </c>
      <c r="P206" s="34" t="e">
        <v>#DIV/0!</v>
      </c>
      <c r="Q206" s="34" t="e">
        <v>#DIV/0!</v>
      </c>
      <c r="R206" s="34" t="e">
        <v>#DIV/0!</v>
      </c>
      <c r="S206" s="1923" t="e">
        <v>#DIV/0!</v>
      </c>
      <c r="T206" s="34" t="e">
        <v>#DIV/0!</v>
      </c>
      <c r="U206" s="34" t="e">
        <v>#DIV/0!</v>
      </c>
      <c r="V206" s="34" t="e">
        <v>#DIV/0!</v>
      </c>
      <c r="W206" s="34" t="e">
        <v>#DIV/0!</v>
      </c>
      <c r="X206" s="34" t="e">
        <v>#DIV/0!</v>
      </c>
      <c r="Y206" s="34" t="e">
        <v>#DIV/0!</v>
      </c>
      <c r="Z206" s="34" t="e">
        <v>#DIV/0!</v>
      </c>
      <c r="AA206" s="34" t="e">
        <v>#DIV/0!</v>
      </c>
      <c r="AB206" s="34" t="e">
        <v>#DIV/0!</v>
      </c>
      <c r="AC206" s="34" t="e">
        <v>#DIV/0!</v>
      </c>
      <c r="AD206" s="34" t="e">
        <v>#DIV/0!</v>
      </c>
      <c r="AE206" s="34" t="e">
        <v>#DIV/0!</v>
      </c>
      <c r="AF206" s="34" t="e">
        <v>#DIV/0!</v>
      </c>
      <c r="AG206" s="34" t="e">
        <v>#DIV/0!</v>
      </c>
      <c r="AH206" s="34" t="e">
        <v>#DIV/0!</v>
      </c>
      <c r="AI206" s="34"/>
      <c r="AJ206" s="34"/>
      <c r="AK206" s="34"/>
      <c r="AM206" s="58" t="e">
        <v>#DIV/0!</v>
      </c>
      <c r="BC206" s="511"/>
      <c r="BD206" s="511"/>
      <c r="BI206" s="141"/>
    </row>
    <row r="207" spans="3:61 15027:15419" s="1" customFormat="1" ht="15.75" hidden="1" customHeight="1" x14ac:dyDescent="0.25">
      <c r="C207" s="19"/>
      <c r="D207" s="11" t="s">
        <v>26</v>
      </c>
      <c r="E207" s="125">
        <v>0.5</v>
      </c>
      <c r="F207" s="20" t="s">
        <v>25</v>
      </c>
      <c r="G207" s="34"/>
      <c r="H207" s="34"/>
      <c r="I207" s="34"/>
      <c r="J207" s="34"/>
      <c r="K207" s="34"/>
      <c r="L207" s="34" t="e">
        <v>#DIV/0!</v>
      </c>
      <c r="M207" s="34" t="e">
        <v>#DIV/0!</v>
      </c>
      <c r="N207" s="34" t="e">
        <v>#DIV/0!</v>
      </c>
      <c r="O207" s="34" t="e">
        <v>#DIV/0!</v>
      </c>
      <c r="P207" s="34" t="e">
        <v>#DIV/0!</v>
      </c>
      <c r="Q207" s="34" t="e">
        <v>#DIV/0!</v>
      </c>
      <c r="R207" s="34" t="e">
        <v>#DIV/0!</v>
      </c>
      <c r="S207" s="1923" t="e">
        <v>#DIV/0!</v>
      </c>
      <c r="T207" s="34" t="e">
        <v>#DIV/0!</v>
      </c>
      <c r="U207" s="34" t="e">
        <v>#DIV/0!</v>
      </c>
      <c r="V207" s="34" t="e">
        <v>#DIV/0!</v>
      </c>
      <c r="W207" s="34" t="e">
        <v>#DIV/0!</v>
      </c>
      <c r="X207" s="34" t="e">
        <v>#DIV/0!</v>
      </c>
      <c r="Y207" s="34" t="e">
        <v>#DIV/0!</v>
      </c>
      <c r="Z207" s="34" t="e">
        <v>#DIV/0!</v>
      </c>
      <c r="AA207" s="34" t="e">
        <v>#DIV/0!</v>
      </c>
      <c r="AB207" s="34" t="e">
        <v>#DIV/0!</v>
      </c>
      <c r="AC207" s="34" t="e">
        <v>#DIV/0!</v>
      </c>
      <c r="AD207" s="34" t="e">
        <v>#DIV/0!</v>
      </c>
      <c r="AE207" s="34" t="e">
        <v>#DIV/0!</v>
      </c>
      <c r="AF207" s="34" t="e">
        <v>#DIV/0!</v>
      </c>
      <c r="AG207" s="34" t="e">
        <v>#DIV/0!</v>
      </c>
      <c r="AH207" s="34" t="e">
        <v>#DIV/0!</v>
      </c>
      <c r="AI207" s="34"/>
      <c r="AJ207" s="34"/>
      <c r="AK207" s="34"/>
      <c r="AM207" s="58" t="e">
        <v>#DIV/0!</v>
      </c>
      <c r="BC207" s="511"/>
      <c r="BD207" s="511"/>
      <c r="BI207" s="141"/>
    </row>
    <row r="208" spans="3:61 15027:15419" s="1" customFormat="1" ht="15" hidden="1" customHeight="1" x14ac:dyDescent="0.25">
      <c r="C208" s="8">
        <v>7</v>
      </c>
      <c r="D208" s="47" t="s">
        <v>86</v>
      </c>
      <c r="E208" s="126"/>
      <c r="F208" s="127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1938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128"/>
      <c r="AM208" s="78" t="s">
        <v>129</v>
      </c>
      <c r="BC208" s="511"/>
      <c r="BD208" s="511"/>
    </row>
    <row r="209" spans="3:56" s="1" customFormat="1" ht="15" hidden="1" customHeight="1" x14ac:dyDescent="0.25">
      <c r="C209" s="15"/>
      <c r="D209" s="26" t="s">
        <v>91</v>
      </c>
      <c r="E209" s="125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24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18"/>
      <c r="AM209" s="89">
        <v>0</v>
      </c>
      <c r="BC209" s="511"/>
      <c r="BD209" s="511"/>
    </row>
    <row r="210" spans="3:56" s="1" customFormat="1" ht="15" hidden="1" customHeight="1" x14ac:dyDescent="0.25">
      <c r="C210" s="15"/>
      <c r="D210" s="11" t="s">
        <v>92</v>
      </c>
      <c r="E210" s="125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23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89">
        <v>0</v>
      </c>
      <c r="BC210" s="511"/>
      <c r="BD210" s="511"/>
    </row>
    <row r="211" spans="3:56" s="1" customFormat="1" ht="15" hidden="1" customHeight="1" x14ac:dyDescent="0.25">
      <c r="C211" s="15"/>
      <c r="D211" s="11" t="s">
        <v>39</v>
      </c>
      <c r="E211" s="125"/>
      <c r="F211" s="20" t="s">
        <v>14</v>
      </c>
      <c r="G211" s="34"/>
      <c r="H211" s="34"/>
      <c r="I211" s="34"/>
      <c r="J211" s="34"/>
      <c r="K211" s="34"/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1923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/>
      <c r="AJ211" s="34"/>
      <c r="AK211" s="34"/>
      <c r="AL211" s="18"/>
      <c r="AM211" s="89">
        <v>0</v>
      </c>
      <c r="BC211" s="511"/>
      <c r="BD211" s="511"/>
    </row>
    <row r="212" spans="3:56" s="1" customFormat="1" ht="15" hidden="1" customHeight="1" x14ac:dyDescent="0.25">
      <c r="C212" s="15"/>
      <c r="D212" s="11" t="s">
        <v>38</v>
      </c>
      <c r="E212" s="125"/>
      <c r="F212" s="20" t="s">
        <v>14</v>
      </c>
      <c r="G212" s="34"/>
      <c r="H212" s="34"/>
      <c r="I212" s="34"/>
      <c r="J212" s="34"/>
      <c r="K212" s="34"/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1923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/>
      <c r="AJ212" s="34"/>
      <c r="AK212" s="34"/>
      <c r="AL212" s="18"/>
      <c r="AM212" s="89">
        <v>0</v>
      </c>
      <c r="BC212" s="511"/>
      <c r="BD212" s="511"/>
    </row>
    <row r="213" spans="3:56" s="1" customFormat="1" ht="15" hidden="1" customHeight="1" x14ac:dyDescent="0.25">
      <c r="C213" s="15"/>
      <c r="D213" s="30" t="s">
        <v>50</v>
      </c>
      <c r="E213" s="125"/>
      <c r="F213" s="13" t="s">
        <v>14</v>
      </c>
      <c r="G213" s="34"/>
      <c r="H213" s="34"/>
      <c r="I213" s="34"/>
      <c r="J213" s="34"/>
      <c r="K213" s="34"/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1923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/>
      <c r="AJ213" s="34"/>
      <c r="AK213" s="34"/>
      <c r="AL213" s="18"/>
      <c r="AM213" s="58">
        <v>0</v>
      </c>
      <c r="BC213" s="511"/>
      <c r="BD213" s="511"/>
    </row>
    <row r="214" spans="3:56" s="1" customFormat="1" ht="15" hidden="1" customHeight="1" x14ac:dyDescent="0.25">
      <c r="C214" s="15"/>
      <c r="D214" s="11" t="s">
        <v>29</v>
      </c>
      <c r="E214" s="125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23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29</v>
      </c>
      <c r="BC214" s="511"/>
      <c r="BD214" s="511"/>
    </row>
    <row r="215" spans="3:56" s="1" customFormat="1" ht="15" hidden="1" customHeight="1" x14ac:dyDescent="0.25">
      <c r="C215" s="15"/>
      <c r="D215" s="11" t="s">
        <v>87</v>
      </c>
      <c r="E215" s="125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2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1">
        <v>0</v>
      </c>
      <c r="BC215" s="511"/>
      <c r="BD215" s="511"/>
    </row>
    <row r="216" spans="3:56" s="1" customFormat="1" ht="15" hidden="1" customHeight="1" x14ac:dyDescent="0.25">
      <c r="C216" s="15"/>
      <c r="D216" s="11" t="s">
        <v>116</v>
      </c>
      <c r="E216" s="125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2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1">
        <v>0</v>
      </c>
      <c r="BC216" s="511"/>
      <c r="BD216" s="511"/>
    </row>
    <row r="217" spans="3:56" s="1" customFormat="1" ht="15" hidden="1" customHeight="1" x14ac:dyDescent="0.25">
      <c r="C217" s="15"/>
      <c r="D217" s="38" t="s">
        <v>28</v>
      </c>
      <c r="E217" s="125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23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18"/>
      <c r="AM217" s="58" t="s">
        <v>28</v>
      </c>
      <c r="BC217" s="511"/>
      <c r="BD217" s="511"/>
    </row>
    <row r="218" spans="3:56" s="1" customFormat="1" ht="15" hidden="1" customHeight="1" x14ac:dyDescent="0.25">
      <c r="C218" s="15"/>
      <c r="D218" s="11" t="s">
        <v>87</v>
      </c>
      <c r="E218" s="125"/>
      <c r="F218" s="20" t="s">
        <v>28</v>
      </c>
      <c r="G218" s="33"/>
      <c r="H218" s="33"/>
      <c r="I218" s="33"/>
      <c r="J218" s="33"/>
      <c r="K218" s="33"/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22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/>
      <c r="AK218" s="33"/>
      <c r="AL218" s="6"/>
      <c r="AM218" s="54">
        <v>0</v>
      </c>
      <c r="BC218" s="511"/>
      <c r="BD218" s="511"/>
    </row>
    <row r="219" spans="3:56" s="1" customFormat="1" ht="15" hidden="1" customHeight="1" x14ac:dyDescent="0.25">
      <c r="C219" s="15"/>
      <c r="D219" s="11" t="s">
        <v>116</v>
      </c>
      <c r="E219" s="125"/>
      <c r="F219" s="20" t="s">
        <v>28</v>
      </c>
      <c r="G219" s="33"/>
      <c r="H219" s="33"/>
      <c r="I219" s="33"/>
      <c r="J219" s="33"/>
      <c r="K219" s="33"/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1922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  <c r="AH219" s="33">
        <v>0</v>
      </c>
      <c r="AI219" s="33"/>
      <c r="AJ219" s="33"/>
      <c r="AK219" s="33"/>
      <c r="AL219" s="6"/>
      <c r="AM219" s="54"/>
      <c r="BC219" s="511"/>
      <c r="BD219" s="511"/>
    </row>
    <row r="220" spans="3:56" s="1" customFormat="1" ht="15" hidden="1" customHeight="1" x14ac:dyDescent="0.25">
      <c r="C220" s="15"/>
      <c r="D220" s="11" t="s">
        <v>36</v>
      </c>
      <c r="E220" s="125"/>
      <c r="F220" s="20" t="s">
        <v>35</v>
      </c>
      <c r="G220" s="33"/>
      <c r="H220" s="33"/>
      <c r="I220" s="33"/>
      <c r="J220" s="33"/>
      <c r="K220" s="33"/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1922">
        <v>0</v>
      </c>
      <c r="T220" s="33">
        <v>0</v>
      </c>
      <c r="U220" s="33">
        <v>0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0</v>
      </c>
      <c r="AF220" s="33">
        <v>0</v>
      </c>
      <c r="AG220" s="33">
        <v>0</v>
      </c>
      <c r="AH220" s="33">
        <v>0</v>
      </c>
      <c r="AI220" s="33"/>
      <c r="AJ220" s="33"/>
      <c r="AK220" s="33"/>
      <c r="AL220" s="6"/>
      <c r="AM220" s="54">
        <v>0</v>
      </c>
      <c r="BC220" s="511"/>
      <c r="BD220" s="511"/>
    </row>
    <row r="221" spans="3:56" s="1" customFormat="1" ht="15" hidden="1" customHeight="1" x14ac:dyDescent="0.25">
      <c r="C221" s="15"/>
      <c r="D221" s="11" t="s">
        <v>34</v>
      </c>
      <c r="E221" s="125"/>
      <c r="F221" s="20" t="s">
        <v>33</v>
      </c>
      <c r="G221" s="33"/>
      <c r="H221" s="33"/>
      <c r="I221" s="33"/>
      <c r="J221" s="33"/>
      <c r="K221" s="33"/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1922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3">
        <v>0</v>
      </c>
      <c r="AH221" s="33">
        <v>0</v>
      </c>
      <c r="AI221" s="33"/>
      <c r="AJ221" s="33"/>
      <c r="AK221" s="33"/>
      <c r="AL221" s="6"/>
      <c r="AM221" s="96">
        <v>0</v>
      </c>
      <c r="BC221" s="511"/>
      <c r="BD221" s="511"/>
    </row>
    <row r="222" spans="3:56" s="1" customFormat="1" ht="15" hidden="1" customHeight="1" x14ac:dyDescent="0.25">
      <c r="C222" s="15"/>
      <c r="D222" s="47" t="s">
        <v>32</v>
      </c>
      <c r="E222" s="126"/>
      <c r="F222" s="92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97"/>
      <c r="AM222" s="98" t="s">
        <v>130</v>
      </c>
      <c r="BC222" s="511"/>
      <c r="BD222" s="511"/>
    </row>
    <row r="223" spans="3:56" s="1" customFormat="1" ht="15" hidden="1" customHeight="1" x14ac:dyDescent="0.25">
      <c r="C223" s="15"/>
      <c r="D223" s="11" t="s">
        <v>29</v>
      </c>
      <c r="E223" s="125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23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  <c r="BC223" s="511"/>
      <c r="BD223" s="511"/>
    </row>
    <row r="224" spans="3:56" s="1" customFormat="1" ht="15" hidden="1" customHeight="1" x14ac:dyDescent="0.25">
      <c r="C224" s="15"/>
      <c r="D224" s="11" t="s">
        <v>87</v>
      </c>
      <c r="E224" s="125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22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18"/>
      <c r="AM224" s="91">
        <v>0</v>
      </c>
      <c r="BC224" s="511"/>
      <c r="BD224" s="511"/>
    </row>
    <row r="225" spans="3:56" s="1" customFormat="1" ht="15" hidden="1" customHeight="1" x14ac:dyDescent="0.25">
      <c r="C225" s="15"/>
      <c r="D225" s="11" t="s">
        <v>116</v>
      </c>
      <c r="E225" s="125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22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18"/>
      <c r="AM225" s="91">
        <v>0</v>
      </c>
      <c r="BC225" s="511"/>
      <c r="BD225" s="511"/>
    </row>
    <row r="226" spans="3:56" s="1" customFormat="1" ht="15" hidden="1" customHeight="1" x14ac:dyDescent="0.25">
      <c r="C226" s="15"/>
      <c r="D226" s="11" t="s">
        <v>28</v>
      </c>
      <c r="E226" s="125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23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18"/>
      <c r="AM226" s="58"/>
      <c r="BC226" s="511"/>
      <c r="BD226" s="511"/>
    </row>
    <row r="227" spans="3:56" s="1" customFormat="1" ht="15" hidden="1" customHeight="1" x14ac:dyDescent="0.25">
      <c r="C227" s="15"/>
      <c r="D227" s="11" t="s">
        <v>87</v>
      </c>
      <c r="E227" s="125"/>
      <c r="F227" s="20" t="s">
        <v>28</v>
      </c>
      <c r="G227" s="33"/>
      <c r="H227" s="33"/>
      <c r="I227" s="33"/>
      <c r="J227" s="33"/>
      <c r="K227" s="33"/>
      <c r="L227" s="33">
        <v>0</v>
      </c>
      <c r="M227" s="33">
        <v>0</v>
      </c>
      <c r="N227" s="33">
        <v>0</v>
      </c>
      <c r="O227" s="33">
        <v>0</v>
      </c>
      <c r="P227" s="33">
        <v>0</v>
      </c>
      <c r="Q227" s="33">
        <v>0</v>
      </c>
      <c r="R227" s="33">
        <v>0</v>
      </c>
      <c r="S227" s="1922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>
        <v>0</v>
      </c>
      <c r="AD227" s="33">
        <v>0</v>
      </c>
      <c r="AE227" s="33">
        <v>0</v>
      </c>
      <c r="AF227" s="33">
        <v>0</v>
      </c>
      <c r="AG227" s="33">
        <v>0</v>
      </c>
      <c r="AH227" s="33">
        <v>0</v>
      </c>
      <c r="AI227" s="33"/>
      <c r="AJ227" s="33"/>
      <c r="AK227" s="33"/>
      <c r="AL227" s="18"/>
      <c r="AM227" s="91">
        <v>0</v>
      </c>
      <c r="BC227" s="511"/>
      <c r="BD227" s="511"/>
    </row>
    <row r="228" spans="3:56" s="1" customFormat="1" ht="15" hidden="1" customHeight="1" x14ac:dyDescent="0.25">
      <c r="C228" s="15"/>
      <c r="D228" s="11" t="s">
        <v>116</v>
      </c>
      <c r="E228" s="125"/>
      <c r="F228" s="20" t="s">
        <v>28</v>
      </c>
      <c r="G228" s="33"/>
      <c r="H228" s="33"/>
      <c r="I228" s="33"/>
      <c r="J228" s="33"/>
      <c r="K228" s="33"/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1922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3">
        <v>0</v>
      </c>
      <c r="AH228" s="33">
        <v>0</v>
      </c>
      <c r="AI228" s="33"/>
      <c r="AJ228" s="33"/>
      <c r="AK228" s="33"/>
      <c r="AL228" s="18"/>
      <c r="AM228" s="91">
        <v>0</v>
      </c>
      <c r="BC228" s="511"/>
      <c r="BD228" s="511"/>
    </row>
    <row r="229" spans="3:56" s="1" customFormat="1" ht="15" hidden="1" customHeight="1" x14ac:dyDescent="0.25">
      <c r="C229" s="15"/>
      <c r="D229" s="47" t="s">
        <v>30</v>
      </c>
      <c r="E229" s="129"/>
      <c r="F229" s="99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192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  <c r="AI229" s="268"/>
      <c r="AJ229" s="268"/>
      <c r="AK229" s="268"/>
      <c r="AL229" s="18"/>
      <c r="AM229" s="78" t="s">
        <v>130</v>
      </c>
      <c r="BC229" s="511"/>
      <c r="BD229" s="511"/>
    </row>
    <row r="230" spans="3:56" s="1" customFormat="1" ht="15" hidden="1" customHeight="1" x14ac:dyDescent="0.25">
      <c r="C230" s="15"/>
      <c r="D230" s="30" t="s">
        <v>29</v>
      </c>
      <c r="E230" s="125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22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  <c r="BC230" s="511"/>
      <c r="BD230" s="511"/>
    </row>
    <row r="231" spans="3:56" s="1" customFormat="1" ht="15" hidden="1" customHeight="1" x14ac:dyDescent="0.25">
      <c r="C231" s="15"/>
      <c r="D231" s="11" t="s">
        <v>87</v>
      </c>
      <c r="E231" s="125">
        <v>0.3</v>
      </c>
      <c r="F231" s="20" t="s">
        <v>25</v>
      </c>
      <c r="G231" s="33"/>
      <c r="H231" s="33"/>
      <c r="I231" s="33"/>
      <c r="J231" s="33"/>
      <c r="K231" s="33"/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22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/>
      <c r="AL231" s="18"/>
      <c r="AM231" s="100" t="e">
        <v>#DIV/0!</v>
      </c>
      <c r="BC231" s="511"/>
      <c r="BD231" s="511"/>
    </row>
    <row r="232" spans="3:56" s="1" customFormat="1" ht="15" hidden="1" customHeight="1" x14ac:dyDescent="0.25">
      <c r="C232" s="15"/>
      <c r="D232" s="11" t="s">
        <v>116</v>
      </c>
      <c r="E232" s="125">
        <v>0.3</v>
      </c>
      <c r="F232" s="20" t="s">
        <v>25</v>
      </c>
      <c r="G232" s="33"/>
      <c r="H232" s="33"/>
      <c r="I232" s="33"/>
      <c r="J232" s="33"/>
      <c r="K232" s="33"/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22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/>
      <c r="AK232" s="33"/>
      <c r="AL232" s="18"/>
      <c r="AM232" s="100" t="e">
        <v>#DIV/0!</v>
      </c>
      <c r="BC232" s="511"/>
      <c r="BD232" s="511"/>
    </row>
    <row r="233" spans="3:56" s="1" customFormat="1" ht="15" hidden="1" customHeight="1" x14ac:dyDescent="0.25">
      <c r="C233" s="15"/>
      <c r="D233" s="30" t="s">
        <v>28</v>
      </c>
      <c r="E233" s="125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22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18"/>
      <c r="AM233" s="91"/>
      <c r="BC233" s="511"/>
      <c r="BD233" s="511"/>
    </row>
    <row r="234" spans="3:56" s="1" customFormat="1" ht="15" hidden="1" customHeight="1" x14ac:dyDescent="0.25">
      <c r="C234" s="15"/>
      <c r="D234" s="11" t="s">
        <v>87</v>
      </c>
      <c r="E234" s="125">
        <v>0.5</v>
      </c>
      <c r="F234" s="20" t="s">
        <v>25</v>
      </c>
      <c r="G234" s="33"/>
      <c r="H234" s="33"/>
      <c r="I234" s="33"/>
      <c r="J234" s="33"/>
      <c r="K234" s="33"/>
      <c r="L234" s="33" t="e">
        <v>#DIV/0!</v>
      </c>
      <c r="M234" s="33" t="e">
        <v>#DIV/0!</v>
      </c>
      <c r="N234" s="33" t="e">
        <v>#DIV/0!</v>
      </c>
      <c r="O234" s="33" t="e">
        <v>#DIV/0!</v>
      </c>
      <c r="P234" s="33" t="e">
        <v>#DIV/0!</v>
      </c>
      <c r="Q234" s="33" t="e">
        <v>#DIV/0!</v>
      </c>
      <c r="R234" s="33" t="e">
        <v>#DIV/0!</v>
      </c>
      <c r="S234" s="1922" t="e">
        <v>#DIV/0!</v>
      </c>
      <c r="T234" s="33" t="e">
        <v>#DIV/0!</v>
      </c>
      <c r="U234" s="33" t="e">
        <v>#DIV/0!</v>
      </c>
      <c r="V234" s="33" t="e">
        <v>#DIV/0!</v>
      </c>
      <c r="W234" s="33" t="e">
        <v>#DIV/0!</v>
      </c>
      <c r="X234" s="33" t="e">
        <v>#DIV/0!</v>
      </c>
      <c r="Y234" s="33" t="e">
        <v>#DIV/0!</v>
      </c>
      <c r="Z234" s="33" t="e">
        <v>#DIV/0!</v>
      </c>
      <c r="AA234" s="33" t="e">
        <v>#DIV/0!</v>
      </c>
      <c r="AB234" s="33" t="e">
        <v>#DIV/0!</v>
      </c>
      <c r="AC234" s="33" t="e">
        <v>#DIV/0!</v>
      </c>
      <c r="AD234" s="33" t="e">
        <v>#DIV/0!</v>
      </c>
      <c r="AE234" s="33" t="e">
        <v>#DIV/0!</v>
      </c>
      <c r="AF234" s="33" t="e">
        <v>#DIV/0!</v>
      </c>
      <c r="AG234" s="33" t="e">
        <v>#DIV/0!</v>
      </c>
      <c r="AH234" s="33" t="e">
        <v>#DIV/0!</v>
      </c>
      <c r="AI234" s="33"/>
      <c r="AJ234" s="33"/>
      <c r="AK234" s="33"/>
      <c r="AL234" s="18"/>
      <c r="AM234" s="58" t="e">
        <v>#DIV/0!</v>
      </c>
      <c r="BC234" s="511"/>
      <c r="BD234" s="511"/>
    </row>
    <row r="235" spans="3:56" s="1" customFormat="1" ht="15" hidden="1" customHeight="1" x14ac:dyDescent="0.25">
      <c r="C235" s="15"/>
      <c r="D235" s="11" t="s">
        <v>116</v>
      </c>
      <c r="E235" s="125">
        <v>0.5</v>
      </c>
      <c r="F235" s="20" t="s">
        <v>25</v>
      </c>
      <c r="G235" s="33"/>
      <c r="H235" s="33"/>
      <c r="I235" s="33"/>
      <c r="J235" s="33"/>
      <c r="K235" s="33"/>
      <c r="L235" s="33" t="e">
        <v>#DIV/0!</v>
      </c>
      <c r="M235" s="33" t="e">
        <v>#DIV/0!</v>
      </c>
      <c r="N235" s="33" t="e">
        <v>#DIV/0!</v>
      </c>
      <c r="O235" s="33" t="e">
        <v>#DIV/0!</v>
      </c>
      <c r="P235" s="33" t="e">
        <v>#DIV/0!</v>
      </c>
      <c r="Q235" s="33" t="e">
        <v>#DIV/0!</v>
      </c>
      <c r="R235" s="33" t="e">
        <v>#DIV/0!</v>
      </c>
      <c r="S235" s="1922" t="e">
        <v>#DIV/0!</v>
      </c>
      <c r="T235" s="33" t="e">
        <v>#DIV/0!</v>
      </c>
      <c r="U235" s="33" t="e">
        <v>#DIV/0!</v>
      </c>
      <c r="V235" s="33" t="e">
        <v>#DIV/0!</v>
      </c>
      <c r="W235" s="33" t="e">
        <v>#DIV/0!</v>
      </c>
      <c r="X235" s="33" t="e">
        <v>#DIV/0!</v>
      </c>
      <c r="Y235" s="33" t="e">
        <v>#DIV/0!</v>
      </c>
      <c r="Z235" s="33" t="e">
        <v>#DIV/0!</v>
      </c>
      <c r="AA235" s="33" t="e">
        <v>#DIV/0!</v>
      </c>
      <c r="AB235" s="33" t="e">
        <v>#DIV/0!</v>
      </c>
      <c r="AC235" s="33" t="e">
        <v>#DIV/0!</v>
      </c>
      <c r="AD235" s="33" t="e">
        <v>#DIV/0!</v>
      </c>
      <c r="AE235" s="33" t="e">
        <v>#DIV/0!</v>
      </c>
      <c r="AF235" s="33" t="e">
        <v>#DIV/0!</v>
      </c>
      <c r="AG235" s="33" t="e">
        <v>#DIV/0!</v>
      </c>
      <c r="AH235" s="33" t="e">
        <v>#DIV/0!</v>
      </c>
      <c r="AI235" s="33"/>
      <c r="AJ235" s="33"/>
      <c r="AK235" s="33"/>
      <c r="AL235" s="18"/>
      <c r="AM235" s="58" t="e">
        <v>#DIV/0!</v>
      </c>
      <c r="BC235" s="511"/>
      <c r="BD235" s="511"/>
    </row>
    <row r="236" spans="3:56" s="1" customFormat="1" ht="15" hidden="1" customHeight="1" x14ac:dyDescent="0.25">
      <c r="C236" s="15"/>
      <c r="D236" s="101" t="s">
        <v>93</v>
      </c>
      <c r="E236" s="130"/>
      <c r="F236" s="102" t="s">
        <v>14</v>
      </c>
      <c r="G236" s="284"/>
      <c r="H236" s="284"/>
      <c r="I236" s="284"/>
      <c r="J236" s="284"/>
      <c r="K236" s="284"/>
      <c r="L236" s="284">
        <v>0</v>
      </c>
      <c r="M236" s="284">
        <v>0</v>
      </c>
      <c r="N236" s="284">
        <v>0</v>
      </c>
      <c r="O236" s="284">
        <v>0</v>
      </c>
      <c r="P236" s="284">
        <v>0</v>
      </c>
      <c r="Q236" s="284">
        <v>0</v>
      </c>
      <c r="R236" s="284">
        <v>0</v>
      </c>
      <c r="S236" s="1939">
        <v>0</v>
      </c>
      <c r="T236" s="284">
        <v>0</v>
      </c>
      <c r="U236" s="284">
        <v>0</v>
      </c>
      <c r="V236" s="284">
        <v>0</v>
      </c>
      <c r="W236" s="284">
        <v>0</v>
      </c>
      <c r="X236" s="284">
        <v>0</v>
      </c>
      <c r="Y236" s="284">
        <v>0</v>
      </c>
      <c r="Z236" s="284">
        <v>0</v>
      </c>
      <c r="AA236" s="284">
        <v>0</v>
      </c>
      <c r="AB236" s="284">
        <v>0</v>
      </c>
      <c r="AC236" s="284">
        <v>0</v>
      </c>
      <c r="AD236" s="284">
        <v>0</v>
      </c>
      <c r="AE236" s="284">
        <v>0</v>
      </c>
      <c r="AF236" s="284">
        <v>0</v>
      </c>
      <c r="AG236" s="284">
        <v>0</v>
      </c>
      <c r="AH236" s="284">
        <v>0</v>
      </c>
      <c r="AI236" s="284"/>
      <c r="AJ236" s="284"/>
      <c r="AK236" s="284"/>
      <c r="AL236" s="131"/>
      <c r="AM236" s="103">
        <v>0</v>
      </c>
      <c r="BC236" s="511"/>
      <c r="BD236" s="511"/>
    </row>
    <row r="237" spans="3:56" s="1" customFormat="1" ht="15" hidden="1" customHeight="1" x14ac:dyDescent="0.25">
      <c r="C237" s="15"/>
      <c r="D237" s="71" t="s">
        <v>117</v>
      </c>
      <c r="E237" s="132"/>
      <c r="F237" s="65" t="s">
        <v>14</v>
      </c>
      <c r="G237" s="285"/>
      <c r="H237" s="285"/>
      <c r="I237" s="285"/>
      <c r="J237" s="285"/>
      <c r="K237" s="285"/>
      <c r="L237" s="285">
        <v>0</v>
      </c>
      <c r="M237" s="285">
        <v>0</v>
      </c>
      <c r="N237" s="285">
        <v>0</v>
      </c>
      <c r="O237" s="285">
        <v>0</v>
      </c>
      <c r="P237" s="285">
        <v>0</v>
      </c>
      <c r="Q237" s="285">
        <v>0</v>
      </c>
      <c r="R237" s="285">
        <v>0</v>
      </c>
      <c r="S237" s="1940">
        <v>0</v>
      </c>
      <c r="T237" s="285">
        <v>0</v>
      </c>
      <c r="U237" s="285">
        <v>0</v>
      </c>
      <c r="V237" s="285">
        <v>0</v>
      </c>
      <c r="W237" s="285">
        <v>0</v>
      </c>
      <c r="X237" s="285">
        <v>0</v>
      </c>
      <c r="Y237" s="285">
        <v>0</v>
      </c>
      <c r="Z237" s="285">
        <v>0</v>
      </c>
      <c r="AA237" s="285">
        <v>0</v>
      </c>
      <c r="AB237" s="285">
        <v>0</v>
      </c>
      <c r="AC237" s="285">
        <v>0</v>
      </c>
      <c r="AD237" s="285">
        <v>0</v>
      </c>
      <c r="AE237" s="285">
        <v>0</v>
      </c>
      <c r="AF237" s="285">
        <v>0</v>
      </c>
      <c r="AG237" s="285">
        <v>0</v>
      </c>
      <c r="AH237" s="285">
        <v>0</v>
      </c>
      <c r="AI237" s="285"/>
      <c r="AJ237" s="285"/>
      <c r="AK237" s="285"/>
      <c r="AL237" s="131"/>
      <c r="AM237" s="57">
        <v>0</v>
      </c>
      <c r="BC237" s="511"/>
      <c r="BD237" s="511"/>
    </row>
    <row r="238" spans="3:56" s="1" customFormat="1" ht="15" hidden="1" customHeight="1" x14ac:dyDescent="0.25">
      <c r="C238" s="15"/>
      <c r="D238" s="104" t="s">
        <v>88</v>
      </c>
      <c r="E238" s="133"/>
      <c r="F238" s="105" t="s">
        <v>14</v>
      </c>
      <c r="G238" s="286"/>
      <c r="H238" s="286"/>
      <c r="I238" s="286"/>
      <c r="J238" s="286"/>
      <c r="K238" s="286"/>
      <c r="L238" s="286">
        <v>0</v>
      </c>
      <c r="M238" s="286">
        <v>0</v>
      </c>
      <c r="N238" s="286">
        <v>0</v>
      </c>
      <c r="O238" s="286">
        <v>0</v>
      </c>
      <c r="P238" s="286">
        <v>0</v>
      </c>
      <c r="Q238" s="286">
        <v>0</v>
      </c>
      <c r="R238" s="286">
        <v>0</v>
      </c>
      <c r="S238" s="1941">
        <v>0</v>
      </c>
      <c r="T238" s="286">
        <v>0</v>
      </c>
      <c r="U238" s="286">
        <v>0</v>
      </c>
      <c r="V238" s="286">
        <v>0</v>
      </c>
      <c r="W238" s="286">
        <v>0</v>
      </c>
      <c r="X238" s="286">
        <v>0</v>
      </c>
      <c r="Y238" s="286">
        <v>0</v>
      </c>
      <c r="Z238" s="286">
        <v>0</v>
      </c>
      <c r="AA238" s="286">
        <v>0</v>
      </c>
      <c r="AB238" s="286">
        <v>0</v>
      </c>
      <c r="AC238" s="286">
        <v>0</v>
      </c>
      <c r="AD238" s="286">
        <v>0</v>
      </c>
      <c r="AE238" s="286">
        <v>0</v>
      </c>
      <c r="AF238" s="286">
        <v>0</v>
      </c>
      <c r="AG238" s="286">
        <v>0</v>
      </c>
      <c r="AH238" s="286">
        <v>0</v>
      </c>
      <c r="AI238" s="286"/>
      <c r="AJ238" s="286"/>
      <c r="AK238" s="286"/>
      <c r="AL238" s="131"/>
      <c r="AM238" s="106">
        <v>0</v>
      </c>
      <c r="BC238" s="511"/>
      <c r="BD238" s="511"/>
    </row>
    <row r="239" spans="3:56" s="1" customFormat="1" ht="15" hidden="1" customHeight="1" x14ac:dyDescent="0.25">
      <c r="C239" s="15"/>
      <c r="D239" s="107" t="s">
        <v>89</v>
      </c>
      <c r="E239" s="134"/>
      <c r="F239" s="108" t="s">
        <v>85</v>
      </c>
      <c r="G239" s="287"/>
      <c r="H239" s="287"/>
      <c r="I239" s="287"/>
      <c r="J239" s="287"/>
      <c r="K239" s="287"/>
      <c r="L239" s="287">
        <v>0</v>
      </c>
      <c r="M239" s="287">
        <v>0</v>
      </c>
      <c r="N239" s="287">
        <v>0</v>
      </c>
      <c r="O239" s="287">
        <v>0</v>
      </c>
      <c r="P239" s="287">
        <v>0</v>
      </c>
      <c r="Q239" s="287">
        <v>0</v>
      </c>
      <c r="R239" s="287">
        <v>0</v>
      </c>
      <c r="S239" s="1942">
        <v>0</v>
      </c>
      <c r="T239" s="287">
        <v>0</v>
      </c>
      <c r="U239" s="287">
        <v>0</v>
      </c>
      <c r="V239" s="287">
        <v>0</v>
      </c>
      <c r="W239" s="287">
        <v>0</v>
      </c>
      <c r="X239" s="287">
        <v>0</v>
      </c>
      <c r="Y239" s="287">
        <v>0</v>
      </c>
      <c r="Z239" s="287">
        <v>0</v>
      </c>
      <c r="AA239" s="287">
        <v>0</v>
      </c>
      <c r="AB239" s="287">
        <v>0</v>
      </c>
      <c r="AC239" s="287">
        <v>0</v>
      </c>
      <c r="AD239" s="287">
        <v>0</v>
      </c>
      <c r="AE239" s="287">
        <v>0</v>
      </c>
      <c r="AF239" s="287">
        <v>0</v>
      </c>
      <c r="AG239" s="287">
        <v>0</v>
      </c>
      <c r="AH239" s="287">
        <v>0</v>
      </c>
      <c r="AI239" s="287"/>
      <c r="AJ239" s="287"/>
      <c r="AK239" s="287"/>
      <c r="AL239" s="131"/>
      <c r="AM239" s="109">
        <v>0</v>
      </c>
      <c r="BC239" s="511"/>
      <c r="BD239" s="511"/>
    </row>
    <row r="240" spans="3:56" s="1" customFormat="1" ht="15" hidden="1" customHeight="1" x14ac:dyDescent="0.25">
      <c r="C240" s="15"/>
      <c r="D240" s="110" t="s">
        <v>94</v>
      </c>
      <c r="E240" s="134"/>
      <c r="F240" s="111" t="s">
        <v>14</v>
      </c>
      <c r="G240" s="288"/>
      <c r="H240" s="288"/>
      <c r="I240" s="288"/>
      <c r="J240" s="288"/>
      <c r="K240" s="288"/>
      <c r="L240" s="288">
        <v>0</v>
      </c>
      <c r="M240" s="288">
        <v>0</v>
      </c>
      <c r="N240" s="288">
        <v>0</v>
      </c>
      <c r="O240" s="288">
        <v>0</v>
      </c>
      <c r="P240" s="288">
        <v>0</v>
      </c>
      <c r="Q240" s="288">
        <v>0</v>
      </c>
      <c r="R240" s="288">
        <v>0</v>
      </c>
      <c r="S240" s="1943">
        <v>0</v>
      </c>
      <c r="T240" s="288">
        <v>0</v>
      </c>
      <c r="U240" s="288">
        <v>0</v>
      </c>
      <c r="V240" s="288">
        <v>0</v>
      </c>
      <c r="W240" s="288">
        <v>0</v>
      </c>
      <c r="X240" s="288">
        <v>0</v>
      </c>
      <c r="Y240" s="288">
        <v>0</v>
      </c>
      <c r="Z240" s="288">
        <v>0</v>
      </c>
      <c r="AA240" s="288">
        <v>0</v>
      </c>
      <c r="AB240" s="288">
        <v>0</v>
      </c>
      <c r="AC240" s="288">
        <v>0</v>
      </c>
      <c r="AD240" s="288">
        <v>0</v>
      </c>
      <c r="AE240" s="288">
        <v>0</v>
      </c>
      <c r="AF240" s="288">
        <v>0</v>
      </c>
      <c r="AG240" s="288">
        <v>0</v>
      </c>
      <c r="AH240" s="288">
        <v>0</v>
      </c>
      <c r="AI240" s="288"/>
      <c r="AJ240" s="288"/>
      <c r="AK240" s="288"/>
      <c r="AL240" s="113"/>
      <c r="AM240" s="114">
        <v>0</v>
      </c>
      <c r="BC240" s="511"/>
      <c r="BD240" s="511"/>
    </row>
    <row r="241" spans="3:61 15027:15419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25"/>
      <c r="T241" s="1925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M241" s="81" t="s">
        <v>131</v>
      </c>
      <c r="AU241" s="2168"/>
      <c r="BC241" s="511"/>
      <c r="BD241" s="511"/>
      <c r="BI241" s="140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62" customFormat="1" x14ac:dyDescent="0.25">
      <c r="C242" s="68"/>
      <c r="D242" s="232" t="s">
        <v>22</v>
      </c>
      <c r="E242" s="256">
        <v>1460.001</v>
      </c>
      <c r="F242" s="233" t="s">
        <v>19</v>
      </c>
      <c r="G242" s="289"/>
      <c r="H242" s="289"/>
      <c r="I242" s="289"/>
      <c r="J242" s="289"/>
      <c r="K242" s="289"/>
      <c r="L242" s="289">
        <v>422.08359999999999</v>
      </c>
      <c r="M242" s="289">
        <v>1266.1837</v>
      </c>
      <c r="N242" s="289">
        <v>1349.0334</v>
      </c>
      <c r="O242" s="289">
        <v>1301.6739</v>
      </c>
      <c r="P242" s="289">
        <v>1279.7293</v>
      </c>
      <c r="Q242" s="289">
        <v>1284.0246999999999</v>
      </c>
      <c r="R242" s="1971">
        <v>1207.7806</v>
      </c>
      <c r="S242" s="1971">
        <v>1225.7924</v>
      </c>
      <c r="T242" s="1971">
        <v>1204.4514999999999</v>
      </c>
      <c r="U242" s="289">
        <v>1286.2036000000001</v>
      </c>
      <c r="V242" s="289"/>
      <c r="W242" s="1995"/>
      <c r="X242" s="1995"/>
      <c r="Y242" s="1995"/>
      <c r="Z242" s="1995"/>
      <c r="AA242" s="1956"/>
      <c r="AB242" s="289"/>
      <c r="AC242" s="289"/>
      <c r="AD242" s="289"/>
      <c r="AE242" s="289"/>
      <c r="AF242" s="289"/>
      <c r="AG242" s="289"/>
      <c r="AH242" s="289"/>
      <c r="AI242" s="289"/>
      <c r="AJ242" s="289"/>
      <c r="AK242" s="289"/>
      <c r="AM242" s="2113">
        <v>26890.591961393569</v>
      </c>
      <c r="BC242" s="2118"/>
      <c r="BD242" s="2118"/>
      <c r="BI242" s="142"/>
    </row>
    <row r="243" spans="3:61 15027:15419" s="62" customFormat="1" x14ac:dyDescent="0.25">
      <c r="C243" s="68"/>
      <c r="D243" s="232"/>
      <c r="E243" s="256"/>
      <c r="F243" s="233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1971"/>
      <c r="S243" s="1971"/>
      <c r="T243" s="1971"/>
      <c r="U243" s="289"/>
      <c r="V243" s="289"/>
      <c r="W243" s="1995"/>
      <c r="X243" s="289"/>
      <c r="Y243" s="289"/>
      <c r="Z243" s="289"/>
      <c r="AA243" s="1956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M243" s="54">
        <f>AM242/AM6</f>
        <v>2444.5992692175973</v>
      </c>
      <c r="BC243" s="2118"/>
      <c r="BD243" s="2118"/>
      <c r="BI243" s="142"/>
    </row>
    <row r="244" spans="3:61 15027:15419" s="1" customFormat="1" x14ac:dyDescent="0.25">
      <c r="C244" s="8"/>
      <c r="D244" s="232" t="s">
        <v>23</v>
      </c>
      <c r="E244" s="250"/>
      <c r="F244" s="233" t="s">
        <v>19</v>
      </c>
      <c r="G244" s="289"/>
      <c r="H244" s="289"/>
      <c r="I244" s="289"/>
      <c r="J244" s="289"/>
      <c r="K244" s="289"/>
      <c r="L244" s="289">
        <v>391.48039999999997</v>
      </c>
      <c r="M244" s="289">
        <v>509.0829</v>
      </c>
      <c r="N244" s="289">
        <v>1308.5035</v>
      </c>
      <c r="O244" s="289">
        <v>1373.0619999999999</v>
      </c>
      <c r="P244" s="289">
        <v>1317.9367999999999</v>
      </c>
      <c r="Q244" s="289">
        <v>1308.7019</v>
      </c>
      <c r="R244" s="1971">
        <v>1299.2385999999999</v>
      </c>
      <c r="S244" s="1971">
        <v>1236.1998000000001</v>
      </c>
      <c r="T244" s="1971">
        <v>1263.1448</v>
      </c>
      <c r="U244" s="289">
        <v>1232.0372</v>
      </c>
      <c r="V244" s="289"/>
      <c r="W244" s="1995"/>
      <c r="X244" s="1995"/>
      <c r="Y244" s="289"/>
      <c r="Z244" s="289"/>
      <c r="AA244" s="1956"/>
      <c r="AB244" s="289"/>
      <c r="AC244" s="289"/>
      <c r="AD244" s="289"/>
      <c r="AE244" s="289"/>
      <c r="AF244" s="289"/>
      <c r="AG244" s="289"/>
      <c r="AH244" s="289"/>
      <c r="AI244" s="289"/>
      <c r="AJ244" s="289"/>
      <c r="AK244" s="289"/>
      <c r="AM244" s="2113">
        <f>SUM(G244:AK244)</f>
        <v>11239.3879</v>
      </c>
      <c r="BC244" s="511"/>
      <c r="BD244" s="511"/>
      <c r="BI244" s="141"/>
    </row>
    <row r="245" spans="3:61 15027:15419" s="1" customFormat="1" x14ac:dyDescent="0.25">
      <c r="C245" s="15"/>
      <c r="D245" s="28" t="s">
        <v>11</v>
      </c>
      <c r="E245" s="250"/>
      <c r="F245" s="13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1982"/>
      <c r="T245" s="1982"/>
      <c r="U245" s="1981"/>
      <c r="V245" s="291"/>
      <c r="W245" s="1996"/>
      <c r="X245" s="291"/>
      <c r="Y245" s="291"/>
      <c r="Z245" s="291"/>
      <c r="AA245" s="291"/>
      <c r="AB245" s="291"/>
      <c r="AC245" s="291"/>
      <c r="AD245" s="291"/>
      <c r="AE245" s="291"/>
      <c r="AF245" s="291"/>
      <c r="AG245" s="291"/>
      <c r="AH245" s="291"/>
      <c r="AI245" s="291"/>
      <c r="AJ245" s="291"/>
      <c r="AK245" s="291"/>
      <c r="AM245" s="115" t="s">
        <v>11</v>
      </c>
      <c r="BC245" s="511"/>
      <c r="BD245" s="511"/>
      <c r="BI245" s="140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3:61 15027:15419" s="1" customFormat="1" x14ac:dyDescent="0.25">
      <c r="C246" s="15"/>
      <c r="D246" s="232" t="s">
        <v>21</v>
      </c>
      <c r="E246" s="248">
        <f>298</f>
        <v>298</v>
      </c>
      <c r="F246" s="233" t="s">
        <v>1019</v>
      </c>
      <c r="G246" s="271"/>
      <c r="H246" s="271"/>
      <c r="I246" s="271"/>
      <c r="J246" s="271"/>
      <c r="K246" s="271"/>
      <c r="L246" s="271">
        <f>100*5</f>
        <v>500</v>
      </c>
      <c r="M246" s="1639">
        <f>785.4*5</f>
        <v>3927</v>
      </c>
      <c r="N246" s="1639">
        <f>769.5*5</f>
        <v>3847.5</v>
      </c>
      <c r="O246" s="1639">
        <f>750.6*5</f>
        <v>3753</v>
      </c>
      <c r="P246" s="1639">
        <f>778.2*5</f>
        <v>3891</v>
      </c>
      <c r="Q246" s="1639">
        <f>742.6*5</f>
        <v>3713</v>
      </c>
      <c r="R246" s="2147">
        <v>3347</v>
      </c>
      <c r="S246" s="2147">
        <v>3550</v>
      </c>
      <c r="T246" s="2147">
        <v>3225.5</v>
      </c>
      <c r="U246" s="1980">
        <v>3605</v>
      </c>
      <c r="V246" s="1980">
        <v>2937</v>
      </c>
      <c r="W246" s="1980"/>
      <c r="X246" s="1980"/>
      <c r="Y246" s="271"/>
      <c r="Z246" s="271"/>
      <c r="AA246" s="271"/>
      <c r="AB246" s="271"/>
      <c r="AC246" s="271"/>
      <c r="AD246" s="271"/>
      <c r="AE246" s="271"/>
      <c r="AF246" s="271"/>
      <c r="AG246" s="271"/>
      <c r="AH246" s="271"/>
      <c r="AI246" s="271"/>
      <c r="AJ246" s="271"/>
      <c r="AK246" s="271"/>
      <c r="AM246" s="54">
        <f>SUM(G246:AK246)</f>
        <v>36296</v>
      </c>
      <c r="BC246" s="511"/>
      <c r="BD246" s="511"/>
      <c r="BH246" s="39"/>
      <c r="BI246" s="140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3:61 15027:15419" s="1" customFormat="1" hidden="1" x14ac:dyDescent="0.25">
      <c r="C247" s="15"/>
      <c r="D247" s="232" t="s">
        <v>21</v>
      </c>
      <c r="E247" s="248"/>
      <c r="F247" s="233" t="s">
        <v>1019</v>
      </c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019"/>
      <c r="S247" s="2020"/>
      <c r="T247" s="2020"/>
      <c r="U247" s="1980"/>
      <c r="V247" s="1980"/>
      <c r="W247" s="1980"/>
      <c r="X247" s="1980"/>
      <c r="Y247" s="271"/>
      <c r="Z247" s="271"/>
      <c r="AA247" s="1639"/>
      <c r="AB247" s="271"/>
      <c r="AC247" s="271"/>
      <c r="AD247" s="1639"/>
      <c r="AE247" s="1639"/>
      <c r="AF247" s="1639"/>
      <c r="AG247" s="271"/>
      <c r="AH247" s="271"/>
      <c r="AI247" s="271"/>
      <c r="AJ247" s="271"/>
      <c r="AK247" s="271"/>
      <c r="AM247" s="54"/>
      <c r="BC247" s="511"/>
      <c r="BD247" s="511"/>
      <c r="BH247" s="39"/>
      <c r="BI247" s="140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</row>
    <row r="248" spans="3:61 15027:15419" s="1" customFormat="1" x14ac:dyDescent="0.25">
      <c r="C248" s="15"/>
      <c r="D248" s="232"/>
      <c r="E248" s="248"/>
      <c r="F248" s="233" t="s">
        <v>19</v>
      </c>
      <c r="G248" s="290"/>
      <c r="H248" s="290"/>
      <c r="I248" s="290"/>
      <c r="J248" s="290"/>
      <c r="K248" s="290"/>
      <c r="L248" s="290">
        <f>L246/25.3</f>
        <v>19.762845849802371</v>
      </c>
      <c r="M248" s="290">
        <f>M246/25.3</f>
        <v>155.21739130434781</v>
      </c>
      <c r="N248" s="290">
        <f t="shared" ref="N248:S248" si="57">N246/25.3</f>
        <v>152.07509881422925</v>
      </c>
      <c r="O248" s="290">
        <f>O246/25.3</f>
        <v>148.33992094861659</v>
      </c>
      <c r="P248" s="290">
        <f t="shared" si="57"/>
        <v>153.79446640316206</v>
      </c>
      <c r="Q248" s="290">
        <f t="shared" si="57"/>
        <v>146.75889328063241</v>
      </c>
      <c r="R248" s="290">
        <f t="shared" si="57"/>
        <v>132.29249011857706</v>
      </c>
      <c r="S248" s="290">
        <f t="shared" si="57"/>
        <v>140.31620553359684</v>
      </c>
      <c r="T248" s="290">
        <f t="shared" ref="T248:W248" si="58">T246/25.3</f>
        <v>127.49011857707509</v>
      </c>
      <c r="U248" s="290">
        <f t="shared" si="58"/>
        <v>142.49011857707509</v>
      </c>
      <c r="V248" s="290">
        <f t="shared" si="58"/>
        <v>116.08695652173913</v>
      </c>
      <c r="W248" s="290">
        <f t="shared" si="58"/>
        <v>0</v>
      </c>
      <c r="X248" s="290"/>
      <c r="Y248" s="290"/>
      <c r="Z248" s="290"/>
      <c r="AA248" s="290"/>
      <c r="AB248" s="290"/>
      <c r="AC248" s="290"/>
      <c r="AD248" s="290"/>
      <c r="AE248" s="290"/>
      <c r="AF248" s="290"/>
      <c r="AG248" s="290"/>
      <c r="AH248" s="290"/>
      <c r="AI248" s="290"/>
      <c r="AJ248" s="290"/>
      <c r="AK248" s="290"/>
      <c r="AM248" s="1154">
        <f>SUM(G248:AK248)</f>
        <v>1434.6245059288535</v>
      </c>
      <c r="BC248" s="511"/>
      <c r="BD248" s="511"/>
      <c r="BH248" s="39"/>
      <c r="BI248" s="140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</row>
    <row r="249" spans="3:61 15027:15419" s="1" customFormat="1" x14ac:dyDescent="0.25">
      <c r="C249" s="15"/>
      <c r="D249" s="74" t="s">
        <v>375</v>
      </c>
      <c r="E249" s="918"/>
      <c r="F249" s="69"/>
      <c r="G249" s="269"/>
      <c r="H249" s="269"/>
      <c r="I249" s="269"/>
      <c r="J249" s="269"/>
      <c r="K249" s="269"/>
      <c r="L249" s="269">
        <f t="shared" ref="L249" si="59">L248/L9*1000</f>
        <v>0.11442261866048918</v>
      </c>
      <c r="M249" s="269">
        <f t="shared" ref="M249:AK249" si="60">M248/M9*1000</f>
        <v>0.10617605280322474</v>
      </c>
      <c r="N249" s="269">
        <f t="shared" si="60"/>
        <v>7.4047197755057553E-2</v>
      </c>
      <c r="O249" s="269">
        <f t="shared" si="60"/>
        <v>7.0946675633585421E-2</v>
      </c>
      <c r="P249" s="269">
        <f t="shared" si="60"/>
        <v>7.688773756599164E-2</v>
      </c>
      <c r="Q249" s="269">
        <f t="shared" si="60"/>
        <v>7.1819034478208171E-2</v>
      </c>
      <c r="R249" s="269">
        <f t="shared" si="60"/>
        <v>7.9970458286707694E-2</v>
      </c>
      <c r="S249" s="269">
        <f t="shared" si="60"/>
        <v>7.6446183598710332E-2</v>
      </c>
      <c r="T249" s="269">
        <f t="shared" si="60"/>
        <v>6.963092670767386E-2</v>
      </c>
      <c r="U249" s="269">
        <f t="shared" si="60"/>
        <v>8.6299696068988282E-2</v>
      </c>
      <c r="V249" s="269" t="e">
        <f t="shared" si="60"/>
        <v>#DIV/0!</v>
      </c>
      <c r="W249" s="269" t="e">
        <f t="shared" si="60"/>
        <v>#DIV/0!</v>
      </c>
      <c r="X249" s="269" t="e">
        <f t="shared" si="60"/>
        <v>#DIV/0!</v>
      </c>
      <c r="Y249" s="269" t="e">
        <f t="shared" si="60"/>
        <v>#DIV/0!</v>
      </c>
      <c r="Z249" s="269" t="e">
        <f t="shared" si="60"/>
        <v>#DIV/0!</v>
      </c>
      <c r="AA249" s="269" t="e">
        <f t="shared" si="60"/>
        <v>#DIV/0!</v>
      </c>
      <c r="AB249" s="269" t="e">
        <f t="shared" si="60"/>
        <v>#DIV/0!</v>
      </c>
      <c r="AC249" s="269" t="e">
        <f t="shared" si="60"/>
        <v>#DIV/0!</v>
      </c>
      <c r="AD249" s="269" t="e">
        <f t="shared" si="60"/>
        <v>#DIV/0!</v>
      </c>
      <c r="AE249" s="269" t="e">
        <f t="shared" si="60"/>
        <v>#DIV/0!</v>
      </c>
      <c r="AF249" s="269" t="e">
        <f t="shared" si="60"/>
        <v>#DIV/0!</v>
      </c>
      <c r="AG249" s="269" t="e">
        <f t="shared" si="60"/>
        <v>#DIV/0!</v>
      </c>
      <c r="AH249" s="269" t="e">
        <f t="shared" si="60"/>
        <v>#DIV/0!</v>
      </c>
      <c r="AI249" s="269" t="e">
        <f t="shared" si="60"/>
        <v>#DIV/0!</v>
      </c>
      <c r="AJ249" s="269" t="e">
        <f t="shared" si="60"/>
        <v>#DIV/0!</v>
      </c>
      <c r="AK249" s="269" t="e">
        <f t="shared" si="60"/>
        <v>#DIV/0!</v>
      </c>
      <c r="AL249" s="62"/>
      <c r="AM249" s="84">
        <f>(AM248/AM9)*1000</f>
        <v>8.5421081101176799E-2</v>
      </c>
      <c r="AO249" s="39"/>
      <c r="BC249" s="511"/>
      <c r="BD249" s="511"/>
      <c r="BH249" s="39"/>
      <c r="BI249" s="140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 ht="15" customHeight="1" x14ac:dyDescent="0.25">
      <c r="C250" s="15"/>
      <c r="D250" s="14" t="s">
        <v>1135</v>
      </c>
      <c r="E250" s="248">
        <v>1168.001</v>
      </c>
      <c r="F250" s="20" t="s">
        <v>19</v>
      </c>
      <c r="G250" s="33"/>
      <c r="H250" s="2015"/>
      <c r="I250" s="2015"/>
      <c r="J250" s="2015"/>
      <c r="K250" s="2015"/>
      <c r="L250" s="2015">
        <f t="shared" ref="L250" si="61">L242-L248</f>
        <v>402.32075415019762</v>
      </c>
      <c r="M250" s="2015">
        <f t="shared" ref="M250:AK250" si="62">M242-M248</f>
        <v>1110.9663086956523</v>
      </c>
      <c r="N250" s="2015">
        <f t="shared" si="62"/>
        <v>1196.9583011857708</v>
      </c>
      <c r="O250" s="2015">
        <f t="shared" si="62"/>
        <v>1153.3339790513835</v>
      </c>
      <c r="P250" s="2015">
        <f t="shared" si="62"/>
        <v>1125.934833596838</v>
      </c>
      <c r="Q250" s="2015">
        <f t="shared" si="62"/>
        <v>1137.2658067193674</v>
      </c>
      <c r="R250" s="33">
        <f t="shared" si="62"/>
        <v>1075.488109881423</v>
      </c>
      <c r="S250" s="33">
        <f t="shared" si="62"/>
        <v>1085.4761944664033</v>
      </c>
      <c r="T250" s="33">
        <f t="shared" si="62"/>
        <v>1076.9613814229249</v>
      </c>
      <c r="U250" s="33">
        <f t="shared" si="62"/>
        <v>1143.713481422925</v>
      </c>
      <c r="V250" s="33">
        <f t="shared" si="62"/>
        <v>-116.08695652173913</v>
      </c>
      <c r="W250" s="33">
        <f t="shared" si="62"/>
        <v>0</v>
      </c>
      <c r="X250" s="33">
        <f t="shared" si="62"/>
        <v>0</v>
      </c>
      <c r="Y250" s="33">
        <f t="shared" si="62"/>
        <v>0</v>
      </c>
      <c r="Z250" s="33">
        <f t="shared" si="62"/>
        <v>0</v>
      </c>
      <c r="AA250" s="33">
        <f t="shared" si="62"/>
        <v>0</v>
      </c>
      <c r="AB250" s="33">
        <f t="shared" si="62"/>
        <v>0</v>
      </c>
      <c r="AC250" s="33">
        <f t="shared" si="62"/>
        <v>0</v>
      </c>
      <c r="AD250" s="33">
        <f t="shared" si="62"/>
        <v>0</v>
      </c>
      <c r="AE250" s="33">
        <f t="shared" si="62"/>
        <v>0</v>
      </c>
      <c r="AF250" s="33">
        <f t="shared" si="62"/>
        <v>0</v>
      </c>
      <c r="AG250" s="33">
        <f t="shared" si="62"/>
        <v>0</v>
      </c>
      <c r="AH250" s="33">
        <f t="shared" si="62"/>
        <v>0</v>
      </c>
      <c r="AI250" s="33">
        <f t="shared" si="62"/>
        <v>0</v>
      </c>
      <c r="AJ250" s="33">
        <f t="shared" si="62"/>
        <v>0</v>
      </c>
      <c r="AK250" s="33">
        <f t="shared" si="62"/>
        <v>0</v>
      </c>
      <c r="AM250" s="571">
        <f>SUM(G250:AK250)</f>
        <v>10392.332194071147</v>
      </c>
      <c r="BC250" s="511"/>
      <c r="BD250" s="511"/>
      <c r="BI250" s="140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2" customFormat="1" ht="15.75" thickBot="1" x14ac:dyDescent="0.3">
      <c r="C251" s="40"/>
      <c r="D251" s="41" t="s">
        <v>1</v>
      </c>
      <c r="E251" s="257">
        <v>1460.001</v>
      </c>
      <c r="F251" s="25" t="s">
        <v>19</v>
      </c>
      <c r="G251" s="292"/>
      <c r="H251" s="292"/>
      <c r="I251" s="292"/>
      <c r="J251" s="292"/>
      <c r="K251" s="292"/>
      <c r="L251" s="292">
        <f t="shared" ref="L251" si="63">L248+L250</f>
        <v>422.08359999999999</v>
      </c>
      <c r="M251" s="292">
        <f t="shared" ref="M251:AK251" si="64">M248+M250</f>
        <v>1266.1837</v>
      </c>
      <c r="N251" s="292">
        <f t="shared" si="64"/>
        <v>1349.0334</v>
      </c>
      <c r="O251" s="292">
        <f t="shared" si="64"/>
        <v>1301.6739</v>
      </c>
      <c r="P251" s="292">
        <f t="shared" si="64"/>
        <v>1279.7293</v>
      </c>
      <c r="Q251" s="292">
        <f t="shared" si="64"/>
        <v>1284.0246999999999</v>
      </c>
      <c r="R251" s="292">
        <f t="shared" si="64"/>
        <v>1207.7806</v>
      </c>
      <c r="S251" s="292">
        <f t="shared" si="64"/>
        <v>1225.7924</v>
      </c>
      <c r="T251" s="292">
        <f t="shared" si="64"/>
        <v>1204.4514999999999</v>
      </c>
      <c r="U251" s="292">
        <f t="shared" si="64"/>
        <v>1286.2036000000001</v>
      </c>
      <c r="V251" s="292">
        <f>V248+V250</f>
        <v>0</v>
      </c>
      <c r="W251" s="292">
        <f>W248+W250</f>
        <v>0</v>
      </c>
      <c r="X251" s="292">
        <f t="shared" si="64"/>
        <v>0</v>
      </c>
      <c r="Y251" s="292">
        <f t="shared" si="64"/>
        <v>0</v>
      </c>
      <c r="Z251" s="292">
        <f t="shared" si="64"/>
        <v>0</v>
      </c>
      <c r="AA251" s="292">
        <f t="shared" si="64"/>
        <v>0</v>
      </c>
      <c r="AB251" s="292">
        <f t="shared" si="64"/>
        <v>0</v>
      </c>
      <c r="AC251" s="292">
        <f t="shared" si="64"/>
        <v>0</v>
      </c>
      <c r="AD251" s="292">
        <f t="shared" si="64"/>
        <v>0</v>
      </c>
      <c r="AE251" s="292">
        <f t="shared" si="64"/>
        <v>0</v>
      </c>
      <c r="AF251" s="292">
        <f t="shared" si="64"/>
        <v>0</v>
      </c>
      <c r="AG251" s="292">
        <f t="shared" si="64"/>
        <v>0</v>
      </c>
      <c r="AH251" s="292">
        <f t="shared" si="64"/>
        <v>0</v>
      </c>
      <c r="AI251" s="292">
        <f t="shared" si="64"/>
        <v>0</v>
      </c>
      <c r="AJ251" s="292">
        <f t="shared" si="64"/>
        <v>0</v>
      </c>
      <c r="AK251" s="292">
        <f t="shared" si="64"/>
        <v>0</v>
      </c>
      <c r="AM251" s="116">
        <f>SUM(G251:AK251)</f>
        <v>11826.956699999999</v>
      </c>
      <c r="BC251" s="2117"/>
      <c r="BD251" s="2117"/>
      <c r="BI251" s="150"/>
    </row>
    <row r="252" spans="3:61 15027:15419" s="2" customFormat="1" x14ac:dyDescent="0.25">
      <c r="C252" s="8">
        <v>5</v>
      </c>
      <c r="D252" s="117" t="s">
        <v>18</v>
      </c>
      <c r="E252" s="118"/>
      <c r="F252" s="118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1944"/>
      <c r="T252" s="1944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  <c r="AE252" s="293"/>
      <c r="AF252" s="293"/>
      <c r="AG252" s="293"/>
      <c r="AH252" s="293"/>
      <c r="AI252" s="293"/>
      <c r="AJ252" s="293"/>
      <c r="AK252" s="293"/>
      <c r="AM252" s="135" t="s">
        <v>132</v>
      </c>
      <c r="BC252" s="2117"/>
      <c r="BD252" s="2117"/>
      <c r="BI252" s="150"/>
    </row>
    <row r="253" spans="3:61 15027:15419" s="2" customFormat="1" x14ac:dyDescent="0.25">
      <c r="C253" s="8"/>
      <c r="D253" s="232" t="s">
        <v>4</v>
      </c>
      <c r="E253" s="1707">
        <v>408000</v>
      </c>
      <c r="F253" s="233" t="s">
        <v>14</v>
      </c>
      <c r="G253" s="1640"/>
      <c r="H253" s="1640"/>
      <c r="I253" s="1640"/>
      <c r="J253" s="1640"/>
      <c r="K253" s="1640"/>
      <c r="L253" s="1640">
        <f>226.916*1000</f>
        <v>226916</v>
      </c>
      <c r="M253" s="1640">
        <f>387.527*1000</f>
        <v>387527</v>
      </c>
      <c r="N253" s="1640">
        <f>385.308*1000</f>
        <v>385308</v>
      </c>
      <c r="O253" s="1640">
        <f>406.75*1000</f>
        <v>406750</v>
      </c>
      <c r="P253" s="1640">
        <f>455.652*1000</f>
        <v>455652</v>
      </c>
      <c r="Q253" s="1640">
        <f>400.643*1000</f>
        <v>400643</v>
      </c>
      <c r="R253" s="2039">
        <f>379.629*1000</f>
        <v>379629</v>
      </c>
      <c r="S253" s="2039">
        <f>413.182*1000</f>
        <v>413182</v>
      </c>
      <c r="T253" s="2039">
        <f>393.377*1000</f>
        <v>393377</v>
      </c>
      <c r="U253" s="2039">
        <f>410.995*1000</f>
        <v>410995</v>
      </c>
      <c r="V253" s="1640"/>
      <c r="W253" s="1997"/>
      <c r="X253" s="1997"/>
      <c r="Y253" s="1997"/>
      <c r="Z253" s="1997"/>
      <c r="AA253" s="1958"/>
      <c r="AB253" s="1640"/>
      <c r="AC253" s="1640"/>
      <c r="AD253" s="1640"/>
      <c r="AE253" s="1640"/>
      <c r="AF253" s="1640"/>
      <c r="AG253" s="1640"/>
      <c r="AH253" s="1958"/>
      <c r="AI253" s="1958"/>
      <c r="AJ253" s="1958"/>
      <c r="AK253" s="1958"/>
      <c r="AM253" s="2014">
        <f>SUM(G253:AK253)</f>
        <v>3859979</v>
      </c>
      <c r="BC253" s="2117"/>
      <c r="BD253" s="2117"/>
      <c r="BI253" s="150"/>
    </row>
    <row r="254" spans="3:61 15027:15419" s="2" customFormat="1" x14ac:dyDescent="0.25">
      <c r="C254" s="8"/>
      <c r="D254" s="2095" t="s">
        <v>1128</v>
      </c>
      <c r="E254" s="118"/>
      <c r="F254" s="118"/>
      <c r="G254" s="2094"/>
      <c r="H254" s="2094"/>
      <c r="I254" s="2094"/>
      <c r="J254" s="2094"/>
      <c r="K254" s="2094"/>
      <c r="L254" s="2094"/>
      <c r="M254" s="2094"/>
      <c r="N254" s="2094"/>
      <c r="O254" s="2094"/>
      <c r="P254" s="2094"/>
      <c r="Q254" s="2094"/>
      <c r="R254" s="2094"/>
      <c r="S254" s="2094"/>
      <c r="T254" s="2094"/>
      <c r="U254" s="2094"/>
      <c r="V254" s="2094"/>
      <c r="W254" s="2094"/>
      <c r="X254" s="2094"/>
      <c r="Y254" s="2094"/>
      <c r="Z254" s="2094"/>
      <c r="AA254" s="2094"/>
      <c r="AB254" s="2094"/>
      <c r="AC254" s="2094"/>
      <c r="AD254" s="2094"/>
      <c r="AE254" s="2094"/>
      <c r="AF254" s="2094"/>
      <c r="AG254" s="2094"/>
      <c r="AH254" s="2094"/>
      <c r="AI254" s="2094"/>
      <c r="AJ254" s="2094"/>
      <c r="AK254" s="2094"/>
      <c r="AM254" s="63">
        <f>(AM256+AM258+AM260)</f>
        <v>331105.24804294389</v>
      </c>
      <c r="AO254" s="27"/>
      <c r="BC254" s="2117"/>
      <c r="BD254" s="2117"/>
      <c r="BI254" s="150"/>
    </row>
    <row r="255" spans="3:61 15027:15419" s="1" customFormat="1" x14ac:dyDescent="0.25">
      <c r="C255" s="15"/>
      <c r="D255" s="232" t="s">
        <v>16</v>
      </c>
      <c r="E255" s="1897">
        <v>70000</v>
      </c>
      <c r="F255" s="233" t="s">
        <v>1029</v>
      </c>
      <c r="G255" s="241"/>
      <c r="H255" s="241"/>
      <c r="I255" s="241"/>
      <c r="J255" s="241"/>
      <c r="K255" s="241"/>
      <c r="L255" s="1497">
        <f>48.9*1000</f>
        <v>48900</v>
      </c>
      <c r="M255" s="1497">
        <f>150.7*1000</f>
        <v>150700</v>
      </c>
      <c r="N255" s="1497">
        <f>159.1*1000</f>
        <v>159100</v>
      </c>
      <c r="O255" s="1497">
        <f>155.2*1000</f>
        <v>155200</v>
      </c>
      <c r="P255" s="1497">
        <f>161*1000</f>
        <v>161000</v>
      </c>
      <c r="Q255" s="1497">
        <f>158.4*1000</f>
        <v>158400</v>
      </c>
      <c r="R255" s="1497">
        <f>155.3*1000</f>
        <v>155300</v>
      </c>
      <c r="S255" s="1497">
        <f>159.4*1000</f>
        <v>159400</v>
      </c>
      <c r="T255" s="1497">
        <f>151.2*1000</f>
        <v>151200</v>
      </c>
      <c r="U255" s="1497">
        <f>149.9*1000</f>
        <v>149900</v>
      </c>
      <c r="V255" s="1497">
        <f>134.8*1000</f>
        <v>134800</v>
      </c>
      <c r="W255" s="241"/>
      <c r="X255" s="241"/>
      <c r="Y255" s="241"/>
      <c r="Z255" s="241"/>
      <c r="AA255" s="1957"/>
      <c r="AB255" s="1639"/>
      <c r="AC255" s="241"/>
      <c r="AD255" s="241"/>
      <c r="AE255" s="241"/>
      <c r="AF255" s="241"/>
      <c r="AG255" s="241"/>
      <c r="AH255" s="1957"/>
      <c r="AI255" s="1957"/>
      <c r="AJ255" s="1957"/>
      <c r="AK255" s="1957"/>
      <c r="AM255" s="2014">
        <f>SUM(G255:AK255)</f>
        <v>1583900</v>
      </c>
      <c r="BC255" s="511"/>
      <c r="BD255" s="511"/>
      <c r="BI255" s="140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3:61 15027:15419" s="1" customFormat="1" x14ac:dyDescent="0.25">
      <c r="C256" s="15"/>
      <c r="D256" s="14"/>
      <c r="E256" s="231">
        <f>E255/2500</f>
        <v>28</v>
      </c>
      <c r="F256" s="20" t="s">
        <v>353</v>
      </c>
      <c r="G256" s="33"/>
      <c r="H256" s="33"/>
      <c r="I256" s="33"/>
      <c r="J256" s="33"/>
      <c r="K256" s="33"/>
      <c r="L256" s="33">
        <f t="shared" ref="L256:M256" si="65">L255/L9*1000000</f>
        <v>283120.46225639479</v>
      </c>
      <c r="M256" s="33">
        <f t="shared" si="65"/>
        <v>103085.94303116451</v>
      </c>
      <c r="N256" s="33">
        <f t="shared" ref="N256:AK256" si="66">N255/N9*1000000</f>
        <v>77467.706775721977</v>
      </c>
      <c r="O256" s="33">
        <f t="shared" si="66"/>
        <v>74227.652191796224</v>
      </c>
      <c r="P256" s="33">
        <f t="shared" si="66"/>
        <v>80490.059477654519</v>
      </c>
      <c r="Q256" s="33">
        <f t="shared" si="66"/>
        <v>77515.813911152392</v>
      </c>
      <c r="R256" s="33">
        <f t="shared" si="66"/>
        <v>93878.436794060457</v>
      </c>
      <c r="S256" s="33">
        <f t="shared" si="66"/>
        <v>86843.295250859446</v>
      </c>
      <c r="T256" s="33">
        <f t="shared" si="66"/>
        <v>82580.487301338493</v>
      </c>
      <c r="U256" s="33">
        <f t="shared" si="66"/>
        <v>90787.519653469062</v>
      </c>
      <c r="V256" s="33" t="e">
        <f t="shared" si="66"/>
        <v>#DIV/0!</v>
      </c>
      <c r="W256" s="33" t="e">
        <f t="shared" si="66"/>
        <v>#DIV/0!</v>
      </c>
      <c r="X256" s="33" t="e">
        <f t="shared" si="66"/>
        <v>#DIV/0!</v>
      </c>
      <c r="Y256" s="33" t="e">
        <f t="shared" si="66"/>
        <v>#DIV/0!</v>
      </c>
      <c r="Z256" s="33" t="e">
        <f t="shared" si="66"/>
        <v>#DIV/0!</v>
      </c>
      <c r="AA256" s="33" t="e">
        <f t="shared" si="66"/>
        <v>#DIV/0!</v>
      </c>
      <c r="AB256" s="33" t="e">
        <f t="shared" si="66"/>
        <v>#DIV/0!</v>
      </c>
      <c r="AC256" s="33" t="e">
        <f t="shared" si="66"/>
        <v>#DIV/0!</v>
      </c>
      <c r="AD256" s="33" t="e">
        <f t="shared" si="66"/>
        <v>#DIV/0!</v>
      </c>
      <c r="AE256" s="33" t="e">
        <f t="shared" si="66"/>
        <v>#DIV/0!</v>
      </c>
      <c r="AF256" s="33" t="e">
        <f t="shared" si="66"/>
        <v>#DIV/0!</v>
      </c>
      <c r="AG256" s="33" t="e">
        <f t="shared" si="66"/>
        <v>#DIV/0!</v>
      </c>
      <c r="AH256" s="33" t="e">
        <f t="shared" si="66"/>
        <v>#DIV/0!</v>
      </c>
      <c r="AI256" s="33" t="e">
        <f t="shared" si="66"/>
        <v>#DIV/0!</v>
      </c>
      <c r="AJ256" s="33" t="e">
        <f t="shared" si="66"/>
        <v>#DIV/0!</v>
      </c>
      <c r="AK256" s="33" t="e">
        <f t="shared" si="66"/>
        <v>#DIV/0!</v>
      </c>
      <c r="AM256" s="1496">
        <f>AM255/AM9*1000000</f>
        <v>94309.312155904088</v>
      </c>
      <c r="BC256" s="511"/>
      <c r="BD256" s="511"/>
      <c r="BI256" s="140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1:61 15027:15419" s="1" customFormat="1" x14ac:dyDescent="0.25">
      <c r="A257" s="1993"/>
      <c r="C257" s="15"/>
      <c r="D257" s="232" t="s">
        <v>15</v>
      </c>
      <c r="E257" s="1772">
        <v>112.8</v>
      </c>
      <c r="F257" s="233" t="s">
        <v>1029</v>
      </c>
      <c r="G257" s="1497"/>
      <c r="H257" s="1497"/>
      <c r="I257" s="1497"/>
      <c r="J257" s="1497"/>
      <c r="K257" s="1497"/>
      <c r="L257" s="1497">
        <v>0</v>
      </c>
      <c r="M257" s="1497">
        <v>0</v>
      </c>
      <c r="N257" s="1497">
        <v>0</v>
      </c>
      <c r="O257" s="1497"/>
      <c r="P257" s="1497">
        <f>46.5*1000</f>
        <v>46500</v>
      </c>
      <c r="Q257" s="1497">
        <f>8.9*1000</f>
        <v>8900</v>
      </c>
      <c r="R257" s="2040">
        <v>0</v>
      </c>
      <c r="S257" s="2040">
        <v>0</v>
      </c>
      <c r="T257" s="2040">
        <v>0</v>
      </c>
      <c r="U257" s="2041"/>
      <c r="V257" s="2041"/>
      <c r="W257" s="2041"/>
      <c r="X257" s="1497"/>
      <c r="Y257" s="1497"/>
      <c r="Z257" s="1497">
        <f>44.7*1000</f>
        <v>44700</v>
      </c>
      <c r="AA257" s="1497"/>
      <c r="AB257" s="1497">
        <f>44.7*1000</f>
        <v>44700</v>
      </c>
      <c r="AC257" s="1497">
        <f>6.9*1000</f>
        <v>6900</v>
      </c>
      <c r="AD257" s="1497"/>
      <c r="AE257" s="1497"/>
      <c r="AF257" s="1497">
        <f>54.1*1000</f>
        <v>54100</v>
      </c>
      <c r="AG257" s="1497">
        <f>74.6*1000</f>
        <v>74600</v>
      </c>
      <c r="AH257" s="2152"/>
      <c r="AI257" s="1497"/>
      <c r="AJ257" s="1497"/>
      <c r="AK257" s="1497"/>
      <c r="AM257" s="2014">
        <f>SUM(G257:AK257)</f>
        <v>280400</v>
      </c>
      <c r="BC257" s="511"/>
      <c r="BD257" s="511"/>
      <c r="BI257" s="140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  <c r="VUA257" s="46"/>
    </row>
    <row r="258" spans="1:61 15027:15419" s="1" customFormat="1" x14ac:dyDescent="0.25">
      <c r="C258" s="15"/>
      <c r="D258" s="14"/>
      <c r="E258" s="231">
        <f>E257/2.5</f>
        <v>45.12</v>
      </c>
      <c r="F258" s="20" t="s">
        <v>353</v>
      </c>
      <c r="G258" s="33"/>
      <c r="H258" s="33"/>
      <c r="I258" s="33"/>
      <c r="J258" s="33"/>
      <c r="K258" s="33"/>
      <c r="L258" s="33" t="e">
        <f t="shared" ref="L258:M258" si="67">L257/L29*1000000</f>
        <v>#DIV/0!</v>
      </c>
      <c r="M258" s="33" t="e">
        <f t="shared" si="67"/>
        <v>#DIV/0!</v>
      </c>
      <c r="N258" s="33" t="e">
        <f t="shared" ref="N258:AK258" si="68">N257/N29*1000000</f>
        <v>#DIV/0!</v>
      </c>
      <c r="O258" s="33" t="e">
        <f t="shared" si="68"/>
        <v>#DIV/0!</v>
      </c>
      <c r="P258" s="33" t="e">
        <f t="shared" si="68"/>
        <v>#DIV/0!</v>
      </c>
      <c r="Q258" s="33" t="e">
        <f t="shared" si="68"/>
        <v>#DIV/0!</v>
      </c>
      <c r="R258" s="33" t="e">
        <f t="shared" si="68"/>
        <v>#DIV/0!</v>
      </c>
      <c r="S258" s="33" t="e">
        <f t="shared" si="68"/>
        <v>#DIV/0!</v>
      </c>
      <c r="T258" s="33" t="e">
        <f t="shared" si="68"/>
        <v>#DIV/0!</v>
      </c>
      <c r="U258" s="33" t="e">
        <f t="shared" si="68"/>
        <v>#DIV/0!</v>
      </c>
      <c r="V258" s="33" t="e">
        <f t="shared" si="68"/>
        <v>#DIV/0!</v>
      </c>
      <c r="W258" s="33" t="e">
        <f t="shared" si="68"/>
        <v>#DIV/0!</v>
      </c>
      <c r="X258" s="33" t="e">
        <f t="shared" si="68"/>
        <v>#DIV/0!</v>
      </c>
      <c r="Y258" s="33" t="e">
        <f t="shared" si="68"/>
        <v>#DIV/0!</v>
      </c>
      <c r="Z258" s="33" t="e">
        <f t="shared" si="68"/>
        <v>#DIV/0!</v>
      </c>
      <c r="AA258" s="33" t="e">
        <f t="shared" si="68"/>
        <v>#DIV/0!</v>
      </c>
      <c r="AB258" s="33" t="e">
        <f t="shared" si="68"/>
        <v>#DIV/0!</v>
      </c>
      <c r="AC258" s="33" t="e">
        <f t="shared" si="68"/>
        <v>#DIV/0!</v>
      </c>
      <c r="AD258" s="33" t="e">
        <f t="shared" si="68"/>
        <v>#DIV/0!</v>
      </c>
      <c r="AE258" s="33" t="e">
        <f t="shared" si="68"/>
        <v>#DIV/0!</v>
      </c>
      <c r="AF258" s="33">
        <f t="shared" si="68"/>
        <v>99375.459221160912</v>
      </c>
      <c r="AG258" s="33">
        <f t="shared" si="68"/>
        <v>73795.62765852212</v>
      </c>
      <c r="AH258" s="33">
        <f t="shared" si="68"/>
        <v>0</v>
      </c>
      <c r="AI258" s="33" t="e">
        <f t="shared" si="68"/>
        <v>#DIV/0!</v>
      </c>
      <c r="AJ258" s="33" t="e">
        <f t="shared" si="68"/>
        <v>#DIV/0!</v>
      </c>
      <c r="AK258" s="33" t="e">
        <f t="shared" si="68"/>
        <v>#DIV/0!</v>
      </c>
      <c r="AM258" s="1496">
        <f>AM257/AM29*1000000</f>
        <v>117968.28655691634</v>
      </c>
      <c r="BC258" s="511"/>
      <c r="BD258" s="511"/>
      <c r="BI258" s="140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1:61 15027:15419" s="1" customFormat="1" x14ac:dyDescent="0.25">
      <c r="C259" s="15"/>
      <c r="D259" s="14" t="s">
        <v>7</v>
      </c>
      <c r="E259" s="231">
        <v>106000</v>
      </c>
      <c r="F259" s="20" t="s">
        <v>14</v>
      </c>
      <c r="G259" s="268"/>
      <c r="H259" s="268"/>
      <c r="I259" s="268"/>
      <c r="J259" s="268"/>
      <c r="K259" s="268"/>
      <c r="L259" s="268">
        <f t="shared" ref="L259:M259" si="69">L253-L255-L257</f>
        <v>178016</v>
      </c>
      <c r="M259" s="268">
        <f t="shared" si="69"/>
        <v>236827</v>
      </c>
      <c r="N259" s="268">
        <f t="shared" ref="N259:AK259" si="70">N253-N255-N257</f>
        <v>226208</v>
      </c>
      <c r="O259" s="268">
        <f t="shared" si="70"/>
        <v>251550</v>
      </c>
      <c r="P259" s="268">
        <f t="shared" si="70"/>
        <v>248152</v>
      </c>
      <c r="Q259" s="268">
        <f t="shared" si="70"/>
        <v>233343</v>
      </c>
      <c r="R259" s="268">
        <f t="shared" si="70"/>
        <v>224329</v>
      </c>
      <c r="S259" s="268">
        <f t="shared" si="70"/>
        <v>253782</v>
      </c>
      <c r="T259" s="268">
        <f t="shared" si="70"/>
        <v>242177</v>
      </c>
      <c r="U259" s="268">
        <f t="shared" si="70"/>
        <v>261095</v>
      </c>
      <c r="V259" s="268">
        <f t="shared" si="70"/>
        <v>-134800</v>
      </c>
      <c r="W259" s="268">
        <f t="shared" si="70"/>
        <v>0</v>
      </c>
      <c r="X259" s="268">
        <f t="shared" si="70"/>
        <v>0</v>
      </c>
      <c r="Y259" s="268">
        <f t="shared" si="70"/>
        <v>0</v>
      </c>
      <c r="Z259" s="268">
        <f t="shared" si="70"/>
        <v>-44700</v>
      </c>
      <c r="AA259" s="268">
        <f t="shared" si="70"/>
        <v>0</v>
      </c>
      <c r="AB259" s="268">
        <f t="shared" si="70"/>
        <v>-44700</v>
      </c>
      <c r="AC259" s="268">
        <f t="shared" si="70"/>
        <v>-6900</v>
      </c>
      <c r="AD259" s="268">
        <f t="shared" si="70"/>
        <v>0</v>
      </c>
      <c r="AE259" s="268">
        <f t="shared" si="70"/>
        <v>0</v>
      </c>
      <c r="AF259" s="268">
        <f t="shared" si="70"/>
        <v>-54100</v>
      </c>
      <c r="AG259" s="268">
        <f t="shared" si="70"/>
        <v>-74600</v>
      </c>
      <c r="AH259" s="268">
        <f t="shared" si="70"/>
        <v>0</v>
      </c>
      <c r="AI259" s="268">
        <f t="shared" si="70"/>
        <v>0</v>
      </c>
      <c r="AJ259" s="268">
        <f t="shared" si="70"/>
        <v>0</v>
      </c>
      <c r="AK259" s="268">
        <f t="shared" si="70"/>
        <v>0</v>
      </c>
      <c r="AM259" s="54">
        <f>AM253-AM255-AM257</f>
        <v>1995679</v>
      </c>
      <c r="AO259" s="3"/>
      <c r="BC259" s="511"/>
      <c r="BD259" s="511"/>
      <c r="BI259" s="140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  <c r="VUA259" s="46"/>
    </row>
    <row r="260" spans="1:61 15027:15419" s="1" customFormat="1" x14ac:dyDescent="0.25">
      <c r="C260" s="15"/>
      <c r="D260" s="14"/>
      <c r="E260" s="231"/>
      <c r="F260" s="20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1922"/>
      <c r="T260" s="1922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M260" s="1154">
        <f>AM259/AM9*1000000</f>
        <v>118827.64933012343</v>
      </c>
      <c r="AO260" s="3"/>
      <c r="BC260" s="511"/>
      <c r="BD260" s="511"/>
      <c r="BI260" s="140"/>
      <c r="VEY260" s="46"/>
      <c r="VEZ260" s="46"/>
      <c r="VFA260" s="46"/>
      <c r="VFB260" s="46"/>
      <c r="VFC260" s="46"/>
      <c r="VFD260" s="46"/>
      <c r="VFE260" s="46"/>
      <c r="VFF260" s="46"/>
      <c r="VFG260" s="46"/>
      <c r="VFH260" s="46"/>
      <c r="VFI260" s="46"/>
      <c r="VFJ260" s="46"/>
      <c r="VFK260" s="46"/>
      <c r="VFL260" s="46"/>
      <c r="VFM260" s="46"/>
      <c r="VFN260" s="46"/>
      <c r="VFO260" s="46"/>
      <c r="VFP260" s="46"/>
      <c r="VFQ260" s="46"/>
      <c r="VFR260" s="46"/>
      <c r="VFS260" s="46"/>
      <c r="VFT260" s="46"/>
      <c r="VFU260" s="46"/>
      <c r="VFV260" s="46"/>
      <c r="VFW260" s="46"/>
      <c r="VFX260" s="46"/>
      <c r="VFY260" s="46"/>
      <c r="VFZ260" s="46"/>
      <c r="VGA260" s="46"/>
      <c r="VGB260" s="46"/>
      <c r="VGC260" s="46"/>
      <c r="VGD260" s="46"/>
      <c r="VGE260" s="46"/>
      <c r="VGF260" s="46"/>
      <c r="VGG260" s="46"/>
      <c r="VGH260" s="46"/>
      <c r="VGI260" s="46"/>
      <c r="VGJ260" s="46"/>
      <c r="VGK260" s="46"/>
      <c r="VGL260" s="46"/>
      <c r="VGM260" s="46"/>
      <c r="VGN260" s="46"/>
      <c r="VGO260" s="46"/>
      <c r="VGP260" s="46"/>
      <c r="VGQ260" s="46"/>
      <c r="VGR260" s="46"/>
      <c r="VGS260" s="46"/>
      <c r="VGT260" s="46"/>
      <c r="VGU260" s="46"/>
      <c r="VGV260" s="46"/>
      <c r="VGW260" s="46"/>
      <c r="VGX260" s="46"/>
      <c r="VGY260" s="46"/>
      <c r="VGZ260" s="46"/>
      <c r="VHA260" s="46"/>
      <c r="VHB260" s="46"/>
      <c r="VHC260" s="46"/>
      <c r="VHD260" s="46"/>
      <c r="VHE260" s="46"/>
      <c r="VHF260" s="46"/>
      <c r="VHG260" s="46"/>
      <c r="VHH260" s="46"/>
      <c r="VHI260" s="46"/>
      <c r="VHJ260" s="46"/>
      <c r="VHK260" s="46"/>
      <c r="VHL260" s="46"/>
      <c r="VHM260" s="46"/>
      <c r="VHN260" s="46"/>
      <c r="VHO260" s="46"/>
      <c r="VHP260" s="46"/>
      <c r="VHQ260" s="46"/>
      <c r="VHR260" s="46"/>
      <c r="VHS260" s="46"/>
      <c r="VHT260" s="46"/>
      <c r="VHU260" s="46"/>
      <c r="VHV260" s="46"/>
      <c r="VHW260" s="46"/>
      <c r="VHX260" s="46"/>
      <c r="VHY260" s="46"/>
      <c r="VHZ260" s="46"/>
      <c r="VIA260" s="46"/>
      <c r="VIB260" s="46"/>
      <c r="VIC260" s="46"/>
      <c r="VID260" s="46"/>
      <c r="VIE260" s="46"/>
      <c r="VIF260" s="46"/>
      <c r="VIG260" s="46"/>
      <c r="VIH260" s="46"/>
      <c r="VII260" s="46"/>
      <c r="VIJ260" s="46"/>
      <c r="VIK260" s="46"/>
      <c r="VIL260" s="46"/>
      <c r="VIM260" s="46"/>
      <c r="VIN260" s="46"/>
      <c r="VIO260" s="46"/>
      <c r="VIP260" s="46"/>
      <c r="VIQ260" s="46"/>
      <c r="VIR260" s="46"/>
      <c r="VIS260" s="46"/>
      <c r="VIT260" s="46"/>
      <c r="VIU260" s="46"/>
      <c r="VIV260" s="46"/>
      <c r="VIW260" s="46"/>
      <c r="VIX260" s="46"/>
      <c r="VIY260" s="46"/>
      <c r="VIZ260" s="46"/>
      <c r="VJA260" s="46"/>
      <c r="VJB260" s="46"/>
      <c r="VJC260" s="46"/>
      <c r="VJD260" s="46"/>
      <c r="VJE260" s="46"/>
      <c r="VJF260" s="46"/>
      <c r="VJG260" s="46"/>
      <c r="VJH260" s="46"/>
      <c r="VJI260" s="46"/>
      <c r="VJJ260" s="46"/>
      <c r="VJK260" s="46"/>
      <c r="VJL260" s="46"/>
      <c r="VJM260" s="46"/>
      <c r="VJN260" s="46"/>
      <c r="VJO260" s="46"/>
      <c r="VJP260" s="46"/>
      <c r="VJQ260" s="46"/>
      <c r="VJR260" s="46"/>
      <c r="VJS260" s="46"/>
      <c r="VJT260" s="46"/>
      <c r="VJU260" s="46"/>
      <c r="VJV260" s="46"/>
      <c r="VJW260" s="46"/>
      <c r="VJX260" s="46"/>
      <c r="VJY260" s="46"/>
      <c r="VJZ260" s="46"/>
      <c r="VKA260" s="46"/>
      <c r="VKB260" s="46"/>
      <c r="VKC260" s="46"/>
      <c r="VKD260" s="46"/>
      <c r="VKE260" s="46"/>
      <c r="VKF260" s="46"/>
      <c r="VKG260" s="46"/>
      <c r="VKH260" s="46"/>
      <c r="VKI260" s="46"/>
      <c r="VKJ260" s="46"/>
      <c r="VKK260" s="46"/>
      <c r="VKL260" s="46"/>
      <c r="VKM260" s="46"/>
      <c r="VKN260" s="46"/>
      <c r="VKO260" s="46"/>
      <c r="VKP260" s="46"/>
      <c r="VKQ260" s="46"/>
      <c r="VKR260" s="46"/>
      <c r="VKS260" s="46"/>
      <c r="VKT260" s="46"/>
      <c r="VKU260" s="46"/>
      <c r="VKV260" s="46"/>
      <c r="VKW260" s="46"/>
      <c r="VKX260" s="46"/>
      <c r="VKY260" s="46"/>
      <c r="VKZ260" s="46"/>
      <c r="VLA260" s="46"/>
      <c r="VLB260" s="46"/>
      <c r="VLC260" s="46"/>
      <c r="VLD260" s="46"/>
      <c r="VLE260" s="46"/>
      <c r="VLF260" s="46"/>
      <c r="VLG260" s="46"/>
      <c r="VLH260" s="46"/>
      <c r="VLI260" s="46"/>
      <c r="VLJ260" s="46"/>
      <c r="VLK260" s="46"/>
      <c r="VLL260" s="46"/>
      <c r="VLM260" s="46"/>
      <c r="VLN260" s="46"/>
      <c r="VLO260" s="46"/>
      <c r="VLP260" s="46"/>
      <c r="VLQ260" s="46"/>
      <c r="VLR260" s="46"/>
      <c r="VLS260" s="46"/>
      <c r="VLT260" s="46"/>
      <c r="VLU260" s="46"/>
      <c r="VLV260" s="46"/>
      <c r="VLW260" s="46"/>
      <c r="VLX260" s="46"/>
      <c r="VLY260" s="46"/>
      <c r="VLZ260" s="46"/>
      <c r="VMA260" s="46"/>
      <c r="VMB260" s="46"/>
      <c r="VMC260" s="46"/>
      <c r="VMD260" s="46"/>
      <c r="VME260" s="46"/>
      <c r="VMF260" s="46"/>
      <c r="VMG260" s="46"/>
      <c r="VMH260" s="46"/>
      <c r="VMI260" s="46"/>
      <c r="VMJ260" s="46"/>
      <c r="VMK260" s="46"/>
      <c r="VML260" s="46"/>
      <c r="VMM260" s="46"/>
      <c r="VMN260" s="46"/>
      <c r="VMO260" s="46"/>
      <c r="VMP260" s="46"/>
      <c r="VMQ260" s="46"/>
      <c r="VMR260" s="46"/>
      <c r="VMS260" s="46"/>
      <c r="VMT260" s="46"/>
      <c r="VMU260" s="46"/>
      <c r="VMV260" s="46"/>
      <c r="VMW260" s="46"/>
      <c r="VMX260" s="46"/>
      <c r="VMY260" s="46"/>
      <c r="VMZ260" s="46"/>
      <c r="VNA260" s="46"/>
      <c r="VNB260" s="46"/>
      <c r="VNC260" s="46"/>
      <c r="VND260" s="46"/>
      <c r="VNE260" s="46"/>
      <c r="VNF260" s="46"/>
      <c r="VNG260" s="46"/>
      <c r="VNH260" s="46"/>
      <c r="VNI260" s="46"/>
      <c r="VNJ260" s="46"/>
      <c r="VNK260" s="46"/>
      <c r="VNL260" s="46"/>
      <c r="VNM260" s="46"/>
      <c r="VNN260" s="46"/>
      <c r="VNO260" s="46"/>
      <c r="VNP260" s="46"/>
      <c r="VNQ260" s="46"/>
      <c r="VNR260" s="46"/>
      <c r="VNS260" s="46"/>
      <c r="VNT260" s="46"/>
      <c r="VNU260" s="46"/>
      <c r="VNV260" s="46"/>
      <c r="VNW260" s="46"/>
      <c r="VNX260" s="46"/>
      <c r="VNY260" s="46"/>
      <c r="VNZ260" s="46"/>
      <c r="VOA260" s="46"/>
      <c r="VOB260" s="46"/>
      <c r="VOC260" s="46"/>
      <c r="VOD260" s="46"/>
      <c r="VOE260" s="46"/>
      <c r="VOF260" s="46"/>
      <c r="VOG260" s="46"/>
      <c r="VOH260" s="46"/>
      <c r="VOI260" s="46"/>
      <c r="VOJ260" s="46"/>
      <c r="VOK260" s="46"/>
      <c r="VOL260" s="46"/>
      <c r="VOM260" s="46"/>
      <c r="VON260" s="46"/>
      <c r="VOO260" s="46"/>
      <c r="VOP260" s="46"/>
      <c r="VOQ260" s="46"/>
      <c r="VOR260" s="46"/>
      <c r="VOS260" s="46"/>
      <c r="VOT260" s="46"/>
      <c r="VOU260" s="46"/>
      <c r="VOV260" s="46"/>
      <c r="VOW260" s="46"/>
      <c r="VOX260" s="46"/>
      <c r="VOY260" s="46"/>
      <c r="VOZ260" s="46"/>
      <c r="VPA260" s="46"/>
      <c r="VPB260" s="46"/>
      <c r="VPC260" s="46"/>
      <c r="VPD260" s="46"/>
      <c r="VPE260" s="46"/>
      <c r="VPF260" s="46"/>
      <c r="VPG260" s="46"/>
      <c r="VPH260" s="46"/>
      <c r="VPI260" s="46"/>
      <c r="VPJ260" s="46"/>
      <c r="VPK260" s="46"/>
      <c r="VPL260" s="46"/>
      <c r="VPM260" s="46"/>
      <c r="VPN260" s="46"/>
      <c r="VPO260" s="46"/>
      <c r="VPP260" s="46"/>
      <c r="VPQ260" s="46"/>
      <c r="VPR260" s="46"/>
      <c r="VPS260" s="46"/>
      <c r="VPT260" s="46"/>
      <c r="VPU260" s="46"/>
      <c r="VPV260" s="46"/>
      <c r="VPW260" s="46"/>
      <c r="VPX260" s="46"/>
      <c r="VPY260" s="46"/>
      <c r="VPZ260" s="46"/>
      <c r="VQA260" s="46"/>
      <c r="VQB260" s="46"/>
      <c r="VQC260" s="46"/>
      <c r="VQD260" s="46"/>
      <c r="VQE260" s="46"/>
      <c r="VQF260" s="46"/>
      <c r="VQG260" s="46"/>
      <c r="VQH260" s="46"/>
      <c r="VQI260" s="46"/>
      <c r="VQJ260" s="46"/>
      <c r="VQK260" s="46"/>
      <c r="VQL260" s="46"/>
      <c r="VQM260" s="46"/>
      <c r="VQN260" s="46"/>
      <c r="VQO260" s="46"/>
      <c r="VQP260" s="46"/>
      <c r="VQQ260" s="46"/>
      <c r="VQR260" s="46"/>
      <c r="VQS260" s="46"/>
      <c r="VQT260" s="46"/>
      <c r="VQU260" s="46"/>
      <c r="VQV260" s="46"/>
      <c r="VQW260" s="46"/>
      <c r="VQX260" s="46"/>
      <c r="VQY260" s="46"/>
      <c r="VQZ260" s="46"/>
      <c r="VRA260" s="46"/>
      <c r="VRB260" s="46"/>
      <c r="VRC260" s="46"/>
      <c r="VRD260" s="46"/>
      <c r="VRE260" s="46"/>
      <c r="VRF260" s="46"/>
      <c r="VRG260" s="46"/>
      <c r="VRH260" s="46"/>
      <c r="VRI260" s="46"/>
      <c r="VRJ260" s="46"/>
      <c r="VRK260" s="46"/>
      <c r="VRL260" s="46"/>
      <c r="VRM260" s="46"/>
      <c r="VRN260" s="46"/>
      <c r="VRO260" s="46"/>
      <c r="VRP260" s="46"/>
      <c r="VRQ260" s="46"/>
      <c r="VRR260" s="46"/>
      <c r="VRS260" s="46"/>
      <c r="VRT260" s="46"/>
      <c r="VRU260" s="46"/>
      <c r="VRV260" s="46"/>
      <c r="VRW260" s="46"/>
      <c r="VRX260" s="46"/>
      <c r="VRY260" s="46"/>
      <c r="VRZ260" s="46"/>
      <c r="VSA260" s="46"/>
      <c r="VSB260" s="46"/>
      <c r="VSC260" s="46"/>
      <c r="VSD260" s="46"/>
      <c r="VSE260" s="46"/>
      <c r="VSF260" s="46"/>
      <c r="VSG260" s="46"/>
      <c r="VSH260" s="46"/>
      <c r="VSI260" s="46"/>
      <c r="VSJ260" s="46"/>
      <c r="VSK260" s="46"/>
      <c r="VSL260" s="46"/>
      <c r="VSM260" s="46"/>
      <c r="VSN260" s="46"/>
      <c r="VSO260" s="46"/>
      <c r="VSP260" s="46"/>
      <c r="VSQ260" s="46"/>
      <c r="VSR260" s="46"/>
      <c r="VSS260" s="46"/>
      <c r="VST260" s="46"/>
      <c r="VSU260" s="46"/>
      <c r="VSV260" s="46"/>
      <c r="VSW260" s="46"/>
      <c r="VSX260" s="46"/>
      <c r="VSY260" s="46"/>
      <c r="VSZ260" s="46"/>
      <c r="VTA260" s="46"/>
      <c r="VTB260" s="46"/>
      <c r="VTC260" s="46"/>
      <c r="VTD260" s="46"/>
      <c r="VTE260" s="46"/>
      <c r="VTF260" s="46"/>
      <c r="VTG260" s="46"/>
      <c r="VTH260" s="46"/>
      <c r="VTI260" s="46"/>
      <c r="VTJ260" s="46"/>
      <c r="VTK260" s="46"/>
      <c r="VTL260" s="46"/>
      <c r="VTM260" s="46"/>
      <c r="VTN260" s="46"/>
      <c r="VTO260" s="46"/>
      <c r="VTP260" s="46"/>
      <c r="VTQ260" s="46"/>
      <c r="VTR260" s="46"/>
      <c r="VTS260" s="46"/>
      <c r="VTT260" s="46"/>
      <c r="VTU260" s="46"/>
      <c r="VTV260" s="46"/>
      <c r="VTW260" s="46"/>
      <c r="VTX260" s="46"/>
      <c r="VTY260" s="46"/>
      <c r="VTZ260" s="46"/>
      <c r="VUA260" s="46"/>
    </row>
    <row r="261" spans="1:61 15027:15419" s="2" customFormat="1" ht="15.75" thickBot="1" x14ac:dyDescent="0.3">
      <c r="C261" s="2100"/>
      <c r="D261" s="41" t="s">
        <v>1</v>
      </c>
      <c r="E261" s="2101">
        <v>408000</v>
      </c>
      <c r="F261" s="25" t="s">
        <v>14</v>
      </c>
      <c r="G261" s="2102"/>
      <c r="H261" s="2102"/>
      <c r="I261" s="2102"/>
      <c r="J261" s="2102"/>
      <c r="K261" s="2102"/>
      <c r="L261" s="2102">
        <f t="shared" ref="L261:M261" si="71">SUM(L255,L257,L259)</f>
        <v>226916</v>
      </c>
      <c r="M261" s="2102">
        <f t="shared" si="71"/>
        <v>387527</v>
      </c>
      <c r="N261" s="2102">
        <f t="shared" ref="N261:AB261" si="72">SUM(N255,N257,N259)</f>
        <v>385308</v>
      </c>
      <c r="O261" s="2102">
        <f t="shared" si="72"/>
        <v>406750</v>
      </c>
      <c r="P261" s="2102">
        <f t="shared" si="72"/>
        <v>455652</v>
      </c>
      <c r="Q261" s="2102">
        <f t="shared" si="72"/>
        <v>400643</v>
      </c>
      <c r="R261" s="2102">
        <f>SUM(R255,R259)</f>
        <v>379629</v>
      </c>
      <c r="S261" s="2102">
        <f t="shared" si="72"/>
        <v>413182</v>
      </c>
      <c r="T261" s="2102">
        <f>SUM(T255,T257,T259)</f>
        <v>393377</v>
      </c>
      <c r="U261" s="2102">
        <f t="shared" si="72"/>
        <v>410995</v>
      </c>
      <c r="V261" s="2102">
        <f t="shared" si="72"/>
        <v>0</v>
      </c>
      <c r="W261" s="2102">
        <f t="shared" si="72"/>
        <v>0</v>
      </c>
      <c r="X261" s="2102">
        <f t="shared" si="72"/>
        <v>0</v>
      </c>
      <c r="Y261" s="2102">
        <f t="shared" si="72"/>
        <v>0</v>
      </c>
      <c r="Z261" s="2102">
        <f t="shared" si="72"/>
        <v>0</v>
      </c>
      <c r="AA261" s="2102">
        <f t="shared" si="72"/>
        <v>0</v>
      </c>
      <c r="AB261" s="2102">
        <f t="shared" si="72"/>
        <v>0</v>
      </c>
      <c r="AC261" s="2102">
        <f>SUM(AC255,AC257,AC259)</f>
        <v>0</v>
      </c>
      <c r="AD261" s="2102">
        <f>SUM(AD255,AD257,AD259)</f>
        <v>0</v>
      </c>
      <c r="AE261" s="2102">
        <f>SUM(AE255,AE257,AE259)</f>
        <v>0</v>
      </c>
      <c r="AF261" s="2102">
        <f t="shared" ref="AF261:AK261" si="73">SUM(AF255,AF257,AF259)</f>
        <v>0</v>
      </c>
      <c r="AG261" s="2102">
        <f t="shared" si="73"/>
        <v>0</v>
      </c>
      <c r="AH261" s="2102">
        <f t="shared" si="73"/>
        <v>0</v>
      </c>
      <c r="AI261" s="2102">
        <f t="shared" si="73"/>
        <v>0</v>
      </c>
      <c r="AJ261" s="2102">
        <f t="shared" si="73"/>
        <v>0</v>
      </c>
      <c r="AK261" s="2102">
        <f t="shared" si="73"/>
        <v>0</v>
      </c>
      <c r="AM261" s="2154">
        <f>AM255+AM257+AM259</f>
        <v>3859979</v>
      </c>
      <c r="BC261" s="2117"/>
      <c r="BD261" s="2117"/>
      <c r="BI261" s="150"/>
    </row>
    <row r="262" spans="1:61 15027:15419" s="2" customFormat="1" hidden="1" x14ac:dyDescent="0.25">
      <c r="C262" s="8"/>
      <c r="D262" s="2099" t="s">
        <v>1128</v>
      </c>
      <c r="E262" s="118"/>
      <c r="F262" s="118"/>
      <c r="G262" s="2094"/>
      <c r="H262" s="2094"/>
      <c r="I262" s="2094"/>
      <c r="J262" s="2094"/>
      <c r="K262" s="2094"/>
      <c r="L262" s="2094"/>
      <c r="M262" s="2094"/>
      <c r="N262" s="2094"/>
      <c r="O262" s="2094"/>
      <c r="P262" s="2094"/>
      <c r="Q262" s="2094"/>
      <c r="R262" s="2094"/>
      <c r="S262" s="2094"/>
      <c r="T262" s="2094"/>
      <c r="U262" s="2094"/>
      <c r="V262" s="2094"/>
      <c r="W262" s="2094"/>
      <c r="X262" s="2094"/>
      <c r="Y262" s="2094"/>
      <c r="Z262" s="2094"/>
      <c r="AA262" s="2094"/>
      <c r="AB262" s="2094"/>
      <c r="AC262" s="2094"/>
      <c r="AD262" s="2094"/>
      <c r="AE262" s="2094"/>
      <c r="AF262" s="2094"/>
      <c r="AG262" s="2094"/>
      <c r="AH262" s="2094"/>
      <c r="AI262" s="2094"/>
      <c r="AJ262" s="2094"/>
      <c r="AK262" s="2094"/>
      <c r="AM262" s="63"/>
      <c r="BC262" s="2117"/>
      <c r="BD262" s="2117"/>
      <c r="BI262" s="150"/>
    </row>
    <row r="263" spans="1:61 15027:15419" s="2" customFormat="1" hidden="1" x14ac:dyDescent="0.25">
      <c r="C263" s="15"/>
      <c r="D263" s="232" t="s">
        <v>16</v>
      </c>
      <c r="E263" s="1897">
        <v>70000</v>
      </c>
      <c r="F263" s="233" t="s">
        <v>1029</v>
      </c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>
        <v>145.9</v>
      </c>
      <c r="S263" s="241">
        <v>144.1</v>
      </c>
      <c r="T263" s="241">
        <v>52.6</v>
      </c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1639"/>
      <c r="AF263" s="1639"/>
      <c r="AG263" s="1639"/>
      <c r="AH263" s="1639"/>
      <c r="AI263" s="1639"/>
      <c r="AJ263" s="1639"/>
      <c r="AK263" s="1639"/>
      <c r="AM263" s="2014">
        <f>SUM(G263:AK263)</f>
        <v>342.6</v>
      </c>
      <c r="BC263" s="2117"/>
      <c r="BD263" s="2117"/>
      <c r="BI263" s="150"/>
    </row>
    <row r="264" spans="1:61 15027:15419" s="2" customFormat="1" hidden="1" x14ac:dyDescent="0.25">
      <c r="C264" s="15"/>
      <c r="D264" s="14"/>
      <c r="E264" s="231">
        <f>E263/2500</f>
        <v>28</v>
      </c>
      <c r="F264" s="20" t="s">
        <v>353</v>
      </c>
      <c r="G264" s="33"/>
      <c r="H264" s="33"/>
      <c r="I264" s="33"/>
      <c r="J264" s="33"/>
      <c r="K264" s="33"/>
      <c r="L264" s="33" t="e">
        <f t="shared" ref="L264" si="74">L263/L17*1000000</f>
        <v>#DIV/0!</v>
      </c>
      <c r="M264" s="33" t="e">
        <f t="shared" ref="M264:AB264" si="75">M263/M17*1000000</f>
        <v>#DIV/0!</v>
      </c>
      <c r="N264" s="33" t="e">
        <f t="shared" si="75"/>
        <v>#DIV/0!</v>
      </c>
      <c r="O264" s="33" t="e">
        <f t="shared" si="75"/>
        <v>#DIV/0!</v>
      </c>
      <c r="P264" s="33" t="e">
        <f t="shared" si="75"/>
        <v>#DIV/0!</v>
      </c>
      <c r="Q264" s="33" t="e">
        <f t="shared" si="75"/>
        <v>#DIV/0!</v>
      </c>
      <c r="R264" s="33" t="e">
        <f t="shared" si="75"/>
        <v>#DIV/0!</v>
      </c>
      <c r="S264" s="33" t="e">
        <f t="shared" si="75"/>
        <v>#DIV/0!</v>
      </c>
      <c r="T264" s="33" t="e">
        <f t="shared" si="75"/>
        <v>#DIV/0!</v>
      </c>
      <c r="U264" s="33" t="e">
        <f t="shared" si="75"/>
        <v>#DIV/0!</v>
      </c>
      <c r="V264" s="33" t="e">
        <f t="shared" si="75"/>
        <v>#DIV/0!</v>
      </c>
      <c r="W264" s="33" t="e">
        <v>#DIV/0!</v>
      </c>
      <c r="X264" s="33" t="e">
        <f t="shared" si="75"/>
        <v>#DIV/0!</v>
      </c>
      <c r="Y264" s="33" t="e">
        <f t="shared" si="75"/>
        <v>#DIV/0!</v>
      </c>
      <c r="Z264" s="33" t="e">
        <f t="shared" si="75"/>
        <v>#DIV/0!</v>
      </c>
      <c r="AA264" s="33" t="e">
        <f t="shared" si="75"/>
        <v>#DIV/0!</v>
      </c>
      <c r="AB264" s="33" t="e">
        <f t="shared" si="75"/>
        <v>#DIV/0!</v>
      </c>
      <c r="AC264" s="33" t="e">
        <f>AC263/AC9*1000000</f>
        <v>#DIV/0!</v>
      </c>
      <c r="AD264" s="33" t="e">
        <f>AD263/AD9*1000000</f>
        <v>#DIV/0!</v>
      </c>
      <c r="AE264" s="33" t="e">
        <f>AE263/AE9*1000000</f>
        <v>#DIV/0!</v>
      </c>
      <c r="AF264" s="33" t="e">
        <f>AF263/AF9*1000000</f>
        <v>#DIV/0!</v>
      </c>
      <c r="AG264" s="33" t="e">
        <f>AG263/AG9*1000000</f>
        <v>#DIV/0!</v>
      </c>
      <c r="AH264" s="33" t="e">
        <f>AH263/AH17*1000000</f>
        <v>#DIV/0!</v>
      </c>
      <c r="AI264" s="33" t="e">
        <f>AI263/AI17*1000000</f>
        <v>#DIV/0!</v>
      </c>
      <c r="AJ264" s="33" t="e">
        <f>AJ263/AJ17*1000000</f>
        <v>#DIV/0!</v>
      </c>
      <c r="AK264" s="33" t="e">
        <f>AK263/AK17*1000000</f>
        <v>#DIV/0!</v>
      </c>
      <c r="AM264" s="1496">
        <f>AM263/3193725*1000000</f>
        <v>107.27285536481695</v>
      </c>
      <c r="BC264" s="2117"/>
      <c r="BD264" s="2117"/>
      <c r="BI264" s="150"/>
    </row>
    <row r="265" spans="1:61 15027:15419" s="2" customFormat="1" hidden="1" x14ac:dyDescent="0.25">
      <c r="C265" s="15"/>
      <c r="D265" s="232" t="s">
        <v>15</v>
      </c>
      <c r="E265" s="1772">
        <v>112.8</v>
      </c>
      <c r="F265" s="233" t="s">
        <v>1029</v>
      </c>
      <c r="G265" s="1497"/>
      <c r="H265" s="1497"/>
      <c r="I265" s="1497"/>
      <c r="J265" s="1497"/>
      <c r="K265" s="1497"/>
      <c r="L265" s="1497"/>
      <c r="M265" s="1497"/>
      <c r="N265" s="1497"/>
      <c r="O265" s="1497"/>
      <c r="P265" s="1497"/>
      <c r="Q265" s="1497"/>
      <c r="R265" s="1497"/>
      <c r="S265" s="1497"/>
      <c r="T265" s="1497"/>
      <c r="U265" s="1497">
        <v>47.7</v>
      </c>
      <c r="V265" s="1497"/>
      <c r="W265" s="1497"/>
      <c r="X265" s="1497"/>
      <c r="Y265" s="1497"/>
      <c r="Z265" s="1497"/>
      <c r="AA265" s="1497"/>
      <c r="AB265" s="1497"/>
      <c r="AC265" s="1497"/>
      <c r="AD265" s="1497"/>
      <c r="AE265" s="1497"/>
      <c r="AF265" s="1497"/>
      <c r="AG265" s="1497"/>
      <c r="AH265" s="1497"/>
      <c r="AI265" s="1497"/>
      <c r="AJ265" s="1497"/>
      <c r="AK265" s="1497"/>
      <c r="AM265" s="2014">
        <f>SUM(G265:AK265)</f>
        <v>47.7</v>
      </c>
      <c r="BC265" s="2117"/>
      <c r="BD265" s="2117"/>
      <c r="BI265" s="150"/>
    </row>
    <row r="266" spans="1:61 15027:15419" s="2" customFormat="1" hidden="1" x14ac:dyDescent="0.25">
      <c r="C266" s="15"/>
      <c r="D266" s="14"/>
      <c r="E266" s="231">
        <f>E265/2.5</f>
        <v>45.12</v>
      </c>
      <c r="F266" s="20" t="s">
        <v>353</v>
      </c>
      <c r="G266" s="33"/>
      <c r="H266" s="33"/>
      <c r="I266" s="33"/>
      <c r="J266" s="33"/>
      <c r="K266" s="33"/>
      <c r="L266" s="33" t="e">
        <f t="shared" ref="L266" si="76">L265/L37*1000000</f>
        <v>#DIV/0!</v>
      </c>
      <c r="M266" s="33" t="e">
        <f t="shared" ref="M266:AK266" si="77">M265/M37*1000000</f>
        <v>#DIV/0!</v>
      </c>
      <c r="N266" s="33" t="e">
        <f t="shared" si="77"/>
        <v>#DIV/0!</v>
      </c>
      <c r="O266" s="33" t="e">
        <f t="shared" si="77"/>
        <v>#DIV/0!</v>
      </c>
      <c r="P266" s="33" t="e">
        <f t="shared" si="77"/>
        <v>#DIV/0!</v>
      </c>
      <c r="Q266" s="33" t="e">
        <f t="shared" si="77"/>
        <v>#DIV/0!</v>
      </c>
      <c r="R266" s="33" t="e">
        <f t="shared" si="77"/>
        <v>#DIV/0!</v>
      </c>
      <c r="S266" s="33" t="e">
        <f t="shared" si="77"/>
        <v>#DIV/0!</v>
      </c>
      <c r="T266" s="33" t="e">
        <f t="shared" si="77"/>
        <v>#DIV/0!</v>
      </c>
      <c r="U266" s="33" t="e">
        <f t="shared" si="77"/>
        <v>#DIV/0!</v>
      </c>
      <c r="V266" s="33" t="e">
        <f t="shared" si="77"/>
        <v>#DIV/0!</v>
      </c>
      <c r="W266" s="33" t="e">
        <v>#DIV/0!</v>
      </c>
      <c r="X266" s="33" t="e">
        <f t="shared" si="77"/>
        <v>#DIV/0!</v>
      </c>
      <c r="Y266" s="33" t="e">
        <f t="shared" si="77"/>
        <v>#DIV/0!</v>
      </c>
      <c r="Z266" s="33" t="e">
        <f t="shared" si="77"/>
        <v>#DIV/0!</v>
      </c>
      <c r="AA266" s="33" t="e">
        <f t="shared" si="77"/>
        <v>#DIV/0!</v>
      </c>
      <c r="AB266" s="33" t="e">
        <f t="shared" si="77"/>
        <v>#DIV/0!</v>
      </c>
      <c r="AC266" s="33" t="e">
        <f t="shared" si="77"/>
        <v>#DIV/0!</v>
      </c>
      <c r="AD266" s="33" t="e">
        <f t="shared" si="77"/>
        <v>#DIV/0!</v>
      </c>
      <c r="AE266" s="33" t="e">
        <f t="shared" si="77"/>
        <v>#DIV/0!</v>
      </c>
      <c r="AF266" s="33" t="e">
        <f t="shared" si="77"/>
        <v>#DIV/0!</v>
      </c>
      <c r="AG266" s="33" t="e">
        <f t="shared" si="77"/>
        <v>#DIV/0!</v>
      </c>
      <c r="AH266" s="33" t="e">
        <f t="shared" si="77"/>
        <v>#DIV/0!</v>
      </c>
      <c r="AI266" s="33" t="e">
        <f t="shared" si="77"/>
        <v>#DIV/0!</v>
      </c>
      <c r="AJ266" s="33" t="e">
        <f t="shared" si="77"/>
        <v>#DIV/0!</v>
      </c>
      <c r="AK266" s="33" t="e">
        <f t="shared" si="77"/>
        <v>#DIV/0!</v>
      </c>
      <c r="AM266" s="1496" t="e">
        <f>AM265/AM37*1000000</f>
        <v>#DIV/0!</v>
      </c>
      <c r="BC266" s="2117"/>
      <c r="BD266" s="2117"/>
      <c r="BI266" s="150"/>
    </row>
    <row r="267" spans="1:61 15027:15419" s="2" customFormat="1" hidden="1" x14ac:dyDescent="0.25">
      <c r="C267" s="15"/>
      <c r="D267" s="14" t="s">
        <v>7</v>
      </c>
      <c r="E267" s="231">
        <v>106000</v>
      </c>
      <c r="F267" s="20" t="s">
        <v>14</v>
      </c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>
        <f>AD253-AD263-AD265</f>
        <v>0</v>
      </c>
      <c r="AE267" s="268">
        <f>AE253-AE263-AE265</f>
        <v>0</v>
      </c>
      <c r="AF267" s="268">
        <f>AF253-AF263-AF265</f>
        <v>0</v>
      </c>
      <c r="AG267" s="268">
        <f>AG253-AG263-AG265</f>
        <v>0</v>
      </c>
      <c r="AH267" s="268"/>
      <c r="AI267" s="268"/>
      <c r="AJ267" s="268"/>
      <c r="AK267" s="268"/>
      <c r="AM267" s="571">
        <f>AM253-AM263-AM265</f>
        <v>3859588.6999999997</v>
      </c>
      <c r="BC267" s="2117"/>
      <c r="BD267" s="2117"/>
      <c r="BI267" s="150"/>
    </row>
    <row r="268" spans="1:61 15027:15419" s="2" customFormat="1" hidden="1" x14ac:dyDescent="0.25">
      <c r="C268" s="15"/>
      <c r="D268" s="14"/>
      <c r="E268" s="231"/>
      <c r="F268" s="20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1651"/>
      <c r="S268" s="1651"/>
      <c r="T268" s="1651"/>
      <c r="U268" s="1651"/>
      <c r="V268" s="1651"/>
      <c r="W268" s="1651"/>
      <c r="X268" s="1651"/>
      <c r="Y268" s="1651"/>
      <c r="Z268" s="1651"/>
      <c r="AA268" s="1651"/>
      <c r="AB268" s="1651"/>
      <c r="AC268" s="1651"/>
      <c r="AD268" s="1651"/>
      <c r="AE268" s="1651"/>
      <c r="AF268" s="1651"/>
      <c r="AG268" s="1651"/>
      <c r="AH268" s="1651"/>
      <c r="AI268" s="1651"/>
      <c r="AJ268" s="1651"/>
      <c r="AK268" s="1651"/>
      <c r="AM268" s="1154"/>
      <c r="BC268" s="2117"/>
      <c r="BD268" s="2117"/>
      <c r="BI268" s="150"/>
    </row>
    <row r="269" spans="1:61 15027:15419" s="2" customFormat="1" ht="15.75" hidden="1" thickBot="1" x14ac:dyDescent="0.3">
      <c r="C269" s="40"/>
      <c r="D269" s="28" t="s">
        <v>1</v>
      </c>
      <c r="E269" s="259">
        <v>408000</v>
      </c>
      <c r="F269" s="20" t="s">
        <v>14</v>
      </c>
      <c r="G269" s="1651"/>
      <c r="H269" s="1651"/>
      <c r="I269" s="1651"/>
      <c r="J269" s="1651"/>
      <c r="K269" s="1651"/>
      <c r="L269" s="1651">
        <f t="shared" ref="L269" si="78">SUM(L263,L265,L267)</f>
        <v>0</v>
      </c>
      <c r="M269" s="1651">
        <f t="shared" ref="M269:AB269" si="79">SUM(M263,M265,M267)</f>
        <v>0</v>
      </c>
      <c r="N269" s="1651">
        <f t="shared" si="79"/>
        <v>0</v>
      </c>
      <c r="O269" s="1651">
        <f t="shared" si="79"/>
        <v>0</v>
      </c>
      <c r="P269" s="1651">
        <f t="shared" si="79"/>
        <v>0</v>
      </c>
      <c r="Q269" s="1651">
        <f t="shared" si="79"/>
        <v>0</v>
      </c>
      <c r="R269" s="1651">
        <f t="shared" si="79"/>
        <v>145.9</v>
      </c>
      <c r="S269" s="1651">
        <f t="shared" si="79"/>
        <v>144.1</v>
      </c>
      <c r="T269" s="1651">
        <f t="shared" si="79"/>
        <v>52.6</v>
      </c>
      <c r="U269" s="1651">
        <f t="shared" si="79"/>
        <v>47.7</v>
      </c>
      <c r="V269" s="1651">
        <f t="shared" si="79"/>
        <v>0</v>
      </c>
      <c r="W269" s="1651">
        <v>0</v>
      </c>
      <c r="X269" s="1651">
        <f t="shared" si="79"/>
        <v>0</v>
      </c>
      <c r="Y269" s="1651">
        <f t="shared" si="79"/>
        <v>0</v>
      </c>
      <c r="Z269" s="1651">
        <f t="shared" si="79"/>
        <v>0</v>
      </c>
      <c r="AA269" s="1651">
        <f t="shared" si="79"/>
        <v>0</v>
      </c>
      <c r="AB269" s="1651">
        <f t="shared" si="79"/>
        <v>0</v>
      </c>
      <c r="AC269" s="1651"/>
      <c r="AD269" s="1651"/>
      <c r="AE269" s="1651"/>
      <c r="AF269" s="1651"/>
      <c r="AG269" s="1651">
        <f>SUM(AG263,AG265,AG267)</f>
        <v>0</v>
      </c>
      <c r="AH269" s="1651"/>
      <c r="AI269" s="1651"/>
      <c r="AJ269" s="1651"/>
      <c r="AK269" s="1651"/>
      <c r="AM269" s="2096">
        <f>AM263+AM265+AM267</f>
        <v>3859978.9999999995</v>
      </c>
      <c r="BC269" s="2117"/>
      <c r="BD269" s="2117"/>
      <c r="BI269" s="150"/>
    </row>
    <row r="270" spans="1:61 15027:15419" s="1" customFormat="1" x14ac:dyDescent="0.25">
      <c r="C270" s="8">
        <v>6</v>
      </c>
      <c r="D270" s="75" t="s">
        <v>13</v>
      </c>
      <c r="E270" s="76"/>
      <c r="F270" s="77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1925"/>
      <c r="T270" s="1925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M270" s="135" t="s">
        <v>133</v>
      </c>
      <c r="BC270" s="511"/>
      <c r="BD270" s="511"/>
      <c r="BI270" s="140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1:61 15027:15419" s="16" customFormat="1" x14ac:dyDescent="0.2">
      <c r="C271" s="17"/>
      <c r="D271" s="238" t="s">
        <v>12</v>
      </c>
      <c r="E271" s="260">
        <v>1100</v>
      </c>
      <c r="F271" s="239" t="s">
        <v>123</v>
      </c>
      <c r="G271" s="240"/>
      <c r="H271" s="240"/>
      <c r="I271" s="240"/>
      <c r="J271" s="240"/>
      <c r="K271" s="240"/>
      <c r="L271" s="240">
        <v>728</v>
      </c>
      <c r="M271" s="240">
        <v>795</v>
      </c>
      <c r="N271" s="240">
        <v>719</v>
      </c>
      <c r="O271" s="240">
        <v>1012</v>
      </c>
      <c r="P271" s="240">
        <v>721</v>
      </c>
      <c r="Q271" s="240">
        <v>1019</v>
      </c>
      <c r="R271" s="1972">
        <v>921</v>
      </c>
      <c r="S271" s="1987">
        <v>597</v>
      </c>
      <c r="T271" s="1987">
        <v>1066</v>
      </c>
      <c r="U271" s="1986">
        <v>944</v>
      </c>
      <c r="V271" s="240"/>
      <c r="W271" s="1998"/>
      <c r="X271" s="240"/>
      <c r="Y271" s="240"/>
      <c r="Z271" s="240"/>
      <c r="AA271" s="1959"/>
      <c r="AB271" s="240"/>
      <c r="AC271" s="240"/>
      <c r="AD271" s="240"/>
      <c r="AE271" s="240"/>
      <c r="AF271" s="240"/>
      <c r="AG271" s="240"/>
      <c r="AH271" s="1959"/>
      <c r="AI271" s="1959"/>
      <c r="AJ271" s="1959"/>
      <c r="AK271" s="1959"/>
      <c r="AL271" s="728"/>
      <c r="AM271" s="794">
        <f>SUM(G271:AK271)/AM6</f>
        <v>774.72727272727275</v>
      </c>
      <c r="AP271" s="1566"/>
      <c r="BC271" s="511"/>
      <c r="BD271" s="511"/>
      <c r="BI271" s="143"/>
    </row>
    <row r="272" spans="1:61 15027:15419" s="16" customFormat="1" x14ac:dyDescent="0.25">
      <c r="C272" s="17"/>
      <c r="D272" s="2097" t="s">
        <v>1130</v>
      </c>
      <c r="E272" s="1779"/>
      <c r="F272" s="2098"/>
      <c r="G272" s="1702"/>
      <c r="H272" s="1702"/>
      <c r="I272" s="1702"/>
      <c r="J272" s="1702"/>
      <c r="K272" s="1702"/>
      <c r="L272" s="1702"/>
      <c r="M272" s="1702"/>
      <c r="N272" s="1702"/>
      <c r="O272" s="1702"/>
      <c r="P272" s="1702"/>
      <c r="Q272" s="1702"/>
      <c r="R272" s="1702"/>
      <c r="S272" s="1702"/>
      <c r="T272" s="1702"/>
      <c r="U272" s="1702"/>
      <c r="V272" s="1702"/>
      <c r="W272" s="1702"/>
      <c r="X272" s="1702"/>
      <c r="Y272" s="1702"/>
      <c r="Z272" s="1702"/>
      <c r="AA272" s="1702"/>
      <c r="AB272" s="1702"/>
      <c r="AC272" s="1702"/>
      <c r="AD272" s="1702"/>
      <c r="AE272" s="1702"/>
      <c r="AF272" s="1702"/>
      <c r="AG272" s="1702"/>
      <c r="AH272" s="1702"/>
      <c r="AI272" s="1702"/>
      <c r="AJ272" s="1702"/>
      <c r="AK272" s="1702"/>
      <c r="AM272" s="119">
        <f>AM273+AM275+AM277</f>
        <v>5414</v>
      </c>
      <c r="AO272" s="138"/>
      <c r="BC272" s="511"/>
      <c r="BD272" s="511"/>
      <c r="BI272" s="143"/>
    </row>
    <row r="273" spans="3:61" s="16" customFormat="1" x14ac:dyDescent="0.2">
      <c r="C273" s="17"/>
      <c r="D273" s="238" t="s">
        <v>10</v>
      </c>
      <c r="E273" s="261">
        <v>93.6</v>
      </c>
      <c r="F273" s="239" t="s">
        <v>1025</v>
      </c>
      <c r="G273" s="241"/>
      <c r="H273" s="241"/>
      <c r="I273" s="241"/>
      <c r="J273" s="241"/>
      <c r="K273" s="241"/>
      <c r="L273" s="241">
        <v>116</v>
      </c>
      <c r="M273" s="241">
        <v>57</v>
      </c>
      <c r="N273" s="241">
        <v>166</v>
      </c>
      <c r="O273" s="241">
        <v>145</v>
      </c>
      <c r="P273" s="241">
        <v>122</v>
      </c>
      <c r="Q273" s="241">
        <v>155</v>
      </c>
      <c r="R273" s="2042">
        <v>321</v>
      </c>
      <c r="S273" s="2042">
        <v>171</v>
      </c>
      <c r="T273" s="2042">
        <v>182</v>
      </c>
      <c r="U273" s="2043">
        <v>254</v>
      </c>
      <c r="V273" s="2043">
        <v>121</v>
      </c>
      <c r="W273" s="2043"/>
      <c r="X273" s="2043"/>
      <c r="Y273" s="2043"/>
      <c r="Z273" s="2043"/>
      <c r="AA273" s="1960"/>
      <c r="AB273" s="241"/>
      <c r="AC273" s="241"/>
      <c r="AD273" s="241"/>
      <c r="AE273" s="241"/>
      <c r="AF273" s="241"/>
      <c r="AG273" s="241"/>
      <c r="AH273" s="1960"/>
      <c r="AI273" s="1960"/>
      <c r="AJ273" s="1960"/>
      <c r="AK273" s="1960"/>
      <c r="AM273" s="794">
        <f>SUM(G273:AK273)</f>
        <v>1810</v>
      </c>
      <c r="BC273" s="511"/>
      <c r="BD273" s="511"/>
      <c r="BI273" s="143"/>
    </row>
    <row r="274" spans="3:61" s="16" customFormat="1" x14ac:dyDescent="0.25">
      <c r="C274" s="17"/>
      <c r="D274" s="31"/>
      <c r="E274" s="261">
        <f>E273/2500</f>
        <v>3.7440000000000001E-2</v>
      </c>
      <c r="F274" s="32" t="s">
        <v>354</v>
      </c>
      <c r="G274" s="34"/>
      <c r="H274" s="34"/>
      <c r="I274" s="34"/>
      <c r="J274" s="34"/>
      <c r="K274" s="34"/>
      <c r="L274" s="34">
        <f t="shared" ref="L274" si="80">L273/(L9/1000)</f>
        <v>0.67161500248960737</v>
      </c>
      <c r="M274" s="34">
        <f t="shared" ref="M274:AH274" si="81">M273/(M9/1000)</f>
        <v>3.8990701743705225E-2</v>
      </c>
      <c r="N274" s="34">
        <f t="shared" si="81"/>
        <v>8.0827399904273095E-2</v>
      </c>
      <c r="O274" s="34">
        <f t="shared" si="81"/>
        <v>6.9349288452386942E-2</v>
      </c>
      <c r="P274" s="34">
        <f t="shared" si="81"/>
        <v>6.0992467430272361E-2</v>
      </c>
      <c r="Q274" s="34">
        <f t="shared" si="81"/>
        <v>7.5851964370130184E-2</v>
      </c>
      <c r="R274" s="34">
        <f t="shared" si="81"/>
        <v>0.19404364591689249</v>
      </c>
      <c r="S274" s="34">
        <f t="shared" si="81"/>
        <v>9.3163133550169169E-2</v>
      </c>
      <c r="T274" s="34">
        <f t="shared" si="81"/>
        <v>9.9402438418277811E-2</v>
      </c>
      <c r="U274" s="34">
        <f t="shared" si="81"/>
        <v>0.15383609067365672</v>
      </c>
      <c r="V274" s="34" t="e">
        <f t="shared" si="81"/>
        <v>#DIV/0!</v>
      </c>
      <c r="W274" s="34" t="e">
        <f t="shared" si="81"/>
        <v>#DIV/0!</v>
      </c>
      <c r="X274" s="34" t="e">
        <f t="shared" si="81"/>
        <v>#DIV/0!</v>
      </c>
      <c r="Y274" s="34" t="e">
        <f t="shared" si="81"/>
        <v>#DIV/0!</v>
      </c>
      <c r="Z274" s="34" t="e">
        <f t="shared" si="81"/>
        <v>#DIV/0!</v>
      </c>
      <c r="AA274" s="34" t="e">
        <f t="shared" si="81"/>
        <v>#DIV/0!</v>
      </c>
      <c r="AB274" s="34" t="e">
        <f t="shared" si="81"/>
        <v>#DIV/0!</v>
      </c>
      <c r="AC274" s="34" t="e">
        <f t="shared" si="81"/>
        <v>#DIV/0!</v>
      </c>
      <c r="AD274" s="34" t="e">
        <f t="shared" si="81"/>
        <v>#DIV/0!</v>
      </c>
      <c r="AE274" s="34" t="e">
        <f>AE273/(AE9/1000)</f>
        <v>#DIV/0!</v>
      </c>
      <c r="AF274" s="34" t="e">
        <f t="shared" si="81"/>
        <v>#DIV/0!</v>
      </c>
      <c r="AG274" s="34" t="e">
        <f t="shared" si="81"/>
        <v>#DIV/0!</v>
      </c>
      <c r="AH274" s="34" t="e">
        <f t="shared" si="81"/>
        <v>#DIV/0!</v>
      </c>
      <c r="AI274" s="33" t="e">
        <f t="shared" ref="AI274:AK274" si="82">AI273/AI20*1000000</f>
        <v>#DIV/0!</v>
      </c>
      <c r="AJ274" s="33" t="e">
        <f t="shared" si="82"/>
        <v>#DIV/0!</v>
      </c>
      <c r="AK274" s="33" t="e">
        <f t="shared" si="82"/>
        <v>#DIV/0!</v>
      </c>
      <c r="AM274" s="2123">
        <f>AM273/AM9*1000</f>
        <v>0.10777186375540526</v>
      </c>
      <c r="BC274" s="511"/>
      <c r="BD274" s="511"/>
      <c r="BI274" s="143"/>
    </row>
    <row r="275" spans="3:61" s="16" customFormat="1" x14ac:dyDescent="0.2">
      <c r="C275" s="17"/>
      <c r="D275" s="238" t="s">
        <v>9</v>
      </c>
      <c r="E275" s="1773">
        <v>326</v>
      </c>
      <c r="F275" s="239" t="s">
        <v>1025</v>
      </c>
      <c r="G275" s="241"/>
      <c r="H275" s="241"/>
      <c r="I275" s="241"/>
      <c r="J275" s="241"/>
      <c r="K275" s="241"/>
      <c r="L275" s="241">
        <v>85</v>
      </c>
      <c r="M275" s="241">
        <v>0</v>
      </c>
      <c r="N275" s="241">
        <v>0</v>
      </c>
      <c r="O275" s="241">
        <v>0</v>
      </c>
      <c r="P275" s="241">
        <v>83</v>
      </c>
      <c r="Q275" s="241">
        <v>4</v>
      </c>
      <c r="R275" s="2022">
        <v>0</v>
      </c>
      <c r="S275" s="2022">
        <v>0</v>
      </c>
      <c r="T275" s="2022">
        <v>0</v>
      </c>
      <c r="U275" s="2026">
        <v>0</v>
      </c>
      <c r="V275" s="2026">
        <v>0</v>
      </c>
      <c r="W275" s="2026"/>
      <c r="X275" s="241"/>
      <c r="Y275" s="241"/>
      <c r="Z275" s="241">
        <v>0</v>
      </c>
      <c r="AA275" s="241"/>
      <c r="AB275" s="241">
        <v>0</v>
      </c>
      <c r="AC275" s="241">
        <v>37</v>
      </c>
      <c r="AD275" s="241"/>
      <c r="AE275" s="241"/>
      <c r="AF275" s="241">
        <v>74</v>
      </c>
      <c r="AG275" s="241">
        <v>189</v>
      </c>
      <c r="AH275" s="241"/>
      <c r="AI275" s="241"/>
      <c r="AJ275" s="241"/>
      <c r="AK275" s="241"/>
      <c r="AM275" s="794">
        <f>SUM(G275:AK275)</f>
        <v>472</v>
      </c>
      <c r="BC275" s="511"/>
      <c r="BD275" s="511"/>
      <c r="BI275" s="143"/>
    </row>
    <row r="276" spans="3:61" s="16" customFormat="1" x14ac:dyDescent="0.25">
      <c r="C276" s="17"/>
      <c r="D276" s="31"/>
      <c r="E276" s="261">
        <f>E275/2500</f>
        <v>0.13039999999999999</v>
      </c>
      <c r="F276" s="32" t="s">
        <v>354</v>
      </c>
      <c r="G276" s="34"/>
      <c r="H276" s="34"/>
      <c r="I276" s="34"/>
      <c r="J276" s="34"/>
      <c r="K276" s="34"/>
      <c r="L276" s="34" t="e">
        <f t="shared" ref="L276" si="83">L275/L29*1000</f>
        <v>#DIV/0!</v>
      </c>
      <c r="M276" s="34" t="e">
        <f t="shared" ref="M276:AH276" si="84">M275/M29*1000</f>
        <v>#DIV/0!</v>
      </c>
      <c r="N276" s="34" t="e">
        <f t="shared" si="84"/>
        <v>#DIV/0!</v>
      </c>
      <c r="O276" s="34" t="e">
        <f t="shared" si="84"/>
        <v>#DIV/0!</v>
      </c>
      <c r="P276" s="34" t="e">
        <f t="shared" si="84"/>
        <v>#DIV/0!</v>
      </c>
      <c r="Q276" s="34" t="e">
        <f t="shared" si="84"/>
        <v>#DIV/0!</v>
      </c>
      <c r="R276" s="34" t="e">
        <f t="shared" si="84"/>
        <v>#DIV/0!</v>
      </c>
      <c r="S276" s="34" t="e">
        <f t="shared" si="84"/>
        <v>#DIV/0!</v>
      </c>
      <c r="T276" s="34" t="e">
        <f t="shared" si="84"/>
        <v>#DIV/0!</v>
      </c>
      <c r="U276" s="34" t="e">
        <f t="shared" si="84"/>
        <v>#DIV/0!</v>
      </c>
      <c r="V276" s="34" t="e">
        <f t="shared" si="84"/>
        <v>#DIV/0!</v>
      </c>
      <c r="W276" s="34" t="e">
        <f t="shared" si="84"/>
        <v>#DIV/0!</v>
      </c>
      <c r="X276" s="34" t="e">
        <f t="shared" si="84"/>
        <v>#DIV/0!</v>
      </c>
      <c r="Y276" s="34" t="e">
        <f t="shared" si="84"/>
        <v>#DIV/0!</v>
      </c>
      <c r="Z276" s="34" t="e">
        <f t="shared" si="84"/>
        <v>#DIV/0!</v>
      </c>
      <c r="AA276" s="34" t="e">
        <f t="shared" si="84"/>
        <v>#DIV/0!</v>
      </c>
      <c r="AB276" s="34" t="e">
        <f t="shared" si="84"/>
        <v>#DIV/0!</v>
      </c>
      <c r="AC276" s="34" t="e">
        <f t="shared" si="84"/>
        <v>#DIV/0!</v>
      </c>
      <c r="AD276" s="34" t="e">
        <f t="shared" si="84"/>
        <v>#DIV/0!</v>
      </c>
      <c r="AE276" s="34" t="e">
        <f t="shared" si="84"/>
        <v>#DIV/0!</v>
      </c>
      <c r="AF276" s="34">
        <f t="shared" si="84"/>
        <v>0.13592946362968406</v>
      </c>
      <c r="AG276" s="34">
        <f t="shared" si="84"/>
        <v>0.18696211296864182</v>
      </c>
      <c r="AH276" s="34">
        <f t="shared" si="84"/>
        <v>0</v>
      </c>
      <c r="AI276" s="33" t="e">
        <f>AI275/AI29*1000000</f>
        <v>#DIV/0!</v>
      </c>
      <c r="AJ276" s="33" t="e">
        <f>AJ275/AJ29*1000000</f>
        <v>#DIV/0!</v>
      </c>
      <c r="AK276" s="33" t="e">
        <f>AK275/AK29*1000000</f>
        <v>#DIV/0!</v>
      </c>
      <c r="AL276" s="1494"/>
      <c r="AM276" s="2123">
        <f>(AM275/AM29)*1000</f>
        <v>0.19857714427555104</v>
      </c>
      <c r="BC276" s="511"/>
      <c r="BD276" s="511"/>
      <c r="BI276" s="143"/>
    </row>
    <row r="277" spans="3:61" s="16" customFormat="1" x14ac:dyDescent="0.2">
      <c r="C277" s="17"/>
      <c r="D277" s="238" t="s">
        <v>8</v>
      </c>
      <c r="E277" s="260">
        <v>491.59</v>
      </c>
      <c r="F277" s="239" t="s">
        <v>123</v>
      </c>
      <c r="G277" s="241"/>
      <c r="H277" s="241"/>
      <c r="I277" s="241"/>
      <c r="J277" s="241"/>
      <c r="K277" s="241"/>
      <c r="L277" s="241">
        <v>216</v>
      </c>
      <c r="M277" s="241">
        <v>384</v>
      </c>
      <c r="N277" s="241">
        <v>327</v>
      </c>
      <c r="O277" s="241">
        <v>280</v>
      </c>
      <c r="P277" s="241">
        <v>310</v>
      </c>
      <c r="Q277" s="241">
        <v>338</v>
      </c>
      <c r="R277" s="1973">
        <v>316</v>
      </c>
      <c r="S277" s="1979">
        <v>275</v>
      </c>
      <c r="T277" s="1979">
        <v>309</v>
      </c>
      <c r="U277" s="1988">
        <v>377</v>
      </c>
      <c r="V277" s="241"/>
      <c r="W277" s="241"/>
      <c r="X277" s="241"/>
      <c r="Y277" s="241"/>
      <c r="Z277" s="241"/>
      <c r="AA277" s="1961"/>
      <c r="AB277" s="241"/>
      <c r="AC277" s="241"/>
      <c r="AD277" s="241"/>
      <c r="AE277" s="241"/>
      <c r="AF277" s="241"/>
      <c r="AG277" s="241"/>
      <c r="AH277" s="1961"/>
      <c r="AI277" s="1961"/>
      <c r="AJ277" s="1961"/>
      <c r="AK277" s="1961"/>
      <c r="AM277" s="794">
        <f>SUM(G277:AK277)</f>
        <v>3132</v>
      </c>
      <c r="BC277" s="511"/>
      <c r="BD277" s="511"/>
      <c r="BI277" s="143"/>
    </row>
    <row r="278" spans="3:61" s="16" customFormat="1" x14ac:dyDescent="0.2">
      <c r="C278" s="17"/>
      <c r="D278" s="31" t="s">
        <v>7</v>
      </c>
      <c r="E278" s="260">
        <v>337.28</v>
      </c>
      <c r="F278" s="32" t="s">
        <v>123</v>
      </c>
      <c r="G278" s="34"/>
      <c r="H278" s="34"/>
      <c r="I278" s="34"/>
      <c r="J278" s="34"/>
      <c r="K278" s="34"/>
      <c r="L278" s="34">
        <f t="shared" ref="L278" si="85">L271-L273-L275-L277</f>
        <v>311</v>
      </c>
      <c r="M278" s="34">
        <f t="shared" ref="M278:AK278" si="86">M271-M273-M275-M277</f>
        <v>354</v>
      </c>
      <c r="N278" s="34">
        <f t="shared" si="86"/>
        <v>226</v>
      </c>
      <c r="O278" s="34">
        <f t="shared" si="86"/>
        <v>587</v>
      </c>
      <c r="P278" s="34">
        <f t="shared" si="86"/>
        <v>206</v>
      </c>
      <c r="Q278" s="34">
        <f t="shared" si="86"/>
        <v>522</v>
      </c>
      <c r="R278" s="34">
        <f t="shared" si="86"/>
        <v>284</v>
      </c>
      <c r="S278" s="34">
        <f t="shared" si="86"/>
        <v>151</v>
      </c>
      <c r="T278" s="34">
        <f t="shared" si="86"/>
        <v>575</v>
      </c>
      <c r="U278" s="34">
        <f t="shared" si="86"/>
        <v>313</v>
      </c>
      <c r="V278" s="34">
        <f t="shared" si="86"/>
        <v>-121</v>
      </c>
      <c r="W278" s="34">
        <f t="shared" si="86"/>
        <v>0</v>
      </c>
      <c r="X278" s="34">
        <f t="shared" si="86"/>
        <v>0</v>
      </c>
      <c r="Y278" s="34">
        <f t="shared" si="86"/>
        <v>0</v>
      </c>
      <c r="Z278" s="34">
        <f t="shared" si="86"/>
        <v>0</v>
      </c>
      <c r="AA278" s="34">
        <f t="shared" si="86"/>
        <v>0</v>
      </c>
      <c r="AB278" s="34">
        <f t="shared" si="86"/>
        <v>0</v>
      </c>
      <c r="AC278" s="34">
        <f t="shared" si="86"/>
        <v>-37</v>
      </c>
      <c r="AD278" s="34">
        <f t="shared" si="86"/>
        <v>0</v>
      </c>
      <c r="AE278" s="34">
        <f t="shared" si="86"/>
        <v>0</v>
      </c>
      <c r="AF278" s="34">
        <f t="shared" si="86"/>
        <v>-74</v>
      </c>
      <c r="AG278" s="34">
        <f t="shared" si="86"/>
        <v>-189</v>
      </c>
      <c r="AH278" s="34">
        <f t="shared" si="86"/>
        <v>0</v>
      </c>
      <c r="AI278" s="34">
        <f t="shared" si="86"/>
        <v>0</v>
      </c>
      <c r="AJ278" s="34">
        <f t="shared" si="86"/>
        <v>0</v>
      </c>
      <c r="AK278" s="34">
        <f t="shared" si="86"/>
        <v>0</v>
      </c>
      <c r="AM278" s="54">
        <f>SUM(G278:AK278)</f>
        <v>3108</v>
      </c>
      <c r="BC278" s="511"/>
      <c r="BD278" s="511"/>
      <c r="BI278" s="143"/>
    </row>
    <row r="279" spans="3:61" s="16" customFormat="1" x14ac:dyDescent="0.2">
      <c r="C279" s="17"/>
      <c r="D279" s="238" t="s">
        <v>6</v>
      </c>
      <c r="E279" s="260">
        <v>330</v>
      </c>
      <c r="F279" s="239" t="s">
        <v>123</v>
      </c>
      <c r="G279" s="241"/>
      <c r="H279" s="241"/>
      <c r="I279" s="241"/>
      <c r="J279" s="241"/>
      <c r="K279" s="241"/>
      <c r="L279" s="241">
        <v>266</v>
      </c>
      <c r="M279" s="241">
        <v>143</v>
      </c>
      <c r="N279" s="241">
        <v>165</v>
      </c>
      <c r="O279" s="241">
        <v>183</v>
      </c>
      <c r="P279" s="241">
        <v>147</v>
      </c>
      <c r="Q279" s="241">
        <v>21</v>
      </c>
      <c r="R279" s="1974">
        <v>120</v>
      </c>
      <c r="S279" s="1974">
        <v>106</v>
      </c>
      <c r="T279" s="1974">
        <v>131</v>
      </c>
      <c r="U279" s="1989">
        <v>63</v>
      </c>
      <c r="V279" s="241"/>
      <c r="W279" s="241"/>
      <c r="X279" s="241"/>
      <c r="Y279" s="241"/>
      <c r="Z279" s="241"/>
      <c r="AA279" s="1961"/>
      <c r="AB279" s="241"/>
      <c r="AC279" s="241"/>
      <c r="AD279" s="241"/>
      <c r="AE279" s="241"/>
      <c r="AF279" s="241"/>
      <c r="AG279" s="241"/>
      <c r="AH279" s="1961"/>
      <c r="AI279" s="1961"/>
      <c r="AJ279" s="1961"/>
      <c r="AK279" s="1961"/>
      <c r="AM279" s="928">
        <f>SUM(G279:AK279)</f>
        <v>1345</v>
      </c>
      <c r="BC279" s="511"/>
      <c r="BD279" s="511"/>
      <c r="BI279" s="143"/>
    </row>
    <row r="280" spans="3:61" s="16" customFormat="1" x14ac:dyDescent="0.2">
      <c r="C280" s="923"/>
      <c r="D280" s="924"/>
      <c r="E280" s="925"/>
      <c r="F280" s="926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1929"/>
      <c r="T280" s="1929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112"/>
      <c r="AE280" s="2112"/>
      <c r="AF280" s="2112"/>
      <c r="AG280" s="2112"/>
      <c r="AH280" s="2112"/>
      <c r="AI280" s="2112"/>
      <c r="AJ280" s="2112"/>
      <c r="AK280" s="2112"/>
      <c r="AL280" s="779"/>
      <c r="AM280" s="927" t="s">
        <v>346</v>
      </c>
      <c r="BC280" s="511"/>
      <c r="BD280" s="511"/>
      <c r="BI280" s="143"/>
    </row>
    <row r="281" spans="3:61" s="16" customFormat="1" hidden="1" x14ac:dyDescent="0.25">
      <c r="C281" s="17"/>
      <c r="D281" s="2111" t="s">
        <v>1130</v>
      </c>
      <c r="E281" s="48"/>
      <c r="F281" s="49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  <c r="AC281" s="281"/>
      <c r="AD281" s="281"/>
      <c r="AE281" s="281"/>
      <c r="AF281" s="281"/>
      <c r="AG281" s="281"/>
      <c r="AH281" s="281"/>
      <c r="AI281" s="281"/>
      <c r="AJ281" s="281"/>
      <c r="AK281" s="281"/>
      <c r="AL281" s="779"/>
      <c r="AM281" s="2139">
        <f>AM282+AM284+AM286</f>
        <v>475</v>
      </c>
      <c r="BC281" s="511"/>
      <c r="BD281" s="511"/>
      <c r="BI281" s="143"/>
    </row>
    <row r="282" spans="3:61" s="16" customFormat="1" hidden="1" x14ac:dyDescent="0.2">
      <c r="C282" s="17"/>
      <c r="D282" s="238" t="s">
        <v>10</v>
      </c>
      <c r="E282" s="261">
        <v>93.6</v>
      </c>
      <c r="F282" s="239" t="s">
        <v>1025</v>
      </c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>
        <v>109</v>
      </c>
      <c r="S282" s="241">
        <v>98</v>
      </c>
      <c r="T282" s="241">
        <v>104</v>
      </c>
      <c r="U282" s="241">
        <v>0</v>
      </c>
      <c r="V282" s="241">
        <v>0</v>
      </c>
      <c r="W282" s="241">
        <v>0</v>
      </c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779"/>
      <c r="AM282" s="794">
        <f>SUM(G282:AK282)</f>
        <v>311</v>
      </c>
      <c r="AX282" s="2140"/>
      <c r="BC282" s="511"/>
      <c r="BD282" s="511"/>
      <c r="BI282" s="143"/>
    </row>
    <row r="283" spans="3:61" s="16" customFormat="1" hidden="1" x14ac:dyDescent="0.25">
      <c r="C283" s="17"/>
      <c r="D283" s="31"/>
      <c r="E283" s="261">
        <f>E282/2500</f>
        <v>3.7440000000000001E-2</v>
      </c>
      <c r="F283" s="32" t="s">
        <v>354</v>
      </c>
      <c r="G283" s="33"/>
      <c r="H283" s="33"/>
      <c r="I283" s="33"/>
      <c r="J283" s="33"/>
      <c r="K283" s="33"/>
      <c r="L283" s="33" t="e">
        <f t="shared" ref="L283" si="87">L282/(L18/100000)</f>
        <v>#DIV/0!</v>
      </c>
      <c r="M283" s="33" t="e">
        <f t="shared" ref="M283:AB283" si="88">M282/(M18/100000)</f>
        <v>#DIV/0!</v>
      </c>
      <c r="N283" s="33" t="e">
        <f t="shared" si="88"/>
        <v>#DIV/0!</v>
      </c>
      <c r="O283" s="33" t="e">
        <f t="shared" si="88"/>
        <v>#DIV/0!</v>
      </c>
      <c r="P283" s="33" t="e">
        <f t="shared" si="88"/>
        <v>#DIV/0!</v>
      </c>
      <c r="Q283" s="33" t="e">
        <f t="shared" si="88"/>
        <v>#DIV/0!</v>
      </c>
      <c r="R283" s="33" t="e">
        <f t="shared" si="88"/>
        <v>#DIV/0!</v>
      </c>
      <c r="S283" s="33" t="e">
        <f t="shared" si="88"/>
        <v>#DIV/0!</v>
      </c>
      <c r="T283" s="33" t="e">
        <f t="shared" si="88"/>
        <v>#DIV/0!</v>
      </c>
      <c r="U283" s="33" t="e">
        <f t="shared" si="88"/>
        <v>#DIV/0!</v>
      </c>
      <c r="V283" s="33" t="e">
        <f t="shared" si="88"/>
        <v>#DIV/0!</v>
      </c>
      <c r="W283" s="33" t="e">
        <v>#DIV/0!</v>
      </c>
      <c r="X283" s="33" t="e">
        <f t="shared" si="88"/>
        <v>#DIV/0!</v>
      </c>
      <c r="Y283" s="33" t="e">
        <f t="shared" si="88"/>
        <v>#DIV/0!</v>
      </c>
      <c r="Z283" s="33" t="e">
        <f t="shared" si="88"/>
        <v>#DIV/0!</v>
      </c>
      <c r="AA283" s="33" t="e">
        <f t="shared" si="88"/>
        <v>#DIV/0!</v>
      </c>
      <c r="AB283" s="33" t="e">
        <f t="shared" si="88"/>
        <v>#DIV/0!</v>
      </c>
      <c r="AC283" s="34" t="e">
        <f>AC282/(AC9/1000)</f>
        <v>#DIV/0!</v>
      </c>
      <c r="AD283" s="34" t="e">
        <f>AD282/(AD9/1000)</f>
        <v>#DIV/0!</v>
      </c>
      <c r="AE283" s="33" t="e">
        <f t="shared" ref="AE283:AK283" si="89">AE282/(AE18/100000)</f>
        <v>#DIV/0!</v>
      </c>
      <c r="AF283" s="33" t="e">
        <f t="shared" si="89"/>
        <v>#DIV/0!</v>
      </c>
      <c r="AG283" s="33" t="e">
        <f t="shared" si="89"/>
        <v>#DIV/0!</v>
      </c>
      <c r="AH283" s="33" t="e">
        <f t="shared" si="89"/>
        <v>#DIV/0!</v>
      </c>
      <c r="AI283" s="33" t="e">
        <f t="shared" si="89"/>
        <v>#DIV/0!</v>
      </c>
      <c r="AJ283" s="33" t="e">
        <f t="shared" si="89"/>
        <v>#DIV/0!</v>
      </c>
      <c r="AK283" s="33" t="e">
        <f t="shared" si="89"/>
        <v>#DIV/0!</v>
      </c>
      <c r="AL283" s="779"/>
      <c r="AM283" s="2123">
        <f>AM282/AM9*1000</f>
        <v>1.8517706976757479E-2</v>
      </c>
      <c r="BC283" s="511"/>
      <c r="BD283" s="511"/>
      <c r="BI283" s="143"/>
    </row>
    <row r="284" spans="3:61" s="16" customFormat="1" hidden="1" x14ac:dyDescent="0.2">
      <c r="C284" s="17"/>
      <c r="D284" s="238" t="s">
        <v>9</v>
      </c>
      <c r="E284" s="1773">
        <v>326</v>
      </c>
      <c r="F284" s="239" t="s">
        <v>1025</v>
      </c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>
        <v>0</v>
      </c>
      <c r="S284" s="241">
        <v>0</v>
      </c>
      <c r="T284" s="241">
        <v>0</v>
      </c>
      <c r="U284" s="241">
        <v>139</v>
      </c>
      <c r="V284" s="241">
        <v>25</v>
      </c>
      <c r="W284" s="241">
        <v>0</v>
      </c>
      <c r="X284" s="241"/>
      <c r="Y284" s="241">
        <v>0</v>
      </c>
      <c r="Z284" s="241">
        <v>0</v>
      </c>
      <c r="AA284" s="241">
        <v>0</v>
      </c>
      <c r="AB284" s="241">
        <v>0</v>
      </c>
      <c r="AC284" s="241">
        <v>0</v>
      </c>
      <c r="AD284" s="241">
        <v>0</v>
      </c>
      <c r="AE284" s="241">
        <v>0</v>
      </c>
      <c r="AF284" s="241">
        <v>0</v>
      </c>
      <c r="AG284" s="241">
        <v>0</v>
      </c>
      <c r="AH284" s="241"/>
      <c r="AI284" s="241"/>
      <c r="AJ284" s="241"/>
      <c r="AK284" s="241"/>
      <c r="AL284" s="779"/>
      <c r="AM284" s="794">
        <f>SUM(G284:AK284)</f>
        <v>164</v>
      </c>
      <c r="BC284" s="511"/>
      <c r="BD284" s="511"/>
      <c r="BI284" s="143"/>
    </row>
    <row r="285" spans="3:61" s="16" customFormat="1" hidden="1" x14ac:dyDescent="0.25">
      <c r="C285" s="17"/>
      <c r="D285" s="31"/>
      <c r="E285" s="261">
        <f>E284/2500</f>
        <v>0.13039999999999999</v>
      </c>
      <c r="F285" s="32" t="s">
        <v>354</v>
      </c>
      <c r="G285" s="33"/>
      <c r="H285" s="34"/>
      <c r="I285" s="34"/>
      <c r="J285" s="34"/>
      <c r="K285" s="34"/>
      <c r="L285" s="34" t="e">
        <f t="shared" ref="L285" si="90">L284/(L34/1000)</f>
        <v>#DIV/0!</v>
      </c>
      <c r="M285" s="34" t="e">
        <f t="shared" ref="M285:AK285" si="91">M284/(M34/1000)</f>
        <v>#DIV/0!</v>
      </c>
      <c r="N285" s="34" t="e">
        <f t="shared" si="91"/>
        <v>#DIV/0!</v>
      </c>
      <c r="O285" s="34" t="e">
        <f t="shared" si="91"/>
        <v>#DIV/0!</v>
      </c>
      <c r="P285" s="34" t="e">
        <f t="shared" si="91"/>
        <v>#DIV/0!</v>
      </c>
      <c r="Q285" s="34" t="e">
        <f t="shared" si="91"/>
        <v>#DIV/0!</v>
      </c>
      <c r="R285" s="34" t="e">
        <f t="shared" si="91"/>
        <v>#DIV/0!</v>
      </c>
      <c r="S285" s="34" t="e">
        <f t="shared" si="91"/>
        <v>#DIV/0!</v>
      </c>
      <c r="T285" s="34" t="e">
        <f t="shared" si="91"/>
        <v>#DIV/0!</v>
      </c>
      <c r="U285" s="34" t="e">
        <f t="shared" si="91"/>
        <v>#DIV/0!</v>
      </c>
      <c r="V285" s="34" t="e">
        <f t="shared" si="91"/>
        <v>#DIV/0!</v>
      </c>
      <c r="W285" s="34">
        <v>0</v>
      </c>
      <c r="X285" s="34" t="e">
        <f t="shared" si="91"/>
        <v>#DIV/0!</v>
      </c>
      <c r="Y285" s="34" t="e">
        <f t="shared" si="91"/>
        <v>#DIV/0!</v>
      </c>
      <c r="Z285" s="34" t="e">
        <f t="shared" si="91"/>
        <v>#DIV/0!</v>
      </c>
      <c r="AA285" s="34" t="e">
        <f t="shared" si="91"/>
        <v>#DIV/0!</v>
      </c>
      <c r="AB285" s="34" t="e">
        <f t="shared" si="91"/>
        <v>#DIV/0!</v>
      </c>
      <c r="AC285" s="34" t="e">
        <f t="shared" si="91"/>
        <v>#DIV/0!</v>
      </c>
      <c r="AD285" s="34" t="e">
        <f t="shared" si="91"/>
        <v>#DIV/0!</v>
      </c>
      <c r="AE285" s="34" t="e">
        <f t="shared" si="91"/>
        <v>#DIV/0!</v>
      </c>
      <c r="AF285" s="34">
        <f t="shared" si="91"/>
        <v>0</v>
      </c>
      <c r="AG285" s="34" t="e">
        <f t="shared" si="91"/>
        <v>#DIV/0!</v>
      </c>
      <c r="AH285" s="34">
        <f t="shared" si="91"/>
        <v>0</v>
      </c>
      <c r="AI285" s="34" t="e">
        <f t="shared" si="91"/>
        <v>#DIV/0!</v>
      </c>
      <c r="AJ285" s="34" t="e">
        <f t="shared" si="91"/>
        <v>#DIV/0!</v>
      </c>
      <c r="AK285" s="34" t="e">
        <f t="shared" si="91"/>
        <v>#DIV/0!</v>
      </c>
      <c r="AL285" s="779"/>
      <c r="AM285" s="1496" t="e">
        <f>(AM284/AM38)*1000000</f>
        <v>#DIV/0!</v>
      </c>
      <c r="BC285" s="511"/>
      <c r="BD285" s="511"/>
      <c r="BI285" s="143"/>
    </row>
    <row r="286" spans="3:61" s="16" customFormat="1" hidden="1" x14ac:dyDescent="0.2">
      <c r="C286" s="17"/>
      <c r="D286" s="238" t="s">
        <v>8</v>
      </c>
      <c r="E286" s="260">
        <v>491.59</v>
      </c>
      <c r="F286" s="239" t="s">
        <v>123</v>
      </c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779"/>
      <c r="AM286" s="794">
        <f>SUM(G286:AK286)</f>
        <v>0</v>
      </c>
      <c r="BC286" s="511"/>
      <c r="BD286" s="511"/>
      <c r="BI286" s="143"/>
    </row>
    <row r="287" spans="3:61" s="16" customFormat="1" hidden="1" x14ac:dyDescent="0.2">
      <c r="C287" s="17"/>
      <c r="D287" s="31" t="s">
        <v>7</v>
      </c>
      <c r="E287" s="260">
        <v>337.28</v>
      </c>
      <c r="F287" s="32" t="s">
        <v>123</v>
      </c>
      <c r="G287" s="34"/>
      <c r="H287" s="34"/>
      <c r="I287" s="34"/>
      <c r="J287" s="34"/>
      <c r="K287" s="34"/>
      <c r="L287" s="34">
        <f t="shared" ref="L287" si="92">L280-L282-L284-L286</f>
        <v>0</v>
      </c>
      <c r="M287" s="34">
        <f t="shared" ref="M287:AB287" si="93">M280-M282-M284-M286</f>
        <v>0</v>
      </c>
      <c r="N287" s="34">
        <f t="shared" si="93"/>
        <v>0</v>
      </c>
      <c r="O287" s="34">
        <f t="shared" si="93"/>
        <v>0</v>
      </c>
      <c r="P287" s="34">
        <f t="shared" si="93"/>
        <v>0</v>
      </c>
      <c r="Q287" s="34">
        <f t="shared" si="93"/>
        <v>0</v>
      </c>
      <c r="R287" s="34">
        <f t="shared" si="93"/>
        <v>-109</v>
      </c>
      <c r="S287" s="34">
        <f t="shared" si="93"/>
        <v>-98</v>
      </c>
      <c r="T287" s="34">
        <f t="shared" si="93"/>
        <v>-104</v>
      </c>
      <c r="U287" s="34">
        <f t="shared" si="93"/>
        <v>-139</v>
      </c>
      <c r="V287" s="34">
        <f t="shared" si="93"/>
        <v>-25</v>
      </c>
      <c r="W287" s="34">
        <v>0</v>
      </c>
      <c r="X287" s="34">
        <f t="shared" si="93"/>
        <v>0</v>
      </c>
      <c r="Y287" s="34">
        <f t="shared" si="93"/>
        <v>0</v>
      </c>
      <c r="Z287" s="34">
        <f t="shared" si="93"/>
        <v>0</v>
      </c>
      <c r="AA287" s="34">
        <f t="shared" si="93"/>
        <v>0</v>
      </c>
      <c r="AB287" s="34">
        <f t="shared" si="93"/>
        <v>0</v>
      </c>
      <c r="AC287" s="34">
        <f>AC271-AC282-AC284-AC286</f>
        <v>0</v>
      </c>
      <c r="AD287" s="34">
        <f>AD271-AD282-AD284-AD286</f>
        <v>0</v>
      </c>
      <c r="AE287" s="34">
        <f>AE271-AE282-AE284-AE286</f>
        <v>0</v>
      </c>
      <c r="AF287" s="34">
        <f>AF271-AF282-AF284-AF286</f>
        <v>0</v>
      </c>
      <c r="AG287" s="34">
        <f>AG271-AG282-AG284-AG286-AG275</f>
        <v>-189</v>
      </c>
      <c r="AH287" s="34"/>
      <c r="AI287" s="34"/>
      <c r="AJ287" s="34"/>
      <c r="AK287" s="34"/>
      <c r="AL287" s="779"/>
      <c r="AM287" s="54">
        <f>SUM(G287:AK287)</f>
        <v>-664</v>
      </c>
      <c r="BC287" s="511"/>
      <c r="BD287" s="511"/>
      <c r="BI287" s="143"/>
    </row>
    <row r="288" spans="3:61" s="16" customFormat="1" hidden="1" x14ac:dyDescent="0.2">
      <c r="C288" s="17"/>
      <c r="D288" s="238" t="s">
        <v>6</v>
      </c>
      <c r="E288" s="260">
        <v>330</v>
      </c>
      <c r="F288" s="239" t="s">
        <v>123</v>
      </c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>
        <v>0</v>
      </c>
      <c r="AI288" s="241">
        <v>0</v>
      </c>
      <c r="AJ288" s="241">
        <v>0</v>
      </c>
      <c r="AK288" s="241">
        <v>0</v>
      </c>
      <c r="AL288" s="779"/>
      <c r="AM288" s="928"/>
      <c r="BC288" s="511"/>
      <c r="BD288" s="511"/>
      <c r="BI288" s="143"/>
    </row>
    <row r="289" spans="3:61 15027:15419" s="16" customFormat="1" hidden="1" x14ac:dyDescent="0.2">
      <c r="C289" s="17"/>
      <c r="D289" s="924"/>
      <c r="E289" s="925"/>
      <c r="F289" s="926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779"/>
      <c r="AM289" s="927"/>
      <c r="BC289" s="511"/>
      <c r="BD289" s="511"/>
      <c r="BI289" s="143"/>
    </row>
    <row r="290" spans="3:61 15027:15419" s="1" customFormat="1" x14ac:dyDescent="0.25">
      <c r="C290" s="83">
        <v>7</v>
      </c>
      <c r="D290" s="75" t="s">
        <v>5</v>
      </c>
      <c r="E290" s="76"/>
      <c r="F290" s="77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1925"/>
      <c r="T290" s="1925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M290" s="120" t="s">
        <v>134</v>
      </c>
      <c r="BC290" s="511"/>
      <c r="BD290" s="511"/>
      <c r="BI290" s="140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  <c r="VUA290" s="46"/>
    </row>
    <row r="291" spans="3:61 15027:15419" s="1" customFormat="1" x14ac:dyDescent="0.25">
      <c r="C291" s="83"/>
      <c r="D291" s="121" t="s">
        <v>4</v>
      </c>
      <c r="E291" s="1034"/>
      <c r="F291" s="12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22"/>
      <c r="T291" s="1922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M291" s="52" t="s">
        <v>4</v>
      </c>
      <c r="BC291" s="511"/>
      <c r="BD291" s="511"/>
      <c r="BI291" s="140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  <c r="VUA291" s="46"/>
    </row>
    <row r="292" spans="3:61 15027:15419" s="1" customFormat="1" x14ac:dyDescent="0.25">
      <c r="C292" s="83"/>
      <c r="D292" s="232" t="s">
        <v>3</v>
      </c>
      <c r="E292" s="231">
        <v>50</v>
      </c>
      <c r="F292" s="242" t="s">
        <v>943</v>
      </c>
      <c r="G292" s="241"/>
      <c r="H292" s="241"/>
      <c r="I292" s="241"/>
      <c r="J292" s="241"/>
      <c r="K292" s="241"/>
      <c r="L292" s="241">
        <v>11.4</v>
      </c>
      <c r="M292" s="241">
        <v>20.7</v>
      </c>
      <c r="N292" s="241"/>
      <c r="O292" s="241">
        <v>21.1</v>
      </c>
      <c r="P292" s="241">
        <v>24.4</v>
      </c>
      <c r="Q292" s="241">
        <v>20</v>
      </c>
      <c r="R292" s="2067">
        <v>20.5</v>
      </c>
      <c r="S292" s="2068">
        <v>20.5</v>
      </c>
      <c r="T292" s="2068">
        <v>19.600000000000001</v>
      </c>
      <c r="U292" s="2069">
        <v>19.8</v>
      </c>
      <c r="V292" s="2069">
        <v>17.2</v>
      </c>
      <c r="W292" s="2070">
        <v>16.600000000000001</v>
      </c>
      <c r="X292" s="2064">
        <v>7.6</v>
      </c>
      <c r="Y292" s="2064">
        <v>9.5</v>
      </c>
      <c r="Z292" s="2064">
        <v>8.6999999999999993</v>
      </c>
      <c r="AA292" s="2078">
        <v>8.9</v>
      </c>
      <c r="AB292" s="2078">
        <v>12.7</v>
      </c>
      <c r="AC292" s="241">
        <v>9.9</v>
      </c>
      <c r="AD292" s="241">
        <v>8.3000000000000007</v>
      </c>
      <c r="AE292" s="241">
        <v>7.1</v>
      </c>
      <c r="AF292" s="241">
        <v>14.7</v>
      </c>
      <c r="AG292" s="241">
        <v>16</v>
      </c>
      <c r="AH292" s="2078">
        <v>15</v>
      </c>
      <c r="AI292" s="2078">
        <v>9.6</v>
      </c>
      <c r="AJ292" s="2078"/>
      <c r="AK292" s="2078"/>
      <c r="AL292" s="302"/>
      <c r="AM292" s="931">
        <f>SUM(G292:AK292)/AM6</f>
        <v>30.890909090909091</v>
      </c>
      <c r="AO292" s="2000">
        <f>AM292/AM9*100000</f>
        <v>0.18393209092961682</v>
      </c>
      <c r="AX292" s="3"/>
      <c r="BC292" s="511"/>
      <c r="BD292" s="511"/>
      <c r="BI292" s="140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  <c r="VUA292" s="46"/>
    </row>
    <row r="293" spans="3:61 15027:15419" s="1" customFormat="1" x14ac:dyDescent="0.25">
      <c r="C293" s="83"/>
      <c r="D293" s="121" t="s">
        <v>1</v>
      </c>
      <c r="E293" s="13"/>
      <c r="F293" s="69" t="s">
        <v>0</v>
      </c>
      <c r="G293" s="278"/>
      <c r="H293" s="278"/>
      <c r="I293" s="278"/>
      <c r="J293" s="278"/>
      <c r="K293" s="278"/>
      <c r="L293" s="278">
        <f>L292*1000</f>
        <v>11400</v>
      </c>
      <c r="M293" s="278">
        <f t="shared" ref="M293:AK293" si="94">M292*1000</f>
        <v>20700</v>
      </c>
      <c r="N293" s="278">
        <f t="shared" si="94"/>
        <v>0</v>
      </c>
      <c r="O293" s="278">
        <f t="shared" si="94"/>
        <v>21100</v>
      </c>
      <c r="P293" s="278">
        <f t="shared" si="94"/>
        <v>24400</v>
      </c>
      <c r="Q293" s="278">
        <f t="shared" si="94"/>
        <v>20000</v>
      </c>
      <c r="R293" s="278">
        <f t="shared" si="94"/>
        <v>20500</v>
      </c>
      <c r="S293" s="278">
        <f t="shared" si="94"/>
        <v>20500</v>
      </c>
      <c r="T293" s="278">
        <f t="shared" si="94"/>
        <v>19600</v>
      </c>
      <c r="U293" s="278">
        <f t="shared" si="94"/>
        <v>19800</v>
      </c>
      <c r="V293" s="278">
        <f t="shared" si="94"/>
        <v>17200</v>
      </c>
      <c r="W293" s="278">
        <f t="shared" si="94"/>
        <v>16600</v>
      </c>
      <c r="X293" s="278">
        <f t="shared" si="94"/>
        <v>7600</v>
      </c>
      <c r="Y293" s="278">
        <f t="shared" si="94"/>
        <v>9500</v>
      </c>
      <c r="Z293" s="278">
        <f t="shared" si="94"/>
        <v>8700</v>
      </c>
      <c r="AA293" s="278">
        <f t="shared" si="94"/>
        <v>8900</v>
      </c>
      <c r="AB293" s="278">
        <f t="shared" si="94"/>
        <v>12700</v>
      </c>
      <c r="AC293" s="278">
        <f t="shared" si="94"/>
        <v>9900</v>
      </c>
      <c r="AD293" s="278">
        <f>AD292*1000</f>
        <v>8300</v>
      </c>
      <c r="AE293" s="278">
        <f t="shared" si="94"/>
        <v>7100</v>
      </c>
      <c r="AF293" s="278">
        <f t="shared" si="94"/>
        <v>14700</v>
      </c>
      <c r="AG293" s="278">
        <f t="shared" si="94"/>
        <v>16000</v>
      </c>
      <c r="AH293" s="278">
        <f t="shared" si="94"/>
        <v>15000</v>
      </c>
      <c r="AI293" s="278">
        <f t="shared" si="94"/>
        <v>9600</v>
      </c>
      <c r="AJ293" s="278">
        <f t="shared" si="94"/>
        <v>0</v>
      </c>
      <c r="AK293" s="278">
        <f t="shared" si="94"/>
        <v>0</v>
      </c>
      <c r="AL293" s="62"/>
      <c r="AM293" s="82">
        <f>SUM(G293:AK293)</f>
        <v>339800</v>
      </c>
      <c r="BC293" s="511"/>
      <c r="BD293" s="511"/>
      <c r="BI293" s="140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  <c r="VUA293" s="46"/>
    </row>
    <row r="294" spans="3:61 15027:15419" s="1" customFormat="1" x14ac:dyDescent="0.25">
      <c r="C294" s="83"/>
      <c r="D294" s="117" t="s">
        <v>1126</v>
      </c>
      <c r="E294" s="118"/>
      <c r="F294" s="99"/>
      <c r="G294" s="2094"/>
      <c r="H294" s="2094"/>
      <c r="I294" s="2094"/>
      <c r="J294" s="2094"/>
      <c r="K294" s="2094"/>
      <c r="L294" s="2094"/>
      <c r="M294" s="2094"/>
      <c r="N294" s="2094"/>
      <c r="O294" s="2094"/>
      <c r="P294" s="2094"/>
      <c r="Q294" s="2094"/>
      <c r="R294" s="2094"/>
      <c r="S294" s="2094"/>
      <c r="T294" s="2094"/>
      <c r="U294" s="2094"/>
      <c r="V294" s="2094"/>
      <c r="W294" s="2094"/>
      <c r="X294" s="2094"/>
      <c r="Y294" s="2094"/>
      <c r="Z294" s="2094"/>
      <c r="AA294" s="2094"/>
      <c r="AB294" s="2094"/>
      <c r="AC294" s="2094"/>
      <c r="AD294" s="2094"/>
      <c r="AE294" s="2094"/>
      <c r="AF294" s="2094"/>
      <c r="AG294" s="2094"/>
      <c r="AH294" s="2094"/>
      <c r="AI294" s="2094"/>
      <c r="AJ294" s="2094"/>
      <c r="AK294" s="2094"/>
      <c r="AL294" s="62"/>
      <c r="AM294" s="82"/>
      <c r="BC294" s="511"/>
      <c r="BD294" s="511"/>
      <c r="BI294" s="140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  <c r="VUA294" s="46"/>
    </row>
    <row r="295" spans="3:61 15027:15419" s="1" customFormat="1" x14ac:dyDescent="0.25">
      <c r="C295" s="83"/>
      <c r="D295" s="121" t="s">
        <v>16</v>
      </c>
      <c r="E295" s="13"/>
      <c r="F295" s="69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1985"/>
      <c r="T295" s="1985"/>
      <c r="U295" s="1990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  <c r="AL295" s="62"/>
      <c r="AM295" s="123" t="s">
        <v>16</v>
      </c>
      <c r="BC295" s="511"/>
      <c r="BD295" s="511"/>
      <c r="BI295" s="140"/>
      <c r="VEY295" s="46"/>
      <c r="VEZ295" s="46"/>
      <c r="VFA295" s="46"/>
      <c r="VFB295" s="46"/>
      <c r="VFC295" s="46"/>
      <c r="VFD295" s="46"/>
      <c r="VFE295" s="46"/>
      <c r="VFF295" s="46"/>
      <c r="VFG295" s="46"/>
      <c r="VFH295" s="46"/>
      <c r="VFI295" s="46"/>
      <c r="VFJ295" s="46"/>
      <c r="VFK295" s="46"/>
      <c r="VFL295" s="46"/>
      <c r="VFM295" s="46"/>
      <c r="VFN295" s="46"/>
      <c r="VFO295" s="46"/>
      <c r="VFP295" s="46"/>
      <c r="VFQ295" s="46"/>
      <c r="VFR295" s="46"/>
      <c r="VFS295" s="46"/>
      <c r="VFT295" s="46"/>
      <c r="VFU295" s="46"/>
      <c r="VFV295" s="46"/>
      <c r="VFW295" s="46"/>
      <c r="VFX295" s="46"/>
      <c r="VFY295" s="46"/>
      <c r="VFZ295" s="46"/>
      <c r="VGA295" s="46"/>
      <c r="VGB295" s="46"/>
      <c r="VGC295" s="46"/>
      <c r="VGD295" s="46"/>
      <c r="VGE295" s="46"/>
      <c r="VGF295" s="46"/>
      <c r="VGG295" s="46"/>
      <c r="VGH295" s="46"/>
      <c r="VGI295" s="46"/>
      <c r="VGJ295" s="46"/>
      <c r="VGK295" s="46"/>
      <c r="VGL295" s="46"/>
      <c r="VGM295" s="46"/>
      <c r="VGN295" s="46"/>
      <c r="VGO295" s="46"/>
      <c r="VGP295" s="46"/>
      <c r="VGQ295" s="46"/>
      <c r="VGR295" s="46"/>
      <c r="VGS295" s="46"/>
      <c r="VGT295" s="46"/>
      <c r="VGU295" s="46"/>
      <c r="VGV295" s="46"/>
      <c r="VGW295" s="46"/>
      <c r="VGX295" s="46"/>
      <c r="VGY295" s="46"/>
      <c r="VGZ295" s="46"/>
      <c r="VHA295" s="46"/>
      <c r="VHB295" s="46"/>
      <c r="VHC295" s="46"/>
      <c r="VHD295" s="46"/>
      <c r="VHE295" s="46"/>
      <c r="VHF295" s="46"/>
      <c r="VHG295" s="46"/>
      <c r="VHH295" s="46"/>
      <c r="VHI295" s="46"/>
      <c r="VHJ295" s="46"/>
      <c r="VHK295" s="46"/>
      <c r="VHL295" s="46"/>
      <c r="VHM295" s="46"/>
      <c r="VHN295" s="46"/>
      <c r="VHO295" s="46"/>
      <c r="VHP295" s="46"/>
      <c r="VHQ295" s="46"/>
      <c r="VHR295" s="46"/>
      <c r="VHS295" s="46"/>
      <c r="VHT295" s="46"/>
      <c r="VHU295" s="46"/>
      <c r="VHV295" s="46"/>
      <c r="VHW295" s="46"/>
      <c r="VHX295" s="46"/>
      <c r="VHY295" s="46"/>
      <c r="VHZ295" s="46"/>
      <c r="VIA295" s="46"/>
      <c r="VIB295" s="46"/>
      <c r="VIC295" s="46"/>
      <c r="VID295" s="46"/>
      <c r="VIE295" s="46"/>
      <c r="VIF295" s="46"/>
      <c r="VIG295" s="46"/>
      <c r="VIH295" s="46"/>
      <c r="VII295" s="46"/>
      <c r="VIJ295" s="46"/>
      <c r="VIK295" s="46"/>
      <c r="VIL295" s="46"/>
      <c r="VIM295" s="46"/>
      <c r="VIN295" s="46"/>
      <c r="VIO295" s="46"/>
      <c r="VIP295" s="46"/>
      <c r="VIQ295" s="46"/>
      <c r="VIR295" s="46"/>
      <c r="VIS295" s="46"/>
      <c r="VIT295" s="46"/>
      <c r="VIU295" s="46"/>
      <c r="VIV295" s="46"/>
      <c r="VIW295" s="46"/>
      <c r="VIX295" s="46"/>
      <c r="VIY295" s="46"/>
      <c r="VIZ295" s="46"/>
      <c r="VJA295" s="46"/>
      <c r="VJB295" s="46"/>
      <c r="VJC295" s="46"/>
      <c r="VJD295" s="46"/>
      <c r="VJE295" s="46"/>
      <c r="VJF295" s="46"/>
      <c r="VJG295" s="46"/>
      <c r="VJH295" s="46"/>
      <c r="VJI295" s="46"/>
      <c r="VJJ295" s="46"/>
      <c r="VJK295" s="46"/>
      <c r="VJL295" s="46"/>
      <c r="VJM295" s="46"/>
      <c r="VJN295" s="46"/>
      <c r="VJO295" s="46"/>
      <c r="VJP295" s="46"/>
      <c r="VJQ295" s="46"/>
      <c r="VJR295" s="46"/>
      <c r="VJS295" s="46"/>
      <c r="VJT295" s="46"/>
      <c r="VJU295" s="46"/>
      <c r="VJV295" s="46"/>
      <c r="VJW295" s="46"/>
      <c r="VJX295" s="46"/>
      <c r="VJY295" s="46"/>
      <c r="VJZ295" s="46"/>
      <c r="VKA295" s="46"/>
      <c r="VKB295" s="46"/>
      <c r="VKC295" s="46"/>
      <c r="VKD295" s="46"/>
      <c r="VKE295" s="46"/>
      <c r="VKF295" s="46"/>
      <c r="VKG295" s="46"/>
      <c r="VKH295" s="46"/>
      <c r="VKI295" s="46"/>
      <c r="VKJ295" s="46"/>
      <c r="VKK295" s="46"/>
      <c r="VKL295" s="46"/>
      <c r="VKM295" s="46"/>
      <c r="VKN295" s="46"/>
      <c r="VKO295" s="46"/>
      <c r="VKP295" s="46"/>
      <c r="VKQ295" s="46"/>
      <c r="VKR295" s="46"/>
      <c r="VKS295" s="46"/>
      <c r="VKT295" s="46"/>
      <c r="VKU295" s="46"/>
      <c r="VKV295" s="46"/>
      <c r="VKW295" s="46"/>
      <c r="VKX295" s="46"/>
      <c r="VKY295" s="46"/>
      <c r="VKZ295" s="46"/>
      <c r="VLA295" s="46"/>
      <c r="VLB295" s="46"/>
      <c r="VLC295" s="46"/>
      <c r="VLD295" s="46"/>
      <c r="VLE295" s="46"/>
      <c r="VLF295" s="46"/>
      <c r="VLG295" s="46"/>
      <c r="VLH295" s="46"/>
      <c r="VLI295" s="46"/>
      <c r="VLJ295" s="46"/>
      <c r="VLK295" s="46"/>
      <c r="VLL295" s="46"/>
      <c r="VLM295" s="46"/>
      <c r="VLN295" s="46"/>
      <c r="VLO295" s="46"/>
      <c r="VLP295" s="46"/>
      <c r="VLQ295" s="46"/>
      <c r="VLR295" s="46"/>
      <c r="VLS295" s="46"/>
      <c r="VLT295" s="46"/>
      <c r="VLU295" s="46"/>
      <c r="VLV295" s="46"/>
      <c r="VLW295" s="46"/>
      <c r="VLX295" s="46"/>
      <c r="VLY295" s="46"/>
      <c r="VLZ295" s="46"/>
      <c r="VMA295" s="46"/>
      <c r="VMB295" s="46"/>
      <c r="VMC295" s="46"/>
      <c r="VMD295" s="46"/>
      <c r="VME295" s="46"/>
      <c r="VMF295" s="46"/>
      <c r="VMG295" s="46"/>
      <c r="VMH295" s="46"/>
      <c r="VMI295" s="46"/>
      <c r="VMJ295" s="46"/>
      <c r="VMK295" s="46"/>
      <c r="VML295" s="46"/>
      <c r="VMM295" s="46"/>
      <c r="VMN295" s="46"/>
      <c r="VMO295" s="46"/>
      <c r="VMP295" s="46"/>
      <c r="VMQ295" s="46"/>
      <c r="VMR295" s="46"/>
      <c r="VMS295" s="46"/>
      <c r="VMT295" s="46"/>
      <c r="VMU295" s="46"/>
      <c r="VMV295" s="46"/>
      <c r="VMW295" s="46"/>
      <c r="VMX295" s="46"/>
      <c r="VMY295" s="46"/>
      <c r="VMZ295" s="46"/>
      <c r="VNA295" s="46"/>
      <c r="VNB295" s="46"/>
      <c r="VNC295" s="46"/>
      <c r="VND295" s="46"/>
      <c r="VNE295" s="46"/>
      <c r="VNF295" s="46"/>
      <c r="VNG295" s="46"/>
      <c r="VNH295" s="46"/>
      <c r="VNI295" s="46"/>
      <c r="VNJ295" s="46"/>
      <c r="VNK295" s="46"/>
      <c r="VNL295" s="46"/>
      <c r="VNM295" s="46"/>
      <c r="VNN295" s="46"/>
      <c r="VNO295" s="46"/>
      <c r="VNP295" s="46"/>
      <c r="VNQ295" s="46"/>
      <c r="VNR295" s="46"/>
      <c r="VNS295" s="46"/>
      <c r="VNT295" s="46"/>
      <c r="VNU295" s="46"/>
      <c r="VNV295" s="46"/>
      <c r="VNW295" s="46"/>
      <c r="VNX295" s="46"/>
      <c r="VNY295" s="46"/>
      <c r="VNZ295" s="46"/>
      <c r="VOA295" s="46"/>
      <c r="VOB295" s="46"/>
      <c r="VOC295" s="46"/>
      <c r="VOD295" s="46"/>
      <c r="VOE295" s="46"/>
      <c r="VOF295" s="46"/>
      <c r="VOG295" s="46"/>
      <c r="VOH295" s="46"/>
      <c r="VOI295" s="46"/>
      <c r="VOJ295" s="46"/>
      <c r="VOK295" s="46"/>
      <c r="VOL295" s="46"/>
      <c r="VOM295" s="46"/>
      <c r="VON295" s="46"/>
      <c r="VOO295" s="46"/>
      <c r="VOP295" s="46"/>
      <c r="VOQ295" s="46"/>
      <c r="VOR295" s="46"/>
      <c r="VOS295" s="46"/>
      <c r="VOT295" s="46"/>
      <c r="VOU295" s="46"/>
      <c r="VOV295" s="46"/>
      <c r="VOW295" s="46"/>
      <c r="VOX295" s="46"/>
      <c r="VOY295" s="46"/>
      <c r="VOZ295" s="46"/>
      <c r="VPA295" s="46"/>
      <c r="VPB295" s="46"/>
      <c r="VPC295" s="46"/>
      <c r="VPD295" s="46"/>
      <c r="VPE295" s="46"/>
      <c r="VPF295" s="46"/>
      <c r="VPG295" s="46"/>
      <c r="VPH295" s="46"/>
      <c r="VPI295" s="46"/>
      <c r="VPJ295" s="46"/>
      <c r="VPK295" s="46"/>
      <c r="VPL295" s="46"/>
      <c r="VPM295" s="46"/>
      <c r="VPN295" s="46"/>
      <c r="VPO295" s="46"/>
      <c r="VPP295" s="46"/>
      <c r="VPQ295" s="46"/>
      <c r="VPR295" s="46"/>
      <c r="VPS295" s="46"/>
      <c r="VPT295" s="46"/>
      <c r="VPU295" s="46"/>
      <c r="VPV295" s="46"/>
      <c r="VPW295" s="46"/>
      <c r="VPX295" s="46"/>
      <c r="VPY295" s="46"/>
      <c r="VPZ295" s="46"/>
      <c r="VQA295" s="46"/>
      <c r="VQB295" s="46"/>
      <c r="VQC295" s="46"/>
      <c r="VQD295" s="46"/>
      <c r="VQE295" s="46"/>
      <c r="VQF295" s="46"/>
      <c r="VQG295" s="46"/>
      <c r="VQH295" s="46"/>
      <c r="VQI295" s="46"/>
      <c r="VQJ295" s="46"/>
      <c r="VQK295" s="46"/>
      <c r="VQL295" s="46"/>
      <c r="VQM295" s="46"/>
      <c r="VQN295" s="46"/>
      <c r="VQO295" s="46"/>
      <c r="VQP295" s="46"/>
      <c r="VQQ295" s="46"/>
      <c r="VQR295" s="46"/>
      <c r="VQS295" s="46"/>
      <c r="VQT295" s="46"/>
      <c r="VQU295" s="46"/>
      <c r="VQV295" s="46"/>
      <c r="VQW295" s="46"/>
      <c r="VQX295" s="46"/>
      <c r="VQY295" s="46"/>
      <c r="VQZ295" s="46"/>
      <c r="VRA295" s="46"/>
      <c r="VRB295" s="46"/>
      <c r="VRC295" s="46"/>
      <c r="VRD295" s="46"/>
      <c r="VRE295" s="46"/>
      <c r="VRF295" s="46"/>
      <c r="VRG295" s="46"/>
      <c r="VRH295" s="46"/>
      <c r="VRI295" s="46"/>
      <c r="VRJ295" s="46"/>
      <c r="VRK295" s="46"/>
      <c r="VRL295" s="46"/>
      <c r="VRM295" s="46"/>
      <c r="VRN295" s="46"/>
      <c r="VRO295" s="46"/>
      <c r="VRP295" s="46"/>
      <c r="VRQ295" s="46"/>
      <c r="VRR295" s="46"/>
      <c r="VRS295" s="46"/>
      <c r="VRT295" s="46"/>
      <c r="VRU295" s="46"/>
      <c r="VRV295" s="46"/>
      <c r="VRW295" s="46"/>
      <c r="VRX295" s="46"/>
      <c r="VRY295" s="46"/>
      <c r="VRZ295" s="46"/>
      <c r="VSA295" s="46"/>
      <c r="VSB295" s="46"/>
      <c r="VSC295" s="46"/>
      <c r="VSD295" s="46"/>
      <c r="VSE295" s="46"/>
      <c r="VSF295" s="46"/>
      <c r="VSG295" s="46"/>
      <c r="VSH295" s="46"/>
      <c r="VSI295" s="46"/>
      <c r="VSJ295" s="46"/>
      <c r="VSK295" s="46"/>
      <c r="VSL295" s="46"/>
      <c r="VSM295" s="46"/>
      <c r="VSN295" s="46"/>
      <c r="VSO295" s="46"/>
      <c r="VSP295" s="46"/>
      <c r="VSQ295" s="46"/>
      <c r="VSR295" s="46"/>
      <c r="VSS295" s="46"/>
      <c r="VST295" s="46"/>
      <c r="VSU295" s="46"/>
      <c r="VSV295" s="46"/>
      <c r="VSW295" s="46"/>
      <c r="VSX295" s="46"/>
      <c r="VSY295" s="46"/>
      <c r="VSZ295" s="46"/>
      <c r="VTA295" s="46"/>
      <c r="VTB295" s="46"/>
      <c r="VTC295" s="46"/>
      <c r="VTD295" s="46"/>
      <c r="VTE295" s="46"/>
      <c r="VTF295" s="46"/>
      <c r="VTG295" s="46"/>
      <c r="VTH295" s="46"/>
      <c r="VTI295" s="46"/>
      <c r="VTJ295" s="46"/>
      <c r="VTK295" s="46"/>
      <c r="VTL295" s="46"/>
      <c r="VTM295" s="46"/>
      <c r="VTN295" s="46"/>
      <c r="VTO295" s="46"/>
      <c r="VTP295" s="46"/>
      <c r="VTQ295" s="46"/>
      <c r="VTR295" s="46"/>
      <c r="VTS295" s="46"/>
      <c r="VTT295" s="46"/>
      <c r="VTU295" s="46"/>
      <c r="VTV295" s="46"/>
      <c r="VTW295" s="46"/>
      <c r="VTX295" s="46"/>
      <c r="VTY295" s="46"/>
      <c r="VTZ295" s="46"/>
      <c r="VUA295" s="46"/>
    </row>
    <row r="296" spans="3:61 15027:15419" x14ac:dyDescent="0.25">
      <c r="C296" s="15"/>
      <c r="D296" s="243" t="s">
        <v>119</v>
      </c>
      <c r="E296" s="262">
        <v>18374.400000000001</v>
      </c>
      <c r="F296" s="242" t="s">
        <v>1026</v>
      </c>
      <c r="G296" s="271"/>
      <c r="H296" s="271"/>
      <c r="I296" s="271"/>
      <c r="J296" s="271"/>
      <c r="K296" s="271"/>
      <c r="L296" s="271">
        <v>1410</v>
      </c>
      <c r="M296" s="271">
        <v>2770</v>
      </c>
      <c r="N296" s="271">
        <v>2870</v>
      </c>
      <c r="O296" s="271">
        <v>2920</v>
      </c>
      <c r="P296" s="271">
        <v>2940</v>
      </c>
      <c r="Q296" s="271">
        <v>2960</v>
      </c>
      <c r="R296" s="2024">
        <v>2920</v>
      </c>
      <c r="S296" s="2018">
        <v>7870</v>
      </c>
      <c r="T296" s="2018">
        <v>2840</v>
      </c>
      <c r="U296" s="2027">
        <v>2960</v>
      </c>
      <c r="V296" s="2027">
        <v>2900</v>
      </c>
      <c r="W296" s="2027"/>
      <c r="X296" s="2027"/>
      <c r="Y296" s="2028"/>
      <c r="Z296" s="2027"/>
      <c r="AA296" s="1963"/>
      <c r="AB296" s="271"/>
      <c r="AC296" s="271"/>
      <c r="AD296" s="271"/>
      <c r="AE296" s="271"/>
      <c r="AF296" s="271"/>
      <c r="AG296" s="271"/>
      <c r="AH296" s="1962"/>
      <c r="AI296" s="1962"/>
      <c r="AJ296" s="1962"/>
      <c r="AK296" s="1962"/>
      <c r="AM296" s="82">
        <f>SUM(G296:AK296)</f>
        <v>35360</v>
      </c>
      <c r="AO296" s="3"/>
    </row>
    <row r="297" spans="3:61 15027:15419" x14ac:dyDescent="0.25">
      <c r="C297" s="15"/>
      <c r="D297" s="921"/>
      <c r="E297" s="1704">
        <f>E296/2500</f>
        <v>7.3497600000000007</v>
      </c>
      <c r="F297" s="61" t="s">
        <v>1017</v>
      </c>
      <c r="G297" s="1770"/>
      <c r="H297" s="1770"/>
      <c r="I297" s="1770"/>
      <c r="J297" s="1770"/>
      <c r="K297" s="1770"/>
      <c r="L297" s="1770">
        <f t="shared" ref="L297" si="95">(L296/L9)*1000</f>
        <v>8.1635961509512622</v>
      </c>
      <c r="M297" s="1770">
        <f t="shared" ref="M297:AK297" si="96">(M296/M9)*1000</f>
        <v>1.8948112952642715</v>
      </c>
      <c r="N297" s="1770">
        <f t="shared" si="96"/>
        <v>1.3974375766582154</v>
      </c>
      <c r="O297" s="1770">
        <f t="shared" si="96"/>
        <v>1.3965511881446198</v>
      </c>
      <c r="P297" s="1770">
        <f t="shared" si="96"/>
        <v>1.4698184774180387</v>
      </c>
      <c r="Q297" s="1770">
        <f t="shared" si="96"/>
        <v>1.4485278357134537</v>
      </c>
      <c r="R297" s="1770">
        <f t="shared" si="96"/>
        <v>1.7651322307704862</v>
      </c>
      <c r="S297" s="269">
        <f t="shared" si="96"/>
        <v>4.2876833978937503</v>
      </c>
      <c r="T297" s="269">
        <f t="shared" si="96"/>
        <v>1.551114973120379</v>
      </c>
      <c r="U297" s="1770">
        <f t="shared" si="96"/>
        <v>1.7927355448583617</v>
      </c>
      <c r="V297" s="1770" t="e">
        <f t="shared" si="96"/>
        <v>#DIV/0!</v>
      </c>
      <c r="W297" s="1770" t="e">
        <f t="shared" si="96"/>
        <v>#DIV/0!</v>
      </c>
      <c r="X297" s="1770" t="e">
        <f t="shared" si="96"/>
        <v>#DIV/0!</v>
      </c>
      <c r="Y297" s="1770" t="e">
        <f t="shared" si="96"/>
        <v>#DIV/0!</v>
      </c>
      <c r="Z297" s="1770" t="e">
        <f t="shared" si="96"/>
        <v>#DIV/0!</v>
      </c>
      <c r="AA297" s="1770" t="e">
        <f t="shared" si="96"/>
        <v>#DIV/0!</v>
      </c>
      <c r="AB297" s="1770" t="e">
        <f t="shared" si="96"/>
        <v>#DIV/0!</v>
      </c>
      <c r="AC297" s="1770" t="e">
        <f t="shared" si="96"/>
        <v>#DIV/0!</v>
      </c>
      <c r="AD297" s="1770" t="e">
        <f t="shared" si="96"/>
        <v>#DIV/0!</v>
      </c>
      <c r="AE297" s="1770" t="e">
        <f t="shared" si="96"/>
        <v>#DIV/0!</v>
      </c>
      <c r="AF297" s="1770" t="e">
        <f t="shared" si="96"/>
        <v>#DIV/0!</v>
      </c>
      <c r="AG297" s="1770" t="e">
        <f t="shared" si="96"/>
        <v>#DIV/0!</v>
      </c>
      <c r="AH297" s="1770" t="e">
        <f t="shared" si="96"/>
        <v>#DIV/0!</v>
      </c>
      <c r="AI297" s="1770" t="e">
        <f t="shared" si="96"/>
        <v>#DIV/0!</v>
      </c>
      <c r="AJ297" s="1770" t="e">
        <f t="shared" si="96"/>
        <v>#DIV/0!</v>
      </c>
      <c r="AK297" s="1770" t="e">
        <f t="shared" si="96"/>
        <v>#DIV/0!</v>
      </c>
      <c r="AL297" s="62"/>
      <c r="AM297" s="1949">
        <f>(AM296/AM9)*1000</f>
        <v>2.1054216035310112</v>
      </c>
      <c r="AO297" s="1991"/>
      <c r="AU297" s="1991"/>
    </row>
    <row r="298" spans="3:61 15027:15419" x14ac:dyDescent="0.25">
      <c r="C298" s="15"/>
      <c r="D298" s="243" t="s">
        <v>118</v>
      </c>
      <c r="E298" s="262">
        <v>10946.28</v>
      </c>
      <c r="F298" s="242" t="s">
        <v>1026</v>
      </c>
      <c r="G298" s="271"/>
      <c r="H298" s="271"/>
      <c r="I298" s="271"/>
      <c r="J298" s="271"/>
      <c r="K298" s="271"/>
      <c r="L298" s="271">
        <v>3152</v>
      </c>
      <c r="M298" s="271">
        <v>4704.1499999999996</v>
      </c>
      <c r="N298" s="271">
        <v>5904.99</v>
      </c>
      <c r="O298" s="271">
        <v>5812.8</v>
      </c>
      <c r="P298" s="271">
        <v>5814.77</v>
      </c>
      <c r="Q298" s="271">
        <v>5707.02</v>
      </c>
      <c r="R298" s="1975">
        <v>4902.32</v>
      </c>
      <c r="S298" s="1978">
        <v>5100.45</v>
      </c>
      <c r="T298" s="1978">
        <v>4904.84</v>
      </c>
      <c r="U298" s="2028">
        <v>4700</v>
      </c>
      <c r="V298" s="2028">
        <v>3900</v>
      </c>
      <c r="W298" s="2028"/>
      <c r="X298" s="2028"/>
      <c r="Y298" s="2028"/>
      <c r="Z298" s="2028"/>
      <c r="AA298" s="1963"/>
      <c r="AB298" s="271"/>
      <c r="AC298" s="271"/>
      <c r="AD298" s="271"/>
      <c r="AE298" s="271"/>
      <c r="AF298" s="271"/>
      <c r="AG298" s="271"/>
      <c r="AH298" s="1963"/>
      <c r="AI298" s="1963"/>
      <c r="AJ298" s="1963"/>
      <c r="AK298" s="1963"/>
      <c r="AM298" s="82">
        <f>SUM(G298:AK298)</f>
        <v>54603.34</v>
      </c>
      <c r="AO298" s="3">
        <f>AM296+AM298</f>
        <v>89963.34</v>
      </c>
    </row>
    <row r="299" spans="3:61 15027:15419" x14ac:dyDescent="0.25">
      <c r="C299" s="15"/>
      <c r="D299" s="921"/>
      <c r="E299" s="1704">
        <f>E298/2500</f>
        <v>4.3785120000000006</v>
      </c>
      <c r="F299" s="61" t="s">
        <v>1017</v>
      </c>
      <c r="G299" s="1770"/>
      <c r="H299" s="1770"/>
      <c r="I299" s="1770"/>
      <c r="J299" s="1770"/>
      <c r="K299" s="1770"/>
      <c r="L299" s="1770">
        <f t="shared" ref="L299" si="97">(L298/L9)*1000</f>
        <v>18.249400757303814</v>
      </c>
      <c r="M299" s="1770">
        <f t="shared" ref="M299:AK299" si="98">(M298/M9)*1000</f>
        <v>3.2178615720640513</v>
      </c>
      <c r="N299" s="1770">
        <f t="shared" si="98"/>
        <v>2.8752107720526117</v>
      </c>
      <c r="O299" s="1770">
        <f t="shared" si="98"/>
        <v>2.7800934063174809</v>
      </c>
      <c r="P299" s="1770">
        <f t="shared" si="98"/>
        <v>2.9070259822911875</v>
      </c>
      <c r="Q299" s="1770">
        <f t="shared" si="98"/>
        <v>2.7928301787072285</v>
      </c>
      <c r="R299" s="1770">
        <f t="shared" si="98"/>
        <v>2.9634393964214962</v>
      </c>
      <c r="S299" s="1770">
        <f t="shared" si="98"/>
        <v>2.7787947632512298</v>
      </c>
      <c r="T299" s="1770">
        <f t="shared" si="98"/>
        <v>2.678862945337944</v>
      </c>
      <c r="U299" s="1770">
        <f t="shared" si="98"/>
        <v>2.8465733313629396</v>
      </c>
      <c r="V299" s="1770" t="e">
        <f t="shared" si="98"/>
        <v>#DIV/0!</v>
      </c>
      <c r="W299" s="1770" t="e">
        <f t="shared" si="98"/>
        <v>#DIV/0!</v>
      </c>
      <c r="X299" s="1770" t="e">
        <f t="shared" si="98"/>
        <v>#DIV/0!</v>
      </c>
      <c r="Y299" s="1770" t="e">
        <f t="shared" si="98"/>
        <v>#DIV/0!</v>
      </c>
      <c r="Z299" s="1770" t="e">
        <f t="shared" si="98"/>
        <v>#DIV/0!</v>
      </c>
      <c r="AA299" s="1770" t="e">
        <f t="shared" si="98"/>
        <v>#DIV/0!</v>
      </c>
      <c r="AB299" s="1770" t="e">
        <f t="shared" si="98"/>
        <v>#DIV/0!</v>
      </c>
      <c r="AC299" s="1770" t="e">
        <f t="shared" si="98"/>
        <v>#DIV/0!</v>
      </c>
      <c r="AD299" s="1770" t="e">
        <f t="shared" si="98"/>
        <v>#DIV/0!</v>
      </c>
      <c r="AE299" s="1770" t="e">
        <f t="shared" si="98"/>
        <v>#DIV/0!</v>
      </c>
      <c r="AF299" s="1770" t="e">
        <f t="shared" si="98"/>
        <v>#DIV/0!</v>
      </c>
      <c r="AG299" s="1770" t="e">
        <f t="shared" si="98"/>
        <v>#DIV/0!</v>
      </c>
      <c r="AH299" s="1770" t="e">
        <f t="shared" si="98"/>
        <v>#DIV/0!</v>
      </c>
      <c r="AI299" s="1770" t="e">
        <f t="shared" si="98"/>
        <v>#DIV/0!</v>
      </c>
      <c r="AJ299" s="1770" t="e">
        <f t="shared" si="98"/>
        <v>#DIV/0!</v>
      </c>
      <c r="AK299" s="1770" t="e">
        <f t="shared" si="98"/>
        <v>#DIV/0!</v>
      </c>
      <c r="AL299" s="62"/>
      <c r="AM299" s="1949">
        <f>AM298/AM9*1000</f>
        <v>3.251217524348105</v>
      </c>
    </row>
    <row r="300" spans="3:61 15027:15419" x14ac:dyDescent="0.25">
      <c r="C300" s="15"/>
      <c r="D300" s="44" t="s">
        <v>15</v>
      </c>
      <c r="E300" s="527"/>
      <c r="F300" s="4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1945"/>
      <c r="T300" s="194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M300" s="124" t="s">
        <v>15</v>
      </c>
    </row>
    <row r="301" spans="3:61 15027:15419" x14ac:dyDescent="0.25">
      <c r="C301" s="15"/>
      <c r="D301" s="243" t="s">
        <v>119</v>
      </c>
      <c r="E301" s="262">
        <v>10272</v>
      </c>
      <c r="F301" s="242" t="s">
        <v>1026</v>
      </c>
      <c r="G301" s="271"/>
      <c r="H301" s="271"/>
      <c r="I301" s="271"/>
      <c r="J301" s="271"/>
      <c r="K301" s="271"/>
      <c r="L301" s="271"/>
      <c r="M301" s="271"/>
      <c r="N301" s="271"/>
      <c r="O301" s="271"/>
      <c r="P301" s="271">
        <v>1376</v>
      </c>
      <c r="Q301" s="271">
        <v>126</v>
      </c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  <c r="AB301" s="271">
        <v>961</v>
      </c>
      <c r="AC301" s="271">
        <v>94</v>
      </c>
      <c r="AD301" s="271"/>
      <c r="AE301" s="271"/>
      <c r="AF301" s="271">
        <v>915</v>
      </c>
      <c r="AG301" s="271">
        <v>1030</v>
      </c>
      <c r="AH301" s="271"/>
      <c r="AI301" s="271"/>
      <c r="AJ301" s="271"/>
      <c r="AK301" s="271"/>
      <c r="AM301" s="82">
        <f>SUM(G301:AK301)</f>
        <v>4502</v>
      </c>
      <c r="AU301" s="3"/>
      <c r="AX301" s="3"/>
    </row>
    <row r="302" spans="3:61 15027:15419" x14ac:dyDescent="0.25">
      <c r="C302" s="15"/>
      <c r="D302" s="921"/>
      <c r="E302" s="1704">
        <f>E301/2500</f>
        <v>4.1087999999999996</v>
      </c>
      <c r="F302" s="61" t="s">
        <v>1017</v>
      </c>
      <c r="G302" s="34"/>
      <c r="H302" s="34"/>
      <c r="I302" s="34"/>
      <c r="J302" s="34"/>
      <c r="K302" s="34"/>
      <c r="L302" s="34" t="e">
        <f t="shared" ref="L302" si="99">(L301/L29)*1000</f>
        <v>#DIV/0!</v>
      </c>
      <c r="M302" s="34" t="e">
        <f t="shared" ref="M302:AK302" si="100">(M301/M29)*1000</f>
        <v>#DIV/0!</v>
      </c>
      <c r="N302" s="34" t="e">
        <f t="shared" si="100"/>
        <v>#DIV/0!</v>
      </c>
      <c r="O302" s="34" t="e">
        <f t="shared" si="100"/>
        <v>#DIV/0!</v>
      </c>
      <c r="P302" s="34" t="e">
        <f t="shared" si="100"/>
        <v>#DIV/0!</v>
      </c>
      <c r="Q302" s="34" t="e">
        <f t="shared" si="100"/>
        <v>#DIV/0!</v>
      </c>
      <c r="R302" s="1713" t="e">
        <f t="shared" si="100"/>
        <v>#DIV/0!</v>
      </c>
      <c r="S302" s="1713" t="e">
        <f t="shared" si="100"/>
        <v>#DIV/0!</v>
      </c>
      <c r="T302" s="1713" t="e">
        <f t="shared" si="100"/>
        <v>#DIV/0!</v>
      </c>
      <c r="U302" s="1713" t="e">
        <f t="shared" si="100"/>
        <v>#DIV/0!</v>
      </c>
      <c r="V302" s="34" t="e">
        <f t="shared" si="100"/>
        <v>#DIV/0!</v>
      </c>
      <c r="W302" s="34" t="e">
        <f t="shared" si="100"/>
        <v>#DIV/0!</v>
      </c>
      <c r="X302" s="34" t="e">
        <f t="shared" si="100"/>
        <v>#DIV/0!</v>
      </c>
      <c r="Y302" s="34" t="e">
        <f t="shared" si="100"/>
        <v>#DIV/0!</v>
      </c>
      <c r="Z302" s="34" t="e">
        <f t="shared" si="100"/>
        <v>#DIV/0!</v>
      </c>
      <c r="AA302" s="34" t="e">
        <f t="shared" si="100"/>
        <v>#DIV/0!</v>
      </c>
      <c r="AB302" s="34" t="e">
        <f t="shared" si="100"/>
        <v>#DIV/0!</v>
      </c>
      <c r="AC302" s="34" t="e">
        <f t="shared" si="100"/>
        <v>#DIV/0!</v>
      </c>
      <c r="AD302" s="34" t="e">
        <f t="shared" si="100"/>
        <v>#DIV/0!</v>
      </c>
      <c r="AE302" s="34" t="e">
        <f t="shared" si="100"/>
        <v>#DIV/0!</v>
      </c>
      <c r="AF302" s="34">
        <f t="shared" si="100"/>
        <v>1.6807494489346069</v>
      </c>
      <c r="AG302" s="34">
        <f t="shared" si="100"/>
        <v>1.0188940548026511</v>
      </c>
      <c r="AH302" s="34">
        <f t="shared" si="100"/>
        <v>0</v>
      </c>
      <c r="AI302" s="34" t="e">
        <f t="shared" si="100"/>
        <v>#DIV/0!</v>
      </c>
      <c r="AJ302" s="34" t="e">
        <f t="shared" si="100"/>
        <v>#DIV/0!</v>
      </c>
      <c r="AK302" s="34" t="e">
        <f t="shared" si="100"/>
        <v>#DIV/0!</v>
      </c>
      <c r="AM302" s="1948">
        <f>(AM301/AM32)*1000</f>
        <v>20.342781746623469</v>
      </c>
      <c r="AO302" s="139"/>
    </row>
    <row r="303" spans="3:61 15027:15419" x14ac:dyDescent="0.25">
      <c r="C303" s="15"/>
      <c r="D303" s="243" t="s">
        <v>120</v>
      </c>
      <c r="E303" s="262">
        <v>11201.3</v>
      </c>
      <c r="F303" s="242" t="s">
        <v>1026</v>
      </c>
      <c r="G303" s="271"/>
      <c r="H303" s="271"/>
      <c r="I303" s="271"/>
      <c r="J303" s="271"/>
      <c r="K303" s="271"/>
      <c r="L303" s="271"/>
      <c r="M303" s="271"/>
      <c r="N303" s="271"/>
      <c r="O303" s="271"/>
      <c r="P303" s="271">
        <v>5300.4</v>
      </c>
      <c r="Q303" s="271">
        <v>258</v>
      </c>
      <c r="R303" s="1976"/>
      <c r="S303" s="1978"/>
      <c r="T303" s="1978"/>
      <c r="U303" s="2029"/>
      <c r="V303" s="2029"/>
      <c r="W303" s="2029"/>
      <c r="X303" s="271"/>
      <c r="Y303" s="271"/>
      <c r="Z303" s="271"/>
      <c r="AA303" s="271"/>
      <c r="AB303" s="271">
        <v>641.9</v>
      </c>
      <c r="AC303" s="271">
        <v>195.1</v>
      </c>
      <c r="AD303" s="271"/>
      <c r="AE303" s="271"/>
      <c r="AF303" s="271">
        <v>2042.5</v>
      </c>
      <c r="AG303" s="271">
        <v>29985</v>
      </c>
      <c r="AH303" s="271"/>
      <c r="AI303" s="271"/>
      <c r="AJ303" s="271"/>
      <c r="AK303" s="271"/>
      <c r="AM303" s="82">
        <f>SUM(G303:AK303)</f>
        <v>38422.9</v>
      </c>
      <c r="AO303" s="1992"/>
      <c r="AU303" s="139"/>
    </row>
    <row r="304" spans="3:61 15027:15419" ht="15.75" thickBot="1" x14ac:dyDescent="0.3">
      <c r="C304" s="19"/>
      <c r="D304" s="2071"/>
      <c r="E304" s="2072">
        <f>E303/2500</f>
        <v>4.4805199999999994</v>
      </c>
      <c r="F304" s="2073" t="s">
        <v>1017</v>
      </c>
      <c r="G304" s="2074"/>
      <c r="H304" s="2074"/>
      <c r="I304" s="2074"/>
      <c r="J304" s="2074"/>
      <c r="K304" s="2074"/>
      <c r="L304" s="2074" t="e">
        <f t="shared" ref="L304" si="101">(L303/L29)*1000</f>
        <v>#DIV/0!</v>
      </c>
      <c r="M304" s="2074" t="e">
        <f t="shared" ref="M304:AK304" si="102">(M303/M29)*1000</f>
        <v>#DIV/0!</v>
      </c>
      <c r="N304" s="2074" t="e">
        <f t="shared" si="102"/>
        <v>#DIV/0!</v>
      </c>
      <c r="O304" s="2074" t="e">
        <f t="shared" si="102"/>
        <v>#DIV/0!</v>
      </c>
      <c r="P304" s="2074" t="e">
        <f t="shared" si="102"/>
        <v>#DIV/0!</v>
      </c>
      <c r="Q304" s="2074" t="e">
        <f t="shared" si="102"/>
        <v>#DIV/0!</v>
      </c>
      <c r="R304" s="2074" t="e">
        <f t="shared" si="102"/>
        <v>#DIV/0!</v>
      </c>
      <c r="S304" s="2074" t="e">
        <f t="shared" si="102"/>
        <v>#DIV/0!</v>
      </c>
      <c r="T304" s="2074" t="e">
        <f t="shared" si="102"/>
        <v>#DIV/0!</v>
      </c>
      <c r="U304" s="2074" t="e">
        <f t="shared" si="102"/>
        <v>#DIV/0!</v>
      </c>
      <c r="V304" s="2074" t="e">
        <f t="shared" si="102"/>
        <v>#DIV/0!</v>
      </c>
      <c r="W304" s="2074" t="e">
        <f t="shared" si="102"/>
        <v>#DIV/0!</v>
      </c>
      <c r="X304" s="2074" t="e">
        <f t="shared" si="102"/>
        <v>#DIV/0!</v>
      </c>
      <c r="Y304" s="2074" t="e">
        <f t="shared" si="102"/>
        <v>#DIV/0!</v>
      </c>
      <c r="Z304" s="2074" t="e">
        <f t="shared" si="102"/>
        <v>#DIV/0!</v>
      </c>
      <c r="AA304" s="2074" t="e">
        <f t="shared" si="102"/>
        <v>#DIV/0!</v>
      </c>
      <c r="AB304" s="2074" t="e">
        <f t="shared" si="102"/>
        <v>#DIV/0!</v>
      </c>
      <c r="AC304" s="2074" t="e">
        <f t="shared" si="102"/>
        <v>#DIV/0!</v>
      </c>
      <c r="AD304" s="2074" t="e">
        <f t="shared" si="102"/>
        <v>#DIV/0!</v>
      </c>
      <c r="AE304" s="2074" t="e">
        <f t="shared" si="102"/>
        <v>#DIV/0!</v>
      </c>
      <c r="AF304" s="2074">
        <f t="shared" si="102"/>
        <v>3.7518368846436445</v>
      </c>
      <c r="AG304" s="2074">
        <f t="shared" si="102"/>
        <v>29.661687605104362</v>
      </c>
      <c r="AH304" s="2074">
        <f t="shared" si="102"/>
        <v>0</v>
      </c>
      <c r="AI304" s="2074" t="e">
        <f t="shared" si="102"/>
        <v>#DIV/0!</v>
      </c>
      <c r="AJ304" s="2074" t="e">
        <f t="shared" si="102"/>
        <v>#DIV/0!</v>
      </c>
      <c r="AK304" s="2074" t="e">
        <f t="shared" si="102"/>
        <v>#DIV/0!</v>
      </c>
      <c r="AL304" s="2077"/>
      <c r="AM304" s="2076">
        <f>(AM303/AM32)*1000</f>
        <v>173.6180961289069</v>
      </c>
      <c r="AO304" s="3"/>
    </row>
    <row r="305" spans="3:61 15027:15419" hidden="1" x14ac:dyDescent="0.25">
      <c r="C305" s="15"/>
      <c r="D305" s="121" t="s">
        <v>4</v>
      </c>
      <c r="E305" s="1034"/>
      <c r="F305" s="12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22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62"/>
      <c r="AM305" s="52" t="s">
        <v>4</v>
      </c>
      <c r="AO305" s="3"/>
    </row>
    <row r="306" spans="3:61 15027:15419" hidden="1" x14ac:dyDescent="0.25">
      <c r="C306" s="15"/>
      <c r="D306" s="232" t="s">
        <v>3</v>
      </c>
      <c r="E306" s="231">
        <v>50</v>
      </c>
      <c r="F306" s="242" t="s">
        <v>943</v>
      </c>
      <c r="G306" s="241"/>
      <c r="H306" s="241"/>
      <c r="I306" s="241"/>
      <c r="J306" s="241"/>
      <c r="K306" s="241">
        <v>24.8</v>
      </c>
      <c r="L306" s="241"/>
      <c r="M306" s="241">
        <v>22.6</v>
      </c>
      <c r="N306" s="2065"/>
      <c r="O306" s="2065"/>
      <c r="P306" s="2065"/>
      <c r="Q306" s="2066"/>
      <c r="R306" s="2067">
        <v>19.600000000000001</v>
      </c>
      <c r="S306" s="2068">
        <v>19.2</v>
      </c>
      <c r="T306" s="2069">
        <v>15.2</v>
      </c>
      <c r="U306" s="2069">
        <v>15.5</v>
      </c>
      <c r="V306" s="2069">
        <v>10.7</v>
      </c>
      <c r="W306" s="2070">
        <v>9.1999999999999993</v>
      </c>
      <c r="X306" s="2064"/>
      <c r="Y306" s="2064"/>
      <c r="Z306" s="2064"/>
      <c r="AA306" s="2078"/>
      <c r="AB306" s="2078"/>
      <c r="AC306" s="241"/>
      <c r="AD306" s="241"/>
      <c r="AE306" s="241"/>
      <c r="AF306" s="1639"/>
      <c r="AG306" s="241"/>
      <c r="AH306" s="241"/>
      <c r="AI306" s="241"/>
      <c r="AJ306" s="241"/>
      <c r="AK306" s="241"/>
      <c r="AL306" s="62"/>
      <c r="AM306" s="931">
        <f>SUM(G306:AK306)/3</f>
        <v>45.6</v>
      </c>
      <c r="AO306" s="3"/>
    </row>
    <row r="307" spans="3:61 15027:15419" hidden="1" x14ac:dyDescent="0.25">
      <c r="C307" s="15"/>
      <c r="D307" s="121" t="s">
        <v>1</v>
      </c>
      <c r="E307" s="13"/>
      <c r="F307" s="69" t="s">
        <v>0</v>
      </c>
      <c r="G307" s="278">
        <f>G306*1000</f>
        <v>0</v>
      </c>
      <c r="H307" s="278">
        <f>H306*1000</f>
        <v>0</v>
      </c>
      <c r="I307" s="278">
        <f t="shared" ref="I307:J307" si="103">I306*1000</f>
        <v>0</v>
      </c>
      <c r="J307" s="278">
        <f t="shared" si="103"/>
        <v>0</v>
      </c>
      <c r="K307" s="278">
        <f>K306*1000</f>
        <v>24800</v>
      </c>
      <c r="L307" s="278"/>
      <c r="M307" s="278">
        <v>22600</v>
      </c>
      <c r="N307" s="278"/>
      <c r="O307" s="278"/>
      <c r="P307" s="278"/>
      <c r="Q307" s="278"/>
      <c r="R307" s="278">
        <f t="shared" ref="R307" si="104">R306*1000</f>
        <v>19600</v>
      </c>
      <c r="S307" s="278">
        <f>S306*1000</f>
        <v>19200</v>
      </c>
      <c r="T307" s="278">
        <f t="shared" ref="T307" si="105">T306*1000</f>
        <v>15200</v>
      </c>
      <c r="U307" s="278">
        <f>U306*1000</f>
        <v>15500</v>
      </c>
      <c r="V307" s="278">
        <f>V306*1000</f>
        <v>10700</v>
      </c>
      <c r="W307" s="278">
        <v>9200</v>
      </c>
      <c r="X307" s="278">
        <f>X306*1000</f>
        <v>0</v>
      </c>
      <c r="Y307" s="278">
        <f t="shared" ref="Y307:AK307" si="106">Y306*1000</f>
        <v>0</v>
      </c>
      <c r="Z307" s="278">
        <f t="shared" si="106"/>
        <v>0</v>
      </c>
      <c r="AA307" s="278">
        <f t="shared" si="106"/>
        <v>0</v>
      </c>
      <c r="AB307" s="278">
        <f t="shared" si="106"/>
        <v>0</v>
      </c>
      <c r="AC307" s="278">
        <f t="shared" si="106"/>
        <v>0</v>
      </c>
      <c r="AD307" s="278">
        <f t="shared" si="106"/>
        <v>0</v>
      </c>
      <c r="AE307" s="278">
        <f t="shared" si="106"/>
        <v>0</v>
      </c>
      <c r="AF307" s="278">
        <f t="shared" si="106"/>
        <v>0</v>
      </c>
      <c r="AG307" s="278">
        <f t="shared" si="106"/>
        <v>0</v>
      </c>
      <c r="AH307" s="278">
        <f t="shared" si="106"/>
        <v>0</v>
      </c>
      <c r="AI307" s="278">
        <f t="shared" si="106"/>
        <v>0</v>
      </c>
      <c r="AJ307" s="278">
        <f t="shared" si="106"/>
        <v>0</v>
      </c>
      <c r="AK307" s="278">
        <f t="shared" si="106"/>
        <v>0</v>
      </c>
      <c r="AL307" s="62"/>
      <c r="AM307" s="82">
        <f>SUM(G307:AK307)</f>
        <v>136800</v>
      </c>
      <c r="AO307" s="3"/>
    </row>
    <row r="308" spans="3:61 15027:15419" hidden="1" x14ac:dyDescent="0.25">
      <c r="C308" s="15"/>
      <c r="D308" s="117" t="s">
        <v>1126</v>
      </c>
      <c r="E308" s="2092"/>
      <c r="F308" s="118"/>
      <c r="G308" s="2093"/>
      <c r="H308" s="2093"/>
      <c r="I308" s="2093"/>
      <c r="J308" s="2093"/>
      <c r="K308" s="2093"/>
      <c r="L308" s="2093"/>
      <c r="M308" s="2093"/>
      <c r="N308" s="2093"/>
      <c r="O308" s="2093"/>
      <c r="P308" s="2093"/>
      <c r="Q308" s="2093"/>
      <c r="R308" s="2093"/>
      <c r="S308" s="2093"/>
      <c r="T308" s="2093"/>
      <c r="U308" s="2093"/>
      <c r="V308" s="2093"/>
      <c r="W308" s="2093"/>
      <c r="X308" s="2093"/>
      <c r="Y308" s="2093"/>
      <c r="Z308" s="2093"/>
      <c r="AA308" s="2093"/>
      <c r="AB308" s="2093"/>
      <c r="AC308" s="2093"/>
      <c r="AD308" s="2093"/>
      <c r="AE308" s="2093"/>
      <c r="AF308" s="2093"/>
      <c r="AG308" s="2093"/>
      <c r="AH308" s="2093"/>
      <c r="AI308" s="2093"/>
      <c r="AJ308" s="2093"/>
      <c r="AK308" s="2093"/>
      <c r="AL308" s="62"/>
      <c r="AM308" s="1948"/>
      <c r="AO308" s="3"/>
    </row>
    <row r="309" spans="3:61 15027:15419" s="1" customFormat="1" hidden="1" x14ac:dyDescent="0.25">
      <c r="C309" s="83"/>
      <c r="D309" s="121" t="s">
        <v>16</v>
      </c>
      <c r="E309" s="13"/>
      <c r="F309" s="69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1985"/>
      <c r="T309" s="1990"/>
      <c r="U309" s="1990"/>
      <c r="V309" s="278"/>
      <c r="W309" s="1999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  <c r="AL309" s="62"/>
      <c r="AM309" s="123" t="s">
        <v>16</v>
      </c>
      <c r="BC309" s="511"/>
      <c r="BD309" s="511"/>
      <c r="BI309" s="140"/>
      <c r="VEY309" s="46"/>
      <c r="VEZ309" s="46"/>
      <c r="VFA309" s="46"/>
      <c r="VFB309" s="46"/>
      <c r="VFC309" s="46"/>
      <c r="VFD309" s="46"/>
      <c r="VFE309" s="46"/>
      <c r="VFF309" s="46"/>
      <c r="VFG309" s="46"/>
      <c r="VFH309" s="46"/>
      <c r="VFI309" s="46"/>
      <c r="VFJ309" s="46"/>
      <c r="VFK309" s="46"/>
      <c r="VFL309" s="46"/>
      <c r="VFM309" s="46"/>
      <c r="VFN309" s="46"/>
      <c r="VFO309" s="46"/>
      <c r="VFP309" s="46"/>
      <c r="VFQ309" s="46"/>
      <c r="VFR309" s="46"/>
      <c r="VFS309" s="46"/>
      <c r="VFT309" s="46"/>
      <c r="VFU309" s="46"/>
      <c r="VFV309" s="46"/>
      <c r="VFW309" s="46"/>
      <c r="VFX309" s="46"/>
      <c r="VFY309" s="46"/>
      <c r="VFZ309" s="46"/>
      <c r="VGA309" s="46"/>
      <c r="VGB309" s="46"/>
      <c r="VGC309" s="46"/>
      <c r="VGD309" s="46"/>
      <c r="VGE309" s="46"/>
      <c r="VGF309" s="46"/>
      <c r="VGG309" s="46"/>
      <c r="VGH309" s="46"/>
      <c r="VGI309" s="46"/>
      <c r="VGJ309" s="46"/>
      <c r="VGK309" s="46"/>
      <c r="VGL309" s="46"/>
      <c r="VGM309" s="46"/>
      <c r="VGN309" s="46"/>
      <c r="VGO309" s="46"/>
      <c r="VGP309" s="46"/>
      <c r="VGQ309" s="46"/>
      <c r="VGR309" s="46"/>
      <c r="VGS309" s="46"/>
      <c r="VGT309" s="46"/>
      <c r="VGU309" s="46"/>
      <c r="VGV309" s="46"/>
      <c r="VGW309" s="46"/>
      <c r="VGX309" s="46"/>
      <c r="VGY309" s="46"/>
      <c r="VGZ309" s="46"/>
      <c r="VHA309" s="46"/>
      <c r="VHB309" s="46"/>
      <c r="VHC309" s="46"/>
      <c r="VHD309" s="46"/>
      <c r="VHE309" s="46"/>
      <c r="VHF309" s="46"/>
      <c r="VHG309" s="46"/>
      <c r="VHH309" s="46"/>
      <c r="VHI309" s="46"/>
      <c r="VHJ309" s="46"/>
      <c r="VHK309" s="46"/>
      <c r="VHL309" s="46"/>
      <c r="VHM309" s="46"/>
      <c r="VHN309" s="46"/>
      <c r="VHO309" s="46"/>
      <c r="VHP309" s="46"/>
      <c r="VHQ309" s="46"/>
      <c r="VHR309" s="46"/>
      <c r="VHS309" s="46"/>
      <c r="VHT309" s="46"/>
      <c r="VHU309" s="46"/>
      <c r="VHV309" s="46"/>
      <c r="VHW309" s="46"/>
      <c r="VHX309" s="46"/>
      <c r="VHY309" s="46"/>
      <c r="VHZ309" s="46"/>
      <c r="VIA309" s="46"/>
      <c r="VIB309" s="46"/>
      <c r="VIC309" s="46"/>
      <c r="VID309" s="46"/>
      <c r="VIE309" s="46"/>
      <c r="VIF309" s="46"/>
      <c r="VIG309" s="46"/>
      <c r="VIH309" s="46"/>
      <c r="VII309" s="46"/>
      <c r="VIJ309" s="46"/>
      <c r="VIK309" s="46"/>
      <c r="VIL309" s="46"/>
      <c r="VIM309" s="46"/>
      <c r="VIN309" s="46"/>
      <c r="VIO309" s="46"/>
      <c r="VIP309" s="46"/>
      <c r="VIQ309" s="46"/>
      <c r="VIR309" s="46"/>
      <c r="VIS309" s="46"/>
      <c r="VIT309" s="46"/>
      <c r="VIU309" s="46"/>
      <c r="VIV309" s="46"/>
      <c r="VIW309" s="46"/>
      <c r="VIX309" s="46"/>
      <c r="VIY309" s="46"/>
      <c r="VIZ309" s="46"/>
      <c r="VJA309" s="46"/>
      <c r="VJB309" s="46"/>
      <c r="VJC309" s="46"/>
      <c r="VJD309" s="46"/>
      <c r="VJE309" s="46"/>
      <c r="VJF309" s="46"/>
      <c r="VJG309" s="46"/>
      <c r="VJH309" s="46"/>
      <c r="VJI309" s="46"/>
      <c r="VJJ309" s="46"/>
      <c r="VJK309" s="46"/>
      <c r="VJL309" s="46"/>
      <c r="VJM309" s="46"/>
      <c r="VJN309" s="46"/>
      <c r="VJO309" s="46"/>
      <c r="VJP309" s="46"/>
      <c r="VJQ309" s="46"/>
      <c r="VJR309" s="46"/>
      <c r="VJS309" s="46"/>
      <c r="VJT309" s="46"/>
      <c r="VJU309" s="46"/>
      <c r="VJV309" s="46"/>
      <c r="VJW309" s="46"/>
      <c r="VJX309" s="46"/>
      <c r="VJY309" s="46"/>
      <c r="VJZ309" s="46"/>
      <c r="VKA309" s="46"/>
      <c r="VKB309" s="46"/>
      <c r="VKC309" s="46"/>
      <c r="VKD309" s="46"/>
      <c r="VKE309" s="46"/>
      <c r="VKF309" s="46"/>
      <c r="VKG309" s="46"/>
      <c r="VKH309" s="46"/>
      <c r="VKI309" s="46"/>
      <c r="VKJ309" s="46"/>
      <c r="VKK309" s="46"/>
      <c r="VKL309" s="46"/>
      <c r="VKM309" s="46"/>
      <c r="VKN309" s="46"/>
      <c r="VKO309" s="46"/>
      <c r="VKP309" s="46"/>
      <c r="VKQ309" s="46"/>
      <c r="VKR309" s="46"/>
      <c r="VKS309" s="46"/>
      <c r="VKT309" s="46"/>
      <c r="VKU309" s="46"/>
      <c r="VKV309" s="46"/>
      <c r="VKW309" s="46"/>
      <c r="VKX309" s="46"/>
      <c r="VKY309" s="46"/>
      <c r="VKZ309" s="46"/>
      <c r="VLA309" s="46"/>
      <c r="VLB309" s="46"/>
      <c r="VLC309" s="46"/>
      <c r="VLD309" s="46"/>
      <c r="VLE309" s="46"/>
      <c r="VLF309" s="46"/>
      <c r="VLG309" s="46"/>
      <c r="VLH309" s="46"/>
      <c r="VLI309" s="46"/>
      <c r="VLJ309" s="46"/>
      <c r="VLK309" s="46"/>
      <c r="VLL309" s="46"/>
      <c r="VLM309" s="46"/>
      <c r="VLN309" s="46"/>
      <c r="VLO309" s="46"/>
      <c r="VLP309" s="46"/>
      <c r="VLQ309" s="46"/>
      <c r="VLR309" s="46"/>
      <c r="VLS309" s="46"/>
      <c r="VLT309" s="46"/>
      <c r="VLU309" s="46"/>
      <c r="VLV309" s="46"/>
      <c r="VLW309" s="46"/>
      <c r="VLX309" s="46"/>
      <c r="VLY309" s="46"/>
      <c r="VLZ309" s="46"/>
      <c r="VMA309" s="46"/>
      <c r="VMB309" s="46"/>
      <c r="VMC309" s="46"/>
      <c r="VMD309" s="46"/>
      <c r="VME309" s="46"/>
      <c r="VMF309" s="46"/>
      <c r="VMG309" s="46"/>
      <c r="VMH309" s="46"/>
      <c r="VMI309" s="46"/>
      <c r="VMJ309" s="46"/>
      <c r="VMK309" s="46"/>
      <c r="VML309" s="46"/>
      <c r="VMM309" s="46"/>
      <c r="VMN309" s="46"/>
      <c r="VMO309" s="46"/>
      <c r="VMP309" s="46"/>
      <c r="VMQ309" s="46"/>
      <c r="VMR309" s="46"/>
      <c r="VMS309" s="46"/>
      <c r="VMT309" s="46"/>
      <c r="VMU309" s="46"/>
      <c r="VMV309" s="46"/>
      <c r="VMW309" s="46"/>
      <c r="VMX309" s="46"/>
      <c r="VMY309" s="46"/>
      <c r="VMZ309" s="46"/>
      <c r="VNA309" s="46"/>
      <c r="VNB309" s="46"/>
      <c r="VNC309" s="46"/>
      <c r="VND309" s="46"/>
      <c r="VNE309" s="46"/>
      <c r="VNF309" s="46"/>
      <c r="VNG309" s="46"/>
      <c r="VNH309" s="46"/>
      <c r="VNI309" s="46"/>
      <c r="VNJ309" s="46"/>
      <c r="VNK309" s="46"/>
      <c r="VNL309" s="46"/>
      <c r="VNM309" s="46"/>
      <c r="VNN309" s="46"/>
      <c r="VNO309" s="46"/>
      <c r="VNP309" s="46"/>
      <c r="VNQ309" s="46"/>
      <c r="VNR309" s="46"/>
      <c r="VNS309" s="46"/>
      <c r="VNT309" s="46"/>
      <c r="VNU309" s="46"/>
      <c r="VNV309" s="46"/>
      <c r="VNW309" s="46"/>
      <c r="VNX309" s="46"/>
      <c r="VNY309" s="46"/>
      <c r="VNZ309" s="46"/>
      <c r="VOA309" s="46"/>
      <c r="VOB309" s="46"/>
      <c r="VOC309" s="46"/>
      <c r="VOD309" s="46"/>
      <c r="VOE309" s="46"/>
      <c r="VOF309" s="46"/>
      <c r="VOG309" s="46"/>
      <c r="VOH309" s="46"/>
      <c r="VOI309" s="46"/>
      <c r="VOJ309" s="46"/>
      <c r="VOK309" s="46"/>
      <c r="VOL309" s="46"/>
      <c r="VOM309" s="46"/>
      <c r="VON309" s="46"/>
      <c r="VOO309" s="46"/>
      <c r="VOP309" s="46"/>
      <c r="VOQ309" s="46"/>
      <c r="VOR309" s="46"/>
      <c r="VOS309" s="46"/>
      <c r="VOT309" s="46"/>
      <c r="VOU309" s="46"/>
      <c r="VOV309" s="46"/>
      <c r="VOW309" s="46"/>
      <c r="VOX309" s="46"/>
      <c r="VOY309" s="46"/>
      <c r="VOZ309" s="46"/>
      <c r="VPA309" s="46"/>
      <c r="VPB309" s="46"/>
      <c r="VPC309" s="46"/>
      <c r="VPD309" s="46"/>
      <c r="VPE309" s="46"/>
      <c r="VPF309" s="46"/>
      <c r="VPG309" s="46"/>
      <c r="VPH309" s="46"/>
      <c r="VPI309" s="46"/>
      <c r="VPJ309" s="46"/>
      <c r="VPK309" s="46"/>
      <c r="VPL309" s="46"/>
      <c r="VPM309" s="46"/>
      <c r="VPN309" s="46"/>
      <c r="VPO309" s="46"/>
      <c r="VPP309" s="46"/>
      <c r="VPQ309" s="46"/>
      <c r="VPR309" s="46"/>
      <c r="VPS309" s="46"/>
      <c r="VPT309" s="46"/>
      <c r="VPU309" s="46"/>
      <c r="VPV309" s="46"/>
      <c r="VPW309" s="46"/>
      <c r="VPX309" s="46"/>
      <c r="VPY309" s="46"/>
      <c r="VPZ309" s="46"/>
      <c r="VQA309" s="46"/>
      <c r="VQB309" s="46"/>
      <c r="VQC309" s="46"/>
      <c r="VQD309" s="46"/>
      <c r="VQE309" s="46"/>
      <c r="VQF309" s="46"/>
      <c r="VQG309" s="46"/>
      <c r="VQH309" s="46"/>
      <c r="VQI309" s="46"/>
      <c r="VQJ309" s="46"/>
      <c r="VQK309" s="46"/>
      <c r="VQL309" s="46"/>
      <c r="VQM309" s="46"/>
      <c r="VQN309" s="46"/>
      <c r="VQO309" s="46"/>
      <c r="VQP309" s="46"/>
      <c r="VQQ309" s="46"/>
      <c r="VQR309" s="46"/>
      <c r="VQS309" s="46"/>
      <c r="VQT309" s="46"/>
      <c r="VQU309" s="46"/>
      <c r="VQV309" s="46"/>
      <c r="VQW309" s="46"/>
      <c r="VQX309" s="46"/>
      <c r="VQY309" s="46"/>
      <c r="VQZ309" s="46"/>
      <c r="VRA309" s="46"/>
      <c r="VRB309" s="46"/>
      <c r="VRC309" s="46"/>
      <c r="VRD309" s="46"/>
      <c r="VRE309" s="46"/>
      <c r="VRF309" s="46"/>
      <c r="VRG309" s="46"/>
      <c r="VRH309" s="46"/>
      <c r="VRI309" s="46"/>
      <c r="VRJ309" s="46"/>
      <c r="VRK309" s="46"/>
      <c r="VRL309" s="46"/>
      <c r="VRM309" s="46"/>
      <c r="VRN309" s="46"/>
      <c r="VRO309" s="46"/>
      <c r="VRP309" s="46"/>
      <c r="VRQ309" s="46"/>
      <c r="VRR309" s="46"/>
      <c r="VRS309" s="46"/>
      <c r="VRT309" s="46"/>
      <c r="VRU309" s="46"/>
      <c r="VRV309" s="46"/>
      <c r="VRW309" s="46"/>
      <c r="VRX309" s="46"/>
      <c r="VRY309" s="46"/>
      <c r="VRZ309" s="46"/>
      <c r="VSA309" s="46"/>
      <c r="VSB309" s="46"/>
      <c r="VSC309" s="46"/>
      <c r="VSD309" s="46"/>
      <c r="VSE309" s="46"/>
      <c r="VSF309" s="46"/>
      <c r="VSG309" s="46"/>
      <c r="VSH309" s="46"/>
      <c r="VSI309" s="46"/>
      <c r="VSJ309" s="46"/>
      <c r="VSK309" s="46"/>
      <c r="VSL309" s="46"/>
      <c r="VSM309" s="46"/>
      <c r="VSN309" s="46"/>
      <c r="VSO309" s="46"/>
      <c r="VSP309" s="46"/>
      <c r="VSQ309" s="46"/>
      <c r="VSR309" s="46"/>
      <c r="VSS309" s="46"/>
      <c r="VST309" s="46"/>
      <c r="VSU309" s="46"/>
      <c r="VSV309" s="46"/>
      <c r="VSW309" s="46"/>
      <c r="VSX309" s="46"/>
      <c r="VSY309" s="46"/>
      <c r="VSZ309" s="46"/>
      <c r="VTA309" s="46"/>
      <c r="VTB309" s="46"/>
      <c r="VTC309" s="46"/>
      <c r="VTD309" s="46"/>
      <c r="VTE309" s="46"/>
      <c r="VTF309" s="46"/>
      <c r="VTG309" s="46"/>
      <c r="VTH309" s="46"/>
      <c r="VTI309" s="46"/>
      <c r="VTJ309" s="46"/>
      <c r="VTK309" s="46"/>
      <c r="VTL309" s="46"/>
      <c r="VTM309" s="46"/>
      <c r="VTN309" s="46"/>
      <c r="VTO309" s="46"/>
      <c r="VTP309" s="46"/>
      <c r="VTQ309" s="46"/>
      <c r="VTR309" s="46"/>
      <c r="VTS309" s="46"/>
      <c r="VTT309" s="46"/>
      <c r="VTU309" s="46"/>
      <c r="VTV309" s="46"/>
      <c r="VTW309" s="46"/>
      <c r="VTX309" s="46"/>
      <c r="VTY309" s="46"/>
      <c r="VTZ309" s="46"/>
      <c r="VUA309" s="46"/>
    </row>
    <row r="310" spans="3:61 15027:15419" hidden="1" x14ac:dyDescent="0.25">
      <c r="C310" s="15"/>
      <c r="D310" s="243" t="s">
        <v>119</v>
      </c>
      <c r="E310" s="262">
        <v>18374.400000000001</v>
      </c>
      <c r="F310" s="242" t="s">
        <v>1026</v>
      </c>
      <c r="G310" s="271"/>
      <c r="H310" s="271"/>
      <c r="I310" s="271"/>
      <c r="J310" s="271"/>
      <c r="K310" s="271"/>
      <c r="L310" s="271"/>
      <c r="M310" s="271">
        <v>3070</v>
      </c>
      <c r="N310" s="2016"/>
      <c r="O310" s="271"/>
      <c r="P310" s="271"/>
      <c r="Q310" s="2023"/>
      <c r="R310" s="2024">
        <v>3030</v>
      </c>
      <c r="S310" s="2018">
        <v>3030</v>
      </c>
      <c r="T310" s="2027">
        <v>2970</v>
      </c>
      <c r="U310" s="2027"/>
      <c r="V310" s="2027"/>
      <c r="W310" s="2027"/>
      <c r="X310" s="271"/>
      <c r="Y310" s="271"/>
      <c r="Z310" s="271"/>
      <c r="AA310" s="1962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M310" s="931">
        <f>SUM(G310:AK310)</f>
        <v>12100</v>
      </c>
      <c r="AO310" s="3"/>
    </row>
    <row r="311" spans="3:61 15027:15419" hidden="1" x14ac:dyDescent="0.25">
      <c r="C311" s="15"/>
      <c r="D311" s="921"/>
      <c r="E311" s="1704">
        <f>E310/2500</f>
        <v>7.3497600000000007</v>
      </c>
      <c r="F311" s="61" t="s">
        <v>1017</v>
      </c>
      <c r="G311" s="1770" t="e">
        <f t="shared" ref="G311:K311" si="107">(G310/G19)*1000</f>
        <v>#DIV/0!</v>
      </c>
      <c r="H311" s="1770" t="e">
        <f t="shared" si="107"/>
        <v>#DIV/0!</v>
      </c>
      <c r="I311" s="1770" t="e">
        <f t="shared" si="107"/>
        <v>#DIV/0!</v>
      </c>
      <c r="J311" s="1770" t="e">
        <f t="shared" si="107"/>
        <v>#DIV/0!</v>
      </c>
      <c r="K311" s="1770" t="e">
        <f t="shared" si="107"/>
        <v>#DIV/0!</v>
      </c>
      <c r="L311" s="1770"/>
      <c r="M311" s="1770">
        <v>1.7646720698971086</v>
      </c>
      <c r="N311" s="1770"/>
      <c r="O311" s="1770"/>
      <c r="P311" s="1770"/>
      <c r="Q311" s="1770"/>
      <c r="R311" s="1770">
        <f t="shared" ref="R311:V311" si="108">(R310/R19)*1000</f>
        <v>1.9380402766984237</v>
      </c>
      <c r="S311" s="269">
        <f t="shared" si="108"/>
        <v>1.7310833439502638</v>
      </c>
      <c r="T311" s="1770">
        <f t="shared" si="108"/>
        <v>1.6995280233287402</v>
      </c>
      <c r="U311" s="1770">
        <f t="shared" si="108"/>
        <v>0</v>
      </c>
      <c r="V311" s="1770" t="e">
        <f t="shared" si="108"/>
        <v>#DIV/0!</v>
      </c>
      <c r="W311" s="1770">
        <v>0</v>
      </c>
      <c r="X311" s="1770" t="e">
        <f>(X310/X19)*100</f>
        <v>#DIV/0!</v>
      </c>
      <c r="Y311" s="1770" t="e">
        <f t="shared" ref="Y311:AK311" si="109">(Y310/Y19)*1000</f>
        <v>#DIV/0!</v>
      </c>
      <c r="Z311" s="1770" t="e">
        <f t="shared" si="109"/>
        <v>#DIV/0!</v>
      </c>
      <c r="AA311" s="1770" t="e">
        <f t="shared" si="109"/>
        <v>#DIV/0!</v>
      </c>
      <c r="AB311" s="1770" t="e">
        <f t="shared" si="109"/>
        <v>#DIV/0!</v>
      </c>
      <c r="AC311" s="1770" t="e">
        <f t="shared" si="109"/>
        <v>#DIV/0!</v>
      </c>
      <c r="AD311" s="1770" t="e">
        <f t="shared" si="109"/>
        <v>#DIV/0!</v>
      </c>
      <c r="AE311" s="1770" t="e">
        <f t="shared" si="109"/>
        <v>#DIV/0!</v>
      </c>
      <c r="AF311" s="1770" t="e">
        <f t="shared" si="109"/>
        <v>#DIV/0!</v>
      </c>
      <c r="AG311" s="1770" t="e">
        <f t="shared" si="109"/>
        <v>#DIV/0!</v>
      </c>
      <c r="AH311" s="1770" t="e">
        <f t="shared" si="109"/>
        <v>#DIV/0!</v>
      </c>
      <c r="AI311" s="1770" t="e">
        <f t="shared" si="109"/>
        <v>#DIV/0!</v>
      </c>
      <c r="AJ311" s="1770" t="e">
        <f t="shared" si="109"/>
        <v>#DIV/0!</v>
      </c>
      <c r="AK311" s="1770" t="e">
        <f t="shared" si="109"/>
        <v>#DIV/0!</v>
      </c>
      <c r="AL311" s="62"/>
      <c r="AM311" s="1949">
        <f>(AM310/AM19)*1000</f>
        <v>0.76094125036734284</v>
      </c>
      <c r="AO311" s="1991"/>
      <c r="AU311" s="1991"/>
    </row>
    <row r="312" spans="3:61 15027:15419" hidden="1" x14ac:dyDescent="0.25">
      <c r="C312" s="15"/>
      <c r="D312" s="243" t="s">
        <v>118</v>
      </c>
      <c r="E312" s="262">
        <v>10946.28</v>
      </c>
      <c r="F312" s="242" t="s">
        <v>1026</v>
      </c>
      <c r="G312" s="271"/>
      <c r="H312" s="271"/>
      <c r="I312" s="271"/>
      <c r="J312" s="271"/>
      <c r="K312" s="271"/>
      <c r="L312" s="271"/>
      <c r="M312" s="271">
        <v>5535</v>
      </c>
      <c r="N312" s="2017"/>
      <c r="O312" s="271"/>
      <c r="P312" s="271"/>
      <c r="Q312" s="271"/>
      <c r="R312" s="1975">
        <v>4707.53</v>
      </c>
      <c r="S312" s="1978">
        <v>4309.88</v>
      </c>
      <c r="T312" s="2028">
        <v>1802.36</v>
      </c>
      <c r="U312" s="2028"/>
      <c r="V312" s="2028"/>
      <c r="W312" s="2028"/>
      <c r="X312" s="271"/>
      <c r="Y312" s="271"/>
      <c r="Z312" s="271"/>
      <c r="AA312" s="1963"/>
      <c r="AB312" s="271"/>
      <c r="AC312" s="271"/>
      <c r="AD312" s="271"/>
      <c r="AE312" s="271"/>
      <c r="AF312" s="271"/>
      <c r="AG312" s="271"/>
      <c r="AH312" s="241"/>
      <c r="AI312" s="241"/>
      <c r="AJ312" s="241"/>
      <c r="AK312" s="241"/>
      <c r="AM312" s="82">
        <f>SUM(G312:AK312)</f>
        <v>16354.77</v>
      </c>
      <c r="AO312" s="3">
        <f>AM310+AM312</f>
        <v>28454.77</v>
      </c>
    </row>
    <row r="313" spans="3:61 15027:15419" hidden="1" x14ac:dyDescent="0.25">
      <c r="C313" s="15"/>
      <c r="D313" s="921"/>
      <c r="E313" s="1704">
        <f>E312/2500</f>
        <v>4.3785120000000006</v>
      </c>
      <c r="F313" s="61" t="s">
        <v>1017</v>
      </c>
      <c r="G313" s="1770" t="e">
        <f t="shared" ref="G313:K313" si="110">(G312/G19)*1000</f>
        <v>#DIV/0!</v>
      </c>
      <c r="H313" s="1770" t="e">
        <f t="shared" si="110"/>
        <v>#DIV/0!</v>
      </c>
      <c r="I313" s="1770" t="e">
        <f t="shared" si="110"/>
        <v>#DIV/0!</v>
      </c>
      <c r="J313" s="1770" t="e">
        <f t="shared" si="110"/>
        <v>#DIV/0!</v>
      </c>
      <c r="K313" s="1770" t="e">
        <f t="shared" si="110"/>
        <v>#DIV/0!</v>
      </c>
      <c r="L313" s="1770"/>
      <c r="M313" s="1770">
        <v>3.1815830315571647</v>
      </c>
      <c r="N313" s="1770"/>
      <c r="O313" s="1770"/>
      <c r="P313" s="1770"/>
      <c r="Q313" s="1770"/>
      <c r="R313" s="1770">
        <f t="shared" ref="R313:AK313" si="111">(R312/R19)*1000</f>
        <v>3.0110174071835414</v>
      </c>
      <c r="S313" s="1770">
        <f t="shared" si="111"/>
        <v>2.4622975189519347</v>
      </c>
      <c r="T313" s="1770">
        <f t="shared" si="111"/>
        <v>1.0313674505477399</v>
      </c>
      <c r="U313" s="1770">
        <f t="shared" si="111"/>
        <v>0</v>
      </c>
      <c r="V313" s="1770" t="e">
        <f t="shared" si="111"/>
        <v>#DIV/0!</v>
      </c>
      <c r="W313" s="1770">
        <v>0</v>
      </c>
      <c r="X313" s="1770" t="e">
        <f t="shared" si="111"/>
        <v>#DIV/0!</v>
      </c>
      <c r="Y313" s="1770" t="e">
        <f t="shared" si="111"/>
        <v>#DIV/0!</v>
      </c>
      <c r="Z313" s="1770" t="e">
        <f t="shared" si="111"/>
        <v>#DIV/0!</v>
      </c>
      <c r="AA313" s="1770" t="e">
        <f t="shared" si="111"/>
        <v>#DIV/0!</v>
      </c>
      <c r="AB313" s="1770" t="e">
        <f t="shared" si="111"/>
        <v>#DIV/0!</v>
      </c>
      <c r="AC313" s="1770" t="e">
        <f t="shared" si="111"/>
        <v>#DIV/0!</v>
      </c>
      <c r="AD313" s="1770" t="e">
        <f t="shared" si="111"/>
        <v>#DIV/0!</v>
      </c>
      <c r="AE313" s="1770" t="e">
        <f t="shared" si="111"/>
        <v>#DIV/0!</v>
      </c>
      <c r="AF313" s="1770" t="e">
        <f t="shared" si="111"/>
        <v>#DIV/0!</v>
      </c>
      <c r="AG313" s="1770" t="e">
        <f t="shared" si="111"/>
        <v>#DIV/0!</v>
      </c>
      <c r="AH313" s="1770" t="e">
        <f t="shared" si="111"/>
        <v>#DIV/0!</v>
      </c>
      <c r="AI313" s="1770" t="e">
        <f t="shared" si="111"/>
        <v>#DIV/0!</v>
      </c>
      <c r="AJ313" s="1770" t="e">
        <f t="shared" si="111"/>
        <v>#DIV/0!</v>
      </c>
      <c r="AK313" s="1770" t="e">
        <f t="shared" si="111"/>
        <v>#DIV/0!</v>
      </c>
      <c r="AL313" s="62"/>
      <c r="AM313" s="1949">
        <f>AM312/AM19*1000</f>
        <v>1.0285139779562238</v>
      </c>
    </row>
    <row r="314" spans="3:61 15027:15419" hidden="1" x14ac:dyDescent="0.25">
      <c r="C314" s="15"/>
      <c r="D314" s="44" t="s">
        <v>15</v>
      </c>
      <c r="E314" s="527"/>
      <c r="F314" s="4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194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M314" s="124" t="s">
        <v>15</v>
      </c>
    </row>
    <row r="315" spans="3:61 15027:15419" hidden="1" x14ac:dyDescent="0.25">
      <c r="C315" s="15"/>
      <c r="D315" s="243" t="s">
        <v>119</v>
      </c>
      <c r="E315" s="262">
        <v>10272</v>
      </c>
      <c r="F315" s="242" t="s">
        <v>1026</v>
      </c>
      <c r="G315" s="271"/>
      <c r="H315" s="271"/>
      <c r="I315" s="271"/>
      <c r="J315" s="271"/>
      <c r="K315" s="271"/>
      <c r="L315" s="271"/>
      <c r="M315" s="271">
        <v>2778</v>
      </c>
      <c r="N315" s="271"/>
      <c r="O315" s="271"/>
      <c r="P315" s="271"/>
      <c r="Q315" s="271"/>
      <c r="R315" s="271"/>
      <c r="S315" s="271"/>
      <c r="T315" s="271"/>
      <c r="U315" s="271">
        <v>1134</v>
      </c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M315" s="82">
        <f>SUM(G315:AK315)</f>
        <v>3912</v>
      </c>
      <c r="AU315" s="3"/>
      <c r="AX315" s="3"/>
    </row>
    <row r="316" spans="3:61 15027:15419" hidden="1" x14ac:dyDescent="0.25">
      <c r="C316" s="15"/>
      <c r="D316" s="921"/>
      <c r="E316" s="1704">
        <f>E315/2500</f>
        <v>4.1087999999999996</v>
      </c>
      <c r="F316" s="61" t="s">
        <v>1017</v>
      </c>
      <c r="G316" s="34" t="e">
        <f t="shared" ref="G316:K316" si="112">(G315/G39)*1000</f>
        <v>#DIV/0!</v>
      </c>
      <c r="H316" s="34" t="e">
        <f t="shared" si="112"/>
        <v>#DIV/0!</v>
      </c>
      <c r="I316" s="34" t="e">
        <f t="shared" si="112"/>
        <v>#DIV/0!</v>
      </c>
      <c r="J316" s="34" t="e">
        <f t="shared" si="112"/>
        <v>#DIV/0!</v>
      </c>
      <c r="K316" s="34" t="e">
        <f t="shared" si="112"/>
        <v>#DIV/0!</v>
      </c>
      <c r="L316" s="34"/>
      <c r="M316" s="916" t="e">
        <v>#DIV/0!</v>
      </c>
      <c r="N316" s="916"/>
      <c r="O316" s="1713"/>
      <c r="P316" s="1713"/>
      <c r="Q316" s="1713"/>
      <c r="R316" s="34" t="e">
        <f>(R315/R35)*1000</f>
        <v>#DIV/0!</v>
      </c>
      <c r="S316" s="34" t="e">
        <f>(S315/S39)*1000</f>
        <v>#DIV/0!</v>
      </c>
      <c r="T316" s="34" t="e">
        <f>(T315/T39)*1000</f>
        <v>#DIV/0!</v>
      </c>
      <c r="U316" s="34" t="e">
        <f>(U315/U39)*1000</f>
        <v>#DIV/0!</v>
      </c>
      <c r="V316" s="34" t="e">
        <f>(V315/V39)*1000</f>
        <v>#DIV/0!</v>
      </c>
      <c r="W316" s="34" t="e">
        <v>#DIV/0!</v>
      </c>
      <c r="X316" s="34" t="e">
        <f>(X315/X39)*10000</f>
        <v>#DIV/0!</v>
      </c>
      <c r="Y316" s="34" t="e">
        <f t="shared" ref="Y316:AK316" si="113">(Y315/Y39)*1000</f>
        <v>#DIV/0!</v>
      </c>
      <c r="Z316" s="34" t="e">
        <f t="shared" si="113"/>
        <v>#DIV/0!</v>
      </c>
      <c r="AA316" s="34" t="e">
        <f t="shared" si="113"/>
        <v>#DIV/0!</v>
      </c>
      <c r="AB316" s="34" t="e">
        <f t="shared" si="113"/>
        <v>#DIV/0!</v>
      </c>
      <c r="AC316" s="34" t="e">
        <f t="shared" si="113"/>
        <v>#DIV/0!</v>
      </c>
      <c r="AD316" s="34" t="e">
        <f t="shared" si="113"/>
        <v>#DIV/0!</v>
      </c>
      <c r="AE316" s="34" t="e">
        <f t="shared" si="113"/>
        <v>#DIV/0!</v>
      </c>
      <c r="AF316" s="34" t="e">
        <f t="shared" si="113"/>
        <v>#DIV/0!</v>
      </c>
      <c r="AG316" s="34" t="e">
        <f t="shared" si="113"/>
        <v>#DIV/0!</v>
      </c>
      <c r="AH316" s="34" t="e">
        <f t="shared" si="113"/>
        <v>#DIV/0!</v>
      </c>
      <c r="AI316" s="34" t="e">
        <f t="shared" si="113"/>
        <v>#DIV/0!</v>
      </c>
      <c r="AJ316" s="34" t="e">
        <f t="shared" si="113"/>
        <v>#DIV/0!</v>
      </c>
      <c r="AK316" s="34" t="e">
        <f t="shared" si="113"/>
        <v>#DIV/0!</v>
      </c>
      <c r="AM316" s="1948" t="e">
        <f>(AM315/AM42)*100</f>
        <v>#DIV/0!</v>
      </c>
      <c r="AO316" s="139"/>
    </row>
    <row r="317" spans="3:61 15027:15419" hidden="1" x14ac:dyDescent="0.25">
      <c r="C317" s="15"/>
      <c r="D317" s="243" t="s">
        <v>120</v>
      </c>
      <c r="E317" s="262">
        <v>11201.3</v>
      </c>
      <c r="F317" s="242" t="s">
        <v>1026</v>
      </c>
      <c r="G317" s="271"/>
      <c r="H317" s="271"/>
      <c r="I317" s="271"/>
      <c r="J317" s="271"/>
      <c r="K317" s="271"/>
      <c r="L317" s="271"/>
      <c r="M317" s="271">
        <v>53534</v>
      </c>
      <c r="N317" s="2057"/>
      <c r="O317" s="271"/>
      <c r="P317" s="271"/>
      <c r="Q317" s="271"/>
      <c r="R317" s="1976"/>
      <c r="S317" s="1978"/>
      <c r="T317" s="2029"/>
      <c r="U317" s="2029">
        <v>1428</v>
      </c>
      <c r="V317" s="2029"/>
      <c r="W317" s="2029"/>
      <c r="X317" s="271"/>
      <c r="Y317" s="271">
        <v>0</v>
      </c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M317" s="82">
        <f>SUM(G317:AK317)</f>
        <v>54962</v>
      </c>
      <c r="AO317" s="1992"/>
      <c r="AU317" s="139"/>
    </row>
    <row r="318" spans="3:61 15027:15419" ht="15.75" hidden="1" thickBot="1" x14ac:dyDescent="0.3">
      <c r="C318" s="19"/>
      <c r="D318" s="2071"/>
      <c r="E318" s="2072">
        <f>E317/2500</f>
        <v>4.4805199999999994</v>
      </c>
      <c r="F318" s="2073" t="s">
        <v>1017</v>
      </c>
      <c r="G318" s="2074" t="e">
        <f t="shared" ref="G318:K318" si="114">(G317/G39)*1000</f>
        <v>#DIV/0!</v>
      </c>
      <c r="H318" s="2074" t="e">
        <f t="shared" si="114"/>
        <v>#DIV/0!</v>
      </c>
      <c r="I318" s="2074" t="e">
        <f t="shared" si="114"/>
        <v>#DIV/0!</v>
      </c>
      <c r="J318" s="2074" t="e">
        <f t="shared" si="114"/>
        <v>#DIV/0!</v>
      </c>
      <c r="K318" s="2074" t="e">
        <f t="shared" si="114"/>
        <v>#DIV/0!</v>
      </c>
      <c r="L318" s="2074"/>
      <c r="M318" s="2074" t="e">
        <v>#DIV/0!</v>
      </c>
      <c r="N318" s="2075"/>
      <c r="O318" s="2074"/>
      <c r="P318" s="2074"/>
      <c r="Q318" s="2074"/>
      <c r="R318" s="2074" t="e">
        <f>(R317/R35)*1000</f>
        <v>#DIV/0!</v>
      </c>
      <c r="S318" s="2074" t="e">
        <f t="shared" ref="S318:AK318" si="115">(S317/S39)*1000</f>
        <v>#DIV/0!</v>
      </c>
      <c r="T318" s="2074" t="e">
        <f t="shared" si="115"/>
        <v>#DIV/0!</v>
      </c>
      <c r="U318" s="2074" t="e">
        <f t="shared" si="115"/>
        <v>#DIV/0!</v>
      </c>
      <c r="V318" s="2074" t="e">
        <f t="shared" si="115"/>
        <v>#DIV/0!</v>
      </c>
      <c r="W318" s="2074" t="e">
        <v>#DIV/0!</v>
      </c>
      <c r="X318" s="2074" t="e">
        <f t="shared" si="115"/>
        <v>#DIV/0!</v>
      </c>
      <c r="Y318" s="2074" t="e">
        <f t="shared" si="115"/>
        <v>#DIV/0!</v>
      </c>
      <c r="Z318" s="2074" t="e">
        <f t="shared" si="115"/>
        <v>#DIV/0!</v>
      </c>
      <c r="AA318" s="2074" t="e">
        <f t="shared" si="115"/>
        <v>#DIV/0!</v>
      </c>
      <c r="AB318" s="2074" t="e">
        <f t="shared" si="115"/>
        <v>#DIV/0!</v>
      </c>
      <c r="AC318" s="2074" t="e">
        <f t="shared" si="115"/>
        <v>#DIV/0!</v>
      </c>
      <c r="AD318" s="2074" t="e">
        <f t="shared" si="115"/>
        <v>#DIV/0!</v>
      </c>
      <c r="AE318" s="2074" t="e">
        <f t="shared" si="115"/>
        <v>#DIV/0!</v>
      </c>
      <c r="AF318" s="2074" t="e">
        <f t="shared" si="115"/>
        <v>#DIV/0!</v>
      </c>
      <c r="AG318" s="2074" t="e">
        <f t="shared" si="115"/>
        <v>#DIV/0!</v>
      </c>
      <c r="AH318" s="2074" t="e">
        <f t="shared" si="115"/>
        <v>#DIV/0!</v>
      </c>
      <c r="AI318" s="2074" t="e">
        <f t="shared" si="115"/>
        <v>#DIV/0!</v>
      </c>
      <c r="AJ318" s="2074" t="e">
        <f t="shared" si="115"/>
        <v>#DIV/0!</v>
      </c>
      <c r="AK318" s="2074" t="e">
        <f t="shared" si="115"/>
        <v>#DIV/0!</v>
      </c>
      <c r="AL318" s="2077"/>
      <c r="AM318" s="2076" t="e">
        <f>(AM317/AM42)*100</f>
        <v>#DIV/0!</v>
      </c>
      <c r="AO318" s="3"/>
    </row>
    <row r="319" spans="3:61 15027:15419" hidden="1" x14ac:dyDescent="0.25">
      <c r="C319" s="15"/>
      <c r="D319" s="921"/>
      <c r="E319" s="1704"/>
      <c r="F319" s="61"/>
      <c r="G319" s="1770"/>
      <c r="H319" s="1770"/>
      <c r="I319" s="1770"/>
      <c r="J319" s="1770"/>
      <c r="K319" s="1770"/>
      <c r="L319" s="1770"/>
      <c r="M319" s="1770"/>
      <c r="N319" s="269"/>
      <c r="O319" s="1770"/>
      <c r="P319" s="1770"/>
      <c r="Q319" s="1770"/>
      <c r="R319" s="1770"/>
      <c r="S319" s="1770"/>
      <c r="T319" s="1770"/>
      <c r="U319" s="1770"/>
      <c r="V319" s="1770"/>
      <c r="W319" s="1770"/>
      <c r="X319" s="1770"/>
      <c r="Y319" s="1770"/>
      <c r="Z319" s="1770"/>
      <c r="AA319" s="1770"/>
      <c r="AB319" s="1770"/>
      <c r="AC319" s="1770"/>
      <c r="AD319" s="1770"/>
      <c r="AE319" s="1770"/>
      <c r="AF319" s="1770"/>
      <c r="AG319" s="1770"/>
      <c r="AH319" s="1770"/>
      <c r="AI319" s="1770"/>
      <c r="AJ319" s="1770"/>
      <c r="AK319" s="1770"/>
      <c r="AL319" s="2077"/>
      <c r="AM319" s="1948"/>
      <c r="AO319" s="3"/>
    </row>
    <row r="320" spans="3:61 15027:15419" hidden="1" x14ac:dyDescent="0.25">
      <c r="C320" s="1904"/>
      <c r="D320" s="1905" t="s">
        <v>7</v>
      </c>
      <c r="E320" s="540"/>
      <c r="F320" s="1906"/>
      <c r="G320" s="1965">
        <f t="shared" ref="G320:AG320" si="116">G292-G296-G298-G301-G303</f>
        <v>0</v>
      </c>
      <c r="H320" s="1965">
        <f t="shared" si="116"/>
        <v>0</v>
      </c>
      <c r="I320" s="1965">
        <f t="shared" si="116"/>
        <v>0</v>
      </c>
      <c r="J320" s="1965">
        <f t="shared" si="116"/>
        <v>0</v>
      </c>
      <c r="K320" s="1965">
        <f t="shared" si="116"/>
        <v>0</v>
      </c>
      <c r="L320" s="1965">
        <f t="shared" si="116"/>
        <v>-4550.6000000000004</v>
      </c>
      <c r="M320" s="1965">
        <f t="shared" si="116"/>
        <v>-7453.45</v>
      </c>
      <c r="N320" s="1965">
        <f t="shared" si="116"/>
        <v>-8774.99</v>
      </c>
      <c r="O320" s="1965">
        <f t="shared" si="116"/>
        <v>-8711.7000000000007</v>
      </c>
      <c r="P320" s="1965">
        <f t="shared" si="116"/>
        <v>-15406.77</v>
      </c>
      <c r="Q320" s="1965">
        <f t="shared" si="116"/>
        <v>-9031.02</v>
      </c>
      <c r="R320" s="1965">
        <f t="shared" si="116"/>
        <v>-7801.82</v>
      </c>
      <c r="S320" s="1965">
        <f>S292-S296-S298-S301-S303</f>
        <v>-12949.95</v>
      </c>
      <c r="T320" s="1965">
        <f t="shared" si="116"/>
        <v>-7725.24</v>
      </c>
      <c r="U320" s="1965">
        <f>U292-U296-U298-U301-U303</f>
        <v>-7640.2</v>
      </c>
      <c r="V320" s="1965">
        <f>V292-V296-V298-V301-V303</f>
        <v>-6782.8</v>
      </c>
      <c r="W320" s="1965">
        <f>W292-W296-W298-W301-W303</f>
        <v>16.600000000000001</v>
      </c>
      <c r="X320" s="1965">
        <f t="shared" si="116"/>
        <v>7.6</v>
      </c>
      <c r="Y320" s="1965">
        <f t="shared" si="116"/>
        <v>9.5</v>
      </c>
      <c r="Z320" s="1965">
        <f t="shared" si="116"/>
        <v>8.6999999999999993</v>
      </c>
      <c r="AA320" s="1965">
        <f t="shared" si="116"/>
        <v>8.9</v>
      </c>
      <c r="AB320" s="1965">
        <f t="shared" si="116"/>
        <v>-1590.1999999999998</v>
      </c>
      <c r="AC320" s="1965">
        <f t="shared" si="116"/>
        <v>-279.2</v>
      </c>
      <c r="AD320" s="1965">
        <f>AD292-AD296-AD298-AD301-AD303</f>
        <v>8.3000000000000007</v>
      </c>
      <c r="AE320" s="1965">
        <f t="shared" si="116"/>
        <v>7.1</v>
      </c>
      <c r="AF320" s="1965">
        <f t="shared" si="116"/>
        <v>-2942.8</v>
      </c>
      <c r="AG320" s="1965">
        <f t="shared" si="116"/>
        <v>-30999</v>
      </c>
      <c r="AH320" s="1965">
        <f>AH292-AH296-AH298-AH301-AH303</f>
        <v>15</v>
      </c>
      <c r="AI320" s="1965">
        <f>AI292-AI296-AI298-AI301-AI303</f>
        <v>9.6</v>
      </c>
      <c r="AJ320" s="1965"/>
      <c r="AK320" s="1965"/>
      <c r="AL320" s="2037"/>
      <c r="AM320" s="1907" t="s">
        <v>7</v>
      </c>
      <c r="AO320" s="1993"/>
    </row>
    <row r="321" spans="3:39" hidden="1" x14ac:dyDescent="0.25">
      <c r="C321" s="15"/>
      <c r="D321" s="243" t="s">
        <v>121</v>
      </c>
      <c r="E321" s="262">
        <v>11.81</v>
      </c>
      <c r="F321" s="242" t="s">
        <v>2</v>
      </c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M321" s="82">
        <f>SUM(G321:AK321)</f>
        <v>0</v>
      </c>
    </row>
    <row r="322" spans="3:39" ht="15.75" hidden="1" thickBot="1" x14ac:dyDescent="0.3">
      <c r="C322" s="19"/>
      <c r="D322" s="244" t="s">
        <v>122</v>
      </c>
      <c r="E322" s="263">
        <v>241.12</v>
      </c>
      <c r="F322" s="245" t="s">
        <v>2</v>
      </c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M322" s="264">
        <f>SUM(G322:AK322)</f>
        <v>0</v>
      </c>
    </row>
    <row r="324" spans="3:39" x14ac:dyDescent="0.25">
      <c r="E324" s="1893"/>
      <c r="G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6" spans="3:39" x14ac:dyDescent="0.25">
      <c r="H326" s="2081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3:39" x14ac:dyDescent="0.25">
      <c r="E327" s="1947"/>
    </row>
    <row r="328" spans="3:39" x14ac:dyDescent="0.25">
      <c r="E328" s="1947"/>
      <c r="N328" s="3"/>
    </row>
    <row r="329" spans="3:39" x14ac:dyDescent="0.25">
      <c r="E329" s="1947"/>
      <c r="N329" s="2000"/>
    </row>
    <row r="330" spans="3:39" x14ac:dyDescent="0.25">
      <c r="E330" s="1947"/>
      <c r="N330" s="1993"/>
    </row>
    <row r="331" spans="3:39" x14ac:dyDescent="0.25">
      <c r="E331" s="1947"/>
    </row>
    <row r="332" spans="3:39" x14ac:dyDescent="0.25">
      <c r="K332" s="2116"/>
    </row>
    <row r="339" spans="3:61 15027:15419" x14ac:dyDescent="0.25">
      <c r="U339" s="1947"/>
    </row>
    <row r="340" spans="3:61 15027:15419" x14ac:dyDescent="0.25">
      <c r="U340" s="1947"/>
      <c r="V340" s="1947"/>
      <c r="W340" s="3">
        <f>S55</f>
        <v>0</v>
      </c>
      <c r="X340" s="3">
        <f>W340-V340</f>
        <v>0</v>
      </c>
      <c r="Y340" s="1947"/>
    </row>
    <row r="341" spans="3:61 15027:15419" x14ac:dyDescent="0.25">
      <c r="U341" s="1947"/>
      <c r="Y341" s="1947"/>
    </row>
    <row r="342" spans="3:61 15027:15419" x14ac:dyDescent="0.25">
      <c r="U342" s="1947"/>
      <c r="Y342" s="1947"/>
    </row>
    <row r="343" spans="3:61 15027:15419" x14ac:dyDescent="0.25">
      <c r="Y343" s="1947"/>
    </row>
    <row r="344" spans="3:61 15027:15419" x14ac:dyDescent="0.25">
      <c r="Y344" s="1947"/>
    </row>
    <row r="345" spans="3:61 15027:15419" s="1" customFormat="1" x14ac:dyDescent="0.25">
      <c r="C345" s="5"/>
      <c r="F345" s="2"/>
      <c r="Y345" s="1947"/>
      <c r="BC345" s="511"/>
      <c r="BD345" s="511"/>
      <c r="BI345" s="140"/>
      <c r="VEY345" s="46"/>
      <c r="VEZ345" s="46"/>
      <c r="VFA345" s="46"/>
      <c r="VFB345" s="46"/>
      <c r="VFC345" s="46"/>
      <c r="VFD345" s="46"/>
      <c r="VFE345" s="46"/>
      <c r="VFF345" s="46"/>
      <c r="VFG345" s="46"/>
      <c r="VFH345" s="46"/>
      <c r="VFI345" s="46"/>
      <c r="VFJ345" s="46"/>
      <c r="VFK345" s="46"/>
      <c r="VFL345" s="46"/>
      <c r="VFM345" s="46"/>
      <c r="VFN345" s="46"/>
      <c r="VFO345" s="46"/>
      <c r="VFP345" s="46"/>
      <c r="VFQ345" s="46"/>
      <c r="VFR345" s="46"/>
      <c r="VFS345" s="46"/>
      <c r="VFT345" s="46"/>
      <c r="VFU345" s="46"/>
      <c r="VFV345" s="46"/>
      <c r="VFW345" s="46"/>
      <c r="VFX345" s="46"/>
      <c r="VFY345" s="46"/>
      <c r="VFZ345" s="46"/>
      <c r="VGA345" s="46"/>
      <c r="VGB345" s="46"/>
      <c r="VGC345" s="46"/>
      <c r="VGD345" s="46"/>
      <c r="VGE345" s="46"/>
      <c r="VGF345" s="46"/>
      <c r="VGG345" s="46"/>
      <c r="VGH345" s="46"/>
      <c r="VGI345" s="46"/>
      <c r="VGJ345" s="46"/>
      <c r="VGK345" s="46"/>
      <c r="VGL345" s="46"/>
      <c r="VGM345" s="46"/>
      <c r="VGN345" s="46"/>
      <c r="VGO345" s="46"/>
      <c r="VGP345" s="46"/>
      <c r="VGQ345" s="46"/>
      <c r="VGR345" s="46"/>
      <c r="VGS345" s="46"/>
      <c r="VGT345" s="46"/>
      <c r="VGU345" s="46"/>
      <c r="VGV345" s="46"/>
      <c r="VGW345" s="46"/>
      <c r="VGX345" s="46"/>
      <c r="VGY345" s="46"/>
      <c r="VGZ345" s="46"/>
      <c r="VHA345" s="46"/>
      <c r="VHB345" s="46"/>
      <c r="VHC345" s="46"/>
      <c r="VHD345" s="46"/>
      <c r="VHE345" s="46"/>
      <c r="VHF345" s="46"/>
      <c r="VHG345" s="46"/>
      <c r="VHH345" s="46"/>
      <c r="VHI345" s="46"/>
      <c r="VHJ345" s="46"/>
      <c r="VHK345" s="46"/>
      <c r="VHL345" s="46"/>
      <c r="VHM345" s="46"/>
      <c r="VHN345" s="46"/>
      <c r="VHO345" s="46"/>
      <c r="VHP345" s="46"/>
      <c r="VHQ345" s="46"/>
      <c r="VHR345" s="46"/>
      <c r="VHS345" s="46"/>
      <c r="VHT345" s="46"/>
      <c r="VHU345" s="46"/>
      <c r="VHV345" s="46"/>
      <c r="VHW345" s="46"/>
      <c r="VHX345" s="46"/>
      <c r="VHY345" s="46"/>
      <c r="VHZ345" s="46"/>
      <c r="VIA345" s="46"/>
      <c r="VIB345" s="46"/>
      <c r="VIC345" s="46"/>
      <c r="VID345" s="46"/>
      <c r="VIE345" s="46"/>
      <c r="VIF345" s="46"/>
      <c r="VIG345" s="46"/>
      <c r="VIH345" s="46"/>
      <c r="VII345" s="46"/>
      <c r="VIJ345" s="46"/>
      <c r="VIK345" s="46"/>
      <c r="VIL345" s="46"/>
      <c r="VIM345" s="46"/>
      <c r="VIN345" s="46"/>
      <c r="VIO345" s="46"/>
      <c r="VIP345" s="46"/>
      <c r="VIQ345" s="46"/>
      <c r="VIR345" s="46"/>
      <c r="VIS345" s="46"/>
      <c r="VIT345" s="46"/>
      <c r="VIU345" s="46"/>
      <c r="VIV345" s="46"/>
      <c r="VIW345" s="46"/>
      <c r="VIX345" s="46"/>
      <c r="VIY345" s="46"/>
      <c r="VIZ345" s="46"/>
      <c r="VJA345" s="46"/>
      <c r="VJB345" s="46"/>
      <c r="VJC345" s="46"/>
      <c r="VJD345" s="46"/>
      <c r="VJE345" s="46"/>
      <c r="VJF345" s="46"/>
      <c r="VJG345" s="46"/>
      <c r="VJH345" s="46"/>
      <c r="VJI345" s="46"/>
      <c r="VJJ345" s="46"/>
      <c r="VJK345" s="46"/>
      <c r="VJL345" s="46"/>
      <c r="VJM345" s="46"/>
      <c r="VJN345" s="46"/>
      <c r="VJO345" s="46"/>
      <c r="VJP345" s="46"/>
      <c r="VJQ345" s="46"/>
      <c r="VJR345" s="46"/>
      <c r="VJS345" s="46"/>
      <c r="VJT345" s="46"/>
      <c r="VJU345" s="46"/>
      <c r="VJV345" s="46"/>
      <c r="VJW345" s="46"/>
      <c r="VJX345" s="46"/>
      <c r="VJY345" s="46"/>
      <c r="VJZ345" s="46"/>
      <c r="VKA345" s="46"/>
      <c r="VKB345" s="46"/>
      <c r="VKC345" s="46"/>
      <c r="VKD345" s="46"/>
      <c r="VKE345" s="46"/>
      <c r="VKF345" s="46"/>
      <c r="VKG345" s="46"/>
      <c r="VKH345" s="46"/>
      <c r="VKI345" s="46"/>
      <c r="VKJ345" s="46"/>
      <c r="VKK345" s="46"/>
      <c r="VKL345" s="46"/>
      <c r="VKM345" s="46"/>
      <c r="VKN345" s="46"/>
      <c r="VKO345" s="46"/>
      <c r="VKP345" s="46"/>
      <c r="VKQ345" s="46"/>
      <c r="VKR345" s="46"/>
      <c r="VKS345" s="46"/>
      <c r="VKT345" s="46"/>
      <c r="VKU345" s="46"/>
      <c r="VKV345" s="46"/>
      <c r="VKW345" s="46"/>
      <c r="VKX345" s="46"/>
      <c r="VKY345" s="46"/>
      <c r="VKZ345" s="46"/>
      <c r="VLA345" s="46"/>
      <c r="VLB345" s="46"/>
      <c r="VLC345" s="46"/>
      <c r="VLD345" s="46"/>
      <c r="VLE345" s="46"/>
      <c r="VLF345" s="46"/>
      <c r="VLG345" s="46"/>
      <c r="VLH345" s="46"/>
      <c r="VLI345" s="46"/>
      <c r="VLJ345" s="46"/>
      <c r="VLK345" s="46"/>
      <c r="VLL345" s="46"/>
      <c r="VLM345" s="46"/>
      <c r="VLN345" s="46"/>
      <c r="VLO345" s="46"/>
      <c r="VLP345" s="46"/>
      <c r="VLQ345" s="46"/>
      <c r="VLR345" s="46"/>
      <c r="VLS345" s="46"/>
      <c r="VLT345" s="46"/>
      <c r="VLU345" s="46"/>
      <c r="VLV345" s="46"/>
      <c r="VLW345" s="46"/>
      <c r="VLX345" s="46"/>
      <c r="VLY345" s="46"/>
      <c r="VLZ345" s="46"/>
      <c r="VMA345" s="46"/>
      <c r="VMB345" s="46"/>
      <c r="VMC345" s="46"/>
      <c r="VMD345" s="46"/>
      <c r="VME345" s="46"/>
      <c r="VMF345" s="46"/>
      <c r="VMG345" s="46"/>
      <c r="VMH345" s="46"/>
      <c r="VMI345" s="46"/>
      <c r="VMJ345" s="46"/>
      <c r="VMK345" s="46"/>
      <c r="VML345" s="46"/>
      <c r="VMM345" s="46"/>
      <c r="VMN345" s="46"/>
      <c r="VMO345" s="46"/>
      <c r="VMP345" s="46"/>
      <c r="VMQ345" s="46"/>
      <c r="VMR345" s="46"/>
      <c r="VMS345" s="46"/>
      <c r="VMT345" s="46"/>
      <c r="VMU345" s="46"/>
      <c r="VMV345" s="46"/>
      <c r="VMW345" s="46"/>
      <c r="VMX345" s="46"/>
      <c r="VMY345" s="46"/>
      <c r="VMZ345" s="46"/>
      <c r="VNA345" s="46"/>
      <c r="VNB345" s="46"/>
      <c r="VNC345" s="46"/>
      <c r="VND345" s="46"/>
      <c r="VNE345" s="46"/>
      <c r="VNF345" s="46"/>
      <c r="VNG345" s="46"/>
      <c r="VNH345" s="46"/>
      <c r="VNI345" s="46"/>
      <c r="VNJ345" s="46"/>
      <c r="VNK345" s="46"/>
      <c r="VNL345" s="46"/>
      <c r="VNM345" s="46"/>
      <c r="VNN345" s="46"/>
      <c r="VNO345" s="46"/>
      <c r="VNP345" s="46"/>
      <c r="VNQ345" s="46"/>
      <c r="VNR345" s="46"/>
      <c r="VNS345" s="46"/>
      <c r="VNT345" s="46"/>
      <c r="VNU345" s="46"/>
      <c r="VNV345" s="46"/>
      <c r="VNW345" s="46"/>
      <c r="VNX345" s="46"/>
      <c r="VNY345" s="46"/>
      <c r="VNZ345" s="46"/>
      <c r="VOA345" s="46"/>
      <c r="VOB345" s="46"/>
      <c r="VOC345" s="46"/>
      <c r="VOD345" s="46"/>
      <c r="VOE345" s="46"/>
      <c r="VOF345" s="46"/>
      <c r="VOG345" s="46"/>
      <c r="VOH345" s="46"/>
      <c r="VOI345" s="46"/>
      <c r="VOJ345" s="46"/>
      <c r="VOK345" s="46"/>
      <c r="VOL345" s="46"/>
      <c r="VOM345" s="46"/>
      <c r="VON345" s="46"/>
      <c r="VOO345" s="46"/>
      <c r="VOP345" s="46"/>
      <c r="VOQ345" s="46"/>
      <c r="VOR345" s="46"/>
      <c r="VOS345" s="46"/>
      <c r="VOT345" s="46"/>
      <c r="VOU345" s="46"/>
      <c r="VOV345" s="46"/>
      <c r="VOW345" s="46"/>
      <c r="VOX345" s="46"/>
      <c r="VOY345" s="46"/>
      <c r="VOZ345" s="46"/>
      <c r="VPA345" s="46"/>
      <c r="VPB345" s="46"/>
      <c r="VPC345" s="46"/>
      <c r="VPD345" s="46"/>
      <c r="VPE345" s="46"/>
      <c r="VPF345" s="46"/>
      <c r="VPG345" s="46"/>
      <c r="VPH345" s="46"/>
      <c r="VPI345" s="46"/>
      <c r="VPJ345" s="46"/>
      <c r="VPK345" s="46"/>
      <c r="VPL345" s="46"/>
      <c r="VPM345" s="46"/>
      <c r="VPN345" s="46"/>
      <c r="VPO345" s="46"/>
      <c r="VPP345" s="46"/>
      <c r="VPQ345" s="46"/>
      <c r="VPR345" s="46"/>
      <c r="VPS345" s="46"/>
      <c r="VPT345" s="46"/>
      <c r="VPU345" s="46"/>
      <c r="VPV345" s="46"/>
      <c r="VPW345" s="46"/>
      <c r="VPX345" s="46"/>
      <c r="VPY345" s="46"/>
      <c r="VPZ345" s="46"/>
      <c r="VQA345" s="46"/>
      <c r="VQB345" s="46"/>
      <c r="VQC345" s="46"/>
      <c r="VQD345" s="46"/>
      <c r="VQE345" s="46"/>
      <c r="VQF345" s="46"/>
      <c r="VQG345" s="46"/>
      <c r="VQH345" s="46"/>
      <c r="VQI345" s="46"/>
      <c r="VQJ345" s="46"/>
      <c r="VQK345" s="46"/>
      <c r="VQL345" s="46"/>
      <c r="VQM345" s="46"/>
      <c r="VQN345" s="46"/>
      <c r="VQO345" s="46"/>
      <c r="VQP345" s="46"/>
      <c r="VQQ345" s="46"/>
      <c r="VQR345" s="46"/>
      <c r="VQS345" s="46"/>
      <c r="VQT345" s="46"/>
      <c r="VQU345" s="46"/>
      <c r="VQV345" s="46"/>
      <c r="VQW345" s="46"/>
      <c r="VQX345" s="46"/>
      <c r="VQY345" s="46"/>
      <c r="VQZ345" s="46"/>
      <c r="VRA345" s="46"/>
      <c r="VRB345" s="46"/>
      <c r="VRC345" s="46"/>
      <c r="VRD345" s="46"/>
      <c r="VRE345" s="46"/>
      <c r="VRF345" s="46"/>
      <c r="VRG345" s="46"/>
      <c r="VRH345" s="46"/>
      <c r="VRI345" s="46"/>
      <c r="VRJ345" s="46"/>
      <c r="VRK345" s="46"/>
      <c r="VRL345" s="46"/>
      <c r="VRM345" s="46"/>
      <c r="VRN345" s="46"/>
      <c r="VRO345" s="46"/>
      <c r="VRP345" s="46"/>
      <c r="VRQ345" s="46"/>
      <c r="VRR345" s="46"/>
      <c r="VRS345" s="46"/>
      <c r="VRT345" s="46"/>
      <c r="VRU345" s="46"/>
      <c r="VRV345" s="46"/>
      <c r="VRW345" s="46"/>
      <c r="VRX345" s="46"/>
      <c r="VRY345" s="46"/>
      <c r="VRZ345" s="46"/>
      <c r="VSA345" s="46"/>
      <c r="VSB345" s="46"/>
      <c r="VSC345" s="46"/>
      <c r="VSD345" s="46"/>
      <c r="VSE345" s="46"/>
      <c r="VSF345" s="46"/>
      <c r="VSG345" s="46"/>
      <c r="VSH345" s="46"/>
      <c r="VSI345" s="46"/>
      <c r="VSJ345" s="46"/>
      <c r="VSK345" s="46"/>
      <c r="VSL345" s="46"/>
      <c r="VSM345" s="46"/>
      <c r="VSN345" s="46"/>
      <c r="VSO345" s="46"/>
      <c r="VSP345" s="46"/>
      <c r="VSQ345" s="46"/>
      <c r="VSR345" s="46"/>
      <c r="VSS345" s="46"/>
      <c r="VST345" s="46"/>
      <c r="VSU345" s="46"/>
      <c r="VSV345" s="46"/>
      <c r="VSW345" s="46"/>
      <c r="VSX345" s="46"/>
      <c r="VSY345" s="46"/>
      <c r="VSZ345" s="46"/>
      <c r="VTA345" s="46"/>
      <c r="VTB345" s="46"/>
      <c r="VTC345" s="46"/>
      <c r="VTD345" s="46"/>
      <c r="VTE345" s="46"/>
      <c r="VTF345" s="46"/>
      <c r="VTG345" s="46"/>
      <c r="VTH345" s="46"/>
      <c r="VTI345" s="46"/>
      <c r="VTJ345" s="46"/>
      <c r="VTK345" s="46"/>
      <c r="VTL345" s="46"/>
      <c r="VTM345" s="46"/>
      <c r="VTN345" s="46"/>
      <c r="VTO345" s="46"/>
      <c r="VTP345" s="46"/>
      <c r="VTQ345" s="46"/>
      <c r="VTR345" s="46"/>
      <c r="VTS345" s="46"/>
      <c r="VTT345" s="46"/>
      <c r="VTU345" s="46"/>
      <c r="VTV345" s="46"/>
      <c r="VTW345" s="46"/>
      <c r="VTX345" s="46"/>
      <c r="VTY345" s="46"/>
      <c r="VTZ345" s="46"/>
      <c r="VUA345" s="46"/>
    </row>
    <row r="346" spans="3:61 15027:15419" x14ac:dyDescent="0.25">
      <c r="Y346" s="1947"/>
    </row>
    <row r="347" spans="3:61 15027:15419" x14ac:dyDescent="0.25">
      <c r="Y347" s="1947"/>
    </row>
  </sheetData>
  <mergeCells count="7">
    <mergeCell ref="C1:AM1"/>
    <mergeCell ref="C2:C3"/>
    <mergeCell ref="D2:D3"/>
    <mergeCell ref="E2:E3"/>
    <mergeCell ref="F2:F3"/>
    <mergeCell ref="G2:AK2"/>
    <mergeCell ref="AM2:AM3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7CD8-99AA-4D71-A566-3FFA2F25BBEE}">
  <dimension ref="B4:V51"/>
  <sheetViews>
    <sheetView zoomScale="80" zoomScaleNormal="80" workbookViewId="0">
      <selection activeCell="AC27" sqref="AC27"/>
    </sheetView>
  </sheetViews>
  <sheetFormatPr defaultColWidth="9.42578125" defaultRowHeight="15" x14ac:dyDescent="0.25"/>
  <cols>
    <col min="1" max="1" width="9.42578125" style="1582"/>
    <col min="2" max="2" width="23.5703125" style="1582" customWidth="1"/>
    <col min="3" max="3" width="16.7109375" style="1582" bestFit="1" customWidth="1"/>
    <col min="4" max="4" width="13.42578125" style="1582" customWidth="1"/>
    <col min="5" max="5" width="13" style="1582" customWidth="1"/>
    <col min="6" max="6" width="12.42578125" style="1582" customWidth="1"/>
    <col min="7" max="7" width="14.42578125" style="1582" bestFit="1" customWidth="1"/>
    <col min="8" max="8" width="12.5703125" style="1582" customWidth="1"/>
    <col min="9" max="9" width="19.5703125" style="1582" bestFit="1" customWidth="1"/>
    <col min="10" max="10" width="9.5703125" style="1582" customWidth="1"/>
    <col min="11" max="11" width="9.85546875" style="1582" bestFit="1" customWidth="1"/>
    <col min="12" max="12" width="10.42578125" style="1582" bestFit="1" customWidth="1"/>
    <col min="13" max="13" width="8.5703125" style="1582" hidden="1" customWidth="1"/>
    <col min="14" max="14" width="9" style="1582" hidden="1" customWidth="1"/>
    <col min="15" max="15" width="10.42578125" style="1582" hidden="1" customWidth="1"/>
    <col min="16" max="16" width="9" style="1582" hidden="1" customWidth="1"/>
    <col min="17" max="17" width="8.5703125" style="1582" hidden="1" customWidth="1"/>
    <col min="18" max="18" width="9.5703125" style="1582" hidden="1" customWidth="1"/>
    <col min="19" max="19" width="0" style="1582" hidden="1" customWidth="1"/>
    <col min="20" max="20" width="18.5703125" style="1582" hidden="1" customWidth="1"/>
    <col min="21" max="16384" width="9.42578125" style="1582"/>
  </cols>
  <sheetData>
    <row r="4" spans="2:20" ht="15.75" x14ac:dyDescent="0.25">
      <c r="B4" s="1642" t="s">
        <v>1142</v>
      </c>
      <c r="I4" s="2080" t="s">
        <v>326</v>
      </c>
      <c r="J4" s="2195" t="s">
        <v>971</v>
      </c>
      <c r="K4" s="2196"/>
      <c r="L4" s="2197"/>
      <c r="M4" s="2198" t="s">
        <v>974</v>
      </c>
      <c r="N4" s="2199"/>
      <c r="O4" s="2200"/>
      <c r="P4" s="2198" t="s">
        <v>975</v>
      </c>
      <c r="Q4" s="2199"/>
      <c r="R4" s="2200"/>
      <c r="S4" s="2201" t="s">
        <v>977</v>
      </c>
      <c r="T4" s="2202"/>
    </row>
    <row r="5" spans="2:20" ht="30" x14ac:dyDescent="0.25">
      <c r="B5" s="1583" t="s">
        <v>877</v>
      </c>
      <c r="C5" s="1583" t="s">
        <v>878</v>
      </c>
      <c r="D5" s="1583" t="s">
        <v>879</v>
      </c>
      <c r="E5" s="1583" t="s">
        <v>880</v>
      </c>
      <c r="F5" s="1584" t="s">
        <v>881</v>
      </c>
      <c r="G5" s="1583" t="s">
        <v>882</v>
      </c>
      <c r="I5" s="304" t="s">
        <v>168</v>
      </c>
      <c r="J5" s="312" t="s">
        <v>169</v>
      </c>
      <c r="K5" s="312" t="s">
        <v>972</v>
      </c>
      <c r="L5" s="312" t="s">
        <v>973</v>
      </c>
      <c r="M5" s="312" t="s">
        <v>169</v>
      </c>
      <c r="N5" s="312" t="s">
        <v>972</v>
      </c>
      <c r="O5" s="312" t="s">
        <v>976</v>
      </c>
      <c r="P5" s="312" t="s">
        <v>169</v>
      </c>
      <c r="Q5" s="312" t="s">
        <v>972</v>
      </c>
      <c r="R5" s="312" t="s">
        <v>976</v>
      </c>
      <c r="S5" s="2203"/>
      <c r="T5" s="2204"/>
    </row>
    <row r="6" spans="2:20" x14ac:dyDescent="0.25">
      <c r="B6" s="1586" t="s">
        <v>883</v>
      </c>
      <c r="C6" s="1588">
        <v>5.67</v>
      </c>
      <c r="D6" s="1587">
        <v>850</v>
      </c>
      <c r="E6" s="1588">
        <f>C6*D6/1000</f>
        <v>4.8194999999999997</v>
      </c>
      <c r="F6" s="1918"/>
      <c r="G6" s="1590">
        <f>(F6*E6/100)*1000</f>
        <v>0</v>
      </c>
      <c r="H6" s="1591"/>
      <c r="I6" s="795">
        <v>46023</v>
      </c>
      <c r="J6" s="1902"/>
      <c r="K6" s="1711"/>
      <c r="L6" s="1903">
        <f t="shared" ref="L6:L36" si="0">J6-K6</f>
        <v>0</v>
      </c>
      <c r="M6" s="1708"/>
      <c r="N6" s="1708"/>
      <c r="O6" s="1721"/>
      <c r="P6" s="1708"/>
      <c r="Q6" s="1708"/>
      <c r="R6" s="1586"/>
      <c r="S6" s="2192"/>
      <c r="T6" s="2193"/>
    </row>
    <row r="7" spans="2:20" x14ac:dyDescent="0.25">
      <c r="B7" s="1586" t="s">
        <v>884</v>
      </c>
      <c r="C7" s="1641">
        <v>47.22</v>
      </c>
      <c r="D7" s="1587">
        <v>850</v>
      </c>
      <c r="E7" s="1588">
        <f>C7*D7/1000</f>
        <v>40.137</v>
      </c>
      <c r="F7" s="1918"/>
      <c r="G7" s="1590">
        <f>(F7*E7/100)*1000</f>
        <v>0</v>
      </c>
      <c r="H7" s="1642"/>
      <c r="I7" s="795">
        <v>46024</v>
      </c>
      <c r="J7" s="1711"/>
      <c r="K7" s="1711"/>
      <c r="L7" s="1903">
        <f t="shared" si="0"/>
        <v>0</v>
      </c>
      <c r="M7" s="1708"/>
      <c r="N7" s="1708"/>
      <c r="O7" s="1721"/>
      <c r="P7" s="1708"/>
      <c r="Q7" s="1708"/>
      <c r="R7" s="1586"/>
      <c r="S7" s="2192"/>
      <c r="T7" s="2193"/>
    </row>
    <row r="8" spans="2:20" x14ac:dyDescent="0.25">
      <c r="B8" s="1586" t="s">
        <v>885</v>
      </c>
      <c r="C8" s="1641">
        <v>47.22</v>
      </c>
      <c r="D8" s="1587">
        <v>850</v>
      </c>
      <c r="E8" s="1588">
        <f t="shared" ref="E8:E21" si="1">C8*D8/1000</f>
        <v>40.137</v>
      </c>
      <c r="F8" s="1918"/>
      <c r="G8" s="1590">
        <f>(F8*E8/100)*1000</f>
        <v>0</v>
      </c>
      <c r="H8" s="1642"/>
      <c r="I8" s="795">
        <v>46025</v>
      </c>
      <c r="J8" s="1711"/>
      <c r="K8" s="1711"/>
      <c r="L8" s="1903">
        <f t="shared" si="0"/>
        <v>0</v>
      </c>
      <c r="M8" s="1708"/>
      <c r="N8" s="1708"/>
      <c r="O8" s="1721"/>
      <c r="P8" s="1708"/>
      <c r="Q8" s="1708"/>
      <c r="R8" s="1586"/>
      <c r="S8" s="2192"/>
      <c r="T8" s="2193"/>
    </row>
    <row r="9" spans="2:20" x14ac:dyDescent="0.25">
      <c r="B9" s="1586" t="s">
        <v>886</v>
      </c>
      <c r="C9" s="1641">
        <v>35.68</v>
      </c>
      <c r="D9" s="1587">
        <v>850</v>
      </c>
      <c r="E9" s="1588">
        <f t="shared" si="1"/>
        <v>30.327999999999999</v>
      </c>
      <c r="F9" s="1918"/>
      <c r="G9" s="1590">
        <f>(F9*E9/100)*1000</f>
        <v>0</v>
      </c>
      <c r="H9" s="1642"/>
      <c r="I9" s="795">
        <v>46026</v>
      </c>
      <c r="J9" s="1711"/>
      <c r="K9" s="1711"/>
      <c r="L9" s="1903">
        <f>J9-K9</f>
        <v>0</v>
      </c>
      <c r="M9" s="1709"/>
      <c r="N9" s="1709"/>
      <c r="O9" s="1722"/>
      <c r="P9" s="1709"/>
      <c r="Q9" s="1708"/>
      <c r="R9" s="1586"/>
      <c r="S9" s="2192"/>
      <c r="T9" s="2193"/>
    </row>
    <row r="10" spans="2:20" x14ac:dyDescent="0.25">
      <c r="B10" s="1586" t="s">
        <v>887</v>
      </c>
      <c r="C10" s="1592">
        <v>10.8</v>
      </c>
      <c r="D10" s="1592">
        <v>850</v>
      </c>
      <c r="E10" s="1593">
        <f t="shared" si="1"/>
        <v>9.18</v>
      </c>
      <c r="F10" s="1918"/>
      <c r="G10" s="1590">
        <f t="shared" ref="G10:G15" si="2">(F10*E10/100)*1000</f>
        <v>0</v>
      </c>
      <c r="H10" s="1642"/>
      <c r="I10" s="795">
        <v>46027</v>
      </c>
      <c r="J10" s="1711"/>
      <c r="K10" s="1711"/>
      <c r="L10" s="1903">
        <f>J10-K10</f>
        <v>0</v>
      </c>
      <c r="M10" s="1708"/>
      <c r="N10" s="1708"/>
      <c r="O10" s="1721"/>
      <c r="P10" s="1708"/>
      <c r="Q10" s="1708"/>
      <c r="R10" s="1586"/>
      <c r="S10" s="2192"/>
      <c r="T10" s="2193"/>
    </row>
    <row r="11" spans="2:20" x14ac:dyDescent="0.25">
      <c r="B11" s="1586" t="s">
        <v>888</v>
      </c>
      <c r="C11" s="1592">
        <v>10.1</v>
      </c>
      <c r="D11" s="1592">
        <v>850</v>
      </c>
      <c r="E11" s="1593">
        <f t="shared" si="1"/>
        <v>8.5850000000000009</v>
      </c>
      <c r="F11" s="1918"/>
      <c r="G11" s="1590">
        <f t="shared" si="2"/>
        <v>0</v>
      </c>
      <c r="H11" s="1642"/>
      <c r="I11" s="795">
        <v>46028</v>
      </c>
      <c r="J11" s="1902">
        <v>0</v>
      </c>
      <c r="K11" s="1711">
        <v>169993</v>
      </c>
      <c r="L11" s="1903">
        <f t="shared" si="0"/>
        <v>-169993</v>
      </c>
      <c r="M11" s="1710"/>
      <c r="N11" s="1710"/>
      <c r="O11" s="1723"/>
      <c r="P11" s="1710"/>
      <c r="Q11" s="1708"/>
      <c r="R11" s="1586"/>
      <c r="S11" s="2192"/>
      <c r="T11" s="2193"/>
    </row>
    <row r="12" spans="2:20" x14ac:dyDescent="0.25">
      <c r="B12" s="1586" t="s">
        <v>889</v>
      </c>
      <c r="C12" s="1592">
        <v>10.1</v>
      </c>
      <c r="D12" s="1592">
        <v>850</v>
      </c>
      <c r="E12" s="1593">
        <f t="shared" si="1"/>
        <v>8.5850000000000009</v>
      </c>
      <c r="F12" s="1918"/>
      <c r="G12" s="1590">
        <f t="shared" si="2"/>
        <v>0</v>
      </c>
      <c r="H12" s="1642"/>
      <c r="I12" s="795">
        <v>46029</v>
      </c>
      <c r="J12" s="1711">
        <f t="shared" ref="J12:J17" si="3">K11</f>
        <v>169993</v>
      </c>
      <c r="K12" s="1711">
        <v>298276</v>
      </c>
      <c r="L12" s="1903">
        <f t="shared" si="0"/>
        <v>-128283</v>
      </c>
      <c r="M12" s="1711"/>
      <c r="N12" s="1711"/>
      <c r="O12" s="1724"/>
      <c r="P12" s="1711"/>
      <c r="Q12" s="1708"/>
      <c r="R12" s="1586"/>
      <c r="S12" s="2192"/>
      <c r="T12" s="2193"/>
    </row>
    <row r="13" spans="2:20" x14ac:dyDescent="0.25">
      <c r="B13" s="1586" t="s">
        <v>890</v>
      </c>
      <c r="C13" s="1592">
        <v>10.1</v>
      </c>
      <c r="D13" s="1592">
        <v>850</v>
      </c>
      <c r="E13" s="1593">
        <f t="shared" si="1"/>
        <v>8.5850000000000009</v>
      </c>
      <c r="F13" s="1918"/>
      <c r="G13" s="1590">
        <f t="shared" si="2"/>
        <v>0</v>
      </c>
      <c r="H13" s="1642"/>
      <c r="I13" s="795">
        <v>46030</v>
      </c>
      <c r="J13" s="1711">
        <f t="shared" si="3"/>
        <v>298276</v>
      </c>
      <c r="K13" s="1711">
        <v>300521</v>
      </c>
      <c r="L13" s="1903">
        <f t="shared" si="0"/>
        <v>-2245</v>
      </c>
      <c r="M13" s="1711"/>
      <c r="N13" s="1711">
        <v>0</v>
      </c>
      <c r="O13" s="1724"/>
      <c r="P13" s="1711"/>
      <c r="Q13" s="1711">
        <v>174609</v>
      </c>
      <c r="R13" s="1586"/>
      <c r="S13" s="2192"/>
      <c r="T13" s="2193"/>
    </row>
    <row r="14" spans="2:20" x14ac:dyDescent="0.25">
      <c r="B14" s="1586" t="s">
        <v>891</v>
      </c>
      <c r="C14" s="1592">
        <v>10.1</v>
      </c>
      <c r="D14" s="1592">
        <v>850</v>
      </c>
      <c r="E14" s="1593">
        <f t="shared" si="1"/>
        <v>8.5850000000000009</v>
      </c>
      <c r="F14" s="1918"/>
      <c r="G14" s="1590">
        <f t="shared" si="2"/>
        <v>0</v>
      </c>
      <c r="H14" s="1642"/>
      <c r="I14" s="795">
        <v>46031</v>
      </c>
      <c r="J14" s="1711">
        <f t="shared" si="3"/>
        <v>300521</v>
      </c>
      <c r="K14" s="1711">
        <v>291536</v>
      </c>
      <c r="L14" s="1903">
        <f t="shared" si="0"/>
        <v>8985</v>
      </c>
      <c r="M14" s="1711"/>
      <c r="N14" s="1712">
        <v>44191</v>
      </c>
      <c r="O14" s="1725"/>
      <c r="P14" s="1711">
        <v>174609</v>
      </c>
      <c r="Q14" s="1712">
        <v>38852</v>
      </c>
      <c r="R14" s="1719">
        <f>P14-Q14</f>
        <v>135757</v>
      </c>
      <c r="S14" s="2194">
        <f>R14+O14+L14</f>
        <v>144742</v>
      </c>
      <c r="T14" s="2193"/>
    </row>
    <row r="15" spans="2:20" x14ac:dyDescent="0.25">
      <c r="B15" s="1586" t="s">
        <v>892</v>
      </c>
      <c r="C15" s="1592">
        <v>10.1</v>
      </c>
      <c r="D15" s="1592">
        <v>850</v>
      </c>
      <c r="E15" s="1593">
        <f t="shared" si="1"/>
        <v>8.5850000000000009</v>
      </c>
      <c r="F15" s="1918"/>
      <c r="G15" s="1590">
        <f t="shared" si="2"/>
        <v>0</v>
      </c>
      <c r="H15" s="1642"/>
      <c r="I15" s="795">
        <v>46032</v>
      </c>
      <c r="J15" s="1711">
        <f t="shared" si="3"/>
        <v>291536</v>
      </c>
      <c r="K15" s="1711">
        <v>266295</v>
      </c>
      <c r="L15" s="1903">
        <f t="shared" si="0"/>
        <v>25241</v>
      </c>
      <c r="M15" s="1712">
        <v>44191</v>
      </c>
      <c r="N15" s="1711">
        <v>405272</v>
      </c>
      <c r="O15" s="1723">
        <f>M15-N15</f>
        <v>-361081</v>
      </c>
      <c r="P15" s="1712">
        <v>38852</v>
      </c>
      <c r="Q15" s="1712">
        <v>38852</v>
      </c>
      <c r="R15" s="1719">
        <f>P15-Q15</f>
        <v>0</v>
      </c>
      <c r="S15" s="2194">
        <f>R15+O15+L15</f>
        <v>-335840</v>
      </c>
      <c r="T15" s="2193"/>
    </row>
    <row r="16" spans="2:20" x14ac:dyDescent="0.25">
      <c r="B16" s="1586" t="s">
        <v>893</v>
      </c>
      <c r="C16" s="1587">
        <v>72.13</v>
      </c>
      <c r="D16" s="1587">
        <v>850</v>
      </c>
      <c r="E16" s="1588">
        <f t="shared" si="1"/>
        <v>61.31049999999999</v>
      </c>
      <c r="F16" s="1918"/>
      <c r="G16" s="1590">
        <f>(F16*E16/100)*1000</f>
        <v>0</v>
      </c>
      <c r="H16" s="1642"/>
      <c r="I16" s="795">
        <v>46033</v>
      </c>
      <c r="J16" s="2058">
        <f t="shared" si="3"/>
        <v>266295</v>
      </c>
      <c r="K16" s="1711">
        <v>280865</v>
      </c>
      <c r="L16" s="1903">
        <f>J16-K16</f>
        <v>-14570</v>
      </c>
      <c r="M16" s="1708"/>
      <c r="N16" s="1708"/>
      <c r="O16" s="1721"/>
      <c r="P16" s="1708"/>
      <c r="Q16" s="1708"/>
      <c r="R16" s="1586"/>
      <c r="S16" s="2192"/>
      <c r="T16" s="2193"/>
    </row>
    <row r="17" spans="2:22" x14ac:dyDescent="0.25">
      <c r="B17" s="1586" t="s">
        <v>894</v>
      </c>
      <c r="C17" s="1587">
        <v>4.28</v>
      </c>
      <c r="D17" s="1587">
        <v>860</v>
      </c>
      <c r="E17" s="1588">
        <f t="shared" si="1"/>
        <v>3.6808000000000001</v>
      </c>
      <c r="F17" s="1918"/>
      <c r="G17" s="1590">
        <f t="shared" ref="G17:G23" si="4">(F17*E17/100)*1000</f>
        <v>0</v>
      </c>
      <c r="H17" s="1642"/>
      <c r="I17" s="795">
        <v>46034</v>
      </c>
      <c r="J17" s="1711">
        <f t="shared" si="3"/>
        <v>280865</v>
      </c>
      <c r="K17" s="1711">
        <v>263772</v>
      </c>
      <c r="L17" s="1903">
        <f t="shared" si="0"/>
        <v>17093</v>
      </c>
      <c r="M17" s="1708"/>
      <c r="N17" s="1708"/>
      <c r="O17" s="1721"/>
      <c r="P17" s="1708"/>
      <c r="Q17" s="1708"/>
      <c r="R17" s="1586"/>
      <c r="S17" s="2192"/>
      <c r="T17" s="2193"/>
    </row>
    <row r="18" spans="2:22" x14ac:dyDescent="0.25">
      <c r="B18" s="1586" t="s">
        <v>895</v>
      </c>
      <c r="C18" s="1587">
        <v>10</v>
      </c>
      <c r="D18" s="1587">
        <v>810</v>
      </c>
      <c r="E18" s="1588">
        <f t="shared" si="1"/>
        <v>8.1</v>
      </c>
      <c r="F18" s="1918"/>
      <c r="G18" s="1590">
        <f t="shared" si="4"/>
        <v>0</v>
      </c>
      <c r="H18" s="1642"/>
      <c r="I18" s="795">
        <v>46035</v>
      </c>
      <c r="J18" s="1711">
        <f>K17</f>
        <v>263772</v>
      </c>
      <c r="K18" s="1711">
        <v>292150</v>
      </c>
      <c r="L18" s="1903">
        <f t="shared" si="0"/>
        <v>-28378</v>
      </c>
      <c r="M18" s="1708"/>
      <c r="N18" s="1708"/>
      <c r="O18" s="1721"/>
      <c r="P18" s="1708"/>
      <c r="Q18" s="1708"/>
      <c r="R18" s="1586"/>
      <c r="S18" s="2192"/>
      <c r="T18" s="2193"/>
      <c r="U18" s="1642"/>
    </row>
    <row r="19" spans="2:22" x14ac:dyDescent="0.25">
      <c r="B19" s="1586" t="s">
        <v>896</v>
      </c>
      <c r="C19" s="1641">
        <v>21.8</v>
      </c>
      <c r="D19" s="1587">
        <v>800</v>
      </c>
      <c r="E19" s="1588">
        <f t="shared" si="1"/>
        <v>17.440000000000001</v>
      </c>
      <c r="F19" s="1918"/>
      <c r="G19" s="1590">
        <f t="shared" si="4"/>
        <v>0</v>
      </c>
      <c r="H19" s="1642"/>
      <c r="I19" s="795">
        <v>46036</v>
      </c>
      <c r="J19" s="1711">
        <f>K18</f>
        <v>292150</v>
      </c>
      <c r="K19" s="1711">
        <v>270324</v>
      </c>
      <c r="L19" s="1903">
        <f t="shared" si="0"/>
        <v>21826</v>
      </c>
      <c r="M19" s="1708"/>
      <c r="N19" s="1708"/>
      <c r="O19" s="1721"/>
      <c r="P19" s="1708"/>
      <c r="Q19" s="1708"/>
      <c r="R19" s="1586"/>
      <c r="S19" s="2192"/>
      <c r="T19" s="2193"/>
    </row>
    <row r="20" spans="2:22" x14ac:dyDescent="0.25">
      <c r="B20" s="1586" t="s">
        <v>897</v>
      </c>
      <c r="C20" s="1587">
        <v>10</v>
      </c>
      <c r="D20" s="1587">
        <v>810</v>
      </c>
      <c r="E20" s="1588">
        <f t="shared" si="1"/>
        <v>8.1</v>
      </c>
      <c r="F20" s="1918"/>
      <c r="G20" s="1590">
        <f t="shared" si="4"/>
        <v>0</v>
      </c>
      <c r="H20" s="1642"/>
      <c r="I20" s="795">
        <v>46037</v>
      </c>
      <c r="J20" s="1711">
        <f t="shared" ref="J20:J21" si="5">K19</f>
        <v>270324</v>
      </c>
      <c r="K20" s="1711">
        <v>264646</v>
      </c>
      <c r="L20" s="1903">
        <f t="shared" si="0"/>
        <v>5678</v>
      </c>
      <c r="M20" s="1708"/>
      <c r="N20" s="1708"/>
      <c r="O20" s="1721"/>
      <c r="P20" s="1708"/>
      <c r="Q20" s="1708"/>
      <c r="R20" s="1586"/>
      <c r="S20" s="2192"/>
      <c r="T20" s="2193"/>
    </row>
    <row r="21" spans="2:22" x14ac:dyDescent="0.25">
      <c r="B21" s="1586" t="s">
        <v>898</v>
      </c>
      <c r="C21" s="1641">
        <v>11.4</v>
      </c>
      <c r="D21" s="1587">
        <v>790</v>
      </c>
      <c r="E21" s="1588">
        <f t="shared" si="1"/>
        <v>9.0060000000000002</v>
      </c>
      <c r="F21" s="1918"/>
      <c r="G21" s="1590">
        <f t="shared" si="4"/>
        <v>0</v>
      </c>
      <c r="H21" s="1642"/>
      <c r="I21" s="795">
        <v>46038</v>
      </c>
      <c r="J21" s="1711">
        <f t="shared" si="5"/>
        <v>264646</v>
      </c>
      <c r="K21" s="1711">
        <v>135284</v>
      </c>
      <c r="L21" s="1903">
        <f t="shared" si="0"/>
        <v>129362</v>
      </c>
      <c r="M21" s="1708"/>
      <c r="N21" s="1708"/>
      <c r="O21" s="1721"/>
      <c r="P21" s="1708"/>
      <c r="Q21" s="1708"/>
      <c r="R21" s="1586"/>
      <c r="S21" s="2192"/>
      <c r="T21" s="2193"/>
    </row>
    <row r="22" spans="2:22" x14ac:dyDescent="0.25">
      <c r="B22" s="1586" t="s">
        <v>899</v>
      </c>
      <c r="C22" s="1587">
        <v>14</v>
      </c>
      <c r="D22" s="1587">
        <v>790</v>
      </c>
      <c r="E22" s="1588">
        <f>C22*D22/1000</f>
        <v>11.06</v>
      </c>
      <c r="F22" s="1918"/>
      <c r="G22" s="1590">
        <f t="shared" si="4"/>
        <v>0</v>
      </c>
      <c r="H22" s="1594"/>
      <c r="I22" s="795">
        <v>46039</v>
      </c>
      <c r="J22" s="1711"/>
      <c r="K22" s="1711"/>
      <c r="L22" s="1903">
        <f t="shared" si="0"/>
        <v>0</v>
      </c>
      <c r="M22" s="1708"/>
      <c r="N22" s="1708"/>
      <c r="O22" s="1721"/>
      <c r="P22" s="1708"/>
      <c r="Q22" s="1708"/>
      <c r="R22" s="1586"/>
      <c r="S22" s="2192"/>
      <c r="T22" s="2193"/>
    </row>
    <row r="23" spans="2:22" x14ac:dyDescent="0.25">
      <c r="B23" s="1586" t="s">
        <v>900</v>
      </c>
      <c r="C23" s="1641">
        <v>149.76</v>
      </c>
      <c r="D23" s="1587">
        <v>790</v>
      </c>
      <c r="E23" s="1588">
        <f>C23*D23/1000</f>
        <v>118.31039999999999</v>
      </c>
      <c r="F23" s="1918"/>
      <c r="G23" s="1590">
        <f t="shared" si="4"/>
        <v>0</v>
      </c>
      <c r="H23" s="1595"/>
      <c r="I23" s="795">
        <v>46040</v>
      </c>
      <c r="J23" s="1711"/>
      <c r="K23" s="1711"/>
      <c r="L23" s="1903">
        <f t="shared" si="0"/>
        <v>0</v>
      </c>
      <c r="M23" s="1708"/>
      <c r="N23" s="1708"/>
      <c r="O23" s="1721"/>
      <c r="P23" s="1708"/>
      <c r="Q23" s="1708"/>
      <c r="R23" s="1586"/>
      <c r="S23" s="2192"/>
      <c r="T23" s="2193"/>
    </row>
    <row r="24" spans="2:22" x14ac:dyDescent="0.25">
      <c r="B24" s="1587"/>
      <c r="C24" s="1588">
        <f>SUM(C6:C23)</f>
        <v>490.45999999999992</v>
      </c>
      <c r="D24" s="1587"/>
      <c r="E24" s="1588">
        <f>SUM(E6:E23)</f>
        <v>404.53420000000006</v>
      </c>
      <c r="F24" s="1918"/>
      <c r="G24" s="1596"/>
      <c r="H24" s="1601"/>
      <c r="I24" s="795">
        <v>46041</v>
      </c>
      <c r="J24" s="1711"/>
      <c r="K24" s="1711"/>
      <c r="L24" s="1903">
        <f t="shared" si="0"/>
        <v>0</v>
      </c>
      <c r="M24" s="1708"/>
      <c r="N24" s="1708"/>
      <c r="O24" s="1721"/>
      <c r="P24" s="1708"/>
      <c r="Q24" s="1708"/>
      <c r="R24" s="1586"/>
      <c r="S24" s="2192"/>
      <c r="T24" s="2193"/>
    </row>
    <row r="25" spans="2:22" ht="15.75" x14ac:dyDescent="0.25">
      <c r="E25" s="1595"/>
      <c r="F25" s="1597" t="s">
        <v>901</v>
      </c>
      <c r="G25" s="1603">
        <f>SUM(G6:G24)</f>
        <v>0</v>
      </c>
      <c r="H25" s="1601"/>
      <c r="I25" s="795">
        <v>46042</v>
      </c>
      <c r="J25" s="1711"/>
      <c r="K25" s="1711"/>
      <c r="L25" s="1903">
        <f t="shared" si="0"/>
        <v>0</v>
      </c>
      <c r="M25" s="1708"/>
      <c r="N25" s="1708"/>
      <c r="O25" s="1721"/>
      <c r="P25" s="1708"/>
      <c r="Q25" s="1708"/>
      <c r="R25" s="1586"/>
      <c r="S25" s="2192"/>
      <c r="T25" s="2193"/>
    </row>
    <row r="26" spans="2:22" ht="15.75" x14ac:dyDescent="0.25">
      <c r="B26" s="1642"/>
      <c r="C26" s="1910"/>
      <c r="D26" s="1910"/>
      <c r="E26" s="1910"/>
      <c r="F26" s="1911"/>
      <c r="G26" s="1603"/>
      <c r="H26" s="1601"/>
      <c r="I26" s="795">
        <v>46043</v>
      </c>
      <c r="J26" s="1711"/>
      <c r="K26" s="1711"/>
      <c r="L26" s="1903">
        <f t="shared" si="0"/>
        <v>0</v>
      </c>
      <c r="M26" s="1708"/>
      <c r="N26" s="1708"/>
      <c r="O26" s="1721"/>
      <c r="P26" s="1708"/>
      <c r="Q26" s="1708"/>
      <c r="R26" s="1586"/>
      <c r="S26" s="2192"/>
      <c r="T26" s="2193"/>
      <c r="U26" s="1585"/>
    </row>
    <row r="27" spans="2:22" x14ac:dyDescent="0.25">
      <c r="B27" s="1642"/>
      <c r="E27" s="1595"/>
      <c r="F27" s="1601"/>
      <c r="G27" s="1912"/>
      <c r="H27" s="1601"/>
      <c r="I27" s="795">
        <v>46044</v>
      </c>
      <c r="J27" s="1711"/>
      <c r="K27" s="1711"/>
      <c r="L27" s="1903">
        <f t="shared" si="0"/>
        <v>0</v>
      </c>
      <c r="M27" s="1708"/>
      <c r="N27" s="1708"/>
      <c r="O27" s="1721"/>
      <c r="P27" s="1708"/>
      <c r="Q27" s="1708"/>
      <c r="R27" s="1586"/>
      <c r="S27" s="2192"/>
      <c r="T27" s="2193"/>
    </row>
    <row r="28" spans="2:22" ht="15.75" x14ac:dyDescent="0.25">
      <c r="B28" s="1642"/>
      <c r="E28" s="1595"/>
      <c r="F28" s="1601"/>
      <c r="G28" s="1603"/>
      <c r="H28" s="1601"/>
      <c r="I28" s="795">
        <v>46045</v>
      </c>
      <c r="J28" s="1711"/>
      <c r="K28" s="1711"/>
      <c r="L28" s="1903">
        <f t="shared" si="0"/>
        <v>0</v>
      </c>
      <c r="M28" s="1708"/>
      <c r="N28" s="1708"/>
      <c r="O28" s="1721"/>
      <c r="P28" s="1708"/>
      <c r="Q28" s="1708"/>
      <c r="R28" s="1586"/>
      <c r="S28" s="2192"/>
      <c r="T28" s="2193"/>
    </row>
    <row r="29" spans="2:22" ht="15.75" x14ac:dyDescent="0.25">
      <c r="B29" s="1642"/>
      <c r="E29" s="1595"/>
      <c r="F29" s="1601"/>
      <c r="G29" s="1603"/>
      <c r="H29" s="1601"/>
      <c r="I29" s="795">
        <v>46046</v>
      </c>
      <c r="J29" s="1711"/>
      <c r="K29" s="1711"/>
      <c r="L29" s="1903">
        <f t="shared" si="0"/>
        <v>0</v>
      </c>
      <c r="M29" s="1708"/>
      <c r="N29" s="1708"/>
      <c r="O29" s="1721"/>
      <c r="P29" s="1708"/>
      <c r="Q29" s="1708"/>
      <c r="R29" s="1586"/>
      <c r="S29" s="2192"/>
      <c r="T29" s="2193"/>
      <c r="V29" s="1585"/>
    </row>
    <row r="30" spans="2:22" x14ac:dyDescent="0.25">
      <c r="H30" s="1595"/>
      <c r="I30" s="795">
        <v>46047</v>
      </c>
      <c r="J30" s="1711"/>
      <c r="K30" s="1711"/>
      <c r="L30" s="1903">
        <f t="shared" si="0"/>
        <v>0</v>
      </c>
      <c r="M30" s="1708"/>
      <c r="N30" s="1708"/>
      <c r="O30" s="1721"/>
      <c r="P30" s="1708"/>
      <c r="Q30" s="1708"/>
      <c r="R30" s="1586"/>
      <c r="S30" s="2192"/>
      <c r="T30" s="2193"/>
    </row>
    <row r="31" spans="2:22" x14ac:dyDescent="0.25">
      <c r="H31" s="1598">
        <v>0</v>
      </c>
      <c r="I31" s="795">
        <v>46048</v>
      </c>
      <c r="J31" s="1711"/>
      <c r="K31" s="1902"/>
      <c r="L31" s="1903">
        <f t="shared" si="0"/>
        <v>0</v>
      </c>
      <c r="M31" s="1708"/>
      <c r="N31" s="1708"/>
      <c r="O31" s="1721"/>
      <c r="P31" s="1708"/>
      <c r="Q31" s="1708"/>
      <c r="R31" s="1586"/>
      <c r="S31" s="2192"/>
      <c r="T31" s="2193"/>
    </row>
    <row r="32" spans="2:22" x14ac:dyDescent="0.25">
      <c r="H32" s="1598"/>
      <c r="I32" s="795">
        <v>46049</v>
      </c>
      <c r="J32" s="1711"/>
      <c r="K32" s="1902"/>
      <c r="L32" s="1903">
        <f t="shared" si="0"/>
        <v>0</v>
      </c>
      <c r="M32" s="1708"/>
      <c r="N32" s="1708"/>
      <c r="O32" s="1721"/>
      <c r="P32" s="1708"/>
      <c r="Q32" s="1708"/>
      <c r="R32" s="1586"/>
      <c r="S32" s="2192"/>
      <c r="T32" s="2193"/>
    </row>
    <row r="33" spans="2:20" x14ac:dyDescent="0.25">
      <c r="H33" s="1598"/>
      <c r="I33" s="795">
        <v>46050</v>
      </c>
      <c r="J33" s="1711"/>
      <c r="K33" s="1902"/>
      <c r="L33" s="1903">
        <f t="shared" si="0"/>
        <v>0</v>
      </c>
      <c r="M33" s="1708"/>
      <c r="N33" s="1708"/>
      <c r="O33" s="1721"/>
      <c r="P33" s="1708"/>
      <c r="Q33" s="1708"/>
      <c r="R33" s="1586"/>
      <c r="S33" s="2192"/>
      <c r="T33" s="2193"/>
    </row>
    <row r="34" spans="2:20" x14ac:dyDescent="0.25">
      <c r="H34" s="1598"/>
      <c r="I34" s="795">
        <v>46051</v>
      </c>
      <c r="J34" s="1902"/>
      <c r="K34" s="1902"/>
      <c r="L34" s="1903">
        <f t="shared" si="0"/>
        <v>0</v>
      </c>
      <c r="M34" s="1708"/>
      <c r="N34" s="1708"/>
      <c r="O34" s="1721"/>
      <c r="P34" s="1708"/>
      <c r="Q34" s="1708"/>
      <c r="R34" s="1586"/>
      <c r="S34" s="2192"/>
      <c r="T34" s="2193"/>
    </row>
    <row r="35" spans="2:20" x14ac:dyDescent="0.25">
      <c r="I35" s="795">
        <v>46052</v>
      </c>
      <c r="J35" s="1902"/>
      <c r="K35" s="1902"/>
      <c r="L35" s="1903">
        <f t="shared" si="0"/>
        <v>0</v>
      </c>
      <c r="M35" s="1708"/>
      <c r="N35" s="1708"/>
      <c r="O35" s="1721"/>
      <c r="P35" s="1708"/>
      <c r="Q35" s="1708"/>
      <c r="R35" s="1586"/>
      <c r="S35" s="2192"/>
      <c r="T35" s="2193"/>
    </row>
    <row r="36" spans="2:20" x14ac:dyDescent="0.25">
      <c r="I36" s="795">
        <v>46053</v>
      </c>
      <c r="J36" s="1902"/>
      <c r="K36" s="1902"/>
      <c r="L36" s="1903">
        <f t="shared" si="0"/>
        <v>0</v>
      </c>
      <c r="M36" s="1732"/>
      <c r="N36" s="1732"/>
      <c r="O36" s="1733"/>
      <c r="P36" s="1732"/>
      <c r="Q36" s="1732"/>
      <c r="R36" s="1734"/>
      <c r="S36" s="1731"/>
      <c r="T36" s="1731"/>
    </row>
    <row r="37" spans="2:20" x14ac:dyDescent="0.25">
      <c r="I37" s="1650"/>
      <c r="J37" s="1732"/>
      <c r="K37" s="1732"/>
      <c r="M37" s="1732"/>
      <c r="N37" s="1732"/>
      <c r="O37" s="1733"/>
      <c r="P37" s="1732"/>
      <c r="Q37" s="1732"/>
      <c r="R37" s="1734"/>
      <c r="S37" s="1731"/>
      <c r="T37" s="1731"/>
    </row>
    <row r="38" spans="2:20" hidden="1" x14ac:dyDescent="0.25">
      <c r="B38" s="1582" t="s">
        <v>902</v>
      </c>
      <c r="I38" s="1650"/>
    </row>
    <row r="39" spans="2:20" hidden="1" x14ac:dyDescent="0.25">
      <c r="B39" s="1586" t="s">
        <v>903</v>
      </c>
      <c r="C39" s="1587">
        <f>5.3+0.78</f>
        <v>6.08</v>
      </c>
      <c r="D39" s="1587">
        <v>840</v>
      </c>
      <c r="E39" s="1588">
        <f>C39*D39/1000</f>
        <v>5.1071999999999997</v>
      </c>
      <c r="F39" s="1589">
        <v>0</v>
      </c>
      <c r="G39" s="1599">
        <f>F39*E39/100*1000</f>
        <v>0</v>
      </c>
      <c r="I39" s="1650"/>
    </row>
    <row r="40" spans="2:20" hidden="1" x14ac:dyDescent="0.25">
      <c r="B40" s="1619"/>
      <c r="C40" s="1619"/>
      <c r="D40" s="1619"/>
      <c r="E40" s="1648"/>
      <c r="F40" s="1648"/>
      <c r="G40" s="1647"/>
      <c r="I40" s="1650"/>
    </row>
    <row r="41" spans="2:20" hidden="1" x14ac:dyDescent="0.25">
      <c r="B41" s="1582" t="s">
        <v>904</v>
      </c>
      <c r="F41" s="1648"/>
      <c r="G41" s="1647"/>
      <c r="I41" s="1650"/>
    </row>
    <row r="42" spans="2:20" hidden="1" x14ac:dyDescent="0.25">
      <c r="B42" s="1587"/>
      <c r="C42" s="2063" t="s">
        <v>1119</v>
      </c>
      <c r="D42" s="2063" t="s">
        <v>1120</v>
      </c>
      <c r="E42" s="1587" t="s">
        <v>806</v>
      </c>
      <c r="F42" s="1648"/>
      <c r="G42" s="1647"/>
      <c r="I42" s="1650"/>
    </row>
    <row r="43" spans="2:20" hidden="1" x14ac:dyDescent="0.25">
      <c r="B43" s="1587" t="s">
        <v>905</v>
      </c>
      <c r="C43" s="1599"/>
      <c r="D43" s="1599"/>
      <c r="E43" s="1600"/>
      <c r="F43" s="1619"/>
      <c r="I43" s="1650"/>
    </row>
    <row r="44" spans="2:20" hidden="1" x14ac:dyDescent="0.25">
      <c r="B44" s="1649" t="s">
        <v>989</v>
      </c>
      <c r="C44" s="1600"/>
      <c r="D44" s="1600">
        <v>298</v>
      </c>
      <c r="E44" s="1600"/>
      <c r="F44" s="1619"/>
      <c r="I44" s="1650"/>
    </row>
    <row r="45" spans="2:20" hidden="1" x14ac:dyDescent="0.25">
      <c r="B45" s="1649" t="s">
        <v>990</v>
      </c>
      <c r="C45" s="1600"/>
      <c r="D45" s="1600"/>
      <c r="E45" s="1600"/>
      <c r="F45" s="1619"/>
    </row>
    <row r="46" spans="2:20" hidden="1" x14ac:dyDescent="0.25">
      <c r="B46" s="1587" t="s">
        <v>906</v>
      </c>
      <c r="C46" s="1600"/>
      <c r="D46" s="1600"/>
      <c r="E46" s="1600"/>
    </row>
    <row r="47" spans="2:20" hidden="1" x14ac:dyDescent="0.25">
      <c r="B47" s="1587" t="s">
        <v>595</v>
      </c>
      <c r="C47" s="1587"/>
      <c r="D47" s="1587"/>
      <c r="E47" s="1587"/>
    </row>
    <row r="48" spans="2:20" hidden="1" x14ac:dyDescent="0.25">
      <c r="B48" s="1587" t="s">
        <v>907</v>
      </c>
      <c r="C48" s="1587"/>
      <c r="D48" s="1587"/>
      <c r="E48" s="1587"/>
    </row>
    <row r="49" spans="2:5" hidden="1" x14ac:dyDescent="0.25">
      <c r="B49" s="1587"/>
      <c r="C49" s="1600"/>
      <c r="D49" s="1600"/>
      <c r="E49" s="1600"/>
    </row>
    <row r="50" spans="2:5" hidden="1" x14ac:dyDescent="0.25">
      <c r="B50" s="1587"/>
      <c r="C50" s="1587"/>
      <c r="D50" s="1587"/>
      <c r="E50" s="1587"/>
    </row>
    <row r="51" spans="2:5" hidden="1" x14ac:dyDescent="0.25">
      <c r="B51" s="1587"/>
      <c r="C51" s="1587"/>
      <c r="D51" s="1587"/>
      <c r="E51" s="1587"/>
    </row>
  </sheetData>
  <mergeCells count="34">
    <mergeCell ref="S13:T13"/>
    <mergeCell ref="J4:L4"/>
    <mergeCell ref="M4:O4"/>
    <mergeCell ref="P4:R4"/>
    <mergeCell ref="S4:T5"/>
    <mergeCell ref="S6:T6"/>
    <mergeCell ref="S7:T7"/>
    <mergeCell ref="S8:T8"/>
    <mergeCell ref="S9:T9"/>
    <mergeCell ref="S10:T10"/>
    <mergeCell ref="S11:T11"/>
    <mergeCell ref="S12:T12"/>
    <mergeCell ref="S25:T25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32:T32"/>
    <mergeCell ref="S33:T33"/>
    <mergeCell ref="S34:T34"/>
    <mergeCell ref="S35:T35"/>
    <mergeCell ref="S26:T26"/>
    <mergeCell ref="S27:T27"/>
    <mergeCell ref="S28:T28"/>
    <mergeCell ref="S29:T29"/>
    <mergeCell ref="S30:T30"/>
    <mergeCell ref="S31:T31"/>
  </mergeCells>
  <pageMargins left="0.7" right="0.7" top="0.75" bottom="0.75" header="0.3" footer="0.3"/>
  <pageSetup paperSize="5" scale="50" orientation="landscape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16"/>
      <c r="B1" s="1836"/>
      <c r="C1" s="2219" t="s">
        <v>1051</v>
      </c>
      <c r="D1" s="2220"/>
      <c r="E1" s="2220"/>
      <c r="F1" s="2220"/>
      <c r="G1" s="2220"/>
      <c r="H1" s="2220"/>
      <c r="I1" s="2221"/>
    </row>
    <row r="2" spans="1:9" ht="14.85" customHeight="1" x14ac:dyDescent="0.25">
      <c r="A2" s="2217"/>
      <c r="B2" s="1837"/>
      <c r="C2" s="2222" t="s">
        <v>1052</v>
      </c>
      <c r="D2" s="2223"/>
      <c r="E2" s="2223"/>
      <c r="F2" s="2223"/>
      <c r="G2" s="2223"/>
      <c r="H2" s="2223"/>
      <c r="I2" s="2224"/>
    </row>
    <row r="3" spans="1:9" ht="14.85" customHeight="1" x14ac:dyDescent="0.25">
      <c r="A3" s="2217"/>
      <c r="B3" s="1838"/>
      <c r="C3" s="2225" t="s">
        <v>1053</v>
      </c>
      <c r="D3" s="2226"/>
      <c r="E3" s="2226"/>
      <c r="F3" s="2226"/>
      <c r="G3" s="2226"/>
      <c r="H3" s="2226"/>
      <c r="I3" s="2227"/>
    </row>
    <row r="4" spans="1:9" ht="14.85" customHeight="1" x14ac:dyDescent="0.25">
      <c r="A4" s="2217"/>
      <c r="B4" s="1838"/>
      <c r="C4" s="2228" t="s">
        <v>1054</v>
      </c>
      <c r="D4" s="2229"/>
      <c r="E4" s="2229"/>
      <c r="F4" s="2229"/>
      <c r="G4" s="2229"/>
      <c r="H4" s="1826" t="s">
        <v>1058</v>
      </c>
      <c r="I4" s="1840">
        <v>1</v>
      </c>
    </row>
    <row r="5" spans="1:9" ht="14.85" customHeight="1" x14ac:dyDescent="0.25">
      <c r="A5" s="2217"/>
      <c r="B5" s="1838"/>
      <c r="C5" s="2230"/>
      <c r="D5" s="2231"/>
      <c r="E5" s="2231"/>
      <c r="F5" s="2231"/>
      <c r="G5" s="2231"/>
      <c r="H5" s="1841" t="s">
        <v>1055</v>
      </c>
      <c r="I5" s="1842" t="s">
        <v>1057</v>
      </c>
    </row>
    <row r="6" spans="1:9" ht="15" customHeight="1" thickBot="1" x14ac:dyDescent="0.3">
      <c r="A6" s="2218"/>
      <c r="B6" s="1839"/>
      <c r="C6" s="2232"/>
      <c r="D6" s="2233"/>
      <c r="E6" s="2233"/>
      <c r="F6" s="2233"/>
      <c r="G6" s="2233"/>
      <c r="H6" s="1827" t="s">
        <v>1056</v>
      </c>
      <c r="I6" s="1843" t="s">
        <v>1057</v>
      </c>
    </row>
    <row r="7" spans="1:9" ht="21" customHeight="1" thickTop="1" thickBot="1" x14ac:dyDescent="0.4">
      <c r="A7" s="1817"/>
      <c r="B7" s="1817"/>
      <c r="C7" s="1817"/>
      <c r="D7" s="1817"/>
      <c r="E7" s="1818"/>
      <c r="F7" s="1818"/>
      <c r="G7" s="1818"/>
      <c r="H7" s="1818"/>
    </row>
    <row r="8" spans="1:9" ht="14.85" customHeight="1" x14ac:dyDescent="0.25">
      <c r="A8" s="2181" t="s">
        <v>98</v>
      </c>
      <c r="B8" s="2185" t="s">
        <v>99</v>
      </c>
      <c r="C8" s="2183" t="s">
        <v>1048</v>
      </c>
      <c r="D8" s="2208" t="s">
        <v>1035</v>
      </c>
      <c r="E8" s="2210" t="s">
        <v>1050</v>
      </c>
      <c r="F8" s="2211"/>
      <c r="G8" s="2211"/>
      <c r="H8" s="2211"/>
      <c r="I8" s="2212"/>
    </row>
    <row r="9" spans="1:9" ht="15.75" thickBot="1" x14ac:dyDescent="0.3">
      <c r="A9" s="2206"/>
      <c r="B9" s="2207"/>
      <c r="C9" s="2205"/>
      <c r="D9" s="2209"/>
      <c r="E9" s="2213"/>
      <c r="F9" s="2214"/>
      <c r="G9" s="2214"/>
      <c r="H9" s="2214"/>
      <c r="I9" s="2215"/>
    </row>
    <row r="10" spans="1:9" ht="15.75" thickBot="1" x14ac:dyDescent="0.3">
      <c r="A10" s="1784">
        <v>1</v>
      </c>
      <c r="B10" s="1667" t="s">
        <v>84</v>
      </c>
      <c r="C10" s="1743" t="s">
        <v>993</v>
      </c>
      <c r="D10" s="1743" t="s">
        <v>1046</v>
      </c>
      <c r="E10" s="1828" t="s">
        <v>945</v>
      </c>
      <c r="F10" s="1828" t="s">
        <v>946</v>
      </c>
      <c r="G10" s="1744" t="s">
        <v>187</v>
      </c>
      <c r="H10" s="1745" t="s">
        <v>999</v>
      </c>
      <c r="I10" s="1834" t="s">
        <v>1049</v>
      </c>
    </row>
    <row r="11" spans="1:9" ht="15.75" x14ac:dyDescent="0.25">
      <c r="A11" s="8"/>
      <c r="B11" s="1755" t="s">
        <v>552</v>
      </c>
      <c r="C11" s="247"/>
      <c r="D11" s="247"/>
      <c r="E11" s="33"/>
      <c r="F11" s="1785"/>
      <c r="G11" s="1785"/>
      <c r="H11" s="1819"/>
      <c r="I11" s="1829"/>
    </row>
    <row r="12" spans="1:9" hidden="1" x14ac:dyDescent="0.25">
      <c r="A12" s="8"/>
      <c r="B12" s="11" t="s">
        <v>83</v>
      </c>
      <c r="C12" s="247"/>
      <c r="D12" s="247"/>
      <c r="E12" s="33"/>
      <c r="I12" s="1830"/>
    </row>
    <row r="13" spans="1:9" hidden="1" x14ac:dyDescent="0.25">
      <c r="A13" s="8"/>
      <c r="B13" s="71" t="s">
        <v>124</v>
      </c>
      <c r="C13" s="247"/>
      <c r="D13" s="247"/>
      <c r="E13" s="266"/>
      <c r="I13" s="1830"/>
    </row>
    <row r="14" spans="1:9" hidden="1" x14ac:dyDescent="0.25">
      <c r="A14" s="8"/>
      <c r="B14" s="11" t="s">
        <v>102</v>
      </c>
      <c r="C14" s="247"/>
      <c r="D14" s="247"/>
      <c r="E14" s="34"/>
      <c r="I14" s="1830"/>
    </row>
    <row r="15" spans="1:9" x14ac:dyDescent="0.25">
      <c r="A15" s="8"/>
      <c r="B15" s="1664" t="s">
        <v>992</v>
      </c>
      <c r="C15" s="1760">
        <v>2500</v>
      </c>
      <c r="D15" s="1761" t="s">
        <v>376</v>
      </c>
      <c r="E15" s="1497">
        <v>8982.7999999999993</v>
      </c>
      <c r="F15" s="1497">
        <v>11717.8</v>
      </c>
      <c r="G15" s="241">
        <f>F15-E15</f>
        <v>2735</v>
      </c>
      <c r="H15" s="1820">
        <f>G15/25000*10</f>
        <v>1.0939999999999999</v>
      </c>
      <c r="I15" s="1833" t="s">
        <v>836</v>
      </c>
    </row>
    <row r="16" spans="1:9" hidden="1" x14ac:dyDescent="0.25">
      <c r="A16" s="8"/>
      <c r="B16" s="914" t="s">
        <v>374</v>
      </c>
      <c r="C16" s="915"/>
      <c r="D16" s="1791"/>
      <c r="E16" s="916"/>
      <c r="I16" s="1830"/>
    </row>
    <row r="17" spans="1:9" hidden="1" x14ac:dyDescent="0.25">
      <c r="A17" s="8"/>
      <c r="B17" s="21" t="s">
        <v>96</v>
      </c>
      <c r="C17" s="231">
        <v>29045000</v>
      </c>
      <c r="D17" s="1788"/>
      <c r="E17" s="33"/>
      <c r="I17" s="1830"/>
    </row>
    <row r="18" spans="1:9" hidden="1" x14ac:dyDescent="0.25">
      <c r="A18" s="8"/>
      <c r="B18" s="21" t="s">
        <v>97</v>
      </c>
      <c r="C18" s="231">
        <v>7314000</v>
      </c>
      <c r="D18" s="1788"/>
      <c r="E18" s="33">
        <f>E49+E58+E63</f>
        <v>0</v>
      </c>
      <c r="I18" s="1830"/>
    </row>
    <row r="19" spans="1:9" x14ac:dyDescent="0.25">
      <c r="A19" s="8"/>
      <c r="B19" s="1746" t="s">
        <v>997</v>
      </c>
      <c r="C19" s="1752"/>
      <c r="D19" s="1792"/>
      <c r="E19" s="33"/>
      <c r="F19" s="726"/>
      <c r="G19" s="726"/>
      <c r="I19" s="1830"/>
    </row>
    <row r="20" spans="1:9" x14ac:dyDescent="0.25">
      <c r="A20" s="8"/>
      <c r="B20" s="14" t="s">
        <v>81</v>
      </c>
      <c r="C20" s="1814">
        <v>0.1</v>
      </c>
      <c r="D20" s="260" t="s">
        <v>1036</v>
      </c>
      <c r="E20" s="1672"/>
      <c r="F20" s="1657"/>
      <c r="G20" s="1656"/>
      <c r="H20" s="1656">
        <v>6.3E-2</v>
      </c>
      <c r="I20" s="1830"/>
    </row>
    <row r="21" spans="1:9" x14ac:dyDescent="0.25">
      <c r="A21" s="8"/>
      <c r="B21" s="14" t="s">
        <v>80</v>
      </c>
      <c r="C21" s="1814">
        <v>0.1</v>
      </c>
      <c r="D21" s="260" t="s">
        <v>1036</v>
      </c>
      <c r="E21" s="1672"/>
      <c r="F21" s="1657"/>
      <c r="G21" s="1656"/>
      <c r="H21" s="1656">
        <v>0.05</v>
      </c>
      <c r="I21" s="1830"/>
    </row>
    <row r="22" spans="1:9" x14ac:dyDescent="0.25">
      <c r="A22" s="8"/>
      <c r="B22" s="14" t="s">
        <v>994</v>
      </c>
      <c r="C22" s="249" t="s">
        <v>995</v>
      </c>
      <c r="D22" s="1790"/>
      <c r="E22" s="1672"/>
      <c r="F22" s="1657"/>
      <c r="G22" s="1656"/>
      <c r="H22" s="1656">
        <v>51.8</v>
      </c>
      <c r="I22" s="1830"/>
    </row>
    <row r="23" spans="1:9" x14ac:dyDescent="0.25">
      <c r="A23" s="8"/>
      <c r="B23" s="14" t="s">
        <v>950</v>
      </c>
      <c r="C23" s="1747"/>
      <c r="D23" s="1790"/>
      <c r="E23" s="1672"/>
      <c r="F23" s="1657"/>
      <c r="G23" s="1656"/>
      <c r="H23" s="1656" t="s">
        <v>1006</v>
      </c>
      <c r="I23" s="1830"/>
    </row>
    <row r="24" spans="1:9" x14ac:dyDescent="0.25">
      <c r="A24" s="8"/>
      <c r="B24" s="14" t="s">
        <v>996</v>
      </c>
      <c r="C24" s="1707">
        <v>68</v>
      </c>
      <c r="D24" s="260" t="s">
        <v>1038</v>
      </c>
      <c r="E24" s="1672"/>
      <c r="F24" s="1657"/>
      <c r="G24" s="1656"/>
      <c r="H24" s="1656">
        <v>65</v>
      </c>
      <c r="I24" s="1830"/>
    </row>
    <row r="25" spans="1:9" x14ac:dyDescent="0.25">
      <c r="A25" s="8"/>
      <c r="B25" s="232" t="s">
        <v>942</v>
      </c>
      <c r="C25" s="1661"/>
      <c r="D25" s="1793"/>
      <c r="E25" s="1673"/>
      <c r="F25" s="1662"/>
      <c r="G25" s="1663"/>
      <c r="H25" s="1663" t="s">
        <v>1005</v>
      </c>
      <c r="I25" s="1830"/>
    </row>
    <row r="26" spans="1:9" ht="15.75" x14ac:dyDescent="0.25">
      <c r="A26" s="8"/>
      <c r="B26" s="1754" t="s">
        <v>77</v>
      </c>
      <c r="C26" s="1654"/>
      <c r="D26" s="1779"/>
      <c r="E26" s="268"/>
      <c r="F26" s="1674"/>
      <c r="G26" s="1655"/>
      <c r="H26" s="1821"/>
      <c r="I26" s="1830"/>
    </row>
    <row r="27" spans="1:9" x14ac:dyDescent="0.25">
      <c r="A27" s="8"/>
      <c r="B27" s="1753" t="s">
        <v>74</v>
      </c>
      <c r="C27" s="1665">
        <f>C15*84%</f>
        <v>2100</v>
      </c>
      <c r="D27" s="1794" t="s">
        <v>376</v>
      </c>
      <c r="E27" s="1497">
        <v>6537.1</v>
      </c>
      <c r="F27" s="1497">
        <v>8213</v>
      </c>
      <c r="G27" s="1497">
        <f>F27-E27</f>
        <v>1675.8999999999996</v>
      </c>
      <c r="H27" s="1822">
        <f>G27/(G27+G32)</f>
        <v>0.82838218575453493</v>
      </c>
      <c r="I27" s="1833" t="s">
        <v>836</v>
      </c>
    </row>
    <row r="28" spans="1:9" x14ac:dyDescent="0.25">
      <c r="A28" s="8"/>
      <c r="B28" s="1746" t="s">
        <v>997</v>
      </c>
      <c r="C28" s="1751"/>
      <c r="D28" s="1795"/>
      <c r="E28" s="1672"/>
      <c r="F28" s="1657"/>
      <c r="G28" s="1748"/>
      <c r="H28" s="725"/>
      <c r="I28" s="1830"/>
    </row>
    <row r="29" spans="1:9" x14ac:dyDescent="0.25">
      <c r="A29" s="8"/>
      <c r="B29" s="14" t="s">
        <v>994</v>
      </c>
      <c r="C29" s="1707">
        <v>56</v>
      </c>
      <c r="D29" s="260" t="s">
        <v>1009</v>
      </c>
      <c r="E29" s="1672"/>
      <c r="F29" s="1657"/>
      <c r="G29" s="1750"/>
      <c r="H29" s="725"/>
      <c r="I29" s="1830"/>
    </row>
    <row r="30" spans="1:9" x14ac:dyDescent="0.25">
      <c r="A30" s="8"/>
      <c r="B30" s="14" t="s">
        <v>950</v>
      </c>
      <c r="C30" s="248"/>
      <c r="D30" s="260"/>
      <c r="E30" s="1672"/>
      <c r="F30" s="1657"/>
      <c r="G30" s="1749"/>
      <c r="H30" s="725"/>
      <c r="I30" s="1830"/>
    </row>
    <row r="31" spans="1:9" x14ac:dyDescent="0.25">
      <c r="A31" s="8"/>
      <c r="B31" s="14" t="s">
        <v>998</v>
      </c>
      <c r="C31" s="249">
        <v>10</v>
      </c>
      <c r="D31" s="260" t="s">
        <v>1039</v>
      </c>
      <c r="E31" s="1672"/>
      <c r="F31" s="1657"/>
      <c r="G31" s="1699"/>
      <c r="I31" s="1830"/>
    </row>
    <row r="32" spans="1:9" x14ac:dyDescent="0.25">
      <c r="A32" s="15"/>
      <c r="B32" s="1756" t="s">
        <v>73</v>
      </c>
      <c r="C32" s="1761">
        <f>C15*16%</f>
        <v>400</v>
      </c>
      <c r="D32" s="1761"/>
      <c r="E32" s="1497">
        <v>2268.1</v>
      </c>
      <c r="F32" s="1497">
        <v>2615.3000000000002</v>
      </c>
      <c r="G32" s="1497">
        <f>F32-E32</f>
        <v>347.20000000000027</v>
      </c>
      <c r="H32" s="1823">
        <f>G32/(G32+G27)</f>
        <v>0.17161781424546502</v>
      </c>
      <c r="I32" s="1833" t="s">
        <v>836</v>
      </c>
    </row>
    <row r="33" spans="1:9" hidden="1" x14ac:dyDescent="0.25">
      <c r="A33" s="15"/>
      <c r="B33" s="696" t="s">
        <v>348</v>
      </c>
      <c r="C33" s="718"/>
      <c r="D33" s="1788"/>
      <c r="E33" s="33"/>
      <c r="I33" s="1830"/>
    </row>
    <row r="34" spans="1:9" hidden="1" x14ac:dyDescent="0.25">
      <c r="A34" s="8"/>
      <c r="B34" s="11" t="s">
        <v>83</v>
      </c>
      <c r="C34" s="247"/>
      <c r="D34" s="247"/>
      <c r="E34" s="33"/>
      <c r="I34" s="1830"/>
    </row>
    <row r="35" spans="1:9" hidden="1" x14ac:dyDescent="0.25">
      <c r="A35" s="8"/>
      <c r="B35" s="11" t="s">
        <v>352</v>
      </c>
      <c r="C35" s="247"/>
      <c r="D35" s="247"/>
      <c r="E35" s="33">
        <v>0</v>
      </c>
      <c r="I35" s="1830"/>
    </row>
    <row r="36" spans="1:9" hidden="1" x14ac:dyDescent="0.25">
      <c r="A36" s="15"/>
      <c r="B36" s="64" t="s">
        <v>351</v>
      </c>
      <c r="C36" s="231"/>
      <c r="D36" s="1788"/>
      <c r="E36" s="266">
        <v>392100</v>
      </c>
      <c r="I36" s="1830"/>
    </row>
    <row r="37" spans="1:9" hidden="1" x14ac:dyDescent="0.25">
      <c r="A37" s="15"/>
      <c r="B37" s="914" t="s">
        <v>373</v>
      </c>
      <c r="C37" s="915"/>
      <c r="D37" s="1791"/>
      <c r="E37" s="916"/>
      <c r="I37" s="1830"/>
    </row>
    <row r="38" spans="1:9" hidden="1" x14ac:dyDescent="0.25">
      <c r="A38" s="15"/>
      <c r="B38" s="14" t="s">
        <v>350</v>
      </c>
      <c r="C38" s="717"/>
      <c r="D38" s="1796"/>
      <c r="E38" s="33">
        <f>SUM(E41,E45,E50,E54,E64)</f>
        <v>0</v>
      </c>
      <c r="I38" s="1830"/>
    </row>
    <row r="39" spans="1:9" hidden="1" x14ac:dyDescent="0.25">
      <c r="A39" s="15"/>
      <c r="B39" s="14" t="s">
        <v>349</v>
      </c>
      <c r="C39" s="719"/>
      <c r="D39" s="1796"/>
      <c r="E39" s="33">
        <f>E36-E38</f>
        <v>392100</v>
      </c>
      <c r="I39" s="1830"/>
    </row>
    <row r="40" spans="1:9" hidden="1" x14ac:dyDescent="0.25">
      <c r="A40" s="15"/>
      <c r="B40" s="227" t="s">
        <v>76</v>
      </c>
      <c r="C40" s="228"/>
      <c r="D40" s="1797"/>
      <c r="E40" s="94"/>
      <c r="I40" s="1830"/>
    </row>
    <row r="41" spans="1:9" hidden="1" x14ac:dyDescent="0.25">
      <c r="A41" s="15"/>
      <c r="B41" s="14" t="s">
        <v>75</v>
      </c>
      <c r="C41" s="251"/>
      <c r="D41" s="1798"/>
      <c r="E41" s="33">
        <f>E42+E43</f>
        <v>0</v>
      </c>
      <c r="I41" s="1830"/>
    </row>
    <row r="42" spans="1:9" hidden="1" x14ac:dyDescent="0.25">
      <c r="A42" s="15"/>
      <c r="B42" s="64" t="s">
        <v>74</v>
      </c>
      <c r="C42" s="251"/>
      <c r="D42" s="1798"/>
      <c r="E42" s="266">
        <v>0</v>
      </c>
      <c r="I42" s="1830"/>
    </row>
    <row r="43" spans="1:9" hidden="1" x14ac:dyDescent="0.25">
      <c r="A43" s="15"/>
      <c r="B43" s="64" t="s">
        <v>73</v>
      </c>
      <c r="C43" s="251"/>
      <c r="D43" s="1798"/>
      <c r="E43" s="267">
        <v>0</v>
      </c>
      <c r="I43" s="1830"/>
    </row>
    <row r="44" spans="1:9" hidden="1" x14ac:dyDescent="0.25">
      <c r="A44" s="68"/>
      <c r="B44" s="227" t="s">
        <v>103</v>
      </c>
      <c r="C44" s="301"/>
      <c r="D44" s="1799"/>
      <c r="E44" s="268"/>
      <c r="I44" s="1830"/>
    </row>
    <row r="45" spans="1:9" hidden="1" x14ac:dyDescent="0.25">
      <c r="A45" s="15"/>
      <c r="B45" s="14" t="s">
        <v>75</v>
      </c>
      <c r="C45" s="251"/>
      <c r="D45" s="1798"/>
      <c r="E45" s="33">
        <f>E46+E47</f>
        <v>0</v>
      </c>
      <c r="I45" s="1830"/>
    </row>
    <row r="46" spans="1:9" hidden="1" x14ac:dyDescent="0.25">
      <c r="A46" s="15"/>
      <c r="B46" s="64" t="s">
        <v>104</v>
      </c>
      <c r="C46" s="251"/>
      <c r="D46" s="1798"/>
      <c r="E46" s="266">
        <v>0</v>
      </c>
      <c r="I46" s="1830"/>
    </row>
    <row r="47" spans="1:9" hidden="1" x14ac:dyDescent="0.25">
      <c r="A47" s="15"/>
      <c r="B47" s="64" t="s">
        <v>73</v>
      </c>
      <c r="C47" s="251"/>
      <c r="D47" s="1798"/>
      <c r="E47" s="266">
        <v>0</v>
      </c>
      <c r="I47" s="1830"/>
    </row>
    <row r="48" spans="1:9" hidden="1" x14ac:dyDescent="0.25">
      <c r="A48" s="15"/>
      <c r="B48" s="227" t="s">
        <v>106</v>
      </c>
      <c r="C48" s="230"/>
      <c r="D48" s="1800"/>
      <c r="E48" s="94"/>
      <c r="I48" s="1830"/>
    </row>
    <row r="49" spans="1:9" hidden="1" x14ac:dyDescent="0.25">
      <c r="A49" s="17"/>
      <c r="B49" s="11" t="s">
        <v>71</v>
      </c>
      <c r="C49" s="252"/>
      <c r="D49" s="252"/>
      <c r="E49" s="33"/>
      <c r="I49" s="1830"/>
    </row>
    <row r="50" spans="1:9" hidden="1" x14ac:dyDescent="0.25">
      <c r="A50" s="15"/>
      <c r="B50" s="14" t="s">
        <v>70</v>
      </c>
      <c r="C50" s="251"/>
      <c r="D50" s="1798"/>
      <c r="E50" s="33">
        <f>E51+E52</f>
        <v>0</v>
      </c>
      <c r="I50" s="1830"/>
    </row>
    <row r="51" spans="1:9" hidden="1" x14ac:dyDescent="0.25">
      <c r="A51" s="15"/>
      <c r="B51" s="64" t="s">
        <v>108</v>
      </c>
      <c r="C51" s="251"/>
      <c r="D51" s="1798"/>
      <c r="E51" s="266">
        <v>0</v>
      </c>
      <c r="I51" s="1830"/>
    </row>
    <row r="52" spans="1:9" hidden="1" x14ac:dyDescent="0.25">
      <c r="A52" s="15"/>
      <c r="B52" s="55" t="s">
        <v>73</v>
      </c>
      <c r="C52" s="251"/>
      <c r="D52" s="1798"/>
      <c r="E52" s="267">
        <v>0</v>
      </c>
      <c r="I52" s="1830"/>
    </row>
    <row r="53" spans="1:9" hidden="1" x14ac:dyDescent="0.25">
      <c r="A53" s="68"/>
      <c r="B53" s="227" t="s">
        <v>109</v>
      </c>
      <c r="C53" s="301"/>
      <c r="D53" s="1801"/>
      <c r="E53" s="94"/>
      <c r="I53" s="1830"/>
    </row>
    <row r="54" spans="1:9" hidden="1" x14ac:dyDescent="0.25">
      <c r="A54" s="15"/>
      <c r="B54" s="14" t="s">
        <v>75</v>
      </c>
      <c r="C54" s="226">
        <f>C55+C56</f>
        <v>21429000</v>
      </c>
      <c r="D54" s="1802"/>
      <c r="E54" s="33">
        <f>E55+E56</f>
        <v>0</v>
      </c>
      <c r="I54" s="1830"/>
    </row>
    <row r="55" spans="1:9" hidden="1" x14ac:dyDescent="0.25">
      <c r="A55" s="15"/>
      <c r="B55" s="64" t="s">
        <v>111</v>
      </c>
      <c r="C55" s="67">
        <v>15000000</v>
      </c>
      <c r="D55" s="1803"/>
      <c r="E55" s="266"/>
      <c r="I55" s="1830"/>
    </row>
    <row r="56" spans="1:9" hidden="1" x14ac:dyDescent="0.25">
      <c r="A56" s="15"/>
      <c r="B56" s="64" t="s">
        <v>73</v>
      </c>
      <c r="C56" s="67">
        <v>6429000</v>
      </c>
      <c r="D56" s="1803"/>
      <c r="E56" s="267"/>
      <c r="I56" s="1830"/>
    </row>
    <row r="57" spans="1:9" hidden="1" x14ac:dyDescent="0.25">
      <c r="A57" s="68"/>
      <c r="B57" s="227" t="s">
        <v>834</v>
      </c>
      <c r="C57" s="301"/>
      <c r="D57" s="1799"/>
      <c r="E57" s="268"/>
      <c r="I57" s="1830"/>
    </row>
    <row r="58" spans="1:9" hidden="1" x14ac:dyDescent="0.25">
      <c r="A58" s="17"/>
      <c r="B58" s="11" t="s">
        <v>71</v>
      </c>
      <c r="C58" s="252"/>
      <c r="D58" s="252"/>
      <c r="E58" s="33"/>
      <c r="I58" s="1830"/>
    </row>
    <row r="59" spans="1:9" hidden="1" x14ac:dyDescent="0.25">
      <c r="A59" s="15"/>
      <c r="B59" s="14" t="s">
        <v>75</v>
      </c>
      <c r="C59" s="226">
        <f>C60+C61</f>
        <v>21429000</v>
      </c>
      <c r="D59" s="1802"/>
      <c r="E59" s="33">
        <f>E60+E61</f>
        <v>0</v>
      </c>
      <c r="I59" s="1830"/>
    </row>
    <row r="60" spans="1:9" hidden="1" x14ac:dyDescent="0.25">
      <c r="A60" s="15"/>
      <c r="B60" s="64" t="s">
        <v>111</v>
      </c>
      <c r="C60" s="67">
        <v>15000000</v>
      </c>
      <c r="D60" s="1803"/>
      <c r="E60" s="266">
        <v>0</v>
      </c>
      <c r="I60" s="1830"/>
    </row>
    <row r="61" spans="1:9" hidden="1" x14ac:dyDescent="0.25">
      <c r="A61" s="15"/>
      <c r="B61" s="64" t="s">
        <v>73</v>
      </c>
      <c r="C61" s="67">
        <v>6429000</v>
      </c>
      <c r="D61" s="1803"/>
      <c r="E61" s="266">
        <v>0</v>
      </c>
      <c r="I61" s="1830"/>
    </row>
    <row r="62" spans="1:9" hidden="1" x14ac:dyDescent="0.25">
      <c r="A62" s="15"/>
      <c r="B62" s="227" t="s">
        <v>72</v>
      </c>
      <c r="C62" s="230"/>
      <c r="D62" s="1800"/>
      <c r="E62" s="94"/>
      <c r="I62" s="1830"/>
    </row>
    <row r="63" spans="1:9" hidden="1" x14ac:dyDescent="0.25">
      <c r="A63" s="17"/>
      <c r="B63" s="11" t="s">
        <v>71</v>
      </c>
      <c r="C63" s="252"/>
      <c r="D63" s="252"/>
      <c r="E63" s="33"/>
      <c r="I63" s="1830"/>
    </row>
    <row r="64" spans="1:9" hidden="1" x14ac:dyDescent="0.25">
      <c r="A64" s="15"/>
      <c r="B64" s="14" t="s">
        <v>70</v>
      </c>
      <c r="C64" s="251"/>
      <c r="D64" s="1798"/>
      <c r="E64" s="33">
        <f>E66+E67</f>
        <v>0</v>
      </c>
      <c r="I64" s="1830"/>
    </row>
    <row r="65" spans="1:9" hidden="1" x14ac:dyDescent="0.25">
      <c r="A65" s="15"/>
      <c r="B65" s="64" t="s">
        <v>69</v>
      </c>
      <c r="C65" s="251"/>
      <c r="D65" s="1798"/>
      <c r="E65" s="266">
        <v>0</v>
      </c>
      <c r="I65" s="1830"/>
    </row>
    <row r="66" spans="1:9" hidden="1" x14ac:dyDescent="0.25">
      <c r="A66" s="15"/>
      <c r="B66" s="64" t="s">
        <v>68</v>
      </c>
      <c r="C66" s="251"/>
      <c r="D66" s="1798"/>
      <c r="E66" s="266">
        <v>0</v>
      </c>
      <c r="I66" s="1830"/>
    </row>
    <row r="67" spans="1:9" hidden="1" x14ac:dyDescent="0.25">
      <c r="A67" s="15"/>
      <c r="B67" s="64" t="s">
        <v>67</v>
      </c>
      <c r="C67" s="251"/>
      <c r="D67" s="1798"/>
      <c r="E67" s="266">
        <v>0</v>
      </c>
      <c r="I67" s="1830"/>
    </row>
    <row r="68" spans="1:9" hidden="1" x14ac:dyDescent="0.25">
      <c r="A68" s="15"/>
      <c r="B68" s="74" t="s">
        <v>112</v>
      </c>
      <c r="C68" s="251"/>
      <c r="D68" s="1798"/>
      <c r="E68" s="269">
        <v>0</v>
      </c>
      <c r="I68" s="1830"/>
    </row>
    <row r="69" spans="1:9" hidden="1" x14ac:dyDescent="0.25">
      <c r="A69" s="8"/>
      <c r="B69" s="75" t="s">
        <v>66</v>
      </c>
      <c r="C69" s="76"/>
      <c r="D69" s="48"/>
      <c r="E69" s="94"/>
      <c r="I69" s="1830"/>
    </row>
    <row r="70" spans="1:9" hidden="1" x14ac:dyDescent="0.25">
      <c r="A70" s="15"/>
      <c r="B70" s="74" t="s">
        <v>65</v>
      </c>
      <c r="C70" s="1581">
        <v>94.2</v>
      </c>
      <c r="D70" s="1804"/>
      <c r="E70" s="270" t="e">
        <f>(#REF!/(E15))*100</f>
        <v>#REF!</v>
      </c>
      <c r="I70" s="1830"/>
    </row>
    <row r="71" spans="1:9" hidden="1" x14ac:dyDescent="0.25">
      <c r="A71" s="15"/>
      <c r="B71" s="74" t="s">
        <v>64</v>
      </c>
      <c r="C71" s="125">
        <v>5</v>
      </c>
      <c r="D71" s="1805"/>
      <c r="E71" s="270">
        <f>(E32/(E15))*100</f>
        <v>25.249365453978719</v>
      </c>
      <c r="I71" s="1830"/>
    </row>
    <row r="72" spans="1:9" hidden="1" x14ac:dyDescent="0.25">
      <c r="A72" s="15"/>
      <c r="B72" s="74" t="s">
        <v>63</v>
      </c>
      <c r="C72" s="125">
        <v>82</v>
      </c>
      <c r="D72" s="1805"/>
      <c r="E72" s="270" t="e">
        <f>E42/(E42+E43)*100</f>
        <v>#DIV/0!</v>
      </c>
      <c r="I72" s="1830"/>
    </row>
    <row r="73" spans="1:9" hidden="1" x14ac:dyDescent="0.25">
      <c r="A73" s="15"/>
      <c r="B73" s="74" t="s">
        <v>62</v>
      </c>
      <c r="C73" s="125">
        <v>18</v>
      </c>
      <c r="D73" s="1805"/>
      <c r="E73" s="270" t="e">
        <f>(E43/E41)*100</f>
        <v>#DIV/0!</v>
      </c>
      <c r="I73" s="1830"/>
    </row>
    <row r="74" spans="1:9" hidden="1" x14ac:dyDescent="0.25">
      <c r="A74" s="15"/>
      <c r="B74" s="74" t="s">
        <v>105</v>
      </c>
      <c r="C74" s="125">
        <v>75</v>
      </c>
      <c r="D74" s="1805"/>
      <c r="E74" s="270" t="e">
        <f>(E46/E45)*100</f>
        <v>#DIV/0!</v>
      </c>
      <c r="I74" s="1830"/>
    </row>
    <row r="75" spans="1:9" hidden="1" x14ac:dyDescent="0.25">
      <c r="A75" s="15"/>
      <c r="B75" s="74" t="s">
        <v>62</v>
      </c>
      <c r="C75" s="125">
        <v>25</v>
      </c>
      <c r="D75" s="1805"/>
      <c r="E75" s="270" t="e">
        <f>(E47/E45)*100</f>
        <v>#DIV/0!</v>
      </c>
      <c r="I75" s="1830"/>
    </row>
    <row r="76" spans="1:9" hidden="1" x14ac:dyDescent="0.25">
      <c r="A76" s="15"/>
      <c r="B76" s="74" t="s">
        <v>107</v>
      </c>
      <c r="C76" s="125">
        <v>75</v>
      </c>
      <c r="D76" s="1805"/>
      <c r="E76" s="270" t="e">
        <f>E51/E50*100</f>
        <v>#DIV/0!</v>
      </c>
      <c r="I76" s="1830"/>
    </row>
    <row r="77" spans="1:9" hidden="1" x14ac:dyDescent="0.25">
      <c r="A77" s="15"/>
      <c r="B77" s="74" t="s">
        <v>62</v>
      </c>
      <c r="C77" s="125">
        <v>25</v>
      </c>
      <c r="D77" s="1805"/>
      <c r="E77" s="270" t="e">
        <f>E52/E50*100</f>
        <v>#DIV/0!</v>
      </c>
      <c r="I77" s="1830"/>
    </row>
    <row r="78" spans="1:9" hidden="1" x14ac:dyDescent="0.25">
      <c r="A78" s="15"/>
      <c r="B78" s="74" t="s">
        <v>110</v>
      </c>
      <c r="C78" s="125">
        <v>70</v>
      </c>
      <c r="D78" s="1805"/>
      <c r="E78" s="270" t="e">
        <f>E55/(E55+E56)*100</f>
        <v>#DIV/0!</v>
      </c>
      <c r="I78" s="1830"/>
    </row>
    <row r="79" spans="1:9" hidden="1" x14ac:dyDescent="0.25">
      <c r="A79" s="15"/>
      <c r="B79" s="74" t="s">
        <v>62</v>
      </c>
      <c r="C79" s="125">
        <v>30</v>
      </c>
      <c r="D79" s="1805"/>
      <c r="E79" s="270" t="e">
        <f>E56/(E56+E55)*100</f>
        <v>#DIV/0!</v>
      </c>
      <c r="I79" s="1830"/>
    </row>
    <row r="80" spans="1:9" hidden="1" x14ac:dyDescent="0.25">
      <c r="A80" s="15"/>
      <c r="B80" s="74" t="s">
        <v>835</v>
      </c>
      <c r="C80" s="125">
        <v>70</v>
      </c>
      <c r="D80" s="1805"/>
      <c r="E80" s="270" t="e">
        <f>E60/(E60+E61)*100</f>
        <v>#DIV/0!</v>
      </c>
      <c r="I80" s="1830"/>
    </row>
    <row r="81" spans="1:9" hidden="1" x14ac:dyDescent="0.25">
      <c r="A81" s="15"/>
      <c r="B81" s="74" t="s">
        <v>62</v>
      </c>
      <c r="C81" s="125">
        <v>30</v>
      </c>
      <c r="D81" s="1805"/>
      <c r="E81" s="270" t="e">
        <f>E61/(E60+E61)*100</f>
        <v>#DIV/0!</v>
      </c>
      <c r="I81" s="1830"/>
    </row>
    <row r="82" spans="1:9" hidden="1" x14ac:dyDescent="0.25">
      <c r="A82" s="15"/>
      <c r="B82" s="74" t="s">
        <v>61</v>
      </c>
      <c r="C82" s="125">
        <v>60</v>
      </c>
      <c r="D82" s="1805"/>
      <c r="E82" s="270" t="e">
        <f>E65/E64*100</f>
        <v>#DIV/0!</v>
      </c>
      <c r="I82" s="1830"/>
    </row>
    <row r="83" spans="1:9" ht="15.75" hidden="1" thickBot="1" x14ac:dyDescent="0.3">
      <c r="A83" s="19"/>
      <c r="B83" s="74" t="s">
        <v>60</v>
      </c>
      <c r="C83" s="125">
        <v>40</v>
      </c>
      <c r="D83" s="1805"/>
      <c r="E83" s="270" t="e">
        <f>E67/E64*100</f>
        <v>#DIV/0!</v>
      </c>
      <c r="I83" s="1830"/>
    </row>
    <row r="84" spans="1:9" x14ac:dyDescent="0.25">
      <c r="A84" s="15"/>
      <c r="B84" s="1746" t="s">
        <v>997</v>
      </c>
      <c r="C84" s="1751"/>
      <c r="D84" s="1795"/>
      <c r="E84" s="270"/>
      <c r="F84" s="726"/>
      <c r="G84" s="726"/>
      <c r="I84" s="1830"/>
    </row>
    <row r="85" spans="1:9" x14ac:dyDescent="0.25">
      <c r="A85" s="8"/>
      <c r="B85" s="14" t="s">
        <v>1000</v>
      </c>
      <c r="C85" s="1707">
        <v>32</v>
      </c>
      <c r="D85" s="260" t="s">
        <v>1037</v>
      </c>
      <c r="E85" s="1672"/>
      <c r="F85" s="1657"/>
      <c r="G85" s="1656"/>
      <c r="H85" s="725"/>
      <c r="I85" s="1830"/>
    </row>
    <row r="86" spans="1:9" ht="15.75" thickBot="1" x14ac:dyDescent="0.3">
      <c r="A86" s="8"/>
      <c r="B86" s="14" t="s">
        <v>1001</v>
      </c>
      <c r="C86" s="1707" t="s">
        <v>1047</v>
      </c>
      <c r="D86" s="260" t="s">
        <v>1038</v>
      </c>
      <c r="E86" s="1672"/>
      <c r="F86" s="1657"/>
      <c r="G86" s="1656"/>
      <c r="H86" s="725"/>
      <c r="I86" s="1830"/>
    </row>
    <row r="87" spans="1:9" ht="15.75" thickBot="1" x14ac:dyDescent="0.3">
      <c r="A87" s="1784">
        <v>2</v>
      </c>
      <c r="B87" s="1758" t="s">
        <v>18</v>
      </c>
      <c r="C87" s="1744"/>
      <c r="D87" s="1806"/>
      <c r="E87" s="1759" t="s">
        <v>945</v>
      </c>
      <c r="F87" s="1757" t="s">
        <v>946</v>
      </c>
      <c r="G87" s="1744" t="s">
        <v>187</v>
      </c>
      <c r="H87" s="1789" t="s">
        <v>1041</v>
      </c>
      <c r="I87" s="1830"/>
    </row>
    <row r="88" spans="1:9" x14ac:dyDescent="0.25">
      <c r="A88" s="8"/>
      <c r="B88" s="232" t="s">
        <v>4</v>
      </c>
      <c r="C88" s="1665">
        <v>408000</v>
      </c>
      <c r="D88" s="1794" t="s">
        <v>1029</v>
      </c>
      <c r="E88" s="1640"/>
      <c r="F88" s="1659"/>
      <c r="G88" s="294">
        <v>183211</v>
      </c>
      <c r="H88" s="1659"/>
      <c r="I88" s="1830"/>
    </row>
    <row r="89" spans="1:9" x14ac:dyDescent="0.25">
      <c r="A89" s="8"/>
      <c r="B89" s="30" t="s">
        <v>17</v>
      </c>
      <c r="C89" s="61"/>
      <c r="D89" s="1816"/>
      <c r="E89" s="278"/>
      <c r="G89" s="726"/>
      <c r="I89" s="1830"/>
    </row>
    <row r="90" spans="1:9" x14ac:dyDescent="0.25">
      <c r="A90" s="15"/>
      <c r="B90" s="232" t="s">
        <v>1002</v>
      </c>
      <c r="C90" s="1815">
        <v>87.5</v>
      </c>
      <c r="D90" s="1794" t="s">
        <v>1029</v>
      </c>
      <c r="E90" s="1497">
        <v>308052</v>
      </c>
      <c r="F90" s="1685">
        <v>366933</v>
      </c>
      <c r="G90" s="1763">
        <f>F90-E90</f>
        <v>58881</v>
      </c>
      <c r="H90" s="1824">
        <f>G90/G15</f>
        <v>21.528702010968921</v>
      </c>
      <c r="I90" s="1833" t="s">
        <v>836</v>
      </c>
    </row>
    <row r="91" spans="1:9" hidden="1" x14ac:dyDescent="0.25">
      <c r="A91" s="15"/>
      <c r="B91" s="14"/>
      <c r="C91" s="231">
        <f>C90/2000</f>
        <v>4.3749999999999997E-2</v>
      </c>
      <c r="D91" s="1788"/>
      <c r="E91" s="33"/>
      <c r="G91" s="726"/>
      <c r="I91" s="1830"/>
    </row>
    <row r="92" spans="1:9" x14ac:dyDescent="0.25">
      <c r="A92" s="15"/>
      <c r="B92" s="14"/>
      <c r="C92" s="1777">
        <f>C90/2.5</f>
        <v>35</v>
      </c>
      <c r="D92" s="1807" t="s">
        <v>1040</v>
      </c>
      <c r="E92" s="33"/>
      <c r="G92" s="726"/>
      <c r="I92" s="1830"/>
    </row>
    <row r="93" spans="1:9" hidden="1" x14ac:dyDescent="0.25">
      <c r="A93" s="15"/>
      <c r="B93" s="232" t="s">
        <v>15</v>
      </c>
      <c r="C93" s="231">
        <v>122000</v>
      </c>
      <c r="D93" s="1788"/>
      <c r="E93" s="271"/>
      <c r="F93" s="1659"/>
      <c r="G93" s="1676"/>
      <c r="H93" s="1659"/>
      <c r="I93" s="1830"/>
    </row>
    <row r="94" spans="1:9" x14ac:dyDescent="0.25">
      <c r="A94" s="15"/>
      <c r="B94" s="14" t="s">
        <v>948</v>
      </c>
      <c r="C94" s="231">
        <v>106000</v>
      </c>
      <c r="D94" s="1788" t="s">
        <v>1029</v>
      </c>
      <c r="E94" s="916"/>
      <c r="F94" s="506"/>
      <c r="G94" s="1688"/>
      <c r="H94" s="506"/>
      <c r="I94" s="1830"/>
    </row>
    <row r="95" spans="1:9" ht="15.75" thickBot="1" x14ac:dyDescent="0.3">
      <c r="A95" s="8"/>
      <c r="B95" s="28" t="s">
        <v>1</v>
      </c>
      <c r="C95" s="259">
        <v>408000</v>
      </c>
      <c r="D95" s="1808" t="s">
        <v>1029</v>
      </c>
      <c r="E95" s="278"/>
      <c r="G95" s="42">
        <f>SUM(G90,G93,G94)</f>
        <v>58881</v>
      </c>
      <c r="I95" s="1830"/>
    </row>
    <row r="96" spans="1:9" ht="15.75" thickBot="1" x14ac:dyDescent="0.3">
      <c r="A96" s="1784">
        <v>3</v>
      </c>
      <c r="B96" s="1787" t="s">
        <v>13</v>
      </c>
      <c r="C96" s="1670"/>
      <c r="D96" s="1668"/>
      <c r="E96" s="1759" t="s">
        <v>945</v>
      </c>
      <c r="F96" s="1757" t="s">
        <v>946</v>
      </c>
      <c r="G96" s="1744" t="s">
        <v>187</v>
      </c>
      <c r="H96" s="1789" t="s">
        <v>1042</v>
      </c>
      <c r="I96" s="1830"/>
    </row>
    <row r="97" spans="1:11" hidden="1" x14ac:dyDescent="0.25">
      <c r="A97" s="17"/>
      <c r="B97" s="238" t="s">
        <v>12</v>
      </c>
      <c r="C97" s="260">
        <v>1100</v>
      </c>
      <c r="D97" s="260" t="s">
        <v>1032</v>
      </c>
      <c r="E97" s="240"/>
      <c r="F97" s="1659"/>
      <c r="G97" s="240">
        <v>818</v>
      </c>
      <c r="H97" s="1659"/>
      <c r="I97" s="1830"/>
    </row>
    <row r="98" spans="1:11" x14ac:dyDescent="0.25">
      <c r="A98" s="17"/>
      <c r="B98" s="43" t="s">
        <v>11</v>
      </c>
      <c r="C98" s="247"/>
      <c r="D98" s="247"/>
      <c r="E98" s="34"/>
      <c r="G98" s="726"/>
      <c r="I98" s="1830"/>
      <c r="K98" s="1896"/>
    </row>
    <row r="99" spans="1:11" ht="15.75" thickBot="1" x14ac:dyDescent="0.3">
      <c r="A99" s="17"/>
      <c r="B99" s="238" t="s">
        <v>1003</v>
      </c>
      <c r="C99" s="1790">
        <v>0.13</v>
      </c>
      <c r="D99" s="260" t="s">
        <v>1032</v>
      </c>
      <c r="E99" s="241">
        <v>58</v>
      </c>
      <c r="F99" s="1764">
        <v>106</v>
      </c>
      <c r="G99" s="1765">
        <f>F99-E99</f>
        <v>48</v>
      </c>
      <c r="H99" s="1824">
        <f>G99/G15</f>
        <v>1.7550274223034734E-2</v>
      </c>
      <c r="I99" s="1830"/>
    </row>
    <row r="100" spans="1:11" hidden="1" x14ac:dyDescent="0.25">
      <c r="A100" s="17"/>
      <c r="B100" s="238" t="s">
        <v>9</v>
      </c>
      <c r="C100" s="261">
        <v>179.63</v>
      </c>
      <c r="D100" s="261"/>
      <c r="E100" s="241"/>
      <c r="F100" s="1659"/>
      <c r="G100" s="1676"/>
      <c r="H100" s="1659"/>
      <c r="I100" s="1830"/>
    </row>
    <row r="101" spans="1:11" hidden="1" x14ac:dyDescent="0.25">
      <c r="A101" s="17"/>
      <c r="B101" s="238"/>
      <c r="C101" s="261">
        <f>C99/2500</f>
        <v>5.2000000000000004E-5</v>
      </c>
      <c r="D101" s="260" t="s">
        <v>1043</v>
      </c>
      <c r="E101" s="241"/>
      <c r="F101" s="1659"/>
      <c r="G101" s="1676"/>
      <c r="H101" s="1659"/>
      <c r="I101" s="1830"/>
    </row>
    <row r="102" spans="1:11" hidden="1" x14ac:dyDescent="0.25">
      <c r="A102" s="17"/>
      <c r="B102" s="238" t="s">
        <v>8</v>
      </c>
      <c r="C102" s="260">
        <v>491.59</v>
      </c>
      <c r="D102" s="260" t="s">
        <v>1032</v>
      </c>
      <c r="E102" s="241"/>
      <c r="F102" s="1659"/>
      <c r="G102" s="241">
        <v>304</v>
      </c>
      <c r="H102" s="1659"/>
      <c r="I102" s="1830"/>
    </row>
    <row r="103" spans="1:11" hidden="1" x14ac:dyDescent="0.25">
      <c r="A103" s="17"/>
      <c r="B103" s="31" t="s">
        <v>7</v>
      </c>
      <c r="C103" s="925">
        <v>337.28</v>
      </c>
      <c r="D103" s="925" t="s">
        <v>1032</v>
      </c>
      <c r="E103" s="34"/>
      <c r="G103" s="34">
        <f>G97-G99-G100-G102</f>
        <v>466</v>
      </c>
      <c r="I103" s="1830"/>
    </row>
    <row r="104" spans="1:11" ht="15.75" hidden="1" thickBot="1" x14ac:dyDescent="0.3">
      <c r="A104" s="17"/>
      <c r="B104" s="238" t="s">
        <v>6</v>
      </c>
      <c r="C104" s="260">
        <v>330</v>
      </c>
      <c r="D104" s="260" t="s">
        <v>1032</v>
      </c>
      <c r="E104" s="241"/>
      <c r="F104" s="1659"/>
      <c r="G104" s="241">
        <v>164</v>
      </c>
      <c r="H104" s="1659"/>
      <c r="I104" s="1830"/>
    </row>
    <row r="105" spans="1:11" ht="15.75" thickBot="1" x14ac:dyDescent="0.3">
      <c r="A105" s="1786">
        <v>4</v>
      </c>
      <c r="B105" s="1787" t="s">
        <v>5</v>
      </c>
      <c r="C105" s="1670"/>
      <c r="D105" s="1668"/>
      <c r="E105" s="1759" t="s">
        <v>945</v>
      </c>
      <c r="F105" s="1757" t="s">
        <v>946</v>
      </c>
      <c r="G105" s="1744" t="s">
        <v>187</v>
      </c>
      <c r="H105" s="1789" t="s">
        <v>1044</v>
      </c>
      <c r="I105" s="1830"/>
    </row>
    <row r="106" spans="1:11" x14ac:dyDescent="0.25">
      <c r="A106" s="83"/>
      <c r="B106" s="121" t="s">
        <v>4</v>
      </c>
      <c r="C106" s="1034"/>
      <c r="D106" s="1809"/>
      <c r="E106" s="33"/>
      <c r="G106" s="726"/>
      <c r="I106" s="1830"/>
    </row>
    <row r="107" spans="1:11" hidden="1" x14ac:dyDescent="0.25">
      <c r="A107" s="83"/>
      <c r="B107" s="232" t="s">
        <v>3</v>
      </c>
      <c r="C107" s="231">
        <v>28770</v>
      </c>
      <c r="D107" s="1788" t="s">
        <v>2</v>
      </c>
      <c r="E107" s="241"/>
      <c r="F107" s="1659"/>
      <c r="G107" s="241">
        <v>5.3</v>
      </c>
      <c r="H107" s="1659"/>
      <c r="I107" s="1831"/>
    </row>
    <row r="108" spans="1:11" x14ac:dyDescent="0.25">
      <c r="A108" s="83"/>
      <c r="B108" s="121" t="s">
        <v>1</v>
      </c>
      <c r="C108" s="13"/>
      <c r="D108" s="12"/>
      <c r="E108" s="1651"/>
      <c r="G108" s="1651">
        <f>G107</f>
        <v>5.3</v>
      </c>
      <c r="I108" s="1830"/>
    </row>
    <row r="109" spans="1:11" x14ac:dyDescent="0.25">
      <c r="A109" s="83"/>
      <c r="B109" s="121" t="s">
        <v>15</v>
      </c>
      <c r="C109" s="13"/>
      <c r="D109" s="12"/>
      <c r="E109" s="278"/>
      <c r="G109" s="726"/>
      <c r="I109" s="1830"/>
    </row>
    <row r="110" spans="1:11" x14ac:dyDescent="0.25">
      <c r="A110" s="15"/>
      <c r="B110" s="243" t="s">
        <v>941</v>
      </c>
      <c r="C110" s="1762">
        <v>10632</v>
      </c>
      <c r="D110" s="1810" t="s">
        <v>1045</v>
      </c>
      <c r="E110" s="271"/>
      <c r="F110" s="1686"/>
      <c r="G110" s="1497">
        <f>F110-E110</f>
        <v>0</v>
      </c>
      <c r="H110" s="1824">
        <f>G110/G15</f>
        <v>0</v>
      </c>
      <c r="I110" s="1830"/>
    </row>
    <row r="111" spans="1:11" x14ac:dyDescent="0.25">
      <c r="A111" s="15"/>
      <c r="B111" s="243"/>
      <c r="C111" s="1762">
        <v>4.3</v>
      </c>
      <c r="D111" s="247" t="s">
        <v>1034</v>
      </c>
      <c r="E111" s="271"/>
      <c r="F111" s="1686"/>
      <c r="G111" s="1497"/>
      <c r="H111" s="1825"/>
      <c r="I111" s="1830"/>
    </row>
    <row r="112" spans="1:11" x14ac:dyDescent="0.25">
      <c r="A112" s="15"/>
      <c r="B112" s="243" t="s">
        <v>1004</v>
      </c>
      <c r="C112" s="262">
        <v>10503.3</v>
      </c>
      <c r="D112" s="1810" t="s">
        <v>1045</v>
      </c>
      <c r="E112" s="271">
        <v>65910.899999999994</v>
      </c>
      <c r="F112" s="1686">
        <v>75191.7</v>
      </c>
      <c r="G112" s="271">
        <f>F112-E112</f>
        <v>9280.8000000000029</v>
      </c>
      <c r="H112" s="1824">
        <f>G112/G15</f>
        <v>3.3933455210237669</v>
      </c>
      <c r="I112" s="1833" t="s">
        <v>836</v>
      </c>
    </row>
    <row r="113" spans="1:9" hidden="1" x14ac:dyDescent="0.25">
      <c r="A113" s="15"/>
      <c r="B113" s="921"/>
      <c r="C113" s="922"/>
      <c r="D113" s="1811"/>
      <c r="E113" s="916"/>
      <c r="G113" s="726"/>
      <c r="I113" s="1830"/>
    </row>
    <row r="114" spans="1:9" hidden="1" x14ac:dyDescent="0.25">
      <c r="A114" s="15"/>
      <c r="B114" s="44" t="s">
        <v>15</v>
      </c>
      <c r="C114" s="527"/>
      <c r="D114" s="431"/>
      <c r="E114" s="295"/>
      <c r="G114" s="726"/>
      <c r="I114" s="1830"/>
    </row>
    <row r="115" spans="1:9" hidden="1" x14ac:dyDescent="0.25">
      <c r="A115" s="15"/>
      <c r="B115" s="243" t="s">
        <v>119</v>
      </c>
      <c r="C115" s="262">
        <v>1308.96</v>
      </c>
      <c r="D115" s="1812"/>
      <c r="E115" s="271"/>
      <c r="G115" s="726"/>
      <c r="I115" s="1830"/>
    </row>
    <row r="116" spans="1:9" hidden="1" x14ac:dyDescent="0.25">
      <c r="A116" s="15"/>
      <c r="B116" s="921"/>
      <c r="C116" s="922"/>
      <c r="D116" s="1811"/>
      <c r="E116" s="33"/>
      <c r="G116" s="726"/>
      <c r="I116" s="1830"/>
    </row>
    <row r="117" spans="1:9" hidden="1" x14ac:dyDescent="0.25">
      <c r="A117" s="15"/>
      <c r="B117" s="243" t="s">
        <v>120</v>
      </c>
      <c r="C117" s="262">
        <v>5759.67</v>
      </c>
      <c r="D117" s="1812"/>
      <c r="E117" s="271">
        <v>792.3</v>
      </c>
      <c r="G117" s="726"/>
      <c r="I117" s="1830"/>
    </row>
    <row r="118" spans="1:9" hidden="1" x14ac:dyDescent="0.25">
      <c r="A118" s="15"/>
      <c r="B118" s="921"/>
      <c r="C118" s="922"/>
      <c r="D118" s="1811"/>
      <c r="E118" s="916"/>
      <c r="G118" s="726"/>
      <c r="I118" s="1830"/>
    </row>
    <row r="119" spans="1:9" hidden="1" x14ac:dyDescent="0.25">
      <c r="A119" s="15"/>
      <c r="B119" s="44" t="s">
        <v>7</v>
      </c>
      <c r="C119" s="527"/>
      <c r="D119" s="431"/>
      <c r="E119" s="295"/>
      <c r="G119" s="726"/>
      <c r="I119" s="1830"/>
    </row>
    <row r="120" spans="1:9" ht="15.75" thickBot="1" x14ac:dyDescent="0.3">
      <c r="A120" s="15"/>
      <c r="B120" s="1737"/>
      <c r="C120" s="1835">
        <v>4.2</v>
      </c>
      <c r="D120" s="1813" t="s">
        <v>1034</v>
      </c>
      <c r="E120" s="1739"/>
      <c r="F120" s="1740"/>
      <c r="G120" s="1741"/>
      <c r="H120" s="1740"/>
      <c r="I120" s="1832"/>
    </row>
    <row r="121" spans="1:9" ht="15.75" hidden="1" thickBot="1" x14ac:dyDescent="0.3">
      <c r="A121" s="19"/>
      <c r="B121" s="244" t="s">
        <v>122</v>
      </c>
      <c r="C121" s="263">
        <v>241.12</v>
      </c>
      <c r="D121" s="263"/>
      <c r="E121" s="1694"/>
      <c r="F121" s="1695"/>
      <c r="G121" s="1696"/>
      <c r="H121" s="1697"/>
    </row>
  </sheetData>
  <mergeCells count="10">
    <mergeCell ref="A1:A6"/>
    <mergeCell ref="C1:I1"/>
    <mergeCell ref="C2:I2"/>
    <mergeCell ref="C3:I3"/>
    <mergeCell ref="C4:G6"/>
    <mergeCell ref="C8:C9"/>
    <mergeCell ref="A8:A9"/>
    <mergeCell ref="B8:B9"/>
    <mergeCell ref="D8:D9"/>
    <mergeCell ref="E8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16"/>
      <c r="B1" s="1836"/>
      <c r="C1" s="2219" t="s">
        <v>1051</v>
      </c>
      <c r="D1" s="2220"/>
      <c r="E1" s="2220"/>
      <c r="F1" s="2220"/>
      <c r="G1" s="2220"/>
      <c r="H1" s="2220"/>
      <c r="I1" s="2221"/>
    </row>
    <row r="2" spans="1:9" ht="14.85" customHeight="1" x14ac:dyDescent="0.25">
      <c r="A2" s="2217"/>
      <c r="B2" s="1837"/>
      <c r="C2" s="2222" t="s">
        <v>1052</v>
      </c>
      <c r="D2" s="2223"/>
      <c r="E2" s="2223"/>
      <c r="F2" s="2223"/>
      <c r="G2" s="2223"/>
      <c r="H2" s="2223"/>
      <c r="I2" s="2224"/>
    </row>
    <row r="3" spans="1:9" ht="14.85" customHeight="1" x14ac:dyDescent="0.25">
      <c r="A3" s="2217"/>
      <c r="B3" s="1838"/>
      <c r="C3" s="2234" t="s">
        <v>1053</v>
      </c>
      <c r="D3" s="2235"/>
      <c r="E3" s="2235"/>
      <c r="F3" s="2235"/>
      <c r="G3" s="2235"/>
      <c r="H3" s="2235"/>
      <c r="I3" s="2236"/>
    </row>
    <row r="4" spans="1:9" ht="14.85" customHeight="1" x14ac:dyDescent="0.25">
      <c r="A4" s="2217"/>
      <c r="B4" s="1838"/>
      <c r="C4" s="2228" t="s">
        <v>1059</v>
      </c>
      <c r="D4" s="2229"/>
      <c r="E4" s="2229"/>
      <c r="F4" s="2229"/>
      <c r="G4" s="2229"/>
      <c r="H4" s="1845" t="s">
        <v>1060</v>
      </c>
      <c r="I4" s="1846">
        <v>1</v>
      </c>
    </row>
    <row r="5" spans="1:9" ht="14.85" customHeight="1" x14ac:dyDescent="0.25">
      <c r="A5" s="2217"/>
      <c r="B5" s="1838"/>
      <c r="C5" s="2230"/>
      <c r="D5" s="2231"/>
      <c r="E5" s="2231"/>
      <c r="F5" s="2231"/>
      <c r="G5" s="2231"/>
      <c r="H5" s="1847" t="s">
        <v>1055</v>
      </c>
      <c r="I5" s="1848" t="s">
        <v>1061</v>
      </c>
    </row>
    <row r="6" spans="1:9" ht="15" customHeight="1" thickBot="1" x14ac:dyDescent="0.3">
      <c r="A6" s="2218"/>
      <c r="B6" s="1839"/>
      <c r="C6" s="2232"/>
      <c r="D6" s="2233"/>
      <c r="E6" s="2233"/>
      <c r="F6" s="2233"/>
      <c r="G6" s="2233"/>
      <c r="H6" s="1849" t="s">
        <v>1056</v>
      </c>
      <c r="I6" s="1850" t="s">
        <v>1062</v>
      </c>
    </row>
    <row r="7" spans="1:9" ht="14.85" customHeight="1" thickTop="1" x14ac:dyDescent="0.25">
      <c r="A7" s="2181" t="s">
        <v>98</v>
      </c>
      <c r="B7" s="2185" t="s">
        <v>99</v>
      </c>
      <c r="C7" s="2183" t="s">
        <v>1048</v>
      </c>
      <c r="D7" s="2183" t="s">
        <v>1008</v>
      </c>
      <c r="E7" s="2210" t="s">
        <v>1050</v>
      </c>
      <c r="F7" s="2211"/>
      <c r="G7" s="2211"/>
      <c r="H7" s="2211"/>
      <c r="I7" s="2212"/>
    </row>
    <row r="8" spans="1:9" ht="15.75" thickBot="1" x14ac:dyDescent="0.3">
      <c r="A8" s="2206"/>
      <c r="B8" s="2207"/>
      <c r="C8" s="2205"/>
      <c r="D8" s="2205"/>
      <c r="E8" s="2213"/>
      <c r="F8" s="2214"/>
      <c r="G8" s="2214"/>
      <c r="H8" s="2214"/>
      <c r="I8" s="2215"/>
    </row>
    <row r="9" spans="1:9" ht="15.75" thickBot="1" x14ac:dyDescent="0.3">
      <c r="A9" s="1784">
        <v>1</v>
      </c>
      <c r="B9" s="1667" t="s">
        <v>84</v>
      </c>
      <c r="C9" s="1668"/>
      <c r="D9" s="1668"/>
      <c r="E9" s="1669" t="s">
        <v>945</v>
      </c>
      <c r="F9" s="1669" t="s">
        <v>946</v>
      </c>
      <c r="G9" s="1670" t="s">
        <v>187</v>
      </c>
      <c r="H9" s="1671" t="s">
        <v>1016</v>
      </c>
      <c r="I9" s="1834" t="s">
        <v>1049</v>
      </c>
    </row>
    <row r="10" spans="1:9" x14ac:dyDescent="0.25">
      <c r="A10" s="8"/>
      <c r="B10" s="1666" t="s">
        <v>16</v>
      </c>
      <c r="C10" s="247"/>
      <c r="D10" s="247"/>
      <c r="E10" s="33"/>
      <c r="F10" s="1698"/>
      <c r="G10" s="1698"/>
      <c r="H10" s="1698"/>
      <c r="I10" s="1829"/>
    </row>
    <row r="11" spans="1:9" ht="14.85" hidden="1" customHeight="1" x14ac:dyDescent="0.25">
      <c r="A11" s="8"/>
      <c r="B11" s="11" t="s">
        <v>83</v>
      </c>
      <c r="C11" s="247"/>
      <c r="D11" s="247"/>
      <c r="E11" s="33"/>
      <c r="I11" s="1830"/>
    </row>
    <row r="12" spans="1:9" ht="14.85" hidden="1" customHeight="1" x14ac:dyDescent="0.25">
      <c r="A12" s="8"/>
      <c r="B12" s="71" t="s">
        <v>124</v>
      </c>
      <c r="C12" s="247"/>
      <c r="D12" s="247"/>
      <c r="E12" s="266"/>
      <c r="I12" s="1830"/>
    </row>
    <row r="13" spans="1:9" ht="14.85" hidden="1" customHeight="1" x14ac:dyDescent="0.25">
      <c r="A13" s="8"/>
      <c r="B13" s="11" t="s">
        <v>102</v>
      </c>
      <c r="C13" s="247"/>
      <c r="D13" s="247"/>
      <c r="E13" s="34"/>
      <c r="I13" s="1830"/>
    </row>
    <row r="14" spans="1:9" x14ac:dyDescent="0.25">
      <c r="A14" s="8"/>
      <c r="B14" s="1664" t="s">
        <v>95</v>
      </c>
      <c r="C14" s="1665">
        <v>2500</v>
      </c>
      <c r="D14" s="1665" t="s">
        <v>376</v>
      </c>
      <c r="E14" s="1497">
        <v>13533.82</v>
      </c>
      <c r="F14" s="1497">
        <v>16053.42</v>
      </c>
      <c r="G14" s="241">
        <f>F14-E14</f>
        <v>2519.6000000000004</v>
      </c>
      <c r="H14" s="241"/>
      <c r="I14" s="1833" t="s">
        <v>836</v>
      </c>
    </row>
    <row r="15" spans="1:9" ht="14.85" hidden="1" customHeight="1" x14ac:dyDescent="0.25">
      <c r="A15" s="8"/>
      <c r="B15" s="914" t="s">
        <v>374</v>
      </c>
      <c r="C15" s="915"/>
      <c r="D15" s="915"/>
      <c r="E15" s="916"/>
      <c r="H15" s="1675"/>
      <c r="I15" s="1830"/>
    </row>
    <row r="16" spans="1:9" ht="14.85" hidden="1" customHeight="1" x14ac:dyDescent="0.25">
      <c r="A16" s="8"/>
      <c r="B16" s="21" t="s">
        <v>96</v>
      </c>
      <c r="C16" s="231">
        <v>29045000</v>
      </c>
      <c r="D16" s="231"/>
      <c r="E16" s="33"/>
      <c r="H16" s="1675"/>
      <c r="I16" s="1830"/>
    </row>
    <row r="17" spans="1:9" ht="14.85" hidden="1" customHeight="1" x14ac:dyDescent="0.25">
      <c r="A17" s="8"/>
      <c r="B17" s="21" t="s">
        <v>97</v>
      </c>
      <c r="C17" s="231">
        <v>7314000</v>
      </c>
      <c r="D17" s="231"/>
      <c r="E17" s="33">
        <f>E53+E62+E67</f>
        <v>0</v>
      </c>
      <c r="H17" s="1675"/>
      <c r="I17" s="1830"/>
    </row>
    <row r="18" spans="1:9" x14ac:dyDescent="0.25">
      <c r="A18" s="8"/>
      <c r="B18" s="14" t="s">
        <v>81</v>
      </c>
      <c r="C18" s="248">
        <v>5</v>
      </c>
      <c r="D18" s="248" t="s">
        <v>25</v>
      </c>
      <c r="E18" s="1672"/>
      <c r="F18" s="1657"/>
      <c r="G18" s="1851">
        <v>4</v>
      </c>
      <c r="H18" s="726"/>
      <c r="I18" s="1830"/>
    </row>
    <row r="19" spans="1:9" x14ac:dyDescent="0.25">
      <c r="A19" s="8"/>
      <c r="B19" s="14" t="s">
        <v>80</v>
      </c>
      <c r="C19" s="248">
        <v>0.5</v>
      </c>
      <c r="D19" s="248" t="s">
        <v>25</v>
      </c>
      <c r="E19" s="1672"/>
      <c r="F19" s="1657"/>
      <c r="G19" s="1656">
        <v>0.41</v>
      </c>
      <c r="H19" s="726"/>
      <c r="I19" s="1830"/>
    </row>
    <row r="20" spans="1:9" x14ac:dyDescent="0.25">
      <c r="A20" s="8"/>
      <c r="B20" s="14" t="s">
        <v>79</v>
      </c>
      <c r="C20" s="249">
        <v>2.2000000000000002</v>
      </c>
      <c r="D20" s="248" t="s">
        <v>1009</v>
      </c>
      <c r="E20" s="1672"/>
      <c r="F20" s="1657"/>
      <c r="G20" s="1656">
        <v>2.42</v>
      </c>
      <c r="H20" s="726"/>
      <c r="I20" s="1830"/>
    </row>
    <row r="21" spans="1:9" x14ac:dyDescent="0.25">
      <c r="A21" s="8"/>
      <c r="B21" s="14" t="s">
        <v>1063</v>
      </c>
      <c r="C21" s="1707">
        <v>12</v>
      </c>
      <c r="D21" s="248" t="s">
        <v>1037</v>
      </c>
      <c r="E21" s="1672"/>
      <c r="F21" s="1657"/>
      <c r="G21" s="1736" t="s">
        <v>1064</v>
      </c>
      <c r="H21" s="726"/>
      <c r="I21" s="1830"/>
    </row>
    <row r="22" spans="1:9" x14ac:dyDescent="0.25">
      <c r="A22" s="8"/>
      <c r="B22" s="14" t="s">
        <v>1065</v>
      </c>
      <c r="C22" s="1707" t="s">
        <v>1066</v>
      </c>
      <c r="D22" s="248" t="s">
        <v>1067</v>
      </c>
      <c r="E22" s="1672"/>
      <c r="F22" s="1657"/>
      <c r="G22" s="1736" t="s">
        <v>1064</v>
      </c>
      <c r="H22" s="726"/>
      <c r="I22" s="1830"/>
    </row>
    <row r="23" spans="1:9" x14ac:dyDescent="0.25">
      <c r="A23" s="8"/>
      <c r="B23" s="14" t="s">
        <v>1068</v>
      </c>
      <c r="C23" s="1707" t="s">
        <v>1069</v>
      </c>
      <c r="D23" s="248" t="s">
        <v>1070</v>
      </c>
      <c r="E23" s="1672"/>
      <c r="F23" s="1657"/>
      <c r="G23" s="1736" t="s">
        <v>1064</v>
      </c>
      <c r="H23" s="726"/>
      <c r="I23" s="1830"/>
    </row>
    <row r="24" spans="1:9" x14ac:dyDescent="0.25">
      <c r="A24" s="8"/>
      <c r="B24" s="14" t="s">
        <v>1071</v>
      </c>
      <c r="C24" s="1707">
        <v>25</v>
      </c>
      <c r="D24" s="248" t="s">
        <v>1067</v>
      </c>
      <c r="E24" s="1672"/>
      <c r="F24" s="1657"/>
      <c r="G24" s="1736" t="s">
        <v>1064</v>
      </c>
      <c r="H24" s="726"/>
      <c r="I24" s="1830"/>
    </row>
    <row r="25" spans="1:9" x14ac:dyDescent="0.25">
      <c r="A25" s="8"/>
      <c r="B25" s="232" t="s">
        <v>1072</v>
      </c>
      <c r="C25" s="1665">
        <v>50</v>
      </c>
      <c r="D25" s="1665" t="s">
        <v>1073</v>
      </c>
      <c r="E25" s="1673"/>
      <c r="F25" s="1662"/>
      <c r="G25" s="1663">
        <v>50</v>
      </c>
      <c r="H25" s="1676"/>
      <c r="I25" s="1830"/>
    </row>
    <row r="26" spans="1:9" x14ac:dyDescent="0.25">
      <c r="A26" s="8"/>
      <c r="B26" s="1653" t="s">
        <v>77</v>
      </c>
      <c r="C26" s="1654"/>
      <c r="D26" s="1654"/>
      <c r="E26" s="268"/>
      <c r="F26" s="1674"/>
      <c r="G26" s="1655"/>
      <c r="H26" s="1674"/>
      <c r="I26" s="1830"/>
    </row>
    <row r="27" spans="1:9" x14ac:dyDescent="0.25">
      <c r="A27" s="15"/>
      <c r="B27" s="232" t="s">
        <v>192</v>
      </c>
      <c r="C27" s="1665">
        <f>C14*94.2%</f>
        <v>2355</v>
      </c>
      <c r="D27" s="1665" t="s">
        <v>376</v>
      </c>
      <c r="E27" s="1497">
        <v>12357.54</v>
      </c>
      <c r="F27" s="1497">
        <v>14705.95</v>
      </c>
      <c r="G27" s="1852">
        <f>F27-E27</f>
        <v>2348.41</v>
      </c>
      <c r="H27" s="1853">
        <f>G27/G14</f>
        <v>0.93205667566280348</v>
      </c>
      <c r="I27" s="1830"/>
    </row>
    <row r="28" spans="1:9" x14ac:dyDescent="0.25">
      <c r="A28" s="8"/>
      <c r="B28" s="14" t="s">
        <v>81</v>
      </c>
      <c r="C28" s="248">
        <v>0.05</v>
      </c>
      <c r="D28" s="248" t="s">
        <v>25</v>
      </c>
      <c r="E28" s="1672"/>
      <c r="F28" s="1854"/>
      <c r="G28" s="1855">
        <v>0.06</v>
      </c>
      <c r="H28" s="1856"/>
      <c r="I28" s="1830"/>
    </row>
    <row r="29" spans="1:9" x14ac:dyDescent="0.25">
      <c r="A29" s="8"/>
      <c r="B29" s="14" t="s">
        <v>80</v>
      </c>
      <c r="C29" s="248">
        <v>0.03</v>
      </c>
      <c r="D29" s="248" t="s">
        <v>25</v>
      </c>
      <c r="E29" s="1672"/>
      <c r="F29" s="1857"/>
      <c r="G29" s="1858">
        <v>0.05</v>
      </c>
      <c r="H29" s="1859"/>
      <c r="I29" s="1833"/>
    </row>
    <row r="30" spans="1:9" x14ac:dyDescent="0.25">
      <c r="A30" s="8"/>
      <c r="B30" s="14" t="s">
        <v>1074</v>
      </c>
      <c r="C30" s="248"/>
      <c r="D30" s="248" t="s">
        <v>1075</v>
      </c>
      <c r="E30" s="1672"/>
      <c r="F30" s="1857"/>
      <c r="G30" s="1858" t="s">
        <v>1076</v>
      </c>
      <c r="H30" s="1859"/>
      <c r="I30" s="1833"/>
    </row>
    <row r="31" spans="1:9" x14ac:dyDescent="0.25">
      <c r="A31" s="8"/>
      <c r="B31" s="14" t="s">
        <v>1077</v>
      </c>
      <c r="C31" s="231">
        <v>2</v>
      </c>
      <c r="D31" s="248" t="s">
        <v>1067</v>
      </c>
      <c r="E31" s="1672"/>
      <c r="F31" s="1857"/>
      <c r="G31" s="1858" t="s">
        <v>1064</v>
      </c>
      <c r="H31" s="1859"/>
      <c r="I31" s="1833"/>
    </row>
    <row r="32" spans="1:9" x14ac:dyDescent="0.25">
      <c r="A32" s="8"/>
      <c r="B32" s="14" t="s">
        <v>950</v>
      </c>
      <c r="C32" s="249">
        <v>2.5</v>
      </c>
      <c r="D32" s="248" t="s">
        <v>25</v>
      </c>
      <c r="E32" s="1672"/>
      <c r="F32" s="1857"/>
      <c r="G32" s="1858">
        <v>2.5</v>
      </c>
      <c r="H32" s="1859"/>
      <c r="I32" s="1830"/>
    </row>
    <row r="33" spans="1:9" x14ac:dyDescent="0.25">
      <c r="A33" s="8"/>
      <c r="B33" s="14" t="s">
        <v>956</v>
      </c>
      <c r="C33" s="1707">
        <v>60</v>
      </c>
      <c r="D33" s="231" t="s">
        <v>1010</v>
      </c>
      <c r="E33" s="1672"/>
      <c r="F33" s="1857"/>
      <c r="G33" s="1750" t="s">
        <v>1064</v>
      </c>
      <c r="H33" s="1860"/>
      <c r="I33" s="1830"/>
    </row>
    <row r="34" spans="1:9" x14ac:dyDescent="0.25">
      <c r="A34" s="8"/>
      <c r="B34" s="14" t="s">
        <v>957</v>
      </c>
      <c r="C34" s="249" t="s">
        <v>958</v>
      </c>
      <c r="D34" s="249"/>
      <c r="E34" s="1672"/>
      <c r="F34" s="1857"/>
      <c r="G34" s="1750" t="s">
        <v>1064</v>
      </c>
      <c r="H34" s="1860"/>
      <c r="I34" s="1830"/>
    </row>
    <row r="35" spans="1:9" x14ac:dyDescent="0.25">
      <c r="A35" s="8"/>
      <c r="B35" s="14" t="s">
        <v>959</v>
      </c>
      <c r="C35" s="1707">
        <v>50</v>
      </c>
      <c r="D35" s="1707" t="s">
        <v>1030</v>
      </c>
      <c r="E35" s="1672"/>
      <c r="F35" s="1861"/>
      <c r="G35" s="1862">
        <v>50</v>
      </c>
      <c r="H35" s="1863"/>
      <c r="I35" s="1830"/>
    </row>
    <row r="36" spans="1:9" x14ac:dyDescent="0.25">
      <c r="A36" s="15"/>
      <c r="B36" s="64" t="s">
        <v>64</v>
      </c>
      <c r="C36" s="1665">
        <f>C14*5%</f>
        <v>125</v>
      </c>
      <c r="D36" s="1665" t="s">
        <v>376</v>
      </c>
      <c r="E36" s="1652">
        <v>572.71</v>
      </c>
      <c r="F36" s="1652">
        <v>675.39</v>
      </c>
      <c r="G36" s="1864">
        <f>F36-E36</f>
        <v>102.67999999999995</v>
      </c>
      <c r="H36" s="1865">
        <f>G36/G14</f>
        <v>4.0752500396888366E-2</v>
      </c>
      <c r="I36" s="1833"/>
    </row>
    <row r="37" spans="1:9" ht="14.85" hidden="1" customHeight="1" x14ac:dyDescent="0.25">
      <c r="A37" s="15"/>
      <c r="B37" s="696" t="s">
        <v>348</v>
      </c>
      <c r="C37" s="718"/>
      <c r="D37" s="231"/>
      <c r="E37" s="33"/>
      <c r="H37" s="1675"/>
      <c r="I37" s="1830"/>
    </row>
    <row r="38" spans="1:9" ht="14.85" hidden="1" customHeight="1" x14ac:dyDescent="0.25">
      <c r="A38" s="8"/>
      <c r="B38" s="11" t="s">
        <v>83</v>
      </c>
      <c r="C38" s="247"/>
      <c r="D38" s="247"/>
      <c r="E38" s="33"/>
      <c r="H38" s="1675"/>
      <c r="I38" s="1830"/>
    </row>
    <row r="39" spans="1:9" ht="14.85" hidden="1" customHeight="1" x14ac:dyDescent="0.25">
      <c r="A39" s="8"/>
      <c r="B39" s="11" t="s">
        <v>352</v>
      </c>
      <c r="C39" s="247"/>
      <c r="D39" s="247"/>
      <c r="E39" s="33">
        <v>0</v>
      </c>
      <c r="H39" s="1675"/>
      <c r="I39" s="1830"/>
    </row>
    <row r="40" spans="1:9" ht="14.85" hidden="1" customHeight="1" x14ac:dyDescent="0.25">
      <c r="A40" s="15"/>
      <c r="B40" s="64" t="s">
        <v>351</v>
      </c>
      <c r="C40" s="231"/>
      <c r="D40" s="231"/>
      <c r="E40" s="266">
        <v>392100</v>
      </c>
      <c r="H40" s="1675"/>
      <c r="I40" s="1830"/>
    </row>
    <row r="41" spans="1:9" ht="14.85" hidden="1" customHeight="1" x14ac:dyDescent="0.25">
      <c r="A41" s="15"/>
      <c r="B41" s="914" t="s">
        <v>373</v>
      </c>
      <c r="C41" s="915"/>
      <c r="D41" s="915"/>
      <c r="E41" s="916"/>
      <c r="H41" s="1675"/>
      <c r="I41" s="1830"/>
    </row>
    <row r="42" spans="1:9" ht="14.85" hidden="1" customHeight="1" x14ac:dyDescent="0.25">
      <c r="A42" s="15"/>
      <c r="B42" s="14" t="s">
        <v>350</v>
      </c>
      <c r="C42" s="717"/>
      <c r="D42" s="717"/>
      <c r="E42" s="33">
        <f>SUM(E45,E49,E54,E58,E68)</f>
        <v>0</v>
      </c>
      <c r="H42" s="1675"/>
      <c r="I42" s="1830"/>
    </row>
    <row r="43" spans="1:9" ht="14.85" hidden="1" customHeight="1" x14ac:dyDescent="0.25">
      <c r="A43" s="15"/>
      <c r="B43" s="14" t="s">
        <v>349</v>
      </c>
      <c r="C43" s="719"/>
      <c r="D43" s="717"/>
      <c r="E43" s="33">
        <f>E40-E42</f>
        <v>392100</v>
      </c>
      <c r="H43" s="1675"/>
      <c r="I43" s="1830"/>
    </row>
    <row r="44" spans="1:9" ht="14.85" hidden="1" customHeight="1" x14ac:dyDescent="0.25">
      <c r="A44" s="15"/>
      <c r="B44" s="227" t="s">
        <v>76</v>
      </c>
      <c r="C44" s="228"/>
      <c r="D44" s="228"/>
      <c r="E44" s="94"/>
      <c r="H44" s="1675"/>
      <c r="I44" s="1830"/>
    </row>
    <row r="45" spans="1:9" ht="14.85" hidden="1" customHeight="1" x14ac:dyDescent="0.25">
      <c r="A45" s="15"/>
      <c r="B45" s="14" t="s">
        <v>75</v>
      </c>
      <c r="C45" s="251"/>
      <c r="D45" s="251"/>
      <c r="E45" s="33">
        <f>E46+E47</f>
        <v>0</v>
      </c>
      <c r="H45" s="1675"/>
      <c r="I45" s="1830"/>
    </row>
    <row r="46" spans="1:9" ht="14.85" hidden="1" customHeight="1" x14ac:dyDescent="0.25">
      <c r="A46" s="15"/>
      <c r="B46" s="64" t="s">
        <v>74</v>
      </c>
      <c r="C46" s="251"/>
      <c r="D46" s="251"/>
      <c r="E46" s="266">
        <v>0</v>
      </c>
      <c r="H46" s="1675"/>
      <c r="I46" s="1830"/>
    </row>
    <row r="47" spans="1:9" ht="14.85" hidden="1" customHeight="1" x14ac:dyDescent="0.25">
      <c r="A47" s="15"/>
      <c r="B47" s="64" t="s">
        <v>73</v>
      </c>
      <c r="C47" s="251"/>
      <c r="D47" s="251"/>
      <c r="E47" s="267">
        <v>0</v>
      </c>
      <c r="H47" s="1675"/>
      <c r="I47" s="1830"/>
    </row>
    <row r="48" spans="1:9" ht="14.85" hidden="1" customHeight="1" x14ac:dyDescent="0.25">
      <c r="A48" s="68"/>
      <c r="B48" s="227" t="s">
        <v>103</v>
      </c>
      <c r="C48" s="301"/>
      <c r="D48" s="1778"/>
      <c r="E48" s="268"/>
      <c r="H48" s="1675"/>
      <c r="I48" s="1830"/>
    </row>
    <row r="49" spans="1:9" ht="14.85" hidden="1" customHeight="1" x14ac:dyDescent="0.25">
      <c r="A49" s="15"/>
      <c r="B49" s="14" t="s">
        <v>75</v>
      </c>
      <c r="C49" s="251"/>
      <c r="D49" s="251"/>
      <c r="E49" s="33">
        <f>E50+E51</f>
        <v>0</v>
      </c>
      <c r="H49" s="1675"/>
      <c r="I49" s="1830"/>
    </row>
    <row r="50" spans="1:9" ht="14.85" hidden="1" customHeight="1" x14ac:dyDescent="0.25">
      <c r="A50" s="15"/>
      <c r="B50" s="64" t="s">
        <v>104</v>
      </c>
      <c r="C50" s="251"/>
      <c r="D50" s="251"/>
      <c r="E50" s="266">
        <v>0</v>
      </c>
      <c r="H50" s="1675"/>
      <c r="I50" s="1830"/>
    </row>
    <row r="51" spans="1:9" ht="14.85" hidden="1" customHeight="1" x14ac:dyDescent="0.25">
      <c r="A51" s="15"/>
      <c r="B51" s="64" t="s">
        <v>73</v>
      </c>
      <c r="C51" s="251"/>
      <c r="D51" s="251"/>
      <c r="E51" s="266">
        <v>0</v>
      </c>
      <c r="H51" s="1675"/>
      <c r="I51" s="1830"/>
    </row>
    <row r="52" spans="1:9" ht="14.85" hidden="1" customHeight="1" x14ac:dyDescent="0.25">
      <c r="A52" s="15"/>
      <c r="B52" s="227" t="s">
        <v>106</v>
      </c>
      <c r="C52" s="230"/>
      <c r="D52" s="230"/>
      <c r="E52" s="94"/>
      <c r="H52" s="1675"/>
      <c r="I52" s="1830"/>
    </row>
    <row r="53" spans="1:9" ht="14.85" hidden="1" customHeight="1" x14ac:dyDescent="0.25">
      <c r="A53" s="17"/>
      <c r="B53" s="11" t="s">
        <v>71</v>
      </c>
      <c r="C53" s="252"/>
      <c r="D53" s="252"/>
      <c r="E53" s="33"/>
      <c r="H53" s="1675"/>
      <c r="I53" s="1830"/>
    </row>
    <row r="54" spans="1:9" ht="14.85" hidden="1" customHeight="1" x14ac:dyDescent="0.25">
      <c r="A54" s="15"/>
      <c r="B54" s="14" t="s">
        <v>70</v>
      </c>
      <c r="C54" s="251"/>
      <c r="D54" s="251"/>
      <c r="E54" s="33">
        <f>E55+E56</f>
        <v>0</v>
      </c>
      <c r="H54" s="1675"/>
      <c r="I54" s="1830"/>
    </row>
    <row r="55" spans="1:9" ht="14.85" hidden="1" customHeight="1" x14ac:dyDescent="0.25">
      <c r="A55" s="15"/>
      <c r="B55" s="64" t="s">
        <v>108</v>
      </c>
      <c r="C55" s="251"/>
      <c r="D55" s="251"/>
      <c r="E55" s="266">
        <v>0</v>
      </c>
      <c r="H55" s="1675"/>
      <c r="I55" s="1830"/>
    </row>
    <row r="56" spans="1:9" ht="14.85" hidden="1" customHeight="1" x14ac:dyDescent="0.25">
      <c r="A56" s="15"/>
      <c r="B56" s="55" t="s">
        <v>73</v>
      </c>
      <c r="C56" s="251"/>
      <c r="D56" s="251"/>
      <c r="E56" s="267">
        <v>0</v>
      </c>
      <c r="H56" s="1675"/>
      <c r="I56" s="1830"/>
    </row>
    <row r="57" spans="1:9" ht="14.85" hidden="1" customHeight="1" x14ac:dyDescent="0.25">
      <c r="A57" s="68"/>
      <c r="B57" s="227" t="s">
        <v>109</v>
      </c>
      <c r="C57" s="301"/>
      <c r="D57" s="301"/>
      <c r="E57" s="94"/>
      <c r="H57" s="1675"/>
      <c r="I57" s="1830"/>
    </row>
    <row r="58" spans="1:9" ht="14.85" hidden="1" customHeight="1" x14ac:dyDescent="0.25">
      <c r="A58" s="15"/>
      <c r="B58" s="14" t="s">
        <v>75</v>
      </c>
      <c r="C58" s="226">
        <f>C59+C60</f>
        <v>21429000</v>
      </c>
      <c r="D58" s="226"/>
      <c r="E58" s="33">
        <f>E59+E60</f>
        <v>0</v>
      </c>
      <c r="H58" s="1675"/>
      <c r="I58" s="1830"/>
    </row>
    <row r="59" spans="1:9" ht="14.85" hidden="1" customHeight="1" x14ac:dyDescent="0.25">
      <c r="A59" s="15"/>
      <c r="B59" s="64" t="s">
        <v>111</v>
      </c>
      <c r="C59" s="67">
        <v>15000000</v>
      </c>
      <c r="D59" s="67"/>
      <c r="E59" s="266"/>
      <c r="H59" s="1675"/>
      <c r="I59" s="1830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67"/>
      <c r="H60" s="1675"/>
      <c r="I60" s="1830"/>
    </row>
    <row r="61" spans="1:9" ht="14.85" hidden="1" customHeight="1" x14ac:dyDescent="0.25">
      <c r="A61" s="68"/>
      <c r="B61" s="227" t="s">
        <v>834</v>
      </c>
      <c r="C61" s="301"/>
      <c r="D61" s="1778"/>
      <c r="E61" s="268"/>
      <c r="H61" s="1675"/>
      <c r="I61" s="1830"/>
    </row>
    <row r="62" spans="1:9" ht="14.85" hidden="1" customHeight="1" x14ac:dyDescent="0.25">
      <c r="A62" s="17"/>
      <c r="B62" s="11" t="s">
        <v>71</v>
      </c>
      <c r="C62" s="252"/>
      <c r="D62" s="252"/>
      <c r="E62" s="33"/>
      <c r="H62" s="1675"/>
      <c r="I62" s="1830"/>
    </row>
    <row r="63" spans="1:9" ht="14.85" hidden="1" customHeight="1" x14ac:dyDescent="0.25">
      <c r="A63" s="15"/>
      <c r="B63" s="14" t="s">
        <v>75</v>
      </c>
      <c r="C63" s="226">
        <f>C64+C65</f>
        <v>21429000</v>
      </c>
      <c r="D63" s="226"/>
      <c r="E63" s="33">
        <f>E64+E65</f>
        <v>0</v>
      </c>
      <c r="H63" s="1675"/>
      <c r="I63" s="1830"/>
    </row>
    <row r="64" spans="1:9" ht="14.85" hidden="1" customHeight="1" x14ac:dyDescent="0.25">
      <c r="A64" s="15"/>
      <c r="B64" s="64" t="s">
        <v>111</v>
      </c>
      <c r="C64" s="67">
        <v>15000000</v>
      </c>
      <c r="D64" s="67"/>
      <c r="E64" s="266">
        <v>0</v>
      </c>
      <c r="H64" s="1675"/>
      <c r="I64" s="1830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66">
        <v>0</v>
      </c>
      <c r="H65" s="1675"/>
      <c r="I65" s="1830"/>
    </row>
    <row r="66" spans="1:9" ht="14.85" hidden="1" customHeight="1" x14ac:dyDescent="0.25">
      <c r="A66" s="15"/>
      <c r="B66" s="227" t="s">
        <v>72</v>
      </c>
      <c r="C66" s="230"/>
      <c r="D66" s="230"/>
      <c r="E66" s="94"/>
      <c r="H66" s="1675"/>
      <c r="I66" s="1830"/>
    </row>
    <row r="67" spans="1:9" ht="14.85" hidden="1" customHeight="1" x14ac:dyDescent="0.25">
      <c r="A67" s="17"/>
      <c r="B67" s="11" t="s">
        <v>71</v>
      </c>
      <c r="C67" s="252"/>
      <c r="D67" s="252"/>
      <c r="E67" s="33"/>
      <c r="H67" s="1675"/>
      <c r="I67" s="1830"/>
    </row>
    <row r="68" spans="1:9" ht="14.85" hidden="1" customHeight="1" x14ac:dyDescent="0.25">
      <c r="A68" s="15"/>
      <c r="B68" s="14" t="s">
        <v>70</v>
      </c>
      <c r="C68" s="251"/>
      <c r="D68" s="251"/>
      <c r="E68" s="33">
        <f>E70+E71</f>
        <v>0</v>
      </c>
      <c r="H68" s="1675"/>
      <c r="I68" s="1830"/>
    </row>
    <row r="69" spans="1:9" ht="14.85" hidden="1" customHeight="1" x14ac:dyDescent="0.25">
      <c r="A69" s="15"/>
      <c r="B69" s="64" t="s">
        <v>69</v>
      </c>
      <c r="C69" s="251"/>
      <c r="D69" s="251"/>
      <c r="E69" s="266">
        <v>0</v>
      </c>
      <c r="H69" s="1675"/>
      <c r="I69" s="1830"/>
    </row>
    <row r="70" spans="1:9" ht="14.85" hidden="1" customHeight="1" x14ac:dyDescent="0.25">
      <c r="A70" s="15"/>
      <c r="B70" s="64" t="s">
        <v>68</v>
      </c>
      <c r="C70" s="251"/>
      <c r="D70" s="251"/>
      <c r="E70" s="266">
        <v>0</v>
      </c>
      <c r="H70" s="1675"/>
      <c r="I70" s="1830"/>
    </row>
    <row r="71" spans="1:9" ht="14.85" hidden="1" customHeight="1" x14ac:dyDescent="0.25">
      <c r="A71" s="15"/>
      <c r="B71" s="64" t="s">
        <v>67</v>
      </c>
      <c r="C71" s="251"/>
      <c r="D71" s="251"/>
      <c r="E71" s="266">
        <v>0</v>
      </c>
      <c r="H71" s="1675"/>
      <c r="I71" s="1830"/>
    </row>
    <row r="72" spans="1:9" ht="14.85" hidden="1" customHeight="1" x14ac:dyDescent="0.25">
      <c r="A72" s="15"/>
      <c r="B72" s="74" t="s">
        <v>112</v>
      </c>
      <c r="C72" s="251"/>
      <c r="D72" s="251"/>
      <c r="E72" s="269">
        <v>0</v>
      </c>
      <c r="H72" s="1675"/>
      <c r="I72" s="1830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75"/>
      <c r="I73" s="1830"/>
    </row>
    <row r="74" spans="1:9" ht="14.85" hidden="1" customHeight="1" x14ac:dyDescent="0.25">
      <c r="A74" s="15"/>
      <c r="B74" s="74" t="s">
        <v>65</v>
      </c>
      <c r="C74" s="1581">
        <v>94.2</v>
      </c>
      <c r="D74" s="1581"/>
      <c r="E74" s="270">
        <f>(E27/(E14))*100</f>
        <v>91.30858841036752</v>
      </c>
      <c r="H74" s="1675"/>
      <c r="I74" s="1830"/>
    </row>
    <row r="75" spans="1:9" ht="14.85" hidden="1" customHeight="1" x14ac:dyDescent="0.25">
      <c r="A75" s="15"/>
      <c r="B75" s="74" t="s">
        <v>64</v>
      </c>
      <c r="C75" s="125">
        <v>5</v>
      </c>
      <c r="D75" s="125"/>
      <c r="E75" s="270">
        <f>(E36/(E14))*100</f>
        <v>4.2316951163825145</v>
      </c>
      <c r="H75" s="1675"/>
      <c r="I75" s="1830"/>
    </row>
    <row r="76" spans="1:9" ht="14.85" hidden="1" customHeight="1" x14ac:dyDescent="0.25">
      <c r="A76" s="15"/>
      <c r="B76" s="74" t="s">
        <v>63</v>
      </c>
      <c r="C76" s="125">
        <v>82</v>
      </c>
      <c r="D76" s="125"/>
      <c r="E76" s="270" t="e">
        <f>E46/(E46+E47)*100</f>
        <v>#DIV/0!</v>
      </c>
      <c r="H76" s="1675"/>
      <c r="I76" s="1830"/>
    </row>
    <row r="77" spans="1:9" ht="14.85" hidden="1" customHeight="1" x14ac:dyDescent="0.25">
      <c r="A77" s="15"/>
      <c r="B77" s="74" t="s">
        <v>62</v>
      </c>
      <c r="C77" s="125">
        <v>18</v>
      </c>
      <c r="D77" s="125"/>
      <c r="E77" s="270" t="e">
        <f>(E47/E45)*100</f>
        <v>#DIV/0!</v>
      </c>
      <c r="H77" s="1675"/>
      <c r="I77" s="1830"/>
    </row>
    <row r="78" spans="1:9" ht="14.85" hidden="1" customHeight="1" x14ac:dyDescent="0.25">
      <c r="A78" s="15"/>
      <c r="B78" s="74" t="s">
        <v>105</v>
      </c>
      <c r="C78" s="125">
        <v>75</v>
      </c>
      <c r="D78" s="125"/>
      <c r="E78" s="270" t="e">
        <f>(E50/E49)*100</f>
        <v>#DIV/0!</v>
      </c>
      <c r="H78" s="1675"/>
      <c r="I78" s="1830"/>
    </row>
    <row r="79" spans="1:9" ht="14.85" hidden="1" customHeight="1" x14ac:dyDescent="0.25">
      <c r="A79" s="15"/>
      <c r="B79" s="74" t="s">
        <v>62</v>
      </c>
      <c r="C79" s="125">
        <v>25</v>
      </c>
      <c r="D79" s="125"/>
      <c r="E79" s="270" t="e">
        <f>(E51/E49)*100</f>
        <v>#DIV/0!</v>
      </c>
      <c r="H79" s="1675"/>
      <c r="I79" s="1830"/>
    </row>
    <row r="80" spans="1:9" ht="14.85" hidden="1" customHeight="1" x14ac:dyDescent="0.25">
      <c r="A80" s="15"/>
      <c r="B80" s="74" t="s">
        <v>107</v>
      </c>
      <c r="C80" s="125">
        <v>75</v>
      </c>
      <c r="D80" s="125"/>
      <c r="E80" s="270" t="e">
        <f>E55/E54*100</f>
        <v>#DIV/0!</v>
      </c>
      <c r="H80" s="1675"/>
      <c r="I80" s="1830"/>
    </row>
    <row r="81" spans="1:9" ht="14.85" hidden="1" customHeight="1" x14ac:dyDescent="0.25">
      <c r="A81" s="15"/>
      <c r="B81" s="74" t="s">
        <v>62</v>
      </c>
      <c r="C81" s="125">
        <v>25</v>
      </c>
      <c r="D81" s="125"/>
      <c r="E81" s="270" t="e">
        <f>E56/E54*100</f>
        <v>#DIV/0!</v>
      </c>
      <c r="H81" s="1675"/>
      <c r="I81" s="1830"/>
    </row>
    <row r="82" spans="1:9" ht="14.85" hidden="1" customHeight="1" x14ac:dyDescent="0.25">
      <c r="A82" s="15"/>
      <c r="B82" s="74" t="s">
        <v>110</v>
      </c>
      <c r="C82" s="125">
        <v>70</v>
      </c>
      <c r="D82" s="125"/>
      <c r="E82" s="270" t="e">
        <f>E59/(E59+E60)*100</f>
        <v>#DIV/0!</v>
      </c>
      <c r="H82" s="1675"/>
      <c r="I82" s="1830"/>
    </row>
    <row r="83" spans="1:9" ht="14.85" hidden="1" customHeight="1" x14ac:dyDescent="0.25">
      <c r="A83" s="15"/>
      <c r="B83" s="74" t="s">
        <v>62</v>
      </c>
      <c r="C83" s="125">
        <v>30</v>
      </c>
      <c r="D83" s="125"/>
      <c r="E83" s="270" t="e">
        <f>E60/(E60+E59)*100</f>
        <v>#DIV/0!</v>
      </c>
      <c r="H83" s="1675"/>
      <c r="I83" s="1830"/>
    </row>
    <row r="84" spans="1:9" ht="14.85" hidden="1" customHeight="1" x14ac:dyDescent="0.25">
      <c r="A84" s="15"/>
      <c r="B84" s="74" t="s">
        <v>835</v>
      </c>
      <c r="C84" s="125">
        <v>70</v>
      </c>
      <c r="D84" s="125"/>
      <c r="E84" s="270" t="e">
        <f>E64/(E64+E65)*100</f>
        <v>#DIV/0!</v>
      </c>
      <c r="H84" s="1675"/>
      <c r="I84" s="1830"/>
    </row>
    <row r="85" spans="1:9" ht="14.85" hidden="1" customHeight="1" x14ac:dyDescent="0.25">
      <c r="A85" s="15"/>
      <c r="B85" s="74" t="s">
        <v>62</v>
      </c>
      <c r="C85" s="125">
        <v>30</v>
      </c>
      <c r="D85" s="125"/>
      <c r="E85" s="270" t="e">
        <f>E65/(E64+E65)*100</f>
        <v>#DIV/0!</v>
      </c>
      <c r="H85" s="1675"/>
      <c r="I85" s="1830"/>
    </row>
    <row r="86" spans="1:9" ht="14.85" hidden="1" customHeight="1" x14ac:dyDescent="0.25">
      <c r="A86" s="15"/>
      <c r="B86" s="74" t="s">
        <v>61</v>
      </c>
      <c r="C86" s="125">
        <v>60</v>
      </c>
      <c r="D86" s="125"/>
      <c r="E86" s="270" t="e">
        <f>E69/E68*100</f>
        <v>#DIV/0!</v>
      </c>
      <c r="H86" s="1675"/>
      <c r="I86" s="1830"/>
    </row>
    <row r="87" spans="1:9" ht="15" hidden="1" customHeight="1" x14ac:dyDescent="0.25">
      <c r="A87" s="19"/>
      <c r="B87" s="74" t="s">
        <v>60</v>
      </c>
      <c r="C87" s="125">
        <v>40</v>
      </c>
      <c r="D87" s="125"/>
      <c r="E87" s="270" t="e">
        <f>E71/E68*100</f>
        <v>#DIV/0!</v>
      </c>
      <c r="H87" s="1675"/>
      <c r="I87" s="1830"/>
    </row>
    <row r="88" spans="1:9" x14ac:dyDescent="0.25">
      <c r="A88" s="8"/>
      <c r="B88" s="14" t="s">
        <v>81</v>
      </c>
      <c r="C88" s="249" t="s">
        <v>1011</v>
      </c>
      <c r="D88" s="248" t="s">
        <v>25</v>
      </c>
      <c r="E88" s="1672"/>
      <c r="F88" s="1657"/>
      <c r="G88" s="1656">
        <v>90.21</v>
      </c>
      <c r="H88" s="726"/>
      <c r="I88" s="1830"/>
    </row>
    <row r="89" spans="1:9" ht="15.75" thickBot="1" x14ac:dyDescent="0.3">
      <c r="A89" s="8"/>
      <c r="B89" s="14" t="s">
        <v>80</v>
      </c>
      <c r="C89" s="249">
        <v>0.5</v>
      </c>
      <c r="D89" s="248" t="s">
        <v>25</v>
      </c>
      <c r="E89" s="1672"/>
      <c r="F89" s="1657"/>
      <c r="G89" s="1656">
        <v>0.33</v>
      </c>
      <c r="H89" s="726"/>
      <c r="I89" s="1830"/>
    </row>
    <row r="90" spans="1:9" ht="15.75" thickBot="1" x14ac:dyDescent="0.3">
      <c r="A90" s="1784">
        <v>2</v>
      </c>
      <c r="B90" s="1782" t="s">
        <v>59</v>
      </c>
      <c r="C90" s="1670"/>
      <c r="D90" s="1670"/>
      <c r="E90" s="1866" t="s">
        <v>945</v>
      </c>
      <c r="F90" s="1866" t="s">
        <v>946</v>
      </c>
      <c r="G90" s="1670" t="s">
        <v>187</v>
      </c>
      <c r="H90" s="1671" t="s">
        <v>1018</v>
      </c>
      <c r="I90" s="1830"/>
    </row>
    <row r="91" spans="1:9" x14ac:dyDescent="0.25">
      <c r="A91" s="8"/>
      <c r="B91" s="232" t="s">
        <v>58</v>
      </c>
      <c r="C91" s="248">
        <v>9</v>
      </c>
      <c r="D91" s="248" t="s">
        <v>85</v>
      </c>
      <c r="E91" s="266">
        <v>122737</v>
      </c>
      <c r="F91" s="266">
        <v>143761</v>
      </c>
      <c r="G91" s="266">
        <f>F91-E91</f>
        <v>21024</v>
      </c>
      <c r="H91" s="1867">
        <f>G91/G14/10</f>
        <v>0.83441816161295423</v>
      </c>
      <c r="I91" s="1833" t="s">
        <v>836</v>
      </c>
    </row>
    <row r="92" spans="1:9" ht="14.85" hidden="1" customHeight="1" x14ac:dyDescent="0.25">
      <c r="A92" s="15"/>
      <c r="B92" s="21"/>
      <c r="C92" s="250"/>
      <c r="D92" s="250"/>
      <c r="E92" s="272" t="e">
        <f>E91/(E16)*100</f>
        <v>#DIV/0!</v>
      </c>
      <c r="H92" s="1868"/>
      <c r="I92" s="1830"/>
    </row>
    <row r="93" spans="1:9" ht="14.85" hidden="1" customHeight="1" x14ac:dyDescent="0.25">
      <c r="A93" s="8"/>
      <c r="B93" s="234" t="s">
        <v>57</v>
      </c>
      <c r="C93" s="253">
        <v>18</v>
      </c>
      <c r="D93" s="253"/>
      <c r="E93" s="273">
        <v>0</v>
      </c>
      <c r="H93" s="1868"/>
      <c r="I93" s="1830"/>
    </row>
    <row r="94" spans="1:9" ht="14.85" hidden="1" customHeight="1" x14ac:dyDescent="0.25">
      <c r="A94" s="15"/>
      <c r="B94" s="22"/>
      <c r="C94" s="254"/>
      <c r="D94" s="254"/>
      <c r="E94" s="274" t="e">
        <f>E93/(E17)*100</f>
        <v>#DIV/0!</v>
      </c>
      <c r="H94" s="1868"/>
      <c r="I94" s="1833" t="s">
        <v>836</v>
      </c>
    </row>
    <row r="95" spans="1:9" x14ac:dyDescent="0.25">
      <c r="A95" s="15"/>
      <c r="B95" s="232" t="s">
        <v>55</v>
      </c>
      <c r="C95" s="249" t="s">
        <v>1012</v>
      </c>
      <c r="D95" s="248" t="s">
        <v>85</v>
      </c>
      <c r="E95" s="267">
        <v>1970.8</v>
      </c>
      <c r="F95" s="286">
        <v>867.36</v>
      </c>
      <c r="G95" s="1681">
        <f>E95-F95</f>
        <v>1103.44</v>
      </c>
      <c r="H95" s="1869">
        <f>G95/G14/10</f>
        <v>4.3794253056040636E-2</v>
      </c>
      <c r="I95" s="1833" t="s">
        <v>836</v>
      </c>
    </row>
    <row r="96" spans="1:9" ht="15" hidden="1" customHeight="1" x14ac:dyDescent="0.25">
      <c r="A96" s="19"/>
      <c r="B96" s="24"/>
      <c r="C96" s="250"/>
      <c r="D96" s="250"/>
      <c r="E96" s="275"/>
      <c r="H96" s="1675"/>
      <c r="I96" s="1830"/>
    </row>
    <row r="97" spans="1:9" x14ac:dyDescent="0.25">
      <c r="A97" s="137">
        <v>3</v>
      </c>
      <c r="B97" s="236" t="s">
        <v>167</v>
      </c>
      <c r="C97" s="1780" t="s">
        <v>1014</v>
      </c>
      <c r="D97" s="237" t="s">
        <v>25</v>
      </c>
      <c r="E97" s="276"/>
      <c r="F97" s="1655"/>
      <c r="G97" s="276"/>
      <c r="H97" s="1870">
        <f>((SUM(G27+G36))-(SUM(G14)))/(SUM(G14))*100</f>
        <v>-2.7190823940308246</v>
      </c>
      <c r="I97" s="1830"/>
    </row>
    <row r="98" spans="1:9" x14ac:dyDescent="0.25">
      <c r="A98" s="137"/>
      <c r="B98" s="305"/>
      <c r="C98" s="306"/>
      <c r="D98" s="306"/>
      <c r="E98" s="308"/>
      <c r="G98" s="308"/>
      <c r="H98" s="1871">
        <f>H97%*G14</f>
        <v>-68.510000000000673</v>
      </c>
      <c r="I98" s="1830"/>
    </row>
    <row r="99" spans="1:9" x14ac:dyDescent="0.25">
      <c r="A99" s="68"/>
      <c r="B99" s="232" t="s">
        <v>54</v>
      </c>
      <c r="C99" s="1781" t="s">
        <v>1013</v>
      </c>
      <c r="D99" s="1658" t="s">
        <v>25</v>
      </c>
      <c r="E99" s="277"/>
      <c r="F99" s="1659"/>
      <c r="G99" s="277"/>
      <c r="H99" s="1678"/>
      <c r="I99" s="1830"/>
    </row>
    <row r="100" spans="1:9" ht="15.75" thickBot="1" x14ac:dyDescent="0.3">
      <c r="A100" s="85"/>
      <c r="B100" s="86" t="s">
        <v>53</v>
      </c>
      <c r="C100" s="250"/>
      <c r="D100" s="250"/>
      <c r="E100" s="1682"/>
      <c r="F100" s="1683"/>
      <c r="G100" s="1682"/>
      <c r="H100" s="1682">
        <f>SUM(G91,G93)+(H99%*SUM(G91,G93))</f>
        <v>21024</v>
      </c>
      <c r="I100" s="1830"/>
    </row>
    <row r="101" spans="1:9" ht="15" hidden="1" customHeight="1" x14ac:dyDescent="0.25">
      <c r="A101" s="8">
        <v>4</v>
      </c>
      <c r="B101" s="47" t="s">
        <v>52</v>
      </c>
      <c r="C101" s="48"/>
      <c r="D101" s="1779"/>
      <c r="E101" s="268"/>
      <c r="H101" s="1675"/>
      <c r="I101" s="1830"/>
    </row>
    <row r="102" spans="1:9" ht="15" hidden="1" customHeight="1" x14ac:dyDescent="0.25">
      <c r="A102" s="8"/>
      <c r="B102" s="26" t="s">
        <v>51</v>
      </c>
      <c r="C102" s="88"/>
      <c r="D102" s="88"/>
      <c r="E102" s="278"/>
      <c r="H102" s="1675"/>
      <c r="I102" s="1830"/>
    </row>
    <row r="103" spans="1:9" ht="15" hidden="1" customHeight="1" x14ac:dyDescent="0.25">
      <c r="A103" s="15"/>
      <c r="B103" s="28" t="s">
        <v>46</v>
      </c>
      <c r="C103" s="90"/>
      <c r="D103" s="90"/>
      <c r="E103" s="279"/>
      <c r="H103" s="1675"/>
      <c r="I103" s="1830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75"/>
      <c r="I104" s="1830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75"/>
      <c r="I105" s="1830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75"/>
      <c r="I106" s="1830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75"/>
      <c r="I107" s="1830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75"/>
      <c r="I108" s="1830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75"/>
      <c r="I109" s="1830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75"/>
      <c r="I110" s="1830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75"/>
      <c r="I111" s="1830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75"/>
      <c r="I112" s="1830"/>
    </row>
    <row r="113" spans="1:9" ht="15" hidden="1" customHeight="1" x14ac:dyDescent="0.25">
      <c r="A113" s="15"/>
      <c r="B113" s="30" t="s">
        <v>36</v>
      </c>
      <c r="C113" s="60"/>
      <c r="D113" s="60"/>
      <c r="E113" s="280">
        <v>0</v>
      </c>
      <c r="H113" s="1675"/>
      <c r="I113" s="1830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75"/>
      <c r="I114" s="1830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75"/>
      <c r="I115" s="1830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75"/>
      <c r="I116" s="1830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75"/>
      <c r="I117" s="1830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75"/>
      <c r="I118" s="1830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75"/>
      <c r="I119" s="1830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75"/>
      <c r="I120" s="1830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75"/>
      <c r="I121" s="1830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75"/>
      <c r="I122" s="1830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75"/>
      <c r="I123" s="1830"/>
    </row>
    <row r="124" spans="1:9" ht="15" hidden="1" customHeight="1" x14ac:dyDescent="0.25">
      <c r="A124" s="15"/>
      <c r="B124" s="14" t="s">
        <v>49</v>
      </c>
      <c r="C124" s="125">
        <v>0.3</v>
      </c>
      <c r="D124" s="125"/>
      <c r="E124" s="34" t="e">
        <v>#DIV/0!</v>
      </c>
      <c r="H124" s="1675"/>
      <c r="I124" s="1830"/>
    </row>
    <row r="125" spans="1:9" ht="15" hidden="1" customHeight="1" x14ac:dyDescent="0.25">
      <c r="A125" s="15"/>
      <c r="B125" s="14" t="s">
        <v>48</v>
      </c>
      <c r="C125" s="125">
        <v>0.3</v>
      </c>
      <c r="D125" s="125"/>
      <c r="E125" s="34" t="e">
        <v>#DIV/0!</v>
      </c>
      <c r="H125" s="1675"/>
      <c r="I125" s="1830"/>
    </row>
    <row r="126" spans="1:9" ht="15" hidden="1" customHeight="1" x14ac:dyDescent="0.25">
      <c r="A126" s="15"/>
      <c r="B126" s="30" t="s">
        <v>28</v>
      </c>
      <c r="C126" s="125"/>
      <c r="D126" s="125"/>
      <c r="E126" s="34"/>
      <c r="H126" s="1675"/>
      <c r="I126" s="1830"/>
    </row>
    <row r="127" spans="1:9" ht="15" hidden="1" customHeight="1" x14ac:dyDescent="0.25">
      <c r="A127" s="15"/>
      <c r="B127" s="14" t="s">
        <v>49</v>
      </c>
      <c r="C127" s="125">
        <v>0.5</v>
      </c>
      <c r="D127" s="125"/>
      <c r="E127" s="34" t="e">
        <v>#DIV/0!</v>
      </c>
      <c r="H127" s="1675"/>
      <c r="I127" s="1830"/>
    </row>
    <row r="128" spans="1:9" ht="15" hidden="1" customHeight="1" x14ac:dyDescent="0.25">
      <c r="A128" s="19"/>
      <c r="B128" s="14" t="s">
        <v>48</v>
      </c>
      <c r="C128" s="125">
        <v>0.5</v>
      </c>
      <c r="D128" s="125"/>
      <c r="E128" s="34" t="e">
        <v>#DIV/0!</v>
      </c>
      <c r="H128" s="1675"/>
      <c r="I128" s="1830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75"/>
      <c r="I129" s="1830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75"/>
      <c r="I130" s="1830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75"/>
      <c r="I131" s="1830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75"/>
      <c r="I132" s="1830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75"/>
      <c r="I133" s="1830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75"/>
      <c r="I134" s="1830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75"/>
      <c r="I135" s="1830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75"/>
      <c r="I136" s="1830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75"/>
      <c r="I137" s="1830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75"/>
      <c r="I138" s="1830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75"/>
      <c r="I139" s="1830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75"/>
      <c r="I140" s="1830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75"/>
      <c r="I141" s="1830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75"/>
      <c r="I142" s="1830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75"/>
      <c r="I143" s="1830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75"/>
      <c r="I144" s="1830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75"/>
      <c r="I145" s="1830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75"/>
      <c r="I146" s="1830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75"/>
      <c r="I147" s="1830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75"/>
      <c r="I148" s="1830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75"/>
      <c r="I149" s="1830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75"/>
      <c r="I150" s="1830"/>
    </row>
    <row r="151" spans="1:9" ht="15" hidden="1" customHeight="1" x14ac:dyDescent="0.25">
      <c r="A151" s="15"/>
      <c r="B151" s="11" t="s">
        <v>45</v>
      </c>
      <c r="C151" s="125">
        <v>0.3</v>
      </c>
      <c r="D151" s="125"/>
      <c r="E151" s="34" t="e">
        <v>#DIV/0!</v>
      </c>
      <c r="H151" s="1675"/>
      <c r="I151" s="1830"/>
    </row>
    <row r="152" spans="1:9" ht="15" hidden="1" customHeight="1" x14ac:dyDescent="0.25">
      <c r="A152" s="15"/>
      <c r="B152" s="11" t="s">
        <v>44</v>
      </c>
      <c r="C152" s="125">
        <v>0.3</v>
      </c>
      <c r="D152" s="125"/>
      <c r="E152" s="34" t="e">
        <v>#DIV/0!</v>
      </c>
      <c r="H152" s="1675"/>
      <c r="I152" s="1830"/>
    </row>
    <row r="153" spans="1:9" ht="15" hidden="1" customHeight="1" x14ac:dyDescent="0.25">
      <c r="A153" s="15"/>
      <c r="B153" s="30" t="s">
        <v>28</v>
      </c>
      <c r="C153" s="125"/>
      <c r="D153" s="125"/>
      <c r="E153" s="34"/>
      <c r="H153" s="1675"/>
      <c r="I153" s="1830"/>
    </row>
    <row r="154" spans="1:9" ht="15" hidden="1" customHeight="1" x14ac:dyDescent="0.25">
      <c r="A154" s="15"/>
      <c r="B154" s="11" t="s">
        <v>45</v>
      </c>
      <c r="C154" s="125">
        <v>0.5</v>
      </c>
      <c r="D154" s="125"/>
      <c r="E154" s="34" t="e">
        <v>#DIV/0!</v>
      </c>
      <c r="H154" s="1675"/>
      <c r="I154" s="1830"/>
    </row>
    <row r="155" spans="1:9" ht="15" hidden="1" customHeight="1" x14ac:dyDescent="0.25">
      <c r="A155" s="15"/>
      <c r="B155" s="11" t="s">
        <v>44</v>
      </c>
      <c r="C155" s="125">
        <v>0.5</v>
      </c>
      <c r="D155" s="125"/>
      <c r="E155" s="34" t="e">
        <v>#DIV/0!</v>
      </c>
      <c r="H155" s="1675"/>
      <c r="I155" s="1830"/>
    </row>
    <row r="156" spans="1:9" ht="15" hidden="1" customHeight="1" x14ac:dyDescent="0.25">
      <c r="A156" s="15"/>
      <c r="B156" s="47" t="s">
        <v>43</v>
      </c>
      <c r="C156" s="126"/>
      <c r="D156" s="126"/>
      <c r="E156" s="281"/>
      <c r="H156" s="1675"/>
      <c r="I156" s="1830"/>
    </row>
    <row r="157" spans="1:9" ht="15" hidden="1" customHeight="1" x14ac:dyDescent="0.25">
      <c r="A157" s="15"/>
      <c r="B157" s="28" t="s">
        <v>113</v>
      </c>
      <c r="C157" s="125"/>
      <c r="D157" s="125"/>
      <c r="E157" s="42"/>
      <c r="H157" s="1675"/>
      <c r="I157" s="1830"/>
    </row>
    <row r="158" spans="1:9" ht="15" hidden="1" customHeight="1" x14ac:dyDescent="0.25">
      <c r="A158" s="15"/>
      <c r="B158" s="28" t="s">
        <v>114</v>
      </c>
      <c r="C158" s="125"/>
      <c r="D158" s="125"/>
      <c r="E158" s="34"/>
      <c r="H158" s="1675"/>
      <c r="I158" s="1830"/>
    </row>
    <row r="159" spans="1:9" ht="15" hidden="1" customHeight="1" x14ac:dyDescent="0.25">
      <c r="A159" s="15"/>
      <c r="B159" s="30" t="s">
        <v>39</v>
      </c>
      <c r="C159" s="125"/>
      <c r="D159" s="125"/>
      <c r="E159" s="34">
        <v>0</v>
      </c>
      <c r="H159" s="1675"/>
      <c r="I159" s="1830"/>
    </row>
    <row r="160" spans="1:9" ht="15" hidden="1" customHeight="1" x14ac:dyDescent="0.25">
      <c r="A160" s="15"/>
      <c r="B160" s="30" t="s">
        <v>38</v>
      </c>
      <c r="C160" s="125"/>
      <c r="D160" s="125"/>
      <c r="E160" s="34">
        <v>0</v>
      </c>
      <c r="H160" s="1675"/>
      <c r="I160" s="1830"/>
    </row>
    <row r="161" spans="1:9" ht="15" hidden="1" customHeight="1" x14ac:dyDescent="0.25">
      <c r="A161" s="15"/>
      <c r="B161" s="30" t="s">
        <v>29</v>
      </c>
      <c r="C161" s="125"/>
      <c r="D161" s="125"/>
      <c r="E161" s="33"/>
      <c r="H161" s="1675"/>
      <c r="I161" s="1830"/>
    </row>
    <row r="162" spans="1:9" ht="15" hidden="1" customHeight="1" x14ac:dyDescent="0.25">
      <c r="A162" s="15"/>
      <c r="B162" s="11" t="s">
        <v>42</v>
      </c>
      <c r="C162" s="125"/>
      <c r="D162" s="125"/>
      <c r="E162" s="33"/>
      <c r="H162" s="1675"/>
      <c r="I162" s="1830"/>
    </row>
    <row r="163" spans="1:9" ht="15" hidden="1" customHeight="1" x14ac:dyDescent="0.25">
      <c r="A163" s="15"/>
      <c r="B163" s="11" t="s">
        <v>41</v>
      </c>
      <c r="C163" s="125"/>
      <c r="D163" s="125"/>
      <c r="E163" s="33"/>
      <c r="H163" s="1675"/>
      <c r="I163" s="1830"/>
    </row>
    <row r="164" spans="1:9" ht="15" hidden="1" customHeight="1" x14ac:dyDescent="0.25">
      <c r="A164" s="15"/>
      <c r="B164" s="30" t="s">
        <v>28</v>
      </c>
      <c r="C164" s="125"/>
      <c r="D164" s="125"/>
      <c r="E164" s="33"/>
      <c r="H164" s="1675"/>
      <c r="I164" s="1830"/>
    </row>
    <row r="165" spans="1:9" ht="15" hidden="1" customHeight="1" x14ac:dyDescent="0.25">
      <c r="A165" s="15"/>
      <c r="B165" s="11" t="s">
        <v>42</v>
      </c>
      <c r="C165" s="125"/>
      <c r="D165" s="125"/>
      <c r="E165" s="33">
        <v>0</v>
      </c>
      <c r="H165" s="1675"/>
      <c r="I165" s="1830"/>
    </row>
    <row r="166" spans="1:9" ht="15" hidden="1" customHeight="1" x14ac:dyDescent="0.25">
      <c r="A166" s="15"/>
      <c r="B166" s="11" t="s">
        <v>41</v>
      </c>
      <c r="C166" s="125"/>
      <c r="D166" s="125"/>
      <c r="E166" s="33">
        <v>0</v>
      </c>
      <c r="H166" s="1675"/>
      <c r="I166" s="1830"/>
    </row>
    <row r="167" spans="1:9" ht="15" hidden="1" customHeight="1" x14ac:dyDescent="0.25">
      <c r="A167" s="15"/>
      <c r="B167" s="30" t="s">
        <v>36</v>
      </c>
      <c r="C167" s="125"/>
      <c r="D167" s="125"/>
      <c r="E167" s="33">
        <v>0</v>
      </c>
      <c r="H167" s="1675"/>
      <c r="I167" s="1830"/>
    </row>
    <row r="168" spans="1:9" ht="15" hidden="1" customHeight="1" x14ac:dyDescent="0.25">
      <c r="A168" s="15"/>
      <c r="B168" s="30" t="s">
        <v>34</v>
      </c>
      <c r="C168" s="125"/>
      <c r="D168" s="125"/>
      <c r="E168" s="33">
        <v>0</v>
      </c>
      <c r="H168" s="1675"/>
      <c r="I168" s="1830"/>
    </row>
    <row r="169" spans="1:9" ht="15" hidden="1" customHeight="1" x14ac:dyDescent="0.25">
      <c r="A169" s="15"/>
      <c r="B169" s="47" t="s">
        <v>32</v>
      </c>
      <c r="C169" s="126"/>
      <c r="D169" s="126"/>
      <c r="E169" s="94"/>
      <c r="H169" s="1675"/>
      <c r="I169" s="1830"/>
    </row>
    <row r="170" spans="1:9" ht="15" hidden="1" customHeight="1" x14ac:dyDescent="0.25">
      <c r="A170" s="15"/>
      <c r="B170" s="30" t="s">
        <v>29</v>
      </c>
      <c r="C170" s="125"/>
      <c r="D170" s="125"/>
      <c r="E170" s="33"/>
      <c r="H170" s="1675"/>
      <c r="I170" s="1830"/>
    </row>
    <row r="171" spans="1:9" ht="15" hidden="1" customHeight="1" x14ac:dyDescent="0.25">
      <c r="A171" s="15"/>
      <c r="B171" s="11" t="s">
        <v>42</v>
      </c>
      <c r="C171" s="125"/>
      <c r="D171" s="125"/>
      <c r="E171" s="33"/>
      <c r="H171" s="1675"/>
      <c r="I171" s="1830"/>
    </row>
    <row r="172" spans="1:9" ht="15" hidden="1" customHeight="1" x14ac:dyDescent="0.25">
      <c r="A172" s="15"/>
      <c r="B172" s="11" t="s">
        <v>41</v>
      </c>
      <c r="C172" s="125"/>
      <c r="D172" s="125"/>
      <c r="E172" s="33"/>
      <c r="H172" s="1675"/>
      <c r="I172" s="1830"/>
    </row>
    <row r="173" spans="1:9" ht="15" hidden="1" customHeight="1" x14ac:dyDescent="0.25">
      <c r="A173" s="15"/>
      <c r="B173" s="30" t="s">
        <v>28</v>
      </c>
      <c r="C173" s="125"/>
      <c r="D173" s="125"/>
      <c r="E173" s="33"/>
      <c r="H173" s="1675"/>
      <c r="I173" s="1830"/>
    </row>
    <row r="174" spans="1:9" ht="15" hidden="1" customHeight="1" x14ac:dyDescent="0.25">
      <c r="A174" s="15"/>
      <c r="B174" s="11" t="s">
        <v>42</v>
      </c>
      <c r="C174" s="125"/>
      <c r="D174" s="125"/>
      <c r="E174" s="33">
        <v>0</v>
      </c>
      <c r="H174" s="1675"/>
      <c r="I174" s="1830"/>
    </row>
    <row r="175" spans="1:9" ht="15" hidden="1" customHeight="1" x14ac:dyDescent="0.25">
      <c r="A175" s="15"/>
      <c r="B175" s="11" t="s">
        <v>41</v>
      </c>
      <c r="C175" s="125"/>
      <c r="D175" s="125"/>
      <c r="E175" s="33">
        <v>0</v>
      </c>
      <c r="H175" s="1675"/>
      <c r="I175" s="1830"/>
    </row>
    <row r="176" spans="1:9" ht="15" hidden="1" customHeight="1" x14ac:dyDescent="0.25">
      <c r="A176" s="15"/>
      <c r="B176" s="47" t="s">
        <v>30</v>
      </c>
      <c r="C176" s="126"/>
      <c r="D176" s="126"/>
      <c r="E176" s="94"/>
      <c r="H176" s="1675"/>
      <c r="I176" s="1830"/>
    </row>
    <row r="177" spans="1:9" ht="15" hidden="1" customHeight="1" x14ac:dyDescent="0.25">
      <c r="A177" s="15"/>
      <c r="B177" s="30" t="s">
        <v>29</v>
      </c>
      <c r="C177" s="125"/>
      <c r="D177" s="125"/>
      <c r="E177" s="33"/>
      <c r="H177" s="1675"/>
      <c r="I177" s="1830"/>
    </row>
    <row r="178" spans="1:9" ht="15" hidden="1" customHeight="1" x14ac:dyDescent="0.25">
      <c r="A178" s="15"/>
      <c r="B178" s="11" t="s">
        <v>42</v>
      </c>
      <c r="C178" s="125"/>
      <c r="D178" s="125"/>
      <c r="E178" s="33" t="e">
        <v>#DIV/0!</v>
      </c>
      <c r="H178" s="1675"/>
      <c r="I178" s="1830"/>
    </row>
    <row r="179" spans="1:9" ht="15" hidden="1" customHeight="1" x14ac:dyDescent="0.25">
      <c r="A179" s="15"/>
      <c r="B179" s="11" t="s">
        <v>90</v>
      </c>
      <c r="C179" s="125"/>
      <c r="D179" s="125"/>
      <c r="E179" s="33" t="e">
        <v>#DIV/0!</v>
      </c>
      <c r="H179" s="1675"/>
      <c r="I179" s="1830"/>
    </row>
    <row r="180" spans="1:9" ht="15" hidden="1" customHeight="1" x14ac:dyDescent="0.25">
      <c r="A180" s="15"/>
      <c r="B180" s="30" t="s">
        <v>28</v>
      </c>
      <c r="C180" s="125"/>
      <c r="D180" s="125"/>
      <c r="E180" s="33"/>
      <c r="H180" s="1675"/>
      <c r="I180" s="1830"/>
    </row>
    <row r="181" spans="1:9" ht="15" hidden="1" customHeight="1" x14ac:dyDescent="0.25">
      <c r="A181" s="15"/>
      <c r="B181" s="11" t="s">
        <v>42</v>
      </c>
      <c r="C181" s="125"/>
      <c r="D181" s="125"/>
      <c r="E181" s="33" t="e">
        <v>#DIV/0!</v>
      </c>
      <c r="H181" s="1675"/>
      <c r="I181" s="1830"/>
    </row>
    <row r="182" spans="1:9" ht="15" hidden="1" customHeight="1" x14ac:dyDescent="0.25">
      <c r="A182" s="19"/>
      <c r="B182" s="11" t="s">
        <v>90</v>
      </c>
      <c r="C182" s="125"/>
      <c r="D182" s="125"/>
      <c r="E182" s="33" t="e">
        <v>#DIV/0!</v>
      </c>
      <c r="H182" s="1675"/>
      <c r="I182" s="1830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75"/>
      <c r="I183" s="1830"/>
    </row>
    <row r="184" spans="1:9" ht="15" hidden="1" customHeight="1" x14ac:dyDescent="0.25">
      <c r="A184" s="15"/>
      <c r="B184" s="28" t="s">
        <v>114</v>
      </c>
      <c r="C184" s="90"/>
      <c r="D184" s="90"/>
      <c r="E184" s="42"/>
      <c r="H184" s="1675"/>
      <c r="I184" s="1830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75"/>
      <c r="I185" s="1830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75"/>
      <c r="I186" s="1830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75"/>
      <c r="I187" s="1830"/>
    </row>
    <row r="188" spans="1:9" ht="15" hidden="1" customHeight="1" x14ac:dyDescent="0.25">
      <c r="A188" s="15"/>
      <c r="B188" s="11" t="s">
        <v>115</v>
      </c>
      <c r="C188" s="60"/>
      <c r="D188" s="60"/>
      <c r="E188" s="33"/>
      <c r="H188" s="1675"/>
      <c r="I188" s="1830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75"/>
      <c r="I189" s="1830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75"/>
      <c r="I190" s="1830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75"/>
      <c r="I191" s="1830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75"/>
      <c r="I192" s="1830"/>
    </row>
    <row r="193" spans="1:9" ht="15" hidden="1" customHeight="1" x14ac:dyDescent="0.25">
      <c r="A193" s="15"/>
      <c r="B193" s="11" t="s">
        <v>115</v>
      </c>
      <c r="C193" s="60"/>
      <c r="D193" s="60"/>
      <c r="E193" s="33">
        <v>0</v>
      </c>
      <c r="H193" s="1675"/>
      <c r="I193" s="1830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75"/>
      <c r="I194" s="1830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75"/>
      <c r="I195" s="1830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75"/>
      <c r="I196" s="1830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75"/>
      <c r="I197" s="1830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75"/>
      <c r="I198" s="1830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75"/>
      <c r="I199" s="1830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75"/>
      <c r="I200" s="1830"/>
    </row>
    <row r="201" spans="1:9" ht="15" hidden="1" customHeight="1" x14ac:dyDescent="0.25">
      <c r="A201" s="15"/>
      <c r="B201" s="11" t="s">
        <v>115</v>
      </c>
      <c r="C201" s="60"/>
      <c r="D201" s="60"/>
      <c r="E201" s="33">
        <v>0</v>
      </c>
      <c r="H201" s="1675"/>
      <c r="I201" s="1830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75"/>
      <c r="I202" s="1830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75"/>
      <c r="I203" s="1830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75"/>
      <c r="I204" s="1830"/>
    </row>
    <row r="205" spans="1:9" ht="15" hidden="1" customHeight="1" x14ac:dyDescent="0.25">
      <c r="A205" s="15"/>
      <c r="B205" s="11" t="s">
        <v>115</v>
      </c>
      <c r="C205" s="60"/>
      <c r="D205" s="60"/>
      <c r="E205" s="33">
        <v>0</v>
      </c>
      <c r="H205" s="1675"/>
      <c r="I205" s="1830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75"/>
      <c r="I206" s="1830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75"/>
      <c r="I207" s="1830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75"/>
      <c r="I208" s="1830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75"/>
      <c r="I209" s="1830"/>
    </row>
    <row r="210" spans="1:9" ht="15" hidden="1" customHeight="1" x14ac:dyDescent="0.25">
      <c r="A210" s="15"/>
      <c r="B210" s="11" t="s">
        <v>115</v>
      </c>
      <c r="C210" s="125">
        <v>0.3</v>
      </c>
      <c r="D210" s="125"/>
      <c r="E210" s="34" t="e">
        <v>#DIV/0!</v>
      </c>
      <c r="H210" s="1675"/>
      <c r="I210" s="1830"/>
    </row>
    <row r="211" spans="1:9" ht="15" hidden="1" customHeight="1" x14ac:dyDescent="0.25">
      <c r="A211" s="15"/>
      <c r="B211" s="11" t="s">
        <v>27</v>
      </c>
      <c r="C211" s="125">
        <v>0.3</v>
      </c>
      <c r="D211" s="125"/>
      <c r="E211" s="34" t="e">
        <v>#DIV/0!</v>
      </c>
      <c r="H211" s="1675"/>
      <c r="I211" s="1830"/>
    </row>
    <row r="212" spans="1:9" ht="15" hidden="1" customHeight="1" x14ac:dyDescent="0.25">
      <c r="A212" s="15"/>
      <c r="B212" s="11" t="s">
        <v>26</v>
      </c>
      <c r="C212" s="125">
        <v>0.3</v>
      </c>
      <c r="D212" s="125"/>
      <c r="E212" s="34" t="e">
        <v>#DIV/0!</v>
      </c>
      <c r="H212" s="1675"/>
      <c r="I212" s="1830"/>
    </row>
    <row r="213" spans="1:9" ht="15" hidden="1" customHeight="1" x14ac:dyDescent="0.25">
      <c r="A213" s="15"/>
      <c r="B213" s="30" t="s">
        <v>28</v>
      </c>
      <c r="C213" s="125"/>
      <c r="D213" s="125"/>
      <c r="E213" s="34"/>
      <c r="H213" s="1675"/>
      <c r="I213" s="1830"/>
    </row>
    <row r="214" spans="1:9" ht="15" hidden="1" customHeight="1" x14ac:dyDescent="0.25">
      <c r="A214" s="15"/>
      <c r="B214" s="11" t="s">
        <v>115</v>
      </c>
      <c r="C214" s="125">
        <v>0.5</v>
      </c>
      <c r="D214" s="125"/>
      <c r="E214" s="34" t="e">
        <v>#DIV/0!</v>
      </c>
      <c r="H214" s="1675"/>
      <c r="I214" s="1830"/>
    </row>
    <row r="215" spans="1:9" ht="15" hidden="1" customHeight="1" x14ac:dyDescent="0.25">
      <c r="A215" s="15"/>
      <c r="B215" s="11" t="s">
        <v>27</v>
      </c>
      <c r="C215" s="125">
        <v>0.5</v>
      </c>
      <c r="D215" s="125"/>
      <c r="E215" s="34" t="e">
        <v>#DIV/0!</v>
      </c>
      <c r="H215" s="1675"/>
      <c r="I215" s="1830"/>
    </row>
    <row r="216" spans="1:9" ht="15" hidden="1" customHeight="1" x14ac:dyDescent="0.25">
      <c r="A216" s="19"/>
      <c r="B216" s="11" t="s">
        <v>26</v>
      </c>
      <c r="C216" s="125">
        <v>0.5</v>
      </c>
      <c r="D216" s="125"/>
      <c r="E216" s="34" t="e">
        <v>#DIV/0!</v>
      </c>
      <c r="H216" s="1675"/>
      <c r="I216" s="1830"/>
    </row>
    <row r="217" spans="1:9" ht="15" hidden="1" customHeight="1" x14ac:dyDescent="0.25">
      <c r="A217" s="8">
        <v>7</v>
      </c>
      <c r="B217" s="47" t="s">
        <v>86</v>
      </c>
      <c r="C217" s="126"/>
      <c r="D217" s="126"/>
      <c r="E217" s="282"/>
      <c r="H217" s="1675"/>
      <c r="I217" s="1830"/>
    </row>
    <row r="218" spans="1:9" ht="15" hidden="1" customHeight="1" x14ac:dyDescent="0.25">
      <c r="A218" s="15"/>
      <c r="B218" s="26" t="s">
        <v>91</v>
      </c>
      <c r="C218" s="125"/>
      <c r="D218" s="125"/>
      <c r="E218" s="42"/>
      <c r="H218" s="1675"/>
      <c r="I218" s="1830"/>
    </row>
    <row r="219" spans="1:9" ht="15" hidden="1" customHeight="1" x14ac:dyDescent="0.25">
      <c r="A219" s="15"/>
      <c r="B219" s="11" t="s">
        <v>92</v>
      </c>
      <c r="C219" s="125"/>
      <c r="D219" s="125"/>
      <c r="E219" s="34"/>
      <c r="H219" s="1675"/>
      <c r="I219" s="1830"/>
    </row>
    <row r="220" spans="1:9" ht="15" hidden="1" customHeight="1" x14ac:dyDescent="0.25">
      <c r="A220" s="15"/>
      <c r="B220" s="11" t="s">
        <v>39</v>
      </c>
      <c r="C220" s="125"/>
      <c r="D220" s="125"/>
      <c r="E220" s="34">
        <v>0</v>
      </c>
      <c r="H220" s="1675"/>
      <c r="I220" s="1830"/>
    </row>
    <row r="221" spans="1:9" ht="15" hidden="1" customHeight="1" x14ac:dyDescent="0.25">
      <c r="A221" s="15"/>
      <c r="B221" s="11" t="s">
        <v>38</v>
      </c>
      <c r="C221" s="125"/>
      <c r="D221" s="125"/>
      <c r="E221" s="34">
        <v>0</v>
      </c>
      <c r="H221" s="1675"/>
      <c r="I221" s="1830"/>
    </row>
    <row r="222" spans="1:9" ht="15" hidden="1" customHeight="1" x14ac:dyDescent="0.25">
      <c r="A222" s="15"/>
      <c r="B222" s="30" t="s">
        <v>50</v>
      </c>
      <c r="C222" s="125"/>
      <c r="D222" s="125"/>
      <c r="E222" s="34">
        <v>0</v>
      </c>
      <c r="H222" s="1675"/>
      <c r="I222" s="1830"/>
    </row>
    <row r="223" spans="1:9" ht="15" hidden="1" customHeight="1" x14ac:dyDescent="0.25">
      <c r="A223" s="15"/>
      <c r="B223" s="11" t="s">
        <v>29</v>
      </c>
      <c r="C223" s="125"/>
      <c r="D223" s="125"/>
      <c r="E223" s="34"/>
      <c r="H223" s="1675"/>
      <c r="I223" s="1830"/>
    </row>
    <row r="224" spans="1:9" ht="15" hidden="1" customHeight="1" x14ac:dyDescent="0.25">
      <c r="A224" s="15"/>
      <c r="B224" s="11" t="s">
        <v>87</v>
      </c>
      <c r="C224" s="125"/>
      <c r="D224" s="125"/>
      <c r="E224" s="33"/>
      <c r="H224" s="1675"/>
      <c r="I224" s="1830"/>
    </row>
    <row r="225" spans="1:9" ht="15" hidden="1" customHeight="1" x14ac:dyDescent="0.25">
      <c r="A225" s="15"/>
      <c r="B225" s="11" t="s">
        <v>116</v>
      </c>
      <c r="C225" s="125"/>
      <c r="D225" s="125"/>
      <c r="E225" s="33"/>
      <c r="H225" s="1675"/>
      <c r="I225" s="1830"/>
    </row>
    <row r="226" spans="1:9" ht="15" hidden="1" customHeight="1" x14ac:dyDescent="0.25">
      <c r="A226" s="15"/>
      <c r="B226" s="38" t="s">
        <v>28</v>
      </c>
      <c r="C226" s="125"/>
      <c r="D226" s="125"/>
      <c r="E226" s="34"/>
      <c r="H226" s="1675"/>
      <c r="I226" s="1830"/>
    </row>
    <row r="227" spans="1:9" ht="15" hidden="1" customHeight="1" x14ac:dyDescent="0.25">
      <c r="A227" s="15"/>
      <c r="B227" s="11" t="s">
        <v>87</v>
      </c>
      <c r="C227" s="125"/>
      <c r="D227" s="125"/>
      <c r="E227" s="33">
        <v>0</v>
      </c>
      <c r="H227" s="1675"/>
      <c r="I227" s="1830"/>
    </row>
    <row r="228" spans="1:9" ht="15" hidden="1" customHeight="1" x14ac:dyDescent="0.25">
      <c r="A228" s="15"/>
      <c r="B228" s="11" t="s">
        <v>116</v>
      </c>
      <c r="C228" s="125"/>
      <c r="D228" s="125"/>
      <c r="E228" s="33">
        <v>0</v>
      </c>
      <c r="H228" s="1675"/>
      <c r="I228" s="1830"/>
    </row>
    <row r="229" spans="1:9" ht="15" hidden="1" customHeight="1" x14ac:dyDescent="0.25">
      <c r="A229" s="15"/>
      <c r="B229" s="11" t="s">
        <v>36</v>
      </c>
      <c r="C229" s="125"/>
      <c r="D229" s="125"/>
      <c r="E229" s="33">
        <v>0</v>
      </c>
      <c r="H229" s="1675"/>
      <c r="I229" s="1830"/>
    </row>
    <row r="230" spans="1:9" ht="15" hidden="1" customHeight="1" x14ac:dyDescent="0.25">
      <c r="A230" s="15"/>
      <c r="B230" s="11" t="s">
        <v>34</v>
      </c>
      <c r="C230" s="125"/>
      <c r="D230" s="125"/>
      <c r="E230" s="33">
        <v>0</v>
      </c>
      <c r="H230" s="1675"/>
      <c r="I230" s="1830"/>
    </row>
    <row r="231" spans="1:9" ht="15" hidden="1" customHeight="1" x14ac:dyDescent="0.25">
      <c r="A231" s="15"/>
      <c r="B231" s="47" t="s">
        <v>32</v>
      </c>
      <c r="C231" s="126"/>
      <c r="D231" s="126"/>
      <c r="E231" s="283"/>
      <c r="H231" s="1675"/>
      <c r="I231" s="1830"/>
    </row>
    <row r="232" spans="1:9" ht="15" hidden="1" customHeight="1" x14ac:dyDescent="0.25">
      <c r="A232" s="15"/>
      <c r="B232" s="11" t="s">
        <v>29</v>
      </c>
      <c r="C232" s="125"/>
      <c r="D232" s="125"/>
      <c r="E232" s="34"/>
      <c r="H232" s="1675"/>
      <c r="I232" s="1830"/>
    </row>
    <row r="233" spans="1:9" ht="15" hidden="1" customHeight="1" x14ac:dyDescent="0.25">
      <c r="A233" s="15"/>
      <c r="B233" s="11" t="s">
        <v>87</v>
      </c>
      <c r="C233" s="125"/>
      <c r="D233" s="125"/>
      <c r="E233" s="33"/>
      <c r="H233" s="1675"/>
      <c r="I233" s="1830"/>
    </row>
    <row r="234" spans="1:9" ht="15" hidden="1" customHeight="1" x14ac:dyDescent="0.25">
      <c r="A234" s="15"/>
      <c r="B234" s="11" t="s">
        <v>116</v>
      </c>
      <c r="C234" s="125"/>
      <c r="D234" s="125"/>
      <c r="E234" s="33"/>
      <c r="H234" s="1675"/>
      <c r="I234" s="1830"/>
    </row>
    <row r="235" spans="1:9" ht="15" hidden="1" customHeight="1" x14ac:dyDescent="0.25">
      <c r="A235" s="15"/>
      <c r="B235" s="11" t="s">
        <v>28</v>
      </c>
      <c r="C235" s="125"/>
      <c r="D235" s="125"/>
      <c r="E235" s="34"/>
      <c r="H235" s="1675"/>
      <c r="I235" s="1830"/>
    </row>
    <row r="236" spans="1:9" ht="15" hidden="1" customHeight="1" x14ac:dyDescent="0.25">
      <c r="A236" s="15"/>
      <c r="B236" s="11" t="s">
        <v>87</v>
      </c>
      <c r="C236" s="125"/>
      <c r="D236" s="125"/>
      <c r="E236" s="33">
        <v>0</v>
      </c>
      <c r="H236" s="1675"/>
      <c r="I236" s="1830"/>
    </row>
    <row r="237" spans="1:9" ht="15" hidden="1" customHeight="1" x14ac:dyDescent="0.25">
      <c r="A237" s="15"/>
      <c r="B237" s="11" t="s">
        <v>116</v>
      </c>
      <c r="C237" s="125"/>
      <c r="D237" s="125"/>
      <c r="E237" s="33">
        <v>0</v>
      </c>
      <c r="H237" s="1675"/>
      <c r="I237" s="1830"/>
    </row>
    <row r="238" spans="1:9" ht="15" hidden="1" customHeight="1" x14ac:dyDescent="0.25">
      <c r="A238" s="15"/>
      <c r="B238" s="47" t="s">
        <v>30</v>
      </c>
      <c r="C238" s="129"/>
      <c r="D238" s="129"/>
      <c r="E238" s="268"/>
      <c r="H238" s="1675"/>
      <c r="I238" s="1830"/>
    </row>
    <row r="239" spans="1:9" ht="15" hidden="1" customHeight="1" x14ac:dyDescent="0.25">
      <c r="A239" s="15"/>
      <c r="B239" s="30" t="s">
        <v>29</v>
      </c>
      <c r="C239" s="125"/>
      <c r="D239" s="125"/>
      <c r="E239" s="33"/>
      <c r="H239" s="1675"/>
      <c r="I239" s="1830"/>
    </row>
    <row r="240" spans="1:9" ht="15" hidden="1" customHeight="1" x14ac:dyDescent="0.25">
      <c r="A240" s="15"/>
      <c r="B240" s="11" t="s">
        <v>87</v>
      </c>
      <c r="C240" s="125">
        <v>0.3</v>
      </c>
      <c r="D240" s="125"/>
      <c r="E240" s="33" t="e">
        <v>#DIV/0!</v>
      </c>
      <c r="H240" s="1675"/>
      <c r="I240" s="1830"/>
    </row>
    <row r="241" spans="1:9" ht="15" hidden="1" customHeight="1" x14ac:dyDescent="0.25">
      <c r="A241" s="15"/>
      <c r="B241" s="11" t="s">
        <v>116</v>
      </c>
      <c r="C241" s="125">
        <v>0.3</v>
      </c>
      <c r="D241" s="125"/>
      <c r="E241" s="33" t="e">
        <v>#DIV/0!</v>
      </c>
      <c r="H241" s="1675"/>
      <c r="I241" s="1830"/>
    </row>
    <row r="242" spans="1:9" ht="15" hidden="1" customHeight="1" x14ac:dyDescent="0.25">
      <c r="A242" s="15"/>
      <c r="B242" s="30" t="s">
        <v>28</v>
      </c>
      <c r="C242" s="125"/>
      <c r="D242" s="125"/>
      <c r="E242" s="33"/>
      <c r="H242" s="1675"/>
      <c r="I242" s="1830"/>
    </row>
    <row r="243" spans="1:9" ht="15" hidden="1" customHeight="1" x14ac:dyDescent="0.25">
      <c r="A243" s="15"/>
      <c r="B243" s="11" t="s">
        <v>87</v>
      </c>
      <c r="C243" s="125">
        <v>0.5</v>
      </c>
      <c r="D243" s="125"/>
      <c r="E243" s="33" t="e">
        <v>#DIV/0!</v>
      </c>
      <c r="H243" s="1675"/>
      <c r="I243" s="1830"/>
    </row>
    <row r="244" spans="1:9" ht="15" hidden="1" customHeight="1" x14ac:dyDescent="0.25">
      <c r="A244" s="15"/>
      <c r="B244" s="11" t="s">
        <v>116</v>
      </c>
      <c r="C244" s="125">
        <v>0.5</v>
      </c>
      <c r="D244" s="125"/>
      <c r="E244" s="33" t="e">
        <v>#DIV/0!</v>
      </c>
      <c r="H244" s="1675"/>
      <c r="I244" s="1830"/>
    </row>
    <row r="245" spans="1:9" ht="15" hidden="1" customHeight="1" x14ac:dyDescent="0.25">
      <c r="A245" s="15"/>
      <c r="B245" s="101" t="s">
        <v>93</v>
      </c>
      <c r="C245" s="130"/>
      <c r="D245" s="130"/>
      <c r="E245" s="284">
        <v>0</v>
      </c>
      <c r="H245" s="1675"/>
      <c r="I245" s="1830"/>
    </row>
    <row r="246" spans="1:9" ht="15" hidden="1" customHeight="1" x14ac:dyDescent="0.25">
      <c r="A246" s="15"/>
      <c r="B246" s="71" t="s">
        <v>117</v>
      </c>
      <c r="C246" s="132"/>
      <c r="D246" s="132"/>
      <c r="E246" s="285">
        <v>0</v>
      </c>
      <c r="H246" s="1675"/>
      <c r="I246" s="1830"/>
    </row>
    <row r="247" spans="1:9" ht="15" hidden="1" customHeight="1" x14ac:dyDescent="0.25">
      <c r="A247" s="15"/>
      <c r="B247" s="104" t="s">
        <v>88</v>
      </c>
      <c r="C247" s="133"/>
      <c r="D247" s="133"/>
      <c r="E247" s="286">
        <v>0</v>
      </c>
      <c r="H247" s="1675"/>
      <c r="I247" s="1830"/>
    </row>
    <row r="248" spans="1:9" ht="15" hidden="1" customHeight="1" x14ac:dyDescent="0.25">
      <c r="A248" s="15"/>
      <c r="B248" s="107" t="s">
        <v>89</v>
      </c>
      <c r="C248" s="134"/>
      <c r="D248" s="134"/>
      <c r="E248" s="287">
        <v>0</v>
      </c>
      <c r="H248" s="1675"/>
      <c r="I248" s="1830"/>
    </row>
    <row r="249" spans="1:9" ht="15" hidden="1" customHeight="1" x14ac:dyDescent="0.25">
      <c r="A249" s="15"/>
      <c r="B249" s="110" t="s">
        <v>94</v>
      </c>
      <c r="C249" s="130"/>
      <c r="D249" s="130"/>
      <c r="E249" s="288">
        <v>0</v>
      </c>
      <c r="H249" s="1675"/>
      <c r="I249" s="1830"/>
    </row>
    <row r="250" spans="1:9" ht="15.75" thickBot="1" x14ac:dyDescent="0.3">
      <c r="A250" s="1784">
        <v>4</v>
      </c>
      <c r="B250" s="1758" t="s">
        <v>24</v>
      </c>
      <c r="C250" s="1668"/>
      <c r="D250" s="1668"/>
      <c r="E250" s="1866" t="s">
        <v>945</v>
      </c>
      <c r="F250" s="1866" t="s">
        <v>946</v>
      </c>
      <c r="G250" s="1670" t="s">
        <v>187</v>
      </c>
      <c r="H250" s="1671" t="s">
        <v>1020</v>
      </c>
      <c r="I250" s="1830"/>
    </row>
    <row r="251" spans="1:9" hidden="1" x14ac:dyDescent="0.25">
      <c r="A251" s="68"/>
      <c r="B251" s="232" t="s">
        <v>22</v>
      </c>
      <c r="C251" s="256">
        <v>1460.001</v>
      </c>
      <c r="D251" s="256" t="s">
        <v>1015</v>
      </c>
      <c r="E251" s="289"/>
      <c r="F251" s="1659"/>
      <c r="G251" s="289">
        <v>1236.1327000000001</v>
      </c>
      <c r="H251" s="1678"/>
      <c r="I251" s="1830"/>
    </row>
    <row r="252" spans="1:9" hidden="1" x14ac:dyDescent="0.25">
      <c r="A252" s="8"/>
      <c r="B252" s="232" t="s">
        <v>23</v>
      </c>
      <c r="C252" s="250"/>
      <c r="D252" s="250"/>
      <c r="E252" s="289"/>
      <c r="F252" s="1659"/>
      <c r="G252" s="289">
        <v>949.19</v>
      </c>
      <c r="H252" s="1678"/>
      <c r="I252" s="1830"/>
    </row>
    <row r="253" spans="1:9" x14ac:dyDescent="0.25">
      <c r="A253" s="15"/>
      <c r="B253" s="28" t="s">
        <v>11</v>
      </c>
      <c r="C253" s="471"/>
      <c r="D253" s="471"/>
      <c r="E253" s="291"/>
      <c r="G253" s="726"/>
      <c r="H253" s="1675"/>
      <c r="I253" s="1830"/>
    </row>
    <row r="254" spans="1:9" ht="15.75" thickBot="1" x14ac:dyDescent="0.3">
      <c r="A254" s="15"/>
      <c r="B254" s="232" t="s">
        <v>21</v>
      </c>
      <c r="C254" s="248">
        <v>4.3</v>
      </c>
      <c r="D254" s="248" t="s">
        <v>1078</v>
      </c>
      <c r="E254" s="241">
        <v>50922.43</v>
      </c>
      <c r="F254" s="241">
        <v>58347.35</v>
      </c>
      <c r="G254" s="1497">
        <f>F254-E254</f>
        <v>7424.9199999999983</v>
      </c>
      <c r="H254" s="1776">
        <f>G254/G14</f>
        <v>2.9468645816796304</v>
      </c>
      <c r="I254" s="1833" t="s">
        <v>836</v>
      </c>
    </row>
    <row r="255" spans="1:9" ht="15.75" hidden="1" thickBot="1" x14ac:dyDescent="0.3">
      <c r="A255" s="15"/>
      <c r="B255" s="74" t="s">
        <v>375</v>
      </c>
      <c r="C255" s="918">
        <v>4.3</v>
      </c>
      <c r="D255" s="918" t="s">
        <v>1019</v>
      </c>
      <c r="E255" s="919"/>
      <c r="G255" s="726"/>
      <c r="H255" s="1675"/>
      <c r="I255" s="1830"/>
    </row>
    <row r="256" spans="1:9" ht="15.75" hidden="1" thickBot="1" x14ac:dyDescent="0.3">
      <c r="A256" s="15"/>
      <c r="B256" s="14" t="s">
        <v>20</v>
      </c>
      <c r="C256" s="248">
        <v>1168.001</v>
      </c>
      <c r="D256" s="248" t="s">
        <v>1015</v>
      </c>
      <c r="E256" s="290"/>
      <c r="F256" s="1659"/>
      <c r="G256" s="290">
        <f>G251-G254</f>
        <v>-6188.7872999999981</v>
      </c>
      <c r="H256" s="1678"/>
      <c r="I256" s="1830"/>
    </row>
    <row r="257" spans="1:18" ht="15.75" hidden="1" thickBot="1" x14ac:dyDescent="0.3">
      <c r="A257" s="40"/>
      <c r="B257" s="41" t="s">
        <v>1</v>
      </c>
      <c r="C257" s="1783">
        <v>1460.001</v>
      </c>
      <c r="D257" s="1783" t="s">
        <v>1015</v>
      </c>
      <c r="E257" s="1660"/>
      <c r="F257" s="1689"/>
      <c r="G257" s="1660">
        <f>G254+G256</f>
        <v>1236.1327000000001</v>
      </c>
      <c r="H257" s="1690"/>
      <c r="I257" s="1830"/>
    </row>
    <row r="258" spans="1:18" ht="15.75" thickBot="1" x14ac:dyDescent="0.3">
      <c r="A258" s="1784">
        <v>5</v>
      </c>
      <c r="B258" s="1758" t="s">
        <v>18</v>
      </c>
      <c r="C258" s="1744"/>
      <c r="D258" s="1744"/>
      <c r="E258" s="1866" t="s">
        <v>945</v>
      </c>
      <c r="F258" s="1866" t="s">
        <v>946</v>
      </c>
      <c r="G258" s="1670" t="s">
        <v>187</v>
      </c>
      <c r="H258" s="1671" t="s">
        <v>1021</v>
      </c>
      <c r="I258" s="1830"/>
    </row>
    <row r="259" spans="1:18" hidden="1" x14ac:dyDescent="0.25">
      <c r="A259" s="8"/>
      <c r="B259" s="232" t="s">
        <v>4</v>
      </c>
      <c r="C259" s="231">
        <v>408000</v>
      </c>
      <c r="D259" s="231" t="s">
        <v>1028</v>
      </c>
      <c r="E259" s="1640"/>
      <c r="F259" s="1659"/>
      <c r="G259" s="294">
        <v>186740</v>
      </c>
      <c r="H259" s="1678"/>
      <c r="I259" s="1830"/>
    </row>
    <row r="260" spans="1:18" hidden="1" x14ac:dyDescent="0.25">
      <c r="A260" s="8"/>
      <c r="B260" s="30" t="s">
        <v>17</v>
      </c>
      <c r="C260" s="258"/>
      <c r="D260" s="258"/>
      <c r="E260" s="278"/>
      <c r="G260" s="726"/>
      <c r="H260" s="1675"/>
      <c r="I260" s="1830"/>
      <c r="R260">
        <v>1.8</v>
      </c>
    </row>
    <row r="261" spans="1:18" x14ac:dyDescent="0.25">
      <c r="A261" s="8"/>
      <c r="B261" s="30"/>
      <c r="C261" s="61"/>
      <c r="D261" s="61"/>
      <c r="E261" s="278"/>
      <c r="G261" s="726"/>
      <c r="H261" s="1675"/>
      <c r="I261" s="1830"/>
    </row>
    <row r="262" spans="1:18" ht="15.75" thickBot="1" x14ac:dyDescent="0.3">
      <c r="A262" s="15"/>
      <c r="B262" s="232" t="s">
        <v>16</v>
      </c>
      <c r="C262" s="248">
        <v>28</v>
      </c>
      <c r="D262" s="1700" t="s">
        <v>85</v>
      </c>
      <c r="E262" s="1852">
        <v>797.79</v>
      </c>
      <c r="F262" s="1872">
        <v>878.49</v>
      </c>
      <c r="G262" s="1687">
        <f>F262-E262</f>
        <v>80.700000000000045</v>
      </c>
      <c r="H262" s="1776">
        <f>G262/G14*1000</f>
        <v>32.028893475154803</v>
      </c>
      <c r="I262" s="1830"/>
      <c r="R262">
        <v>1.9</v>
      </c>
    </row>
    <row r="263" spans="1:18" ht="14.85" hidden="1" customHeight="1" x14ac:dyDescent="0.25">
      <c r="A263" s="15"/>
      <c r="B263" s="14"/>
      <c r="C263" s="231">
        <f>C262/2000</f>
        <v>1.4E-2</v>
      </c>
      <c r="D263" s="231"/>
      <c r="E263" s="33"/>
      <c r="G263" s="726"/>
      <c r="H263" s="1675"/>
      <c r="I263" s="1830"/>
    </row>
    <row r="264" spans="1:18" ht="14.85" hidden="1" customHeight="1" x14ac:dyDescent="0.25">
      <c r="A264" s="15"/>
      <c r="B264" s="232" t="s">
        <v>15</v>
      </c>
      <c r="C264" s="231">
        <v>122000</v>
      </c>
      <c r="D264" s="231"/>
      <c r="E264" s="271"/>
      <c r="F264" s="1659"/>
      <c r="G264" s="1676"/>
      <c r="H264" s="1678"/>
      <c r="I264" s="1830"/>
    </row>
    <row r="265" spans="1:18" ht="15.75" hidden="1" thickBot="1" x14ac:dyDescent="0.3">
      <c r="A265" s="15"/>
      <c r="B265" s="14" t="s">
        <v>948</v>
      </c>
      <c r="C265" s="231">
        <v>106000</v>
      </c>
      <c r="D265" s="231"/>
      <c r="E265" s="916"/>
      <c r="F265" s="506"/>
      <c r="G265" s="1688"/>
      <c r="H265" s="1680"/>
      <c r="I265" s="1830"/>
      <c r="R265">
        <v>2.2999999999999998</v>
      </c>
    </row>
    <row r="266" spans="1:18" ht="15.75" hidden="1" thickBot="1" x14ac:dyDescent="0.3">
      <c r="A266" s="40"/>
      <c r="B266" s="28" t="s">
        <v>1</v>
      </c>
      <c r="C266" s="259">
        <v>408000</v>
      </c>
      <c r="D266" s="259"/>
      <c r="E266" s="1691"/>
      <c r="F266" s="1683"/>
      <c r="G266" s="1692">
        <f>SUM(G262,G264,G265)</f>
        <v>80.700000000000045</v>
      </c>
      <c r="H266" s="1684"/>
      <c r="I266" s="1830"/>
      <c r="R266" s="1774">
        <f>SUM(R260:R265)</f>
        <v>6</v>
      </c>
    </row>
    <row r="267" spans="1:18" ht="15.75" thickBot="1" x14ac:dyDescent="0.3">
      <c r="A267" s="1784">
        <v>6</v>
      </c>
      <c r="B267" s="1758" t="s">
        <v>13</v>
      </c>
      <c r="C267" s="1670"/>
      <c r="D267" s="1670"/>
      <c r="E267" s="1866" t="s">
        <v>945</v>
      </c>
      <c r="F267" s="1866" t="s">
        <v>946</v>
      </c>
      <c r="G267" s="1670" t="s">
        <v>187</v>
      </c>
      <c r="H267" s="1671" t="s">
        <v>1022</v>
      </c>
      <c r="I267" s="1830"/>
      <c r="K267" s="1896">
        <f>C262*2500</f>
        <v>70000</v>
      </c>
      <c r="R267">
        <f>R266/2500*1000</f>
        <v>2.4</v>
      </c>
    </row>
    <row r="268" spans="1:18" hidden="1" x14ac:dyDescent="0.25">
      <c r="A268" s="17"/>
      <c r="B268" s="238" t="s">
        <v>12</v>
      </c>
      <c r="C268" s="260">
        <v>1100</v>
      </c>
      <c r="D268" s="260" t="s">
        <v>1032</v>
      </c>
      <c r="E268" s="240"/>
      <c r="F268" s="1659"/>
      <c r="G268" s="240">
        <v>572</v>
      </c>
      <c r="H268" s="1678"/>
      <c r="I268" s="1830"/>
    </row>
    <row r="269" spans="1:18" x14ac:dyDescent="0.25">
      <c r="A269" s="17"/>
      <c r="B269" s="43" t="s">
        <v>11</v>
      </c>
      <c r="C269" s="1873"/>
      <c r="D269" s="1873"/>
      <c r="E269" s="34"/>
      <c r="G269" s="726"/>
      <c r="H269" s="1675"/>
      <c r="I269" s="1830"/>
    </row>
    <row r="270" spans="1:18" ht="15.75" thickBot="1" x14ac:dyDescent="0.3">
      <c r="A270" s="17"/>
      <c r="B270" s="238" t="s">
        <v>10</v>
      </c>
      <c r="C270" s="1773">
        <v>3.9</v>
      </c>
      <c r="D270" s="1788" t="s">
        <v>1079</v>
      </c>
      <c r="E270" s="241">
        <v>107</v>
      </c>
      <c r="F270" s="241">
        <v>272</v>
      </c>
      <c r="G270" s="241">
        <f>F270-E270</f>
        <v>165</v>
      </c>
      <c r="H270" s="1874">
        <f>G270/G14*10</f>
        <v>0.65486585172249545</v>
      </c>
      <c r="I270" s="1833" t="s">
        <v>836</v>
      </c>
      <c r="K270" s="1894">
        <f>C270*24</f>
        <v>93.6</v>
      </c>
      <c r="L270" s="1895">
        <f>K270/2500</f>
        <v>3.7440000000000001E-2</v>
      </c>
    </row>
    <row r="271" spans="1:18" ht="15.75" hidden="1" thickBot="1" x14ac:dyDescent="0.3">
      <c r="A271" s="17"/>
      <c r="B271" s="238"/>
      <c r="C271" s="1702">
        <f>C270/C14</f>
        <v>1.56E-3</v>
      </c>
      <c r="D271" s="1788" t="s">
        <v>1033</v>
      </c>
      <c r="E271" s="241"/>
      <c r="F271" s="1659"/>
      <c r="G271" s="1676"/>
      <c r="H271" s="1678"/>
      <c r="I271" s="1830"/>
    </row>
    <row r="272" spans="1:18" ht="14.85" hidden="1" customHeight="1" x14ac:dyDescent="0.25">
      <c r="A272" s="17"/>
      <c r="B272" s="238" t="s">
        <v>9</v>
      </c>
      <c r="C272" s="261">
        <v>179.63</v>
      </c>
      <c r="D272" s="261"/>
      <c r="E272" s="241"/>
      <c r="F272" s="1659"/>
      <c r="G272" s="1676"/>
      <c r="H272" s="1678"/>
      <c r="I272" s="1830"/>
    </row>
    <row r="273" spans="1:9" ht="15.75" hidden="1" thickBot="1" x14ac:dyDescent="0.3">
      <c r="A273" s="17"/>
      <c r="B273" s="238" t="s">
        <v>8</v>
      </c>
      <c r="C273" s="260">
        <v>491.59</v>
      </c>
      <c r="D273" s="260" t="s">
        <v>1032</v>
      </c>
      <c r="E273" s="241"/>
      <c r="F273" s="1659"/>
      <c r="G273" s="241">
        <v>368</v>
      </c>
      <c r="H273" s="1678"/>
      <c r="I273" s="1830"/>
    </row>
    <row r="274" spans="1:9" ht="15.75" hidden="1" thickBot="1" x14ac:dyDescent="0.3">
      <c r="A274" s="17"/>
      <c r="B274" s="31" t="s">
        <v>7</v>
      </c>
      <c r="C274" s="260">
        <v>337.28</v>
      </c>
      <c r="D274" s="260" t="s">
        <v>1032</v>
      </c>
      <c r="E274" s="34"/>
      <c r="G274" s="34">
        <f>G268-G270-G272-G273</f>
        <v>39</v>
      </c>
      <c r="H274" s="1675"/>
      <c r="I274" s="1830"/>
    </row>
    <row r="275" spans="1:9" ht="15.75" hidden="1" thickBot="1" x14ac:dyDescent="0.3">
      <c r="A275" s="17"/>
      <c r="B275" s="238" t="s">
        <v>6</v>
      </c>
      <c r="C275" s="260">
        <v>330</v>
      </c>
      <c r="D275" s="260" t="s">
        <v>1032</v>
      </c>
      <c r="E275" s="1693"/>
      <c r="F275" s="1689"/>
      <c r="G275" s="241">
        <v>298</v>
      </c>
      <c r="H275" s="1690"/>
      <c r="I275" s="1830"/>
    </row>
    <row r="276" spans="1:9" ht="15.75" thickBot="1" x14ac:dyDescent="0.3">
      <c r="A276" s="1786">
        <v>7</v>
      </c>
      <c r="B276" s="1787" t="s">
        <v>5</v>
      </c>
      <c r="C276" s="1670"/>
      <c r="D276" s="1670"/>
      <c r="E276" s="1866" t="s">
        <v>945</v>
      </c>
      <c r="F276" s="1866" t="s">
        <v>946</v>
      </c>
      <c r="G276" s="1670" t="s">
        <v>187</v>
      </c>
      <c r="H276" s="1671" t="s">
        <v>1023</v>
      </c>
      <c r="I276" s="1830"/>
    </row>
    <row r="277" spans="1:9" hidden="1" x14ac:dyDescent="0.25">
      <c r="A277" s="83"/>
      <c r="B277" s="121" t="s">
        <v>4</v>
      </c>
      <c r="C277" s="1034"/>
      <c r="D277" s="1034"/>
      <c r="E277" s="33"/>
      <c r="G277" s="726"/>
      <c r="H277" s="1675"/>
      <c r="I277" s="1830"/>
    </row>
    <row r="278" spans="1:9" hidden="1" x14ac:dyDescent="0.25">
      <c r="A278" s="83"/>
      <c r="B278" s="232" t="s">
        <v>3</v>
      </c>
      <c r="C278" s="231">
        <v>28770</v>
      </c>
      <c r="D278" s="231" t="s">
        <v>949</v>
      </c>
      <c r="E278" s="241"/>
      <c r="F278" s="1659"/>
      <c r="G278" s="241">
        <v>5.9</v>
      </c>
      <c r="H278" s="1678"/>
      <c r="I278" s="1830"/>
    </row>
    <row r="279" spans="1:9" x14ac:dyDescent="0.25">
      <c r="A279" s="83"/>
      <c r="B279" s="121" t="s">
        <v>1</v>
      </c>
      <c r="C279" s="13"/>
      <c r="D279" s="13"/>
      <c r="E279" s="1651"/>
      <c r="G279" s="1651"/>
      <c r="H279" s="1675"/>
      <c r="I279" s="1830"/>
    </row>
    <row r="280" spans="1:9" x14ac:dyDescent="0.25">
      <c r="A280" s="83"/>
      <c r="B280" s="121" t="s">
        <v>16</v>
      </c>
      <c r="C280" s="13"/>
      <c r="D280" s="13"/>
      <c r="E280" s="278"/>
      <c r="G280" s="726"/>
      <c r="H280" s="1675"/>
      <c r="I280" s="1830"/>
    </row>
    <row r="281" spans="1:9" x14ac:dyDescent="0.25">
      <c r="A281" s="15"/>
      <c r="B281" s="243" t="s">
        <v>941</v>
      </c>
      <c r="C281" s="262">
        <v>18374.400000000001</v>
      </c>
      <c r="D281" s="250" t="s">
        <v>1026</v>
      </c>
      <c r="E281" s="271">
        <v>147816.79999999999</v>
      </c>
      <c r="F281" s="1686">
        <v>162684.79999999999</v>
      </c>
      <c r="G281" s="1652">
        <f>F281-E281</f>
        <v>14868</v>
      </c>
      <c r="H281" s="1867">
        <f>G281/G14</f>
        <v>5.9009366566121599</v>
      </c>
      <c r="I281" s="1830"/>
    </row>
    <row r="282" spans="1:9" x14ac:dyDescent="0.25">
      <c r="A282" s="15"/>
      <c r="B282" s="243" t="s">
        <v>118</v>
      </c>
      <c r="C282" s="262">
        <v>10946.28</v>
      </c>
      <c r="D282" s="250" t="s">
        <v>1027</v>
      </c>
      <c r="E282" s="271">
        <v>126048.5</v>
      </c>
      <c r="F282" s="1686">
        <v>137097</v>
      </c>
      <c r="G282" s="1652">
        <f>F282-E282</f>
        <v>11048.5</v>
      </c>
      <c r="H282" s="1867">
        <f>G282/G14</f>
        <v>4.3850214319733283</v>
      </c>
      <c r="I282" s="1830"/>
    </row>
    <row r="283" spans="1:9" ht="14.85" hidden="1" customHeight="1" x14ac:dyDescent="0.25">
      <c r="A283" s="15"/>
      <c r="B283" s="921"/>
      <c r="C283" s="922"/>
      <c r="D283" s="922"/>
      <c r="E283" s="916"/>
      <c r="G283" s="726"/>
      <c r="H283" s="1675"/>
      <c r="I283" s="1830"/>
    </row>
    <row r="284" spans="1:9" ht="14.85" hidden="1" customHeight="1" x14ac:dyDescent="0.25">
      <c r="A284" s="15"/>
      <c r="B284" s="44" t="s">
        <v>15</v>
      </c>
      <c r="C284" s="527"/>
      <c r="D284" s="527"/>
      <c r="E284" s="295"/>
      <c r="G284" s="726"/>
      <c r="H284" s="1675"/>
      <c r="I284" s="1830"/>
    </row>
    <row r="285" spans="1:9" ht="14.85" hidden="1" customHeight="1" x14ac:dyDescent="0.25">
      <c r="A285" s="15"/>
      <c r="B285" s="243" t="s">
        <v>119</v>
      </c>
      <c r="C285" s="262">
        <v>1308.96</v>
      </c>
      <c r="D285" s="262"/>
      <c r="E285" s="271"/>
      <c r="G285" s="726"/>
      <c r="H285" s="1675"/>
      <c r="I285" s="1830"/>
    </row>
    <row r="286" spans="1:9" ht="14.85" hidden="1" customHeight="1" x14ac:dyDescent="0.25">
      <c r="A286" s="15"/>
      <c r="B286" s="921"/>
      <c r="C286" s="922"/>
      <c r="D286" s="922"/>
      <c r="E286" s="33"/>
      <c r="G286" s="726"/>
      <c r="H286" s="1675"/>
      <c r="I286" s="1830"/>
    </row>
    <row r="287" spans="1:9" ht="14.85" hidden="1" customHeight="1" x14ac:dyDescent="0.25">
      <c r="A287" s="15"/>
      <c r="B287" s="243" t="s">
        <v>120</v>
      </c>
      <c r="C287" s="262">
        <v>5759.67</v>
      </c>
      <c r="D287" s="262"/>
      <c r="E287" s="271">
        <v>792.3</v>
      </c>
      <c r="G287" s="726"/>
      <c r="H287" s="1675"/>
      <c r="I287" s="1830"/>
    </row>
    <row r="288" spans="1:9" ht="14.85" hidden="1" customHeight="1" x14ac:dyDescent="0.25">
      <c r="A288" s="15"/>
      <c r="B288" s="921"/>
      <c r="C288" s="922"/>
      <c r="D288" s="922"/>
      <c r="E288" s="916"/>
      <c r="G288" s="726"/>
      <c r="H288" s="1675"/>
      <c r="I288" s="1830"/>
    </row>
    <row r="289" spans="1:9" ht="14.85" hidden="1" customHeight="1" x14ac:dyDescent="0.25">
      <c r="A289" s="15"/>
      <c r="B289" s="44" t="s">
        <v>7</v>
      </c>
      <c r="C289" s="527"/>
      <c r="D289" s="527"/>
      <c r="E289" s="295"/>
      <c r="G289" s="726"/>
      <c r="H289" s="1675"/>
      <c r="I289" s="1830"/>
    </row>
    <row r="290" spans="1:9" ht="15.75" thickBot="1" x14ac:dyDescent="0.3">
      <c r="A290" s="15"/>
      <c r="B290" s="1737"/>
      <c r="C290" s="1738">
        <v>11.7</v>
      </c>
      <c r="D290" s="1738" t="s">
        <v>1034</v>
      </c>
      <c r="E290" s="1739"/>
      <c r="F290" s="1740"/>
      <c r="G290" s="1875" t="s">
        <v>157</v>
      </c>
      <c r="H290" s="1876">
        <f>H281+H282</f>
        <v>10.285958088585488</v>
      </c>
      <c r="I290" s="1833" t="s">
        <v>836</v>
      </c>
    </row>
    <row r="291" spans="1:9" ht="15" hidden="1" customHeight="1" x14ac:dyDescent="0.25">
      <c r="A291" s="19"/>
      <c r="B291" s="244" t="s">
        <v>122</v>
      </c>
      <c r="C291" s="263">
        <v>241.12</v>
      </c>
      <c r="D291" s="263"/>
      <c r="E291" s="1694"/>
      <c r="F291" s="1695"/>
      <c r="G291" s="1696"/>
      <c r="H291" s="1697"/>
      <c r="I291" s="1877"/>
    </row>
    <row r="292" spans="1:9" ht="15.75" thickBot="1" x14ac:dyDescent="0.3">
      <c r="A292" s="1878"/>
    </row>
    <row r="293" spans="1:9" ht="15.75" thickBot="1" x14ac:dyDescent="0.3">
      <c r="A293" s="1879"/>
      <c r="B293" s="1880" t="s">
        <v>1080</v>
      </c>
      <c r="C293" s="2237" t="s">
        <v>1081</v>
      </c>
      <c r="D293" s="2238"/>
      <c r="E293" s="2237" t="s">
        <v>1082</v>
      </c>
      <c r="F293" s="2239"/>
      <c r="G293" s="2239"/>
      <c r="H293" s="2239"/>
      <c r="I293" s="2238"/>
    </row>
    <row r="294" spans="1:9" x14ac:dyDescent="0.25">
      <c r="A294" s="1879"/>
      <c r="B294" s="1882"/>
      <c r="C294" s="1883"/>
      <c r="D294" s="1884"/>
      <c r="E294" s="1885"/>
      <c r="F294" s="1886"/>
      <c r="G294" s="1885"/>
      <c r="H294" s="1882"/>
      <c r="I294" s="1882"/>
    </row>
    <row r="295" spans="1:9" x14ac:dyDescent="0.25">
      <c r="A295" s="1879"/>
      <c r="B295" s="1886"/>
      <c r="C295" s="1887"/>
      <c r="D295" s="1885"/>
      <c r="E295" s="1885"/>
      <c r="F295" s="1886"/>
      <c r="G295" s="1885"/>
      <c r="H295" s="1886"/>
      <c r="I295" s="1886"/>
    </row>
    <row r="296" spans="1:9" x14ac:dyDescent="0.25">
      <c r="A296" s="1879"/>
      <c r="B296" s="1886"/>
      <c r="C296" s="1887"/>
      <c r="D296" s="1885"/>
      <c r="E296" s="1885"/>
      <c r="F296" s="1886"/>
      <c r="G296" s="1885"/>
      <c r="H296" s="1886"/>
      <c r="I296" s="1886"/>
    </row>
    <row r="297" spans="1:9" x14ac:dyDescent="0.25">
      <c r="A297" s="1879"/>
      <c r="B297" s="1886"/>
      <c r="C297" s="1887"/>
      <c r="D297" s="1885"/>
      <c r="E297" s="1885"/>
      <c r="F297" s="1886"/>
      <c r="G297" s="1885"/>
      <c r="H297" s="1886"/>
      <c r="I297" s="1886"/>
    </row>
    <row r="298" spans="1:9" ht="15.75" thickBot="1" x14ac:dyDescent="0.3">
      <c r="A298" s="1879"/>
      <c r="B298" s="1888"/>
      <c r="C298" s="1889"/>
      <c r="D298" s="1890"/>
      <c r="E298" s="1890"/>
      <c r="F298" s="1888"/>
      <c r="G298" s="1890"/>
      <c r="H298" s="1886"/>
      <c r="I298" s="1886"/>
    </row>
    <row r="299" spans="1:9" ht="15.75" thickBot="1" x14ac:dyDescent="0.3">
      <c r="A299" s="1879"/>
      <c r="B299" s="1880" t="s">
        <v>1083</v>
      </c>
      <c r="C299" s="2237" t="s">
        <v>1084</v>
      </c>
      <c r="D299" s="2238"/>
      <c r="E299" s="1891" t="s">
        <v>1085</v>
      </c>
      <c r="F299" s="1892" t="s">
        <v>1086</v>
      </c>
      <c r="G299" s="1881" t="s">
        <v>1087</v>
      </c>
      <c r="H299" s="1880" t="s">
        <v>1088</v>
      </c>
      <c r="I299" s="1880" t="s">
        <v>1089</v>
      </c>
    </row>
  </sheetData>
  <mergeCells count="13">
    <mergeCell ref="C299:D299"/>
    <mergeCell ref="B7:B8"/>
    <mergeCell ref="C7:C8"/>
    <mergeCell ref="D7:D8"/>
    <mergeCell ref="E7:I8"/>
    <mergeCell ref="C293:D293"/>
    <mergeCell ref="E293:I293"/>
    <mergeCell ref="A7:A8"/>
    <mergeCell ref="A1:A6"/>
    <mergeCell ref="C1:I1"/>
    <mergeCell ref="C2:I2"/>
    <mergeCell ref="C3:I3"/>
    <mergeCell ref="C4:G6"/>
  </mergeCells>
  <pageMargins left="0" right="0" top="0" bottom="0" header="0.31496062992125984" footer="0.31496062992125984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245" t="s">
        <v>947</v>
      </c>
      <c r="B1" s="2245"/>
      <c r="C1" s="2245"/>
      <c r="D1" s="2245"/>
      <c r="E1" s="2245"/>
      <c r="F1" s="2245"/>
      <c r="G1" s="2245"/>
      <c r="H1" s="2245"/>
    </row>
    <row r="2" spans="1:8" ht="14.85" customHeight="1" x14ac:dyDescent="0.25">
      <c r="A2" s="2181" t="s">
        <v>98</v>
      </c>
      <c r="B2" s="2185" t="s">
        <v>99</v>
      </c>
      <c r="C2" s="2183" t="s">
        <v>1024</v>
      </c>
      <c r="D2" s="2183" t="s">
        <v>1008</v>
      </c>
      <c r="E2" s="2246" t="s">
        <v>988</v>
      </c>
      <c r="F2" s="2246"/>
      <c r="G2" s="2246"/>
      <c r="H2" s="2247"/>
    </row>
    <row r="3" spans="1:8" ht="15.75" thickBot="1" x14ac:dyDescent="0.3">
      <c r="A3" s="2206"/>
      <c r="B3" s="2207"/>
      <c r="C3" s="2205"/>
      <c r="D3" s="2205"/>
      <c r="E3" s="2248"/>
      <c r="F3" s="2248"/>
      <c r="G3" s="2248"/>
      <c r="H3" s="2249"/>
    </row>
    <row r="4" spans="1:8" ht="15.75" thickBot="1" x14ac:dyDescent="0.3">
      <c r="A4" s="1784">
        <v>1</v>
      </c>
      <c r="B4" s="1667" t="s">
        <v>84</v>
      </c>
      <c r="C4" s="1668"/>
      <c r="D4" s="1668"/>
      <c r="E4" s="1669" t="s">
        <v>945</v>
      </c>
      <c r="F4" s="1669" t="s">
        <v>946</v>
      </c>
      <c r="G4" s="1670" t="s">
        <v>187</v>
      </c>
      <c r="H4" s="1671" t="s">
        <v>1016</v>
      </c>
    </row>
    <row r="5" spans="1:8" x14ac:dyDescent="0.25">
      <c r="A5" s="8"/>
      <c r="B5" s="1666" t="s">
        <v>16</v>
      </c>
      <c r="C5" s="247"/>
      <c r="D5" s="247"/>
      <c r="E5" s="33"/>
      <c r="F5" s="1698"/>
      <c r="G5" s="1698"/>
      <c r="H5" s="1698"/>
    </row>
    <row r="6" spans="1:8" ht="14.85" hidden="1" customHeight="1" x14ac:dyDescent="0.25">
      <c r="A6" s="8"/>
      <c r="B6" s="11" t="s">
        <v>83</v>
      </c>
      <c r="C6" s="247"/>
      <c r="D6" s="247"/>
      <c r="E6" s="33"/>
    </row>
    <row r="7" spans="1:8" ht="14.85" hidden="1" customHeight="1" x14ac:dyDescent="0.25">
      <c r="A7" s="8"/>
      <c r="B7" s="71" t="s">
        <v>124</v>
      </c>
      <c r="C7" s="247"/>
      <c r="D7" s="247"/>
      <c r="E7" s="266"/>
    </row>
    <row r="8" spans="1:8" ht="14.85" hidden="1" customHeight="1" x14ac:dyDescent="0.25">
      <c r="A8" s="8"/>
      <c r="B8" s="11" t="s">
        <v>102</v>
      </c>
      <c r="C8" s="247"/>
      <c r="D8" s="247"/>
      <c r="E8" s="34"/>
    </row>
    <row r="9" spans="1:8" x14ac:dyDescent="0.25">
      <c r="A9" s="8"/>
      <c r="B9" s="1664" t="s">
        <v>95</v>
      </c>
      <c r="C9" s="1665">
        <v>2500</v>
      </c>
      <c r="D9" s="1665" t="s">
        <v>376</v>
      </c>
      <c r="E9" s="1497">
        <v>5880.74</v>
      </c>
      <c r="F9" s="1497">
        <v>8383.74</v>
      </c>
      <c r="G9" s="241">
        <f>F9-E9</f>
        <v>2503</v>
      </c>
      <c r="H9" s="1844">
        <f>G9/2500000*100000</f>
        <v>100.12</v>
      </c>
    </row>
    <row r="10" spans="1:8" ht="14.85" hidden="1" customHeight="1" x14ac:dyDescent="0.25">
      <c r="A10" s="8"/>
      <c r="B10" s="914" t="s">
        <v>374</v>
      </c>
      <c r="C10" s="915"/>
      <c r="D10" s="915"/>
      <c r="E10" s="916"/>
      <c r="H10" s="1675"/>
    </row>
    <row r="11" spans="1:8" ht="14.85" hidden="1" customHeight="1" x14ac:dyDescent="0.25">
      <c r="A11" s="8"/>
      <c r="B11" s="21" t="s">
        <v>96</v>
      </c>
      <c r="C11" s="231">
        <v>29045000</v>
      </c>
      <c r="D11" s="231"/>
      <c r="E11" s="33"/>
      <c r="H11" s="1675"/>
    </row>
    <row r="12" spans="1:8" ht="14.85" hidden="1" customHeight="1" x14ac:dyDescent="0.25">
      <c r="A12" s="8"/>
      <c r="B12" s="21" t="s">
        <v>97</v>
      </c>
      <c r="C12" s="231">
        <v>7314000</v>
      </c>
      <c r="D12" s="231"/>
      <c r="E12" s="33">
        <f>E43+E52+E57</f>
        <v>0</v>
      </c>
      <c r="H12" s="1675"/>
    </row>
    <row r="13" spans="1:8" x14ac:dyDescent="0.25">
      <c r="A13" s="8"/>
      <c r="B13" s="14" t="s">
        <v>81</v>
      </c>
      <c r="C13" s="248">
        <v>5</v>
      </c>
      <c r="D13" s="248" t="s">
        <v>25</v>
      </c>
      <c r="E13" s="1672"/>
      <c r="F13" s="1657"/>
      <c r="G13" s="1656">
        <v>3.97</v>
      </c>
      <c r="H13" s="726"/>
    </row>
    <row r="14" spans="1:8" x14ac:dyDescent="0.25">
      <c r="A14" s="8"/>
      <c r="B14" s="14" t="s">
        <v>80</v>
      </c>
      <c r="C14" s="248">
        <v>0.5</v>
      </c>
      <c r="D14" s="248" t="s">
        <v>25</v>
      </c>
      <c r="E14" s="1672"/>
      <c r="F14" s="1657"/>
      <c r="G14" s="1656">
        <v>0.4</v>
      </c>
      <c r="H14" s="726"/>
    </row>
    <row r="15" spans="1:8" x14ac:dyDescent="0.25">
      <c r="A15" s="8"/>
      <c r="B15" s="14" t="s">
        <v>79</v>
      </c>
      <c r="C15" s="249">
        <v>2.2000000000000002</v>
      </c>
      <c r="D15" s="248" t="s">
        <v>1009</v>
      </c>
      <c r="E15" s="1672"/>
      <c r="F15" s="1657"/>
      <c r="G15" s="1656">
        <v>2.42</v>
      </c>
      <c r="H15" s="726"/>
    </row>
    <row r="16" spans="1:8" x14ac:dyDescent="0.25">
      <c r="A16" s="8"/>
      <c r="B16" s="232" t="s">
        <v>942</v>
      </c>
      <c r="C16" s="1661"/>
      <c r="D16" s="1661"/>
      <c r="E16" s="1673"/>
      <c r="F16" s="1662"/>
      <c r="G16" s="1663">
        <v>105</v>
      </c>
      <c r="H16" s="1676"/>
    </row>
    <row r="17" spans="1:8" x14ac:dyDescent="0.25">
      <c r="A17" s="8"/>
      <c r="B17" s="1653" t="s">
        <v>77</v>
      </c>
      <c r="C17" s="1654"/>
      <c r="D17" s="1654"/>
      <c r="E17" s="268"/>
      <c r="F17" s="1674"/>
      <c r="G17" s="1655"/>
      <c r="H17" s="1674"/>
    </row>
    <row r="18" spans="1:8" x14ac:dyDescent="0.25">
      <c r="A18" s="8"/>
      <c r="B18" s="797" t="s">
        <v>355</v>
      </c>
      <c r="C18" s="250"/>
      <c r="D18" s="250"/>
      <c r="E18" s="33"/>
      <c r="F18" s="726"/>
      <c r="H18" s="726"/>
    </row>
    <row r="19" spans="1:8" x14ac:dyDescent="0.25">
      <c r="A19" s="15"/>
      <c r="B19" s="64" t="s">
        <v>192</v>
      </c>
      <c r="C19" s="1665">
        <f>C9*94.2%</f>
        <v>2355</v>
      </c>
      <c r="D19" s="1665" t="s">
        <v>376</v>
      </c>
      <c r="E19" s="1652">
        <v>5143.38</v>
      </c>
      <c r="F19" s="1652">
        <v>7493.18</v>
      </c>
      <c r="G19" s="1652">
        <f>F19-E19</f>
        <v>2349.8000000000002</v>
      </c>
      <c r="H19" s="1705">
        <f>G19/G9*100</f>
        <v>93.879344786256496</v>
      </c>
    </row>
    <row r="20" spans="1:8" x14ac:dyDescent="0.25">
      <c r="A20" s="8"/>
      <c r="B20" s="14" t="s">
        <v>81</v>
      </c>
      <c r="C20" s="248">
        <v>0.05</v>
      </c>
      <c r="D20" s="248" t="s">
        <v>25</v>
      </c>
      <c r="E20" s="1672"/>
      <c r="F20" s="1657"/>
      <c r="G20" s="1736">
        <v>4.2999999999999997E-2</v>
      </c>
      <c r="H20" s="726"/>
    </row>
    <row r="21" spans="1:8" x14ac:dyDescent="0.25">
      <c r="A21" s="8"/>
      <c r="B21" s="14" t="s">
        <v>80</v>
      </c>
      <c r="C21" s="248">
        <v>0.03</v>
      </c>
      <c r="D21" s="248" t="s">
        <v>25</v>
      </c>
      <c r="E21" s="1672"/>
      <c r="F21" s="1657"/>
      <c r="G21" s="1706">
        <v>0.04</v>
      </c>
      <c r="H21" s="726"/>
    </row>
    <row r="22" spans="1:8" x14ac:dyDescent="0.25">
      <c r="A22" s="8"/>
      <c r="B22" s="14" t="s">
        <v>950</v>
      </c>
      <c r="C22" s="249">
        <v>2.5</v>
      </c>
      <c r="D22" s="248" t="s">
        <v>25</v>
      </c>
      <c r="E22" s="1672"/>
      <c r="F22" s="1657"/>
      <c r="G22" s="1706">
        <v>2.5</v>
      </c>
      <c r="H22" s="726"/>
    </row>
    <row r="23" spans="1:8" x14ac:dyDescent="0.25">
      <c r="A23" s="8"/>
      <c r="B23" s="14" t="s">
        <v>956</v>
      </c>
      <c r="C23" s="1707">
        <v>60</v>
      </c>
      <c r="D23" s="231" t="s">
        <v>1010</v>
      </c>
      <c r="E23" s="1672"/>
      <c r="F23" s="1657"/>
      <c r="G23" s="1699"/>
      <c r="H23" s="1675"/>
    </row>
    <row r="24" spans="1:8" x14ac:dyDescent="0.25">
      <c r="A24" s="8"/>
      <c r="B24" s="14" t="s">
        <v>957</v>
      </c>
      <c r="C24" s="249" t="s">
        <v>958</v>
      </c>
      <c r="D24" s="249"/>
      <c r="E24" s="1672"/>
      <c r="F24" s="1657"/>
      <c r="G24" s="1699"/>
      <c r="H24" s="1675"/>
    </row>
    <row r="25" spans="1:8" x14ac:dyDescent="0.25">
      <c r="A25" s="8"/>
      <c r="B25" s="14" t="s">
        <v>959</v>
      </c>
      <c r="C25" s="1707">
        <v>50</v>
      </c>
      <c r="D25" s="1707" t="s">
        <v>1030</v>
      </c>
      <c r="E25" s="1672"/>
      <c r="F25" s="1657"/>
      <c r="G25" s="1699"/>
      <c r="H25" s="1675"/>
    </row>
    <row r="26" spans="1:8" x14ac:dyDescent="0.25">
      <c r="A26" s="15"/>
      <c r="B26" s="64" t="s">
        <v>64</v>
      </c>
      <c r="C26" s="1665">
        <f>C9*5%</f>
        <v>125</v>
      </c>
      <c r="D26" s="1665" t="s">
        <v>376</v>
      </c>
      <c r="E26" s="1652">
        <v>243.04</v>
      </c>
      <c r="F26" s="1652">
        <v>347.1</v>
      </c>
      <c r="G26" s="1652">
        <f>F26-E26</f>
        <v>104.06000000000003</v>
      </c>
      <c r="H26" s="1705">
        <f>G26/G9*100</f>
        <v>4.1574111066719945</v>
      </c>
    </row>
    <row r="27" spans="1:8" ht="14.85" hidden="1" customHeight="1" x14ac:dyDescent="0.25">
      <c r="A27" s="15"/>
      <c r="B27" s="696" t="s">
        <v>348</v>
      </c>
      <c r="C27" s="718"/>
      <c r="D27" s="231"/>
      <c r="E27" s="33"/>
      <c r="H27" s="1675"/>
    </row>
    <row r="28" spans="1:8" ht="14.85" hidden="1" customHeight="1" x14ac:dyDescent="0.25">
      <c r="A28" s="8"/>
      <c r="B28" s="11" t="s">
        <v>83</v>
      </c>
      <c r="C28" s="247"/>
      <c r="D28" s="247"/>
      <c r="E28" s="33"/>
      <c r="H28" s="1675"/>
    </row>
    <row r="29" spans="1:8" ht="14.85" hidden="1" customHeight="1" x14ac:dyDescent="0.25">
      <c r="A29" s="8"/>
      <c r="B29" s="11" t="s">
        <v>352</v>
      </c>
      <c r="C29" s="247"/>
      <c r="D29" s="247"/>
      <c r="E29" s="33">
        <v>0</v>
      </c>
      <c r="H29" s="1675"/>
    </row>
    <row r="30" spans="1:8" ht="14.85" hidden="1" customHeight="1" x14ac:dyDescent="0.25">
      <c r="A30" s="15"/>
      <c r="B30" s="64" t="s">
        <v>351</v>
      </c>
      <c r="C30" s="231"/>
      <c r="D30" s="231"/>
      <c r="E30" s="266">
        <v>392100</v>
      </c>
      <c r="H30" s="1675"/>
    </row>
    <row r="31" spans="1:8" ht="14.85" hidden="1" customHeight="1" x14ac:dyDescent="0.25">
      <c r="A31" s="15"/>
      <c r="B31" s="914" t="s">
        <v>373</v>
      </c>
      <c r="C31" s="915"/>
      <c r="D31" s="915"/>
      <c r="E31" s="916"/>
      <c r="H31" s="1675"/>
    </row>
    <row r="32" spans="1:8" ht="14.85" hidden="1" customHeight="1" x14ac:dyDescent="0.25">
      <c r="A32" s="15"/>
      <c r="B32" s="14" t="s">
        <v>350</v>
      </c>
      <c r="C32" s="717"/>
      <c r="D32" s="717"/>
      <c r="E32" s="33">
        <f>SUM(E35,E39,E44,E48,E58)</f>
        <v>0</v>
      </c>
      <c r="H32" s="1675"/>
    </row>
    <row r="33" spans="1:8" ht="14.85" hidden="1" customHeight="1" x14ac:dyDescent="0.25">
      <c r="A33" s="15"/>
      <c r="B33" s="14" t="s">
        <v>349</v>
      </c>
      <c r="C33" s="719"/>
      <c r="D33" s="717"/>
      <c r="E33" s="33">
        <f>E30-E32</f>
        <v>392100</v>
      </c>
      <c r="H33" s="1675"/>
    </row>
    <row r="34" spans="1:8" ht="14.85" hidden="1" customHeight="1" x14ac:dyDescent="0.25">
      <c r="A34" s="15"/>
      <c r="B34" s="227" t="s">
        <v>76</v>
      </c>
      <c r="C34" s="228"/>
      <c r="D34" s="228"/>
      <c r="E34" s="94"/>
      <c r="H34" s="1675"/>
    </row>
    <row r="35" spans="1:8" ht="14.85" hidden="1" customHeight="1" x14ac:dyDescent="0.25">
      <c r="A35" s="15"/>
      <c r="B35" s="14" t="s">
        <v>75</v>
      </c>
      <c r="C35" s="251"/>
      <c r="D35" s="251"/>
      <c r="E35" s="33">
        <f>E36+E37</f>
        <v>0</v>
      </c>
      <c r="H35" s="1675"/>
    </row>
    <row r="36" spans="1:8" ht="14.85" hidden="1" customHeight="1" x14ac:dyDescent="0.25">
      <c r="A36" s="15"/>
      <c r="B36" s="64" t="s">
        <v>74</v>
      </c>
      <c r="C36" s="251"/>
      <c r="D36" s="251"/>
      <c r="E36" s="266">
        <v>0</v>
      </c>
      <c r="H36" s="1675"/>
    </row>
    <row r="37" spans="1:8" ht="14.85" hidden="1" customHeight="1" x14ac:dyDescent="0.25">
      <c r="A37" s="15"/>
      <c r="B37" s="64" t="s">
        <v>73</v>
      </c>
      <c r="C37" s="251"/>
      <c r="D37" s="251"/>
      <c r="E37" s="267">
        <v>0</v>
      </c>
      <c r="H37" s="1675"/>
    </row>
    <row r="38" spans="1:8" ht="14.85" hidden="1" customHeight="1" x14ac:dyDescent="0.25">
      <c r="A38" s="68"/>
      <c r="B38" s="227" t="s">
        <v>103</v>
      </c>
      <c r="C38" s="301"/>
      <c r="D38" s="1778"/>
      <c r="E38" s="268"/>
      <c r="H38" s="1675"/>
    </row>
    <row r="39" spans="1:8" ht="14.85" hidden="1" customHeight="1" x14ac:dyDescent="0.25">
      <c r="A39" s="15"/>
      <c r="B39" s="14" t="s">
        <v>75</v>
      </c>
      <c r="C39" s="251"/>
      <c r="D39" s="251"/>
      <c r="E39" s="33">
        <f>E40+E41</f>
        <v>0</v>
      </c>
      <c r="H39" s="1675"/>
    </row>
    <row r="40" spans="1:8" ht="14.85" hidden="1" customHeight="1" x14ac:dyDescent="0.25">
      <c r="A40" s="15"/>
      <c r="B40" s="64" t="s">
        <v>104</v>
      </c>
      <c r="C40" s="251"/>
      <c r="D40" s="251"/>
      <c r="E40" s="266">
        <v>0</v>
      </c>
      <c r="H40" s="1675"/>
    </row>
    <row r="41" spans="1:8" ht="14.85" hidden="1" customHeight="1" x14ac:dyDescent="0.25">
      <c r="A41" s="15"/>
      <c r="B41" s="64" t="s">
        <v>73</v>
      </c>
      <c r="C41" s="251"/>
      <c r="D41" s="251"/>
      <c r="E41" s="266">
        <v>0</v>
      </c>
      <c r="H41" s="1675"/>
    </row>
    <row r="42" spans="1:8" ht="14.85" hidden="1" customHeight="1" x14ac:dyDescent="0.25">
      <c r="A42" s="15"/>
      <c r="B42" s="227" t="s">
        <v>106</v>
      </c>
      <c r="C42" s="230"/>
      <c r="D42" s="230"/>
      <c r="E42" s="94"/>
      <c r="H42" s="1675"/>
    </row>
    <row r="43" spans="1:8" ht="14.85" hidden="1" customHeight="1" x14ac:dyDescent="0.25">
      <c r="A43" s="17"/>
      <c r="B43" s="11" t="s">
        <v>71</v>
      </c>
      <c r="C43" s="252"/>
      <c r="D43" s="252"/>
      <c r="E43" s="33"/>
      <c r="H43" s="1675"/>
    </row>
    <row r="44" spans="1:8" ht="14.85" hidden="1" customHeight="1" x14ac:dyDescent="0.25">
      <c r="A44" s="15"/>
      <c r="B44" s="14" t="s">
        <v>70</v>
      </c>
      <c r="C44" s="251"/>
      <c r="D44" s="251"/>
      <c r="E44" s="33">
        <f>E45+E46</f>
        <v>0</v>
      </c>
      <c r="H44" s="1675"/>
    </row>
    <row r="45" spans="1:8" ht="14.85" hidden="1" customHeight="1" x14ac:dyDescent="0.25">
      <c r="A45" s="15"/>
      <c r="B45" s="64" t="s">
        <v>108</v>
      </c>
      <c r="C45" s="251"/>
      <c r="D45" s="251"/>
      <c r="E45" s="266">
        <v>0</v>
      </c>
      <c r="H45" s="1675"/>
    </row>
    <row r="46" spans="1:8" ht="14.85" hidden="1" customHeight="1" x14ac:dyDescent="0.25">
      <c r="A46" s="15"/>
      <c r="B46" s="55" t="s">
        <v>73</v>
      </c>
      <c r="C46" s="251"/>
      <c r="D46" s="251"/>
      <c r="E46" s="267">
        <v>0</v>
      </c>
      <c r="H46" s="1675"/>
    </row>
    <row r="47" spans="1:8" ht="14.85" hidden="1" customHeight="1" x14ac:dyDescent="0.25">
      <c r="A47" s="68"/>
      <c r="B47" s="227" t="s">
        <v>109</v>
      </c>
      <c r="C47" s="301"/>
      <c r="D47" s="301"/>
      <c r="E47" s="94"/>
      <c r="H47" s="1675"/>
    </row>
    <row r="48" spans="1:8" ht="14.85" hidden="1" customHeight="1" x14ac:dyDescent="0.25">
      <c r="A48" s="15"/>
      <c r="B48" s="14" t="s">
        <v>75</v>
      </c>
      <c r="C48" s="226">
        <f>C49+C50</f>
        <v>21429000</v>
      </c>
      <c r="D48" s="226"/>
      <c r="E48" s="33">
        <f>E49+E50</f>
        <v>0</v>
      </c>
      <c r="H48" s="1675"/>
    </row>
    <row r="49" spans="1:8" ht="14.85" hidden="1" customHeight="1" x14ac:dyDescent="0.25">
      <c r="A49" s="15"/>
      <c r="B49" s="64" t="s">
        <v>111</v>
      </c>
      <c r="C49" s="67">
        <v>15000000</v>
      </c>
      <c r="D49" s="67"/>
      <c r="E49" s="266"/>
      <c r="H49" s="1675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67"/>
      <c r="H50" s="1675"/>
    </row>
    <row r="51" spans="1:8" ht="14.85" hidden="1" customHeight="1" x14ac:dyDescent="0.25">
      <c r="A51" s="68"/>
      <c r="B51" s="227" t="s">
        <v>834</v>
      </c>
      <c r="C51" s="301"/>
      <c r="D51" s="1778"/>
      <c r="E51" s="268"/>
      <c r="H51" s="1675"/>
    </row>
    <row r="52" spans="1:8" ht="14.85" hidden="1" customHeight="1" x14ac:dyDescent="0.25">
      <c r="A52" s="17"/>
      <c r="B52" s="11" t="s">
        <v>71</v>
      </c>
      <c r="C52" s="252"/>
      <c r="D52" s="252"/>
      <c r="E52" s="33"/>
      <c r="H52" s="1675"/>
    </row>
    <row r="53" spans="1:8" ht="14.85" hidden="1" customHeight="1" x14ac:dyDescent="0.25">
      <c r="A53" s="15"/>
      <c r="B53" s="14" t="s">
        <v>75</v>
      </c>
      <c r="C53" s="226">
        <f>C54+C55</f>
        <v>21429000</v>
      </c>
      <c r="D53" s="226"/>
      <c r="E53" s="33">
        <f>E54+E55</f>
        <v>0</v>
      </c>
      <c r="H53" s="1675"/>
    </row>
    <row r="54" spans="1:8" ht="14.85" hidden="1" customHeight="1" x14ac:dyDescent="0.25">
      <c r="A54" s="15"/>
      <c r="B54" s="64" t="s">
        <v>111</v>
      </c>
      <c r="C54" s="67">
        <v>15000000</v>
      </c>
      <c r="D54" s="67"/>
      <c r="E54" s="266">
        <v>0</v>
      </c>
      <c r="H54" s="1675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66">
        <v>0</v>
      </c>
      <c r="H55" s="1675"/>
    </row>
    <row r="56" spans="1:8" ht="14.85" hidden="1" customHeight="1" x14ac:dyDescent="0.25">
      <c r="A56" s="15"/>
      <c r="B56" s="227" t="s">
        <v>72</v>
      </c>
      <c r="C56" s="230"/>
      <c r="D56" s="230"/>
      <c r="E56" s="94"/>
      <c r="H56" s="1675"/>
    </row>
    <row r="57" spans="1:8" ht="14.85" hidden="1" customHeight="1" x14ac:dyDescent="0.25">
      <c r="A57" s="17"/>
      <c r="B57" s="11" t="s">
        <v>71</v>
      </c>
      <c r="C57" s="252"/>
      <c r="D57" s="252"/>
      <c r="E57" s="33"/>
      <c r="H57" s="1675"/>
    </row>
    <row r="58" spans="1:8" ht="14.85" hidden="1" customHeight="1" x14ac:dyDescent="0.25">
      <c r="A58" s="15"/>
      <c r="B58" s="14" t="s">
        <v>70</v>
      </c>
      <c r="C58" s="251"/>
      <c r="D58" s="251"/>
      <c r="E58" s="33">
        <f>E60+E61</f>
        <v>0</v>
      </c>
      <c r="H58" s="1675"/>
    </row>
    <row r="59" spans="1:8" ht="14.85" hidden="1" customHeight="1" x14ac:dyDescent="0.25">
      <c r="A59" s="15"/>
      <c r="B59" s="64" t="s">
        <v>69</v>
      </c>
      <c r="C59" s="251"/>
      <c r="D59" s="251"/>
      <c r="E59" s="266">
        <v>0</v>
      </c>
      <c r="H59" s="1675"/>
    </row>
    <row r="60" spans="1:8" ht="14.85" hidden="1" customHeight="1" x14ac:dyDescent="0.25">
      <c r="A60" s="15"/>
      <c r="B60" s="64" t="s">
        <v>68</v>
      </c>
      <c r="C60" s="251"/>
      <c r="D60" s="251"/>
      <c r="E60" s="266">
        <v>0</v>
      </c>
      <c r="H60" s="1675"/>
    </row>
    <row r="61" spans="1:8" ht="14.85" hidden="1" customHeight="1" x14ac:dyDescent="0.25">
      <c r="A61" s="15"/>
      <c r="B61" s="64" t="s">
        <v>67</v>
      </c>
      <c r="C61" s="251"/>
      <c r="D61" s="251"/>
      <c r="E61" s="266">
        <v>0</v>
      </c>
      <c r="H61" s="1675"/>
    </row>
    <row r="62" spans="1:8" ht="14.85" hidden="1" customHeight="1" x14ac:dyDescent="0.25">
      <c r="A62" s="15"/>
      <c r="B62" s="74" t="s">
        <v>112</v>
      </c>
      <c r="C62" s="251"/>
      <c r="D62" s="251"/>
      <c r="E62" s="269">
        <v>0</v>
      </c>
      <c r="H62" s="1675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75"/>
    </row>
    <row r="64" spans="1:8" ht="14.85" hidden="1" customHeight="1" x14ac:dyDescent="0.25">
      <c r="A64" s="15"/>
      <c r="B64" s="74" t="s">
        <v>65</v>
      </c>
      <c r="C64" s="1581">
        <v>94.2</v>
      </c>
      <c r="D64" s="1581"/>
      <c r="E64" s="270">
        <f>(E19/(E9))*100</f>
        <v>87.461441927376498</v>
      </c>
      <c r="H64" s="1675"/>
    </row>
    <row r="65" spans="1:8" ht="14.85" hidden="1" customHeight="1" x14ac:dyDescent="0.25">
      <c r="A65" s="15"/>
      <c r="B65" s="74" t="s">
        <v>64</v>
      </c>
      <c r="C65" s="125">
        <v>5</v>
      </c>
      <c r="D65" s="125"/>
      <c r="E65" s="270">
        <f>(E26/(E9))*100</f>
        <v>4.1328132173842071</v>
      </c>
      <c r="H65" s="1675"/>
    </row>
    <row r="66" spans="1:8" ht="14.85" hidden="1" customHeight="1" x14ac:dyDescent="0.25">
      <c r="A66" s="15"/>
      <c r="B66" s="74" t="s">
        <v>63</v>
      </c>
      <c r="C66" s="125">
        <v>82</v>
      </c>
      <c r="D66" s="125"/>
      <c r="E66" s="270" t="e">
        <f>E36/(E36+E37)*100</f>
        <v>#DIV/0!</v>
      </c>
      <c r="H66" s="1675"/>
    </row>
    <row r="67" spans="1:8" ht="14.85" hidden="1" customHeight="1" x14ac:dyDescent="0.25">
      <c r="A67" s="15"/>
      <c r="B67" s="74" t="s">
        <v>62</v>
      </c>
      <c r="C67" s="125">
        <v>18</v>
      </c>
      <c r="D67" s="125"/>
      <c r="E67" s="270" t="e">
        <f>(E37/E35)*100</f>
        <v>#DIV/0!</v>
      </c>
      <c r="H67" s="1675"/>
    </row>
    <row r="68" spans="1:8" ht="14.85" hidden="1" customHeight="1" x14ac:dyDescent="0.25">
      <c r="A68" s="15"/>
      <c r="B68" s="74" t="s">
        <v>105</v>
      </c>
      <c r="C68" s="125">
        <v>75</v>
      </c>
      <c r="D68" s="125"/>
      <c r="E68" s="270" t="e">
        <f>(E40/E39)*100</f>
        <v>#DIV/0!</v>
      </c>
      <c r="H68" s="1675"/>
    </row>
    <row r="69" spans="1:8" ht="14.85" hidden="1" customHeight="1" x14ac:dyDescent="0.25">
      <c r="A69" s="15"/>
      <c r="B69" s="74" t="s">
        <v>62</v>
      </c>
      <c r="C69" s="125">
        <v>25</v>
      </c>
      <c r="D69" s="125"/>
      <c r="E69" s="270" t="e">
        <f>(E41/E39)*100</f>
        <v>#DIV/0!</v>
      </c>
      <c r="H69" s="1675"/>
    </row>
    <row r="70" spans="1:8" ht="14.85" hidden="1" customHeight="1" x14ac:dyDescent="0.25">
      <c r="A70" s="15"/>
      <c r="B70" s="74" t="s">
        <v>107</v>
      </c>
      <c r="C70" s="125">
        <v>75</v>
      </c>
      <c r="D70" s="125"/>
      <c r="E70" s="270" t="e">
        <f>E45/E44*100</f>
        <v>#DIV/0!</v>
      </c>
      <c r="H70" s="1675"/>
    </row>
    <row r="71" spans="1:8" ht="14.85" hidden="1" customHeight="1" x14ac:dyDescent="0.25">
      <c r="A71" s="15"/>
      <c r="B71" s="74" t="s">
        <v>62</v>
      </c>
      <c r="C71" s="125">
        <v>25</v>
      </c>
      <c r="D71" s="125"/>
      <c r="E71" s="270" t="e">
        <f>E46/E44*100</f>
        <v>#DIV/0!</v>
      </c>
      <c r="H71" s="1675"/>
    </row>
    <row r="72" spans="1:8" ht="14.85" hidden="1" customHeight="1" x14ac:dyDescent="0.25">
      <c r="A72" s="15"/>
      <c r="B72" s="74" t="s">
        <v>110</v>
      </c>
      <c r="C72" s="125">
        <v>70</v>
      </c>
      <c r="D72" s="125"/>
      <c r="E72" s="270" t="e">
        <f>E49/(E49+E50)*100</f>
        <v>#DIV/0!</v>
      </c>
      <c r="H72" s="1675"/>
    </row>
    <row r="73" spans="1:8" ht="14.85" hidden="1" customHeight="1" x14ac:dyDescent="0.25">
      <c r="A73" s="15"/>
      <c r="B73" s="74" t="s">
        <v>62</v>
      </c>
      <c r="C73" s="125">
        <v>30</v>
      </c>
      <c r="D73" s="125"/>
      <c r="E73" s="270" t="e">
        <f>E50/(E50+E49)*100</f>
        <v>#DIV/0!</v>
      </c>
      <c r="H73" s="1675"/>
    </row>
    <row r="74" spans="1:8" ht="14.85" hidden="1" customHeight="1" x14ac:dyDescent="0.25">
      <c r="A74" s="15"/>
      <c r="B74" s="74" t="s">
        <v>835</v>
      </c>
      <c r="C74" s="125">
        <v>70</v>
      </c>
      <c r="D74" s="125"/>
      <c r="E74" s="270" t="e">
        <f>E54/(E54+E55)*100</f>
        <v>#DIV/0!</v>
      </c>
      <c r="H74" s="1675"/>
    </row>
    <row r="75" spans="1:8" ht="14.85" hidden="1" customHeight="1" x14ac:dyDescent="0.25">
      <c r="A75" s="15"/>
      <c r="B75" s="74" t="s">
        <v>62</v>
      </c>
      <c r="C75" s="125">
        <v>30</v>
      </c>
      <c r="D75" s="125"/>
      <c r="E75" s="270" t="e">
        <f>E55/(E54+E55)*100</f>
        <v>#DIV/0!</v>
      </c>
      <c r="H75" s="1675"/>
    </row>
    <row r="76" spans="1:8" ht="14.85" hidden="1" customHeight="1" x14ac:dyDescent="0.25">
      <c r="A76" s="15"/>
      <c r="B76" s="74" t="s">
        <v>61</v>
      </c>
      <c r="C76" s="125">
        <v>60</v>
      </c>
      <c r="D76" s="125"/>
      <c r="E76" s="270" t="e">
        <f>E59/E58*100</f>
        <v>#DIV/0!</v>
      </c>
      <c r="H76" s="1675"/>
    </row>
    <row r="77" spans="1:8" ht="15" hidden="1" customHeight="1" thickBot="1" x14ac:dyDescent="0.3">
      <c r="A77" s="19"/>
      <c r="B77" s="74" t="s">
        <v>60</v>
      </c>
      <c r="C77" s="125">
        <v>40</v>
      </c>
      <c r="D77" s="125"/>
      <c r="E77" s="270" t="e">
        <f>E61/E58*100</f>
        <v>#DIV/0!</v>
      </c>
      <c r="H77" s="1675"/>
    </row>
    <row r="78" spans="1:8" x14ac:dyDescent="0.25">
      <c r="A78" s="8"/>
      <c r="B78" s="14" t="s">
        <v>81</v>
      </c>
      <c r="C78" s="249" t="s">
        <v>1011</v>
      </c>
      <c r="D78" s="248" t="s">
        <v>25</v>
      </c>
      <c r="E78" s="1672"/>
      <c r="F78" s="1657"/>
      <c r="G78" s="1656">
        <v>90.62</v>
      </c>
      <c r="H78" s="726"/>
    </row>
    <row r="79" spans="1:8" ht="15.75" thickBot="1" x14ac:dyDescent="0.3">
      <c r="A79" s="8"/>
      <c r="B79" s="14" t="s">
        <v>80</v>
      </c>
      <c r="C79" s="249">
        <v>0.5</v>
      </c>
      <c r="D79" s="248" t="s">
        <v>25</v>
      </c>
      <c r="E79" s="1672"/>
      <c r="F79" s="1657"/>
      <c r="G79" s="1656">
        <v>0.33</v>
      </c>
      <c r="H79" s="726"/>
    </row>
    <row r="80" spans="1:8" ht="15.75" thickBot="1" x14ac:dyDescent="0.3">
      <c r="A80" s="1784">
        <v>2</v>
      </c>
      <c r="B80" s="1782" t="s">
        <v>59</v>
      </c>
      <c r="C80" s="1670"/>
      <c r="D80" s="1670"/>
      <c r="E80" s="1669" t="s">
        <v>945</v>
      </c>
      <c r="F80" s="1669" t="s">
        <v>946</v>
      </c>
      <c r="G80" s="1670" t="s">
        <v>187</v>
      </c>
      <c r="H80" s="1671" t="s">
        <v>1018</v>
      </c>
    </row>
    <row r="81" spans="1:8" x14ac:dyDescent="0.25">
      <c r="A81" s="8"/>
      <c r="B81" s="232" t="s">
        <v>58</v>
      </c>
      <c r="C81" s="248">
        <v>9</v>
      </c>
      <c r="D81" s="248" t="s">
        <v>85</v>
      </c>
      <c r="E81" s="266">
        <v>51223</v>
      </c>
      <c r="F81" s="266">
        <v>74245</v>
      </c>
      <c r="G81" s="266">
        <f>F81-E81</f>
        <v>23022</v>
      </c>
      <c r="H81" s="1705">
        <f>G81/G9/10</f>
        <v>0.91977626847782656</v>
      </c>
    </row>
    <row r="82" spans="1:8" ht="14.85" hidden="1" customHeight="1" x14ac:dyDescent="0.25">
      <c r="A82" s="15"/>
      <c r="B82" s="21"/>
      <c r="C82" s="250"/>
      <c r="D82" s="250"/>
      <c r="E82" s="272" t="e">
        <f>E81/(E11)*100</f>
        <v>#DIV/0!</v>
      </c>
      <c r="H82" s="1675"/>
    </row>
    <row r="83" spans="1:8" ht="14.85" hidden="1" customHeight="1" x14ac:dyDescent="0.25">
      <c r="A83" s="8"/>
      <c r="B83" s="234" t="s">
        <v>57</v>
      </c>
      <c r="C83" s="253">
        <v>18</v>
      </c>
      <c r="D83" s="253"/>
      <c r="E83" s="273">
        <v>0</v>
      </c>
      <c r="H83" s="1675"/>
    </row>
    <row r="84" spans="1:8" ht="14.85" hidden="1" customHeight="1" x14ac:dyDescent="0.25">
      <c r="A84" s="15"/>
      <c r="B84" s="22"/>
      <c r="C84" s="254"/>
      <c r="D84" s="254"/>
      <c r="E84" s="274" t="e">
        <f>E83/(E12)*100</f>
        <v>#DIV/0!</v>
      </c>
      <c r="H84" s="1675"/>
    </row>
    <row r="85" spans="1:8" x14ac:dyDescent="0.25">
      <c r="A85" s="15"/>
      <c r="B85" s="232" t="s">
        <v>55</v>
      </c>
      <c r="C85" s="249" t="s">
        <v>1012</v>
      </c>
      <c r="D85" s="248" t="s">
        <v>85</v>
      </c>
      <c r="E85" s="267">
        <v>539.5</v>
      </c>
      <c r="F85" s="286">
        <v>1342.1</v>
      </c>
      <c r="G85" s="1681">
        <f>F85-E85</f>
        <v>802.59999999999991</v>
      </c>
      <c r="H85" s="1775">
        <f>G85/G9/10</f>
        <v>3.2065521374350772E-2</v>
      </c>
    </row>
    <row r="86" spans="1:8" ht="15" hidden="1" customHeight="1" thickBot="1" x14ac:dyDescent="0.3">
      <c r="A86" s="19"/>
      <c r="B86" s="24"/>
      <c r="C86" s="250"/>
      <c r="D86" s="250"/>
      <c r="E86" s="275"/>
      <c r="H86" s="1675"/>
    </row>
    <row r="87" spans="1:8" x14ac:dyDescent="0.25">
      <c r="A87" s="137">
        <v>3</v>
      </c>
      <c r="B87" s="236" t="s">
        <v>167</v>
      </c>
      <c r="C87" s="1780" t="s">
        <v>1014</v>
      </c>
      <c r="D87" s="237" t="s">
        <v>25</v>
      </c>
      <c r="E87" s="276"/>
      <c r="F87" s="1655"/>
      <c r="G87" s="276">
        <f>((SUM(G19+G26))-(SUM(G9)))/(SUM(G9))*100</f>
        <v>-1.963244107071509</v>
      </c>
      <c r="H87" s="1677"/>
    </row>
    <row r="88" spans="1:8" x14ac:dyDescent="0.25">
      <c r="A88" s="137"/>
      <c r="B88" s="305"/>
      <c r="C88" s="306"/>
      <c r="D88" s="306"/>
      <c r="E88" s="308"/>
      <c r="G88" s="308">
        <f>G87%*G9</f>
        <v>-49.139999999999873</v>
      </c>
      <c r="H88" s="1675"/>
    </row>
    <row r="89" spans="1:8" x14ac:dyDescent="0.25">
      <c r="A89" s="68"/>
      <c r="B89" s="232" t="s">
        <v>54</v>
      </c>
      <c r="C89" s="1781" t="s">
        <v>1013</v>
      </c>
      <c r="D89" s="1658" t="s">
        <v>25</v>
      </c>
      <c r="E89" s="277"/>
      <c r="F89" s="1659"/>
      <c r="G89" s="277">
        <v>21.66</v>
      </c>
      <c r="H89" s="1678"/>
    </row>
    <row r="90" spans="1:8" ht="15.75" thickBot="1" x14ac:dyDescent="0.3">
      <c r="A90" s="85"/>
      <c r="B90" s="86" t="s">
        <v>53</v>
      </c>
      <c r="C90" s="250"/>
      <c r="D90" s="250"/>
      <c r="E90" s="1682"/>
      <c r="F90" s="1683"/>
      <c r="G90" s="1682">
        <f>SUM(G81,G83)+(G89%*SUM(G81,G83))</f>
        <v>28008.565200000001</v>
      </c>
      <c r="H90" s="1684"/>
    </row>
    <row r="91" spans="1:8" ht="15" hidden="1" customHeight="1" thickBot="1" x14ac:dyDescent="0.3">
      <c r="A91" s="8">
        <v>4</v>
      </c>
      <c r="B91" s="47" t="s">
        <v>52</v>
      </c>
      <c r="C91" s="48"/>
      <c r="D91" s="1779"/>
      <c r="E91" s="268"/>
      <c r="H91" s="1675"/>
    </row>
    <row r="92" spans="1:8" ht="15" hidden="1" customHeight="1" thickBot="1" x14ac:dyDescent="0.3">
      <c r="A92" s="8"/>
      <c r="B92" s="26" t="s">
        <v>51</v>
      </c>
      <c r="C92" s="88"/>
      <c r="D92" s="88"/>
      <c r="E92" s="278"/>
      <c r="H92" s="1675"/>
    </row>
    <row r="93" spans="1:8" ht="15" hidden="1" customHeight="1" thickBot="1" x14ac:dyDescent="0.3">
      <c r="A93" s="15"/>
      <c r="B93" s="28" t="s">
        <v>46</v>
      </c>
      <c r="C93" s="90"/>
      <c r="D93" s="90"/>
      <c r="E93" s="279"/>
      <c r="H93" s="1675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75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75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75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75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75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75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75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75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75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0">
        <v>0</v>
      </c>
      <c r="H103" s="1675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75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75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75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75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75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75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75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75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75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75"/>
    </row>
    <row r="114" spans="1:8" ht="15" hidden="1" customHeight="1" thickBot="1" x14ac:dyDescent="0.3">
      <c r="A114" s="15"/>
      <c r="B114" s="14" t="s">
        <v>49</v>
      </c>
      <c r="C114" s="125">
        <v>0.3</v>
      </c>
      <c r="D114" s="125"/>
      <c r="E114" s="34" t="e">
        <v>#DIV/0!</v>
      </c>
      <c r="H114" s="1675"/>
    </row>
    <row r="115" spans="1:8" ht="15" hidden="1" customHeight="1" thickBot="1" x14ac:dyDescent="0.3">
      <c r="A115" s="15"/>
      <c r="B115" s="14" t="s">
        <v>48</v>
      </c>
      <c r="C115" s="125">
        <v>0.3</v>
      </c>
      <c r="D115" s="125"/>
      <c r="E115" s="34" t="e">
        <v>#DIV/0!</v>
      </c>
      <c r="H115" s="1675"/>
    </row>
    <row r="116" spans="1:8" ht="15" hidden="1" customHeight="1" thickBot="1" x14ac:dyDescent="0.3">
      <c r="A116" s="15"/>
      <c r="B116" s="30" t="s">
        <v>28</v>
      </c>
      <c r="C116" s="125"/>
      <c r="D116" s="125"/>
      <c r="E116" s="34"/>
      <c r="H116" s="1675"/>
    </row>
    <row r="117" spans="1:8" ht="15" hidden="1" customHeight="1" thickBot="1" x14ac:dyDescent="0.3">
      <c r="A117" s="15"/>
      <c r="B117" s="14" t="s">
        <v>49</v>
      </c>
      <c r="C117" s="125">
        <v>0.5</v>
      </c>
      <c r="D117" s="125"/>
      <c r="E117" s="34" t="e">
        <v>#DIV/0!</v>
      </c>
      <c r="H117" s="1675"/>
    </row>
    <row r="118" spans="1:8" ht="15" hidden="1" customHeight="1" thickBot="1" x14ac:dyDescent="0.3">
      <c r="A118" s="19"/>
      <c r="B118" s="14" t="s">
        <v>48</v>
      </c>
      <c r="C118" s="125">
        <v>0.5</v>
      </c>
      <c r="D118" s="125"/>
      <c r="E118" s="34" t="e">
        <v>#DIV/0!</v>
      </c>
      <c r="H118" s="1675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75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75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75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75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75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75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75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75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75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75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75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75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75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75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75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75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75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75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75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75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75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75"/>
    </row>
    <row r="141" spans="1:8" ht="15" hidden="1" customHeight="1" thickBot="1" x14ac:dyDescent="0.3">
      <c r="A141" s="15"/>
      <c r="B141" s="11" t="s">
        <v>45</v>
      </c>
      <c r="C141" s="125">
        <v>0.3</v>
      </c>
      <c r="D141" s="125"/>
      <c r="E141" s="34" t="e">
        <v>#DIV/0!</v>
      </c>
      <c r="H141" s="1675"/>
    </row>
    <row r="142" spans="1:8" ht="15" hidden="1" customHeight="1" thickBot="1" x14ac:dyDescent="0.3">
      <c r="A142" s="15"/>
      <c r="B142" s="11" t="s">
        <v>44</v>
      </c>
      <c r="C142" s="125">
        <v>0.3</v>
      </c>
      <c r="D142" s="125"/>
      <c r="E142" s="34" t="e">
        <v>#DIV/0!</v>
      </c>
      <c r="H142" s="1675"/>
    </row>
    <row r="143" spans="1:8" ht="15" hidden="1" customHeight="1" thickBot="1" x14ac:dyDescent="0.3">
      <c r="A143" s="15"/>
      <c r="B143" s="30" t="s">
        <v>28</v>
      </c>
      <c r="C143" s="125"/>
      <c r="D143" s="125"/>
      <c r="E143" s="34"/>
      <c r="H143" s="1675"/>
    </row>
    <row r="144" spans="1:8" ht="15" hidden="1" customHeight="1" thickBot="1" x14ac:dyDescent="0.3">
      <c r="A144" s="15"/>
      <c r="B144" s="11" t="s">
        <v>45</v>
      </c>
      <c r="C144" s="125">
        <v>0.5</v>
      </c>
      <c r="D144" s="125"/>
      <c r="E144" s="34" t="e">
        <v>#DIV/0!</v>
      </c>
      <c r="H144" s="1675"/>
    </row>
    <row r="145" spans="1:8" ht="15" hidden="1" customHeight="1" thickBot="1" x14ac:dyDescent="0.3">
      <c r="A145" s="15"/>
      <c r="B145" s="11" t="s">
        <v>44</v>
      </c>
      <c r="C145" s="125">
        <v>0.5</v>
      </c>
      <c r="D145" s="125"/>
      <c r="E145" s="34" t="e">
        <v>#DIV/0!</v>
      </c>
      <c r="H145" s="1675"/>
    </row>
    <row r="146" spans="1:8" ht="15" hidden="1" customHeight="1" thickBot="1" x14ac:dyDescent="0.3">
      <c r="A146" s="15"/>
      <c r="B146" s="47" t="s">
        <v>43</v>
      </c>
      <c r="C146" s="126"/>
      <c r="D146" s="126"/>
      <c r="E146" s="281"/>
      <c r="H146" s="1675"/>
    </row>
    <row r="147" spans="1:8" ht="15" hidden="1" customHeight="1" thickBot="1" x14ac:dyDescent="0.3">
      <c r="A147" s="15"/>
      <c r="B147" s="28" t="s">
        <v>113</v>
      </c>
      <c r="C147" s="125"/>
      <c r="D147" s="125"/>
      <c r="E147" s="42"/>
      <c r="H147" s="1675"/>
    </row>
    <row r="148" spans="1:8" ht="15" hidden="1" customHeight="1" thickBot="1" x14ac:dyDescent="0.3">
      <c r="A148" s="15"/>
      <c r="B148" s="28" t="s">
        <v>114</v>
      </c>
      <c r="C148" s="125"/>
      <c r="D148" s="125"/>
      <c r="E148" s="34"/>
      <c r="H148" s="1675"/>
    </row>
    <row r="149" spans="1:8" ht="15" hidden="1" customHeight="1" thickBot="1" x14ac:dyDescent="0.3">
      <c r="A149" s="15"/>
      <c r="B149" s="30" t="s">
        <v>39</v>
      </c>
      <c r="C149" s="125"/>
      <c r="D149" s="125"/>
      <c r="E149" s="34">
        <v>0</v>
      </c>
      <c r="H149" s="1675"/>
    </row>
    <row r="150" spans="1:8" ht="15" hidden="1" customHeight="1" thickBot="1" x14ac:dyDescent="0.3">
      <c r="A150" s="15"/>
      <c r="B150" s="30" t="s">
        <v>38</v>
      </c>
      <c r="C150" s="125"/>
      <c r="D150" s="125"/>
      <c r="E150" s="34">
        <v>0</v>
      </c>
      <c r="H150" s="1675"/>
    </row>
    <row r="151" spans="1:8" ht="15" hidden="1" customHeight="1" thickBot="1" x14ac:dyDescent="0.3">
      <c r="A151" s="15"/>
      <c r="B151" s="30" t="s">
        <v>29</v>
      </c>
      <c r="C151" s="125"/>
      <c r="D151" s="125"/>
      <c r="E151" s="33"/>
      <c r="H151" s="1675"/>
    </row>
    <row r="152" spans="1:8" ht="15" hidden="1" customHeight="1" thickBot="1" x14ac:dyDescent="0.3">
      <c r="A152" s="15"/>
      <c r="B152" s="11" t="s">
        <v>42</v>
      </c>
      <c r="C152" s="125"/>
      <c r="D152" s="125"/>
      <c r="E152" s="33"/>
      <c r="H152" s="1675"/>
    </row>
    <row r="153" spans="1:8" ht="15" hidden="1" customHeight="1" thickBot="1" x14ac:dyDescent="0.3">
      <c r="A153" s="15"/>
      <c r="B153" s="11" t="s">
        <v>41</v>
      </c>
      <c r="C153" s="125"/>
      <c r="D153" s="125"/>
      <c r="E153" s="33"/>
      <c r="H153" s="1675"/>
    </row>
    <row r="154" spans="1:8" ht="15" hidden="1" customHeight="1" thickBot="1" x14ac:dyDescent="0.3">
      <c r="A154" s="15"/>
      <c r="B154" s="30" t="s">
        <v>28</v>
      </c>
      <c r="C154" s="125"/>
      <c r="D154" s="125"/>
      <c r="E154" s="33"/>
      <c r="H154" s="1675"/>
    </row>
    <row r="155" spans="1:8" ht="15" hidden="1" customHeight="1" thickBot="1" x14ac:dyDescent="0.3">
      <c r="A155" s="15"/>
      <c r="B155" s="11" t="s">
        <v>42</v>
      </c>
      <c r="C155" s="125"/>
      <c r="D155" s="125"/>
      <c r="E155" s="33">
        <v>0</v>
      </c>
      <c r="H155" s="1675"/>
    </row>
    <row r="156" spans="1:8" ht="15" hidden="1" customHeight="1" thickBot="1" x14ac:dyDescent="0.3">
      <c r="A156" s="15"/>
      <c r="B156" s="11" t="s">
        <v>41</v>
      </c>
      <c r="C156" s="125"/>
      <c r="D156" s="125"/>
      <c r="E156" s="33">
        <v>0</v>
      </c>
      <c r="H156" s="1675"/>
    </row>
    <row r="157" spans="1:8" ht="15" hidden="1" customHeight="1" thickBot="1" x14ac:dyDescent="0.3">
      <c r="A157" s="15"/>
      <c r="B157" s="30" t="s">
        <v>36</v>
      </c>
      <c r="C157" s="125"/>
      <c r="D157" s="125"/>
      <c r="E157" s="33">
        <v>0</v>
      </c>
      <c r="H157" s="1675"/>
    </row>
    <row r="158" spans="1:8" ht="15" hidden="1" customHeight="1" thickBot="1" x14ac:dyDescent="0.3">
      <c r="A158" s="15"/>
      <c r="B158" s="30" t="s">
        <v>34</v>
      </c>
      <c r="C158" s="125"/>
      <c r="D158" s="125"/>
      <c r="E158" s="33">
        <v>0</v>
      </c>
      <c r="H158" s="1675"/>
    </row>
    <row r="159" spans="1:8" ht="15" hidden="1" customHeight="1" thickBot="1" x14ac:dyDescent="0.3">
      <c r="A159" s="15"/>
      <c r="B159" s="47" t="s">
        <v>32</v>
      </c>
      <c r="C159" s="126"/>
      <c r="D159" s="126"/>
      <c r="E159" s="94"/>
      <c r="H159" s="1675"/>
    </row>
    <row r="160" spans="1:8" ht="15" hidden="1" customHeight="1" thickBot="1" x14ac:dyDescent="0.3">
      <c r="A160" s="15"/>
      <c r="B160" s="30" t="s">
        <v>29</v>
      </c>
      <c r="C160" s="125"/>
      <c r="D160" s="125"/>
      <c r="E160" s="33"/>
      <c r="H160" s="1675"/>
    </row>
    <row r="161" spans="1:8" ht="15" hidden="1" customHeight="1" thickBot="1" x14ac:dyDescent="0.3">
      <c r="A161" s="15"/>
      <c r="B161" s="11" t="s">
        <v>42</v>
      </c>
      <c r="C161" s="125"/>
      <c r="D161" s="125"/>
      <c r="E161" s="33"/>
      <c r="H161" s="1675"/>
    </row>
    <row r="162" spans="1:8" ht="15" hidden="1" customHeight="1" thickBot="1" x14ac:dyDescent="0.3">
      <c r="A162" s="15"/>
      <c r="B162" s="11" t="s">
        <v>41</v>
      </c>
      <c r="C162" s="125"/>
      <c r="D162" s="125"/>
      <c r="E162" s="33"/>
      <c r="H162" s="1675"/>
    </row>
    <row r="163" spans="1:8" ht="15" hidden="1" customHeight="1" thickBot="1" x14ac:dyDescent="0.3">
      <c r="A163" s="15"/>
      <c r="B163" s="30" t="s">
        <v>28</v>
      </c>
      <c r="C163" s="125"/>
      <c r="D163" s="125"/>
      <c r="E163" s="33"/>
      <c r="H163" s="1675"/>
    </row>
    <row r="164" spans="1:8" ht="15" hidden="1" customHeight="1" thickBot="1" x14ac:dyDescent="0.3">
      <c r="A164" s="15"/>
      <c r="B164" s="11" t="s">
        <v>42</v>
      </c>
      <c r="C164" s="125"/>
      <c r="D164" s="125"/>
      <c r="E164" s="33">
        <v>0</v>
      </c>
      <c r="H164" s="1675"/>
    </row>
    <row r="165" spans="1:8" ht="15" hidden="1" customHeight="1" thickBot="1" x14ac:dyDescent="0.3">
      <c r="A165" s="15"/>
      <c r="B165" s="11" t="s">
        <v>41</v>
      </c>
      <c r="C165" s="125"/>
      <c r="D165" s="125"/>
      <c r="E165" s="33">
        <v>0</v>
      </c>
      <c r="H165" s="1675"/>
    </row>
    <row r="166" spans="1:8" ht="15" hidden="1" customHeight="1" thickBot="1" x14ac:dyDescent="0.3">
      <c r="A166" s="15"/>
      <c r="B166" s="47" t="s">
        <v>30</v>
      </c>
      <c r="C166" s="126"/>
      <c r="D166" s="126"/>
      <c r="E166" s="94"/>
      <c r="H166" s="1675"/>
    </row>
    <row r="167" spans="1:8" ht="15" hidden="1" customHeight="1" thickBot="1" x14ac:dyDescent="0.3">
      <c r="A167" s="15"/>
      <c r="B167" s="30" t="s">
        <v>29</v>
      </c>
      <c r="C167" s="125"/>
      <c r="D167" s="125"/>
      <c r="E167" s="33"/>
      <c r="H167" s="1675"/>
    </row>
    <row r="168" spans="1:8" ht="15" hidden="1" customHeight="1" thickBot="1" x14ac:dyDescent="0.3">
      <c r="A168" s="15"/>
      <c r="B168" s="11" t="s">
        <v>42</v>
      </c>
      <c r="C168" s="125"/>
      <c r="D168" s="125"/>
      <c r="E168" s="33" t="e">
        <v>#DIV/0!</v>
      </c>
      <c r="H168" s="1675"/>
    </row>
    <row r="169" spans="1:8" ht="15" hidden="1" customHeight="1" thickBot="1" x14ac:dyDescent="0.3">
      <c r="A169" s="15"/>
      <c r="B169" s="11" t="s">
        <v>90</v>
      </c>
      <c r="C169" s="125"/>
      <c r="D169" s="125"/>
      <c r="E169" s="33" t="e">
        <v>#DIV/0!</v>
      </c>
      <c r="H169" s="1675"/>
    </row>
    <row r="170" spans="1:8" ht="15" hidden="1" customHeight="1" thickBot="1" x14ac:dyDescent="0.3">
      <c r="A170" s="15"/>
      <c r="B170" s="30" t="s">
        <v>28</v>
      </c>
      <c r="C170" s="125"/>
      <c r="D170" s="125"/>
      <c r="E170" s="33"/>
      <c r="H170" s="1675"/>
    </row>
    <row r="171" spans="1:8" ht="15" hidden="1" customHeight="1" thickBot="1" x14ac:dyDescent="0.3">
      <c r="A171" s="15"/>
      <c r="B171" s="11" t="s">
        <v>42</v>
      </c>
      <c r="C171" s="125"/>
      <c r="D171" s="125"/>
      <c r="E171" s="33" t="e">
        <v>#DIV/0!</v>
      </c>
      <c r="H171" s="1675"/>
    </row>
    <row r="172" spans="1:8" ht="15" hidden="1" customHeight="1" thickBot="1" x14ac:dyDescent="0.3">
      <c r="A172" s="19"/>
      <c r="B172" s="11" t="s">
        <v>90</v>
      </c>
      <c r="C172" s="125"/>
      <c r="D172" s="125"/>
      <c r="E172" s="33" t="e">
        <v>#DIV/0!</v>
      </c>
      <c r="H172" s="1675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75"/>
    </row>
    <row r="174" spans="1:8" ht="15" hidden="1" customHeight="1" thickBot="1" x14ac:dyDescent="0.3">
      <c r="A174" s="15"/>
      <c r="B174" s="28" t="s">
        <v>114</v>
      </c>
      <c r="C174" s="90"/>
      <c r="D174" s="90"/>
      <c r="E174" s="42"/>
      <c r="H174" s="1675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75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75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75"/>
    </row>
    <row r="178" spans="1:8" ht="15" hidden="1" customHeight="1" thickBot="1" x14ac:dyDescent="0.3">
      <c r="A178" s="15"/>
      <c r="B178" s="11" t="s">
        <v>115</v>
      </c>
      <c r="C178" s="60"/>
      <c r="D178" s="60"/>
      <c r="E178" s="33"/>
      <c r="H178" s="1675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75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75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75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75"/>
    </row>
    <row r="183" spans="1:8" ht="15" hidden="1" customHeight="1" thickBot="1" x14ac:dyDescent="0.3">
      <c r="A183" s="15"/>
      <c r="B183" s="11" t="s">
        <v>115</v>
      </c>
      <c r="C183" s="60"/>
      <c r="D183" s="60"/>
      <c r="E183" s="33">
        <v>0</v>
      </c>
      <c r="H183" s="1675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75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75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75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75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75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75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75"/>
    </row>
    <row r="191" spans="1:8" ht="15" hidden="1" customHeight="1" thickBot="1" x14ac:dyDescent="0.3">
      <c r="A191" s="15"/>
      <c r="B191" s="11" t="s">
        <v>115</v>
      </c>
      <c r="C191" s="60"/>
      <c r="D191" s="60"/>
      <c r="E191" s="33">
        <v>0</v>
      </c>
      <c r="H191" s="1675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75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75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75"/>
    </row>
    <row r="195" spans="1:8" ht="15" hidden="1" customHeight="1" thickBot="1" x14ac:dyDescent="0.3">
      <c r="A195" s="15"/>
      <c r="B195" s="11" t="s">
        <v>115</v>
      </c>
      <c r="C195" s="60"/>
      <c r="D195" s="60"/>
      <c r="E195" s="33">
        <v>0</v>
      </c>
      <c r="H195" s="1675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75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75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75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75"/>
    </row>
    <row r="200" spans="1:8" ht="15" hidden="1" customHeight="1" thickBot="1" x14ac:dyDescent="0.3">
      <c r="A200" s="15"/>
      <c r="B200" s="11" t="s">
        <v>115</v>
      </c>
      <c r="C200" s="125">
        <v>0.3</v>
      </c>
      <c r="D200" s="125"/>
      <c r="E200" s="34" t="e">
        <v>#DIV/0!</v>
      </c>
      <c r="H200" s="1675"/>
    </row>
    <row r="201" spans="1:8" ht="15" hidden="1" customHeight="1" thickBot="1" x14ac:dyDescent="0.3">
      <c r="A201" s="15"/>
      <c r="B201" s="11" t="s">
        <v>27</v>
      </c>
      <c r="C201" s="125">
        <v>0.3</v>
      </c>
      <c r="D201" s="125"/>
      <c r="E201" s="34" t="e">
        <v>#DIV/0!</v>
      </c>
      <c r="H201" s="1675"/>
    </row>
    <row r="202" spans="1:8" ht="15" hidden="1" customHeight="1" thickBot="1" x14ac:dyDescent="0.3">
      <c r="A202" s="15"/>
      <c r="B202" s="11" t="s">
        <v>26</v>
      </c>
      <c r="C202" s="125">
        <v>0.3</v>
      </c>
      <c r="D202" s="125"/>
      <c r="E202" s="34" t="e">
        <v>#DIV/0!</v>
      </c>
      <c r="H202" s="1675"/>
    </row>
    <row r="203" spans="1:8" ht="15" hidden="1" customHeight="1" thickBot="1" x14ac:dyDescent="0.3">
      <c r="A203" s="15"/>
      <c r="B203" s="30" t="s">
        <v>28</v>
      </c>
      <c r="C203" s="125"/>
      <c r="D203" s="125"/>
      <c r="E203" s="34"/>
      <c r="H203" s="1675"/>
    </row>
    <row r="204" spans="1:8" ht="15" hidden="1" customHeight="1" thickBot="1" x14ac:dyDescent="0.3">
      <c r="A204" s="15"/>
      <c r="B204" s="11" t="s">
        <v>115</v>
      </c>
      <c r="C204" s="125">
        <v>0.5</v>
      </c>
      <c r="D204" s="125"/>
      <c r="E204" s="34" t="e">
        <v>#DIV/0!</v>
      </c>
      <c r="H204" s="1675"/>
    </row>
    <row r="205" spans="1:8" ht="15" hidden="1" customHeight="1" thickBot="1" x14ac:dyDescent="0.3">
      <c r="A205" s="15"/>
      <c r="B205" s="11" t="s">
        <v>27</v>
      </c>
      <c r="C205" s="125">
        <v>0.5</v>
      </c>
      <c r="D205" s="125"/>
      <c r="E205" s="34" t="e">
        <v>#DIV/0!</v>
      </c>
      <c r="H205" s="1675"/>
    </row>
    <row r="206" spans="1:8" ht="15" hidden="1" customHeight="1" thickBot="1" x14ac:dyDescent="0.3">
      <c r="A206" s="19"/>
      <c r="B206" s="11" t="s">
        <v>26</v>
      </c>
      <c r="C206" s="125">
        <v>0.5</v>
      </c>
      <c r="D206" s="125"/>
      <c r="E206" s="34" t="e">
        <v>#DIV/0!</v>
      </c>
      <c r="H206" s="1675"/>
    </row>
    <row r="207" spans="1:8" ht="15" hidden="1" customHeight="1" thickBot="1" x14ac:dyDescent="0.3">
      <c r="A207" s="8">
        <v>7</v>
      </c>
      <c r="B207" s="47" t="s">
        <v>86</v>
      </c>
      <c r="C207" s="126"/>
      <c r="D207" s="126"/>
      <c r="E207" s="282"/>
      <c r="H207" s="1675"/>
    </row>
    <row r="208" spans="1:8" ht="15" hidden="1" customHeight="1" thickBot="1" x14ac:dyDescent="0.3">
      <c r="A208" s="15"/>
      <c r="B208" s="26" t="s">
        <v>91</v>
      </c>
      <c r="C208" s="125"/>
      <c r="D208" s="125"/>
      <c r="E208" s="42"/>
      <c r="H208" s="1675"/>
    </row>
    <row r="209" spans="1:8" ht="15" hidden="1" customHeight="1" thickBot="1" x14ac:dyDescent="0.3">
      <c r="A209" s="15"/>
      <c r="B209" s="11" t="s">
        <v>92</v>
      </c>
      <c r="C209" s="125"/>
      <c r="D209" s="125"/>
      <c r="E209" s="34"/>
      <c r="H209" s="1675"/>
    </row>
    <row r="210" spans="1:8" ht="15" hidden="1" customHeight="1" thickBot="1" x14ac:dyDescent="0.3">
      <c r="A210" s="15"/>
      <c r="B210" s="11" t="s">
        <v>39</v>
      </c>
      <c r="C210" s="125"/>
      <c r="D210" s="125"/>
      <c r="E210" s="34">
        <v>0</v>
      </c>
      <c r="H210" s="1675"/>
    </row>
    <row r="211" spans="1:8" ht="15" hidden="1" customHeight="1" thickBot="1" x14ac:dyDescent="0.3">
      <c r="A211" s="15"/>
      <c r="B211" s="11" t="s">
        <v>38</v>
      </c>
      <c r="C211" s="125"/>
      <c r="D211" s="125"/>
      <c r="E211" s="34">
        <v>0</v>
      </c>
      <c r="H211" s="1675"/>
    </row>
    <row r="212" spans="1:8" ht="15" hidden="1" customHeight="1" thickBot="1" x14ac:dyDescent="0.3">
      <c r="A212" s="15"/>
      <c r="B212" s="30" t="s">
        <v>50</v>
      </c>
      <c r="C212" s="125"/>
      <c r="D212" s="125"/>
      <c r="E212" s="34">
        <v>0</v>
      </c>
      <c r="H212" s="1675"/>
    </row>
    <row r="213" spans="1:8" ht="15" hidden="1" customHeight="1" thickBot="1" x14ac:dyDescent="0.3">
      <c r="A213" s="15"/>
      <c r="B213" s="11" t="s">
        <v>29</v>
      </c>
      <c r="C213" s="125"/>
      <c r="D213" s="125"/>
      <c r="E213" s="34"/>
      <c r="H213" s="1675"/>
    </row>
    <row r="214" spans="1:8" ht="15" hidden="1" customHeight="1" thickBot="1" x14ac:dyDescent="0.3">
      <c r="A214" s="15"/>
      <c r="B214" s="11" t="s">
        <v>87</v>
      </c>
      <c r="C214" s="125"/>
      <c r="D214" s="125"/>
      <c r="E214" s="33"/>
      <c r="H214" s="1675"/>
    </row>
    <row r="215" spans="1:8" ht="15" hidden="1" customHeight="1" thickBot="1" x14ac:dyDescent="0.3">
      <c r="A215" s="15"/>
      <c r="B215" s="11" t="s">
        <v>116</v>
      </c>
      <c r="C215" s="125"/>
      <c r="D215" s="125"/>
      <c r="E215" s="33"/>
      <c r="H215" s="1675"/>
    </row>
    <row r="216" spans="1:8" ht="15" hidden="1" customHeight="1" thickBot="1" x14ac:dyDescent="0.3">
      <c r="A216" s="15"/>
      <c r="B216" s="38" t="s">
        <v>28</v>
      </c>
      <c r="C216" s="125"/>
      <c r="D216" s="125"/>
      <c r="E216" s="34"/>
      <c r="H216" s="1675"/>
    </row>
    <row r="217" spans="1:8" ht="15" hidden="1" customHeight="1" thickBot="1" x14ac:dyDescent="0.3">
      <c r="A217" s="15"/>
      <c r="B217" s="11" t="s">
        <v>87</v>
      </c>
      <c r="C217" s="125"/>
      <c r="D217" s="125"/>
      <c r="E217" s="33">
        <v>0</v>
      </c>
      <c r="H217" s="1675"/>
    </row>
    <row r="218" spans="1:8" ht="15" hidden="1" customHeight="1" thickBot="1" x14ac:dyDescent="0.3">
      <c r="A218" s="15"/>
      <c r="B218" s="11" t="s">
        <v>116</v>
      </c>
      <c r="C218" s="125"/>
      <c r="D218" s="125"/>
      <c r="E218" s="33">
        <v>0</v>
      </c>
      <c r="H218" s="1675"/>
    </row>
    <row r="219" spans="1:8" ht="15" hidden="1" customHeight="1" thickBot="1" x14ac:dyDescent="0.3">
      <c r="A219" s="15"/>
      <c r="B219" s="11" t="s">
        <v>36</v>
      </c>
      <c r="C219" s="125"/>
      <c r="D219" s="125"/>
      <c r="E219" s="33">
        <v>0</v>
      </c>
      <c r="H219" s="1675"/>
    </row>
    <row r="220" spans="1:8" ht="15" hidden="1" customHeight="1" thickBot="1" x14ac:dyDescent="0.3">
      <c r="A220" s="15"/>
      <c r="B220" s="11" t="s">
        <v>34</v>
      </c>
      <c r="C220" s="125"/>
      <c r="D220" s="125"/>
      <c r="E220" s="33">
        <v>0</v>
      </c>
      <c r="H220" s="1675"/>
    </row>
    <row r="221" spans="1:8" ht="15" hidden="1" customHeight="1" thickBot="1" x14ac:dyDescent="0.3">
      <c r="A221" s="15"/>
      <c r="B221" s="47" t="s">
        <v>32</v>
      </c>
      <c r="C221" s="126"/>
      <c r="D221" s="126"/>
      <c r="E221" s="283"/>
      <c r="H221" s="1675"/>
    </row>
    <row r="222" spans="1:8" ht="15" hidden="1" customHeight="1" thickBot="1" x14ac:dyDescent="0.3">
      <c r="A222" s="15"/>
      <c r="B222" s="11" t="s">
        <v>29</v>
      </c>
      <c r="C222" s="125"/>
      <c r="D222" s="125"/>
      <c r="E222" s="34"/>
      <c r="H222" s="1675"/>
    </row>
    <row r="223" spans="1:8" ht="15" hidden="1" customHeight="1" thickBot="1" x14ac:dyDescent="0.3">
      <c r="A223" s="15"/>
      <c r="B223" s="11" t="s">
        <v>87</v>
      </c>
      <c r="C223" s="125"/>
      <c r="D223" s="125"/>
      <c r="E223" s="33"/>
      <c r="H223" s="1675"/>
    </row>
    <row r="224" spans="1:8" ht="15" hidden="1" customHeight="1" thickBot="1" x14ac:dyDescent="0.3">
      <c r="A224" s="15"/>
      <c r="B224" s="11" t="s">
        <v>116</v>
      </c>
      <c r="C224" s="125"/>
      <c r="D224" s="125"/>
      <c r="E224" s="33"/>
      <c r="H224" s="1675"/>
    </row>
    <row r="225" spans="1:8" ht="15" hidden="1" customHeight="1" thickBot="1" x14ac:dyDescent="0.3">
      <c r="A225" s="15"/>
      <c r="B225" s="11" t="s">
        <v>28</v>
      </c>
      <c r="C225" s="125"/>
      <c r="D225" s="125"/>
      <c r="E225" s="34"/>
      <c r="H225" s="1675"/>
    </row>
    <row r="226" spans="1:8" ht="15" hidden="1" customHeight="1" thickBot="1" x14ac:dyDescent="0.3">
      <c r="A226" s="15"/>
      <c r="B226" s="11" t="s">
        <v>87</v>
      </c>
      <c r="C226" s="125"/>
      <c r="D226" s="125"/>
      <c r="E226" s="33">
        <v>0</v>
      </c>
      <c r="H226" s="1675"/>
    </row>
    <row r="227" spans="1:8" ht="15" hidden="1" customHeight="1" thickBot="1" x14ac:dyDescent="0.3">
      <c r="A227" s="15"/>
      <c r="B227" s="11" t="s">
        <v>116</v>
      </c>
      <c r="C227" s="125"/>
      <c r="D227" s="125"/>
      <c r="E227" s="33">
        <v>0</v>
      </c>
      <c r="H227" s="1675"/>
    </row>
    <row r="228" spans="1:8" ht="15" hidden="1" customHeight="1" thickBot="1" x14ac:dyDescent="0.3">
      <c r="A228" s="15"/>
      <c r="B228" s="47" t="s">
        <v>30</v>
      </c>
      <c r="C228" s="129"/>
      <c r="D228" s="129"/>
      <c r="E228" s="268"/>
      <c r="H228" s="1675"/>
    </row>
    <row r="229" spans="1:8" ht="15" hidden="1" customHeight="1" thickBot="1" x14ac:dyDescent="0.3">
      <c r="A229" s="15"/>
      <c r="B229" s="30" t="s">
        <v>29</v>
      </c>
      <c r="C229" s="125"/>
      <c r="D229" s="125"/>
      <c r="E229" s="33"/>
      <c r="H229" s="1675"/>
    </row>
    <row r="230" spans="1:8" ht="15" hidden="1" customHeight="1" thickBot="1" x14ac:dyDescent="0.3">
      <c r="A230" s="15"/>
      <c r="B230" s="11" t="s">
        <v>87</v>
      </c>
      <c r="C230" s="125">
        <v>0.3</v>
      </c>
      <c r="D230" s="125"/>
      <c r="E230" s="33" t="e">
        <v>#DIV/0!</v>
      </c>
      <c r="H230" s="1675"/>
    </row>
    <row r="231" spans="1:8" ht="15" hidden="1" customHeight="1" thickBot="1" x14ac:dyDescent="0.3">
      <c r="A231" s="15"/>
      <c r="B231" s="11" t="s">
        <v>116</v>
      </c>
      <c r="C231" s="125">
        <v>0.3</v>
      </c>
      <c r="D231" s="125"/>
      <c r="E231" s="33" t="e">
        <v>#DIV/0!</v>
      </c>
      <c r="H231" s="1675"/>
    </row>
    <row r="232" spans="1:8" ht="15" hidden="1" customHeight="1" thickBot="1" x14ac:dyDescent="0.3">
      <c r="A232" s="15"/>
      <c r="B232" s="30" t="s">
        <v>28</v>
      </c>
      <c r="C232" s="125"/>
      <c r="D232" s="125"/>
      <c r="E232" s="33"/>
      <c r="H232" s="1675"/>
    </row>
    <row r="233" spans="1:8" ht="15" hidden="1" customHeight="1" thickBot="1" x14ac:dyDescent="0.3">
      <c r="A233" s="15"/>
      <c r="B233" s="11" t="s">
        <v>87</v>
      </c>
      <c r="C233" s="125">
        <v>0.5</v>
      </c>
      <c r="D233" s="125"/>
      <c r="E233" s="33" t="e">
        <v>#DIV/0!</v>
      </c>
      <c r="H233" s="1675"/>
    </row>
    <row r="234" spans="1:8" ht="15" hidden="1" customHeight="1" thickBot="1" x14ac:dyDescent="0.3">
      <c r="A234" s="15"/>
      <c r="B234" s="11" t="s">
        <v>116</v>
      </c>
      <c r="C234" s="125">
        <v>0.5</v>
      </c>
      <c r="D234" s="125"/>
      <c r="E234" s="33" t="e">
        <v>#DIV/0!</v>
      </c>
      <c r="H234" s="1675"/>
    </row>
    <row r="235" spans="1:8" ht="15" hidden="1" customHeight="1" thickBot="1" x14ac:dyDescent="0.3">
      <c r="A235" s="15"/>
      <c r="B235" s="101" t="s">
        <v>93</v>
      </c>
      <c r="C235" s="130"/>
      <c r="D235" s="130"/>
      <c r="E235" s="284">
        <v>0</v>
      </c>
      <c r="H235" s="1675"/>
    </row>
    <row r="236" spans="1:8" ht="15" hidden="1" customHeight="1" thickBot="1" x14ac:dyDescent="0.3">
      <c r="A236" s="15"/>
      <c r="B236" s="71" t="s">
        <v>117</v>
      </c>
      <c r="C236" s="132"/>
      <c r="D236" s="132"/>
      <c r="E236" s="285">
        <v>0</v>
      </c>
      <c r="H236" s="1675"/>
    </row>
    <row r="237" spans="1:8" ht="15" hidden="1" customHeight="1" thickBot="1" x14ac:dyDescent="0.3">
      <c r="A237" s="15"/>
      <c r="B237" s="104" t="s">
        <v>88</v>
      </c>
      <c r="C237" s="133"/>
      <c r="D237" s="133"/>
      <c r="E237" s="286">
        <v>0</v>
      </c>
      <c r="H237" s="1675"/>
    </row>
    <row r="238" spans="1:8" ht="15" hidden="1" customHeight="1" thickBot="1" x14ac:dyDescent="0.3">
      <c r="A238" s="15"/>
      <c r="B238" s="107" t="s">
        <v>89</v>
      </c>
      <c r="C238" s="134"/>
      <c r="D238" s="134"/>
      <c r="E238" s="287">
        <v>0</v>
      </c>
      <c r="H238" s="1675"/>
    </row>
    <row r="239" spans="1:8" ht="15" hidden="1" customHeight="1" thickBot="1" x14ac:dyDescent="0.3">
      <c r="A239" s="15"/>
      <c r="B239" s="110" t="s">
        <v>94</v>
      </c>
      <c r="C239" s="130"/>
      <c r="D239" s="130"/>
      <c r="E239" s="288">
        <v>0</v>
      </c>
      <c r="H239" s="1675"/>
    </row>
    <row r="240" spans="1:8" ht="15.75" thickBot="1" x14ac:dyDescent="0.3">
      <c r="A240" s="1784">
        <v>4</v>
      </c>
      <c r="B240" s="1758" t="s">
        <v>24</v>
      </c>
      <c r="C240" s="1668"/>
      <c r="D240" s="1668"/>
      <c r="E240" s="1669" t="s">
        <v>945</v>
      </c>
      <c r="F240" s="1669" t="s">
        <v>946</v>
      </c>
      <c r="G240" s="1670" t="s">
        <v>187</v>
      </c>
      <c r="H240" s="1671" t="s">
        <v>1020</v>
      </c>
    </row>
    <row r="241" spans="1:18" x14ac:dyDescent="0.25">
      <c r="A241" s="68"/>
      <c r="B241" s="232" t="s">
        <v>22</v>
      </c>
      <c r="C241" s="256">
        <v>1460.001</v>
      </c>
      <c r="D241" s="256" t="s">
        <v>1015</v>
      </c>
      <c r="E241" s="289"/>
      <c r="F241" s="1659"/>
      <c r="G241" s="289">
        <v>1236.1327000000001</v>
      </c>
      <c r="H241" s="1678"/>
    </row>
    <row r="242" spans="1:18" x14ac:dyDescent="0.25">
      <c r="A242" s="8"/>
      <c r="B242" s="232" t="s">
        <v>23</v>
      </c>
      <c r="C242" s="250"/>
      <c r="D242" s="250"/>
      <c r="E242" s="289"/>
      <c r="F242" s="1659"/>
      <c r="G242" s="289">
        <v>949.19</v>
      </c>
      <c r="H242" s="1678"/>
    </row>
    <row r="243" spans="1:18" x14ac:dyDescent="0.25">
      <c r="A243" s="15"/>
      <c r="B243" s="28" t="s">
        <v>11</v>
      </c>
      <c r="C243" s="250"/>
      <c r="D243" s="250"/>
      <c r="E243" s="291"/>
      <c r="G243" s="726"/>
      <c r="H243" s="1675"/>
    </row>
    <row r="244" spans="1:18" x14ac:dyDescent="0.25">
      <c r="A244" s="15"/>
      <c r="B244" s="232" t="s">
        <v>21</v>
      </c>
      <c r="C244" s="248">
        <f>292</f>
        <v>292</v>
      </c>
      <c r="D244" s="248" t="s">
        <v>1015</v>
      </c>
      <c r="E244" s="290"/>
      <c r="F244" s="1659"/>
      <c r="G244" s="290">
        <v>693.22799999999995</v>
      </c>
      <c r="H244" s="1776">
        <f>G244/G9*10</f>
        <v>2.7695884938074311</v>
      </c>
    </row>
    <row r="245" spans="1:18" x14ac:dyDescent="0.25">
      <c r="A245" s="15"/>
      <c r="B245" s="74" t="s">
        <v>375</v>
      </c>
      <c r="C245" s="918">
        <v>4.3</v>
      </c>
      <c r="D245" s="918" t="s">
        <v>1019</v>
      </c>
      <c r="E245" s="919"/>
      <c r="G245" s="726"/>
      <c r="H245" s="1675"/>
    </row>
    <row r="246" spans="1:18" x14ac:dyDescent="0.25">
      <c r="A246" s="15"/>
      <c r="B246" s="14" t="s">
        <v>20</v>
      </c>
      <c r="C246" s="248">
        <v>1168.001</v>
      </c>
      <c r="D246" s="248" t="s">
        <v>1015</v>
      </c>
      <c r="E246" s="290"/>
      <c r="F246" s="1659"/>
      <c r="G246" s="290">
        <f>G241-G244</f>
        <v>542.90470000000016</v>
      </c>
      <c r="H246" s="1678"/>
    </row>
    <row r="247" spans="1:18" ht="15.75" thickBot="1" x14ac:dyDescent="0.3">
      <c r="A247" s="40"/>
      <c r="B247" s="41" t="s">
        <v>1</v>
      </c>
      <c r="C247" s="1783">
        <v>1460.001</v>
      </c>
      <c r="D247" s="1783" t="s">
        <v>1015</v>
      </c>
      <c r="E247" s="1660"/>
      <c r="F247" s="1689"/>
      <c r="G247" s="1660">
        <f>G244+G246</f>
        <v>1236.1327000000001</v>
      </c>
      <c r="H247" s="1690"/>
    </row>
    <row r="248" spans="1:18" ht="15.75" thickBot="1" x14ac:dyDescent="0.3">
      <c r="A248" s="1784">
        <v>5</v>
      </c>
      <c r="B248" s="1758" t="s">
        <v>18</v>
      </c>
      <c r="C248" s="1744"/>
      <c r="D248" s="1744"/>
      <c r="E248" s="1669" t="s">
        <v>945</v>
      </c>
      <c r="F248" s="1669" t="s">
        <v>946</v>
      </c>
      <c r="G248" s="1670" t="s">
        <v>187</v>
      </c>
      <c r="H248" s="1671" t="s">
        <v>1021</v>
      </c>
    </row>
    <row r="249" spans="1:18" x14ac:dyDescent="0.25">
      <c r="A249" s="8"/>
      <c r="B249" s="232" t="s">
        <v>4</v>
      </c>
      <c r="C249" s="231">
        <v>408000</v>
      </c>
      <c r="D249" s="231" t="s">
        <v>1028</v>
      </c>
      <c r="E249" s="1640"/>
      <c r="F249" s="1659"/>
      <c r="G249" s="294">
        <v>186740</v>
      </c>
      <c r="H249" s="1678"/>
    </row>
    <row r="250" spans="1:18" x14ac:dyDescent="0.25">
      <c r="A250" s="8"/>
      <c r="B250" s="30" t="s">
        <v>17</v>
      </c>
      <c r="C250" s="258"/>
      <c r="D250" s="258"/>
      <c r="E250" s="278"/>
      <c r="G250" s="726"/>
      <c r="H250" s="1675"/>
      <c r="R250">
        <v>1.8</v>
      </c>
    </row>
    <row r="251" spans="1:18" x14ac:dyDescent="0.25">
      <c r="A251" s="15"/>
      <c r="B251" s="232" t="s">
        <v>16</v>
      </c>
      <c r="C251" s="248">
        <v>46.63</v>
      </c>
      <c r="D251" s="1700" t="s">
        <v>236</v>
      </c>
      <c r="E251" s="1497">
        <v>447.1</v>
      </c>
      <c r="F251" s="1685">
        <v>530.54999999999995</v>
      </c>
      <c r="G251" s="1687">
        <f>F251-E251</f>
        <v>83.449999999999932</v>
      </c>
      <c r="H251" s="1679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1">
        <f>C251/2000</f>
        <v>2.3315000000000002E-2</v>
      </c>
      <c r="D252" s="231"/>
      <c r="E252" s="33"/>
      <c r="G252" s="726"/>
      <c r="H252" s="1675"/>
    </row>
    <row r="253" spans="1:18" x14ac:dyDescent="0.25">
      <c r="A253" s="15"/>
      <c r="B253" s="14"/>
      <c r="C253" s="129">
        <f>C251/C9*1000</f>
        <v>18.652000000000001</v>
      </c>
      <c r="D253" s="129" t="s">
        <v>1031</v>
      </c>
      <c r="E253" s="33"/>
      <c r="G253" s="726"/>
      <c r="H253" s="1675"/>
      <c r="R253">
        <v>5</v>
      </c>
    </row>
    <row r="254" spans="1:18" ht="14.85" hidden="1" customHeight="1" x14ac:dyDescent="0.25">
      <c r="A254" s="15"/>
      <c r="B254" s="232" t="s">
        <v>15</v>
      </c>
      <c r="C254" s="231">
        <v>122000</v>
      </c>
      <c r="D254" s="231"/>
      <c r="E254" s="271"/>
      <c r="F254" s="1659"/>
      <c r="G254" s="1676"/>
      <c r="H254" s="1678"/>
    </row>
    <row r="255" spans="1:18" x14ac:dyDescent="0.25">
      <c r="A255" s="15"/>
      <c r="B255" s="14" t="s">
        <v>948</v>
      </c>
      <c r="C255" s="231">
        <v>106000</v>
      </c>
      <c r="D255" s="231"/>
      <c r="E255" s="916"/>
      <c r="F255" s="506"/>
      <c r="G255" s="1688"/>
      <c r="H255" s="1680"/>
      <c r="R255">
        <v>2.2999999999999998</v>
      </c>
    </row>
    <row r="256" spans="1:18" ht="15.75" thickBot="1" x14ac:dyDescent="0.3">
      <c r="A256" s="40"/>
      <c r="B256" s="28" t="s">
        <v>1</v>
      </c>
      <c r="C256" s="259">
        <v>408000</v>
      </c>
      <c r="D256" s="259"/>
      <c r="E256" s="1691"/>
      <c r="F256" s="1683"/>
      <c r="G256" s="1692">
        <f>SUM(G251,G254,G255)</f>
        <v>83.449999999999932</v>
      </c>
      <c r="H256" s="1684"/>
      <c r="R256" s="1774">
        <f>SUM(R250:R255)</f>
        <v>11</v>
      </c>
    </row>
    <row r="257" spans="1:18" ht="15.75" thickBot="1" x14ac:dyDescent="0.3">
      <c r="A257" s="1784">
        <v>6</v>
      </c>
      <c r="B257" s="1758" t="s">
        <v>13</v>
      </c>
      <c r="C257" s="1670"/>
      <c r="D257" s="1670"/>
      <c r="E257" s="1669" t="s">
        <v>945</v>
      </c>
      <c r="F257" s="1669" t="s">
        <v>946</v>
      </c>
      <c r="G257" s="1670" t="s">
        <v>187</v>
      </c>
      <c r="H257" s="1671" t="s">
        <v>1022</v>
      </c>
      <c r="R257">
        <f>R256/2500*1000</f>
        <v>4.4000000000000004</v>
      </c>
    </row>
    <row r="258" spans="1:18" x14ac:dyDescent="0.25">
      <c r="A258" s="17"/>
      <c r="B258" s="238" t="s">
        <v>12</v>
      </c>
      <c r="C258" s="260">
        <v>1100</v>
      </c>
      <c r="D258" s="260" t="s">
        <v>1032</v>
      </c>
      <c r="E258" s="240"/>
      <c r="F258" s="1659"/>
      <c r="G258" s="240">
        <v>572</v>
      </c>
      <c r="H258" s="1678"/>
    </row>
    <row r="259" spans="1:18" x14ac:dyDescent="0.25">
      <c r="A259" s="17"/>
      <c r="B259" s="43" t="s">
        <v>11</v>
      </c>
      <c r="C259" s="247"/>
      <c r="D259" s="247"/>
      <c r="E259" s="34"/>
      <c r="G259" s="726"/>
      <c r="H259" s="1675"/>
    </row>
    <row r="260" spans="1:18" x14ac:dyDescent="0.25">
      <c r="A260" s="17"/>
      <c r="B260" s="238" t="s">
        <v>10</v>
      </c>
      <c r="C260" s="1701">
        <v>170.4</v>
      </c>
      <c r="D260" s="1788" t="s">
        <v>1032</v>
      </c>
      <c r="E260" s="241"/>
      <c r="F260" s="1659"/>
      <c r="G260" s="1676"/>
      <c r="H260" s="1678"/>
    </row>
    <row r="261" spans="1:18" x14ac:dyDescent="0.25">
      <c r="A261" s="17"/>
      <c r="B261" s="238"/>
      <c r="C261" s="1702">
        <f>C260/C9</f>
        <v>6.8159999999999998E-2</v>
      </c>
      <c r="D261" s="1788" t="s">
        <v>1033</v>
      </c>
      <c r="E261" s="241"/>
      <c r="F261" s="1659"/>
      <c r="G261" s="1676"/>
      <c r="H261" s="1678"/>
    </row>
    <row r="262" spans="1:18" ht="14.85" hidden="1" customHeight="1" x14ac:dyDescent="0.25">
      <c r="A262" s="17"/>
      <c r="B262" s="238" t="s">
        <v>9</v>
      </c>
      <c r="C262" s="261">
        <v>179.63</v>
      </c>
      <c r="D262" s="261"/>
      <c r="E262" s="241"/>
      <c r="F262" s="1659"/>
      <c r="G262" s="1676"/>
      <c r="H262" s="1678"/>
    </row>
    <row r="263" spans="1:18" x14ac:dyDescent="0.25">
      <c r="A263" s="17"/>
      <c r="B263" s="238" t="s">
        <v>8</v>
      </c>
      <c r="C263" s="260">
        <v>491.59</v>
      </c>
      <c r="D263" s="260" t="s">
        <v>1032</v>
      </c>
      <c r="E263" s="241"/>
      <c r="F263" s="1659"/>
      <c r="G263" s="241">
        <v>368</v>
      </c>
      <c r="H263" s="1678"/>
    </row>
    <row r="264" spans="1:18" x14ac:dyDescent="0.25">
      <c r="A264" s="17"/>
      <c r="B264" s="31" t="s">
        <v>7</v>
      </c>
      <c r="C264" s="260">
        <v>337.28</v>
      </c>
      <c r="D264" s="260" t="s">
        <v>1032</v>
      </c>
      <c r="E264" s="34"/>
      <c r="G264" s="34">
        <f>G258-G260-G262-G263</f>
        <v>204</v>
      </c>
      <c r="H264" s="1675"/>
    </row>
    <row r="265" spans="1:18" ht="15.75" thickBot="1" x14ac:dyDescent="0.3">
      <c r="A265" s="17"/>
      <c r="B265" s="238" t="s">
        <v>6</v>
      </c>
      <c r="C265" s="260">
        <v>330</v>
      </c>
      <c r="D265" s="260" t="s">
        <v>1032</v>
      </c>
      <c r="E265" s="1693"/>
      <c r="F265" s="1689"/>
      <c r="G265" s="241">
        <v>298</v>
      </c>
      <c r="H265" s="1690"/>
    </row>
    <row r="266" spans="1:18" ht="15.75" thickBot="1" x14ac:dyDescent="0.3">
      <c r="A266" s="1786">
        <v>7</v>
      </c>
      <c r="B266" s="1787" t="s">
        <v>5</v>
      </c>
      <c r="C266" s="1670"/>
      <c r="D266" s="1670"/>
      <c r="E266" s="1669" t="s">
        <v>945</v>
      </c>
      <c r="F266" s="1669" t="s">
        <v>946</v>
      </c>
      <c r="G266" s="1670" t="s">
        <v>187</v>
      </c>
      <c r="H266" s="1671" t="s">
        <v>1023</v>
      </c>
    </row>
    <row r="267" spans="1:18" x14ac:dyDescent="0.25">
      <c r="A267" s="83"/>
      <c r="B267" s="121" t="s">
        <v>4</v>
      </c>
      <c r="C267" s="1034"/>
      <c r="D267" s="1034"/>
      <c r="E267" s="33"/>
      <c r="G267" s="726"/>
      <c r="H267" s="1675"/>
    </row>
    <row r="268" spans="1:18" x14ac:dyDescent="0.25">
      <c r="A268" s="83"/>
      <c r="B268" s="232" t="s">
        <v>3</v>
      </c>
      <c r="C268" s="231">
        <v>28770</v>
      </c>
      <c r="D268" s="231" t="s">
        <v>949</v>
      </c>
      <c r="E268" s="241"/>
      <c r="F268" s="1659"/>
      <c r="G268" s="241">
        <v>5.9</v>
      </c>
      <c r="H268" s="1678"/>
      <c r="I268" s="790"/>
    </row>
    <row r="269" spans="1:18" x14ac:dyDescent="0.25">
      <c r="A269" s="83"/>
      <c r="B269" s="121" t="s">
        <v>1</v>
      </c>
      <c r="C269" s="13"/>
      <c r="D269" s="13"/>
      <c r="E269" s="1651"/>
      <c r="G269" s="1651">
        <f>G268</f>
        <v>5.9</v>
      </c>
      <c r="H269" s="1675"/>
    </row>
    <row r="270" spans="1:18" x14ac:dyDescent="0.25">
      <c r="A270" s="83"/>
      <c r="B270" s="121" t="s">
        <v>16</v>
      </c>
      <c r="C270" s="13"/>
      <c r="D270" s="13"/>
      <c r="E270" s="278"/>
      <c r="G270" s="726"/>
      <c r="H270" s="1675"/>
    </row>
    <row r="271" spans="1:18" x14ac:dyDescent="0.25">
      <c r="A271" s="15"/>
      <c r="B271" s="243" t="s">
        <v>941</v>
      </c>
      <c r="C271" s="262">
        <v>19646.41</v>
      </c>
      <c r="D271" s="250" t="s">
        <v>1026</v>
      </c>
      <c r="E271" s="271">
        <v>79215.8</v>
      </c>
      <c r="F271" s="1686">
        <v>94113.3</v>
      </c>
      <c r="G271" s="1652">
        <f>F271-E271</f>
        <v>14897.5</v>
      </c>
      <c r="H271" s="1730">
        <f>G271/G9</f>
        <v>5.9518577706751898</v>
      </c>
    </row>
    <row r="272" spans="1:18" x14ac:dyDescent="0.25">
      <c r="A272" s="15"/>
      <c r="B272" s="921"/>
      <c r="C272" s="1703">
        <f>C271/C9</f>
        <v>7.8585640000000003</v>
      </c>
      <c r="D272" s="1703" t="s">
        <v>1034</v>
      </c>
      <c r="E272" s="916"/>
      <c r="G272" s="726"/>
      <c r="H272" s="1675"/>
    </row>
    <row r="273" spans="1:11" x14ac:dyDescent="0.25">
      <c r="A273" s="15"/>
      <c r="B273" s="243" t="s">
        <v>118</v>
      </c>
      <c r="C273" s="262">
        <v>10757.64</v>
      </c>
      <c r="D273" s="250" t="s">
        <v>1027</v>
      </c>
      <c r="E273" s="271">
        <v>81749.95</v>
      </c>
      <c r="F273" s="1686">
        <v>92760.52</v>
      </c>
      <c r="G273" s="1652">
        <f>F273-E273</f>
        <v>11010.570000000007</v>
      </c>
      <c r="H273" s="1730">
        <f>G273/G9</f>
        <v>4.3989492608869387</v>
      </c>
    </row>
    <row r="274" spans="1:11" ht="14.85" hidden="1" customHeight="1" x14ac:dyDescent="0.25">
      <c r="A274" s="15"/>
      <c r="B274" s="921"/>
      <c r="C274" s="922"/>
      <c r="D274" s="922"/>
      <c r="E274" s="916"/>
      <c r="G274" s="726"/>
      <c r="H274" s="1675"/>
    </row>
    <row r="275" spans="1:11" ht="14.85" hidden="1" customHeight="1" x14ac:dyDescent="0.25">
      <c r="A275" s="15"/>
      <c r="B275" s="44" t="s">
        <v>15</v>
      </c>
      <c r="C275" s="527"/>
      <c r="D275" s="527"/>
      <c r="E275" s="295"/>
      <c r="G275" s="726"/>
      <c r="H275" s="1675"/>
    </row>
    <row r="276" spans="1:11" ht="14.85" hidden="1" customHeight="1" x14ac:dyDescent="0.25">
      <c r="A276" s="15"/>
      <c r="B276" s="243" t="s">
        <v>119</v>
      </c>
      <c r="C276" s="262">
        <v>1308.96</v>
      </c>
      <c r="D276" s="262"/>
      <c r="E276" s="271"/>
      <c r="G276" s="726"/>
      <c r="H276" s="1675"/>
    </row>
    <row r="277" spans="1:11" ht="14.85" hidden="1" customHeight="1" x14ac:dyDescent="0.25">
      <c r="A277" s="15"/>
      <c r="B277" s="921"/>
      <c r="C277" s="922"/>
      <c r="D277" s="922"/>
      <c r="E277" s="33"/>
      <c r="G277" s="726"/>
      <c r="H277" s="1675"/>
    </row>
    <row r="278" spans="1:11" ht="14.85" hidden="1" customHeight="1" x14ac:dyDescent="0.25">
      <c r="A278" s="15"/>
      <c r="B278" s="243" t="s">
        <v>120</v>
      </c>
      <c r="C278" s="262">
        <v>5759.67</v>
      </c>
      <c r="D278" s="262"/>
      <c r="E278" s="271">
        <v>792.3</v>
      </c>
      <c r="G278" s="726"/>
      <c r="H278" s="1675"/>
    </row>
    <row r="279" spans="1:11" ht="14.85" hidden="1" customHeight="1" x14ac:dyDescent="0.25">
      <c r="A279" s="15"/>
      <c r="B279" s="921"/>
      <c r="C279" s="922"/>
      <c r="D279" s="922"/>
      <c r="E279" s="916"/>
      <c r="G279" s="726"/>
      <c r="H279" s="1675"/>
    </row>
    <row r="280" spans="1:11" ht="14.85" hidden="1" customHeight="1" x14ac:dyDescent="0.25">
      <c r="A280" s="15"/>
      <c r="B280" s="44" t="s">
        <v>7</v>
      </c>
      <c r="C280" s="527"/>
      <c r="D280" s="527"/>
      <c r="E280" s="295"/>
      <c r="G280" s="726"/>
      <c r="H280" s="1675"/>
    </row>
    <row r="281" spans="1:11" ht="15.75" thickBot="1" x14ac:dyDescent="0.3">
      <c r="A281" s="15"/>
      <c r="B281" s="1737"/>
      <c r="C281" s="1738">
        <f>C273/C9</f>
        <v>4.3030559999999998</v>
      </c>
      <c r="D281" s="1738" t="s">
        <v>1034</v>
      </c>
      <c r="E281" s="1739"/>
      <c r="F281" s="1740"/>
      <c r="G281" s="1741"/>
      <c r="H281" s="1742"/>
    </row>
    <row r="282" spans="1:11" ht="15" hidden="1" customHeight="1" thickBot="1" x14ac:dyDescent="0.3">
      <c r="A282" s="19"/>
      <c r="B282" s="244" t="s">
        <v>122</v>
      </c>
      <c r="C282" s="263">
        <v>241.12</v>
      </c>
      <c r="D282" s="263"/>
      <c r="E282" s="1694"/>
      <c r="F282" s="1695"/>
      <c r="G282" s="1696"/>
      <c r="H282" s="1697"/>
    </row>
    <row r="284" spans="1:11" ht="15.75" x14ac:dyDescent="0.25">
      <c r="B284" s="2240" t="s">
        <v>954</v>
      </c>
      <c r="C284" s="2240"/>
      <c r="D284" s="1769"/>
      <c r="E284" s="2240" t="s">
        <v>955</v>
      </c>
      <c r="F284" s="2240"/>
      <c r="G284" s="2240"/>
      <c r="H284" s="2241" t="s">
        <v>960</v>
      </c>
      <c r="I284" s="2241"/>
      <c r="J284" s="2242" t="s">
        <v>964</v>
      </c>
      <c r="K284" s="2242"/>
    </row>
    <row r="285" spans="1:11" x14ac:dyDescent="0.25">
      <c r="B285" s="2243" t="s">
        <v>952</v>
      </c>
      <c r="C285" s="2244"/>
      <c r="D285" s="1768"/>
      <c r="E285" s="2243" t="s">
        <v>962</v>
      </c>
      <c r="F285" s="2244"/>
      <c r="G285" s="2244"/>
      <c r="H285" s="2243" t="s">
        <v>963</v>
      </c>
      <c r="I285" s="2244"/>
      <c r="J285" s="2254" t="s">
        <v>965</v>
      </c>
      <c r="K285" s="2254"/>
    </row>
    <row r="286" spans="1:11" ht="24.6" customHeight="1" x14ac:dyDescent="0.25">
      <c r="B286" s="2244"/>
      <c r="C286" s="2244"/>
      <c r="D286" s="1768"/>
      <c r="E286" s="2244"/>
      <c r="F286" s="2244"/>
      <c r="G286" s="2244"/>
      <c r="H286" s="2244"/>
      <c r="I286" s="2244"/>
      <c r="J286" s="2254"/>
      <c r="K286" s="2254"/>
    </row>
    <row r="287" spans="1:11" ht="14.85" customHeight="1" x14ac:dyDescent="0.25">
      <c r="B287" s="2243" t="s">
        <v>986</v>
      </c>
      <c r="C287" s="2244"/>
      <c r="D287" s="1768"/>
      <c r="E287" s="2243" t="s">
        <v>991</v>
      </c>
      <c r="F287" s="2244"/>
      <c r="G287" s="2244"/>
      <c r="H287" s="2243" t="s">
        <v>987</v>
      </c>
      <c r="I287" s="2244"/>
      <c r="J287" s="2254" t="s">
        <v>965</v>
      </c>
      <c r="K287" s="2254"/>
    </row>
    <row r="288" spans="1:11" ht="26.85" customHeight="1" x14ac:dyDescent="0.25">
      <c r="B288" s="2244"/>
      <c r="C288" s="2244"/>
      <c r="D288" s="1768"/>
      <c r="E288" s="2244"/>
      <c r="F288" s="2244"/>
      <c r="G288" s="2244"/>
      <c r="H288" s="2244"/>
      <c r="I288" s="2244"/>
      <c r="J288" s="2254"/>
      <c r="K288" s="2254"/>
    </row>
    <row r="289" spans="2:11" ht="41.85" customHeight="1" x14ac:dyDescent="0.25">
      <c r="B289" s="2243" t="s">
        <v>953</v>
      </c>
      <c r="C289" s="2244"/>
      <c r="D289" s="1768"/>
      <c r="E289" s="2243" t="s">
        <v>966</v>
      </c>
      <c r="F289" s="2244"/>
      <c r="G289" s="2244"/>
      <c r="H289" s="2244" t="s">
        <v>967</v>
      </c>
      <c r="I289" s="2244"/>
      <c r="J289" s="2254" t="s">
        <v>965</v>
      </c>
      <c r="K289" s="2254"/>
    </row>
    <row r="290" spans="2:11" ht="14.85" customHeight="1" x14ac:dyDescent="0.25">
      <c r="B290" s="2250" t="s">
        <v>961</v>
      </c>
      <c r="C290" s="2251"/>
      <c r="D290" s="1766"/>
      <c r="E290" s="2243" t="s">
        <v>968</v>
      </c>
      <c r="F290" s="2243"/>
      <c r="G290" s="2243"/>
      <c r="H290" s="2244" t="s">
        <v>969</v>
      </c>
      <c r="I290" s="2244"/>
      <c r="J290" s="2254" t="s">
        <v>965</v>
      </c>
      <c r="K290" s="2254"/>
    </row>
    <row r="291" spans="2:11" x14ac:dyDescent="0.25">
      <c r="B291" s="2252"/>
      <c r="C291" s="2253"/>
      <c r="D291" s="1767"/>
      <c r="E291" s="2243"/>
      <c r="F291" s="2243"/>
      <c r="G291" s="2243"/>
      <c r="H291" s="2244"/>
      <c r="I291" s="2244"/>
      <c r="J291" s="2254"/>
      <c r="K291" s="2254"/>
    </row>
  </sheetData>
  <mergeCells count="26"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  <mergeCell ref="A1:H1"/>
    <mergeCell ref="A2:A3"/>
    <mergeCell ref="B2:B3"/>
    <mergeCell ref="C2:C3"/>
    <mergeCell ref="E2:H3"/>
    <mergeCell ref="D2:D3"/>
    <mergeCell ref="B284:C284"/>
    <mergeCell ref="E284:G284"/>
    <mergeCell ref="H284:I284"/>
    <mergeCell ref="J284:K284"/>
    <mergeCell ref="B285:C286"/>
    <mergeCell ref="E285:G286"/>
    <mergeCell ref="H285:I28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19" zoomScale="110" zoomScaleNormal="110" workbookViewId="0">
      <selection activeCell="H9" sqref="H9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798" t="s">
        <v>216</v>
      </c>
      <c r="C2" s="383"/>
      <c r="D2" s="384"/>
      <c r="E2" s="384"/>
      <c r="F2" s="385"/>
      <c r="G2" s="385"/>
      <c r="H2" s="385"/>
      <c r="I2" s="385"/>
      <c r="J2" s="385"/>
      <c r="K2" s="384"/>
      <c r="L2" s="384"/>
      <c r="M2" s="384"/>
      <c r="N2" s="384"/>
      <c r="O2" s="384"/>
    </row>
    <row r="3" spans="2:15" x14ac:dyDescent="0.25">
      <c r="B3" s="799" t="s">
        <v>356</v>
      </c>
      <c r="C3" s="800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917">
        <f>('Januari 2026 PMG 2'!AM10)/1000</f>
        <v>2006.269</v>
      </c>
      <c r="O3" s="802" t="s">
        <v>376</v>
      </c>
    </row>
    <row r="4" spans="2:15" x14ac:dyDescent="0.25">
      <c r="B4" s="803" t="s">
        <v>228</v>
      </c>
      <c r="C4" s="386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8">
        <f>'Januari 2026 PMG 2'!AM6</f>
        <v>20</v>
      </c>
      <c r="O4" s="804" t="s">
        <v>227</v>
      </c>
    </row>
    <row r="5" spans="2:15" x14ac:dyDescent="0.25">
      <c r="B5" s="805" t="s">
        <v>229</v>
      </c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8">
        <f>N4*N3</f>
        <v>40125.379999999997</v>
      </c>
      <c r="O5" s="804" t="s">
        <v>279</v>
      </c>
    </row>
    <row r="6" spans="2:15" ht="15.75" thickBot="1" x14ac:dyDescent="0.3">
      <c r="B6" s="806" t="s">
        <v>230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1153">
        <v>16000</v>
      </c>
      <c r="O6" s="807" t="s">
        <v>231</v>
      </c>
    </row>
    <row r="7" spans="2:15" ht="21" customHeight="1" thickBot="1" x14ac:dyDescent="0.3">
      <c r="B7" s="808" t="s">
        <v>98</v>
      </c>
      <c r="C7" s="809" t="s">
        <v>217</v>
      </c>
      <c r="D7" s="2255" t="s">
        <v>218</v>
      </c>
      <c r="E7" s="2255"/>
      <c r="F7" s="2256" t="s">
        <v>219</v>
      </c>
      <c r="G7" s="2256"/>
      <c r="H7" s="2257" t="s">
        <v>220</v>
      </c>
      <c r="I7" s="2258"/>
      <c r="J7" s="811" t="s">
        <v>221</v>
      </c>
      <c r="K7" s="2259" t="s">
        <v>222</v>
      </c>
      <c r="L7" s="2260"/>
      <c r="M7" s="810" t="s">
        <v>223</v>
      </c>
      <c r="N7" s="810" t="s">
        <v>224</v>
      </c>
      <c r="O7" s="812" t="s">
        <v>225</v>
      </c>
    </row>
    <row r="8" spans="2:15" ht="15.75" thickTop="1" x14ac:dyDescent="0.25">
      <c r="B8" s="813">
        <v>1</v>
      </c>
      <c r="C8" s="814" t="s">
        <v>232</v>
      </c>
      <c r="D8" s="929">
        <f>'Januari 2026 PMG 2'!$AM$76</f>
        <v>0.67460295703118578</v>
      </c>
      <c r="E8" s="815"/>
      <c r="F8" s="816">
        <f>($D$8*$N$3*10)</f>
        <v>13534.350000000002</v>
      </c>
      <c r="G8" s="817" t="s">
        <v>233</v>
      </c>
      <c r="H8" s="816">
        <f>$N$4</f>
        <v>20</v>
      </c>
      <c r="I8" s="816"/>
      <c r="J8" s="920">
        <f>$H$8*$F$8</f>
        <v>270687.00000000006</v>
      </c>
      <c r="K8" s="818">
        <v>4550</v>
      </c>
      <c r="L8" s="818"/>
      <c r="M8" s="816">
        <f>$J$8*$K$8</f>
        <v>1231625850.0000002</v>
      </c>
      <c r="N8" s="819">
        <f>$M$8/($N$5*1000)</f>
        <v>30.694434544918959</v>
      </c>
      <c r="O8" s="820">
        <f>($M$8/$N$6)/$N$5</f>
        <v>1.9184021590574352</v>
      </c>
    </row>
    <row r="9" spans="2:15" x14ac:dyDescent="0.25">
      <c r="B9" s="821">
        <v>2</v>
      </c>
      <c r="C9" s="362" t="s">
        <v>234</v>
      </c>
      <c r="D9" s="368">
        <f>'Januari 2026 PMG 2'!$AM$87</f>
        <v>0.60967796442052391</v>
      </c>
      <c r="E9" s="822"/>
      <c r="F9" s="375">
        <f>($D$9*$N$3*10)</f>
        <v>12231.78</v>
      </c>
      <c r="G9" s="823" t="s">
        <v>233</v>
      </c>
      <c r="H9" s="375">
        <f>$H$8</f>
        <v>20</v>
      </c>
      <c r="I9" s="375"/>
      <c r="J9" s="375">
        <f>$H$9*$F$9</f>
        <v>244635.6</v>
      </c>
      <c r="K9" s="363">
        <v>17420</v>
      </c>
      <c r="L9" s="363"/>
      <c r="M9" s="375">
        <f>$J$9*$K$9</f>
        <v>4261552152</v>
      </c>
      <c r="N9" s="397">
        <f>$M$9/($N$5*1000)</f>
        <v>106.20590140205526</v>
      </c>
      <c r="O9" s="824">
        <f>($M$9/$N$6)/$N$5</f>
        <v>6.6378688376284538</v>
      </c>
    </row>
    <row r="10" spans="2:15" x14ac:dyDescent="0.25">
      <c r="B10" s="821">
        <v>3</v>
      </c>
      <c r="C10" s="362" t="s">
        <v>235</v>
      </c>
      <c r="D10" s="368">
        <v>29.1666666666667</v>
      </c>
      <c r="E10" s="823" t="s">
        <v>236</v>
      </c>
      <c r="F10" s="375">
        <f>D10</f>
        <v>29.1666666666667</v>
      </c>
      <c r="G10" s="823" t="s">
        <v>236</v>
      </c>
      <c r="H10" s="375">
        <f>$H$8</f>
        <v>20</v>
      </c>
      <c r="I10" s="375"/>
      <c r="J10" s="375">
        <f>$H$10*$F$10</f>
        <v>583.33333333333394</v>
      </c>
      <c r="K10" s="363">
        <v>15700</v>
      </c>
      <c r="L10" s="363"/>
      <c r="M10" s="375">
        <f>$J$10*$K$10</f>
        <v>9158333.3333333433</v>
      </c>
      <c r="N10" s="397">
        <f>$M$10/($N$5*1000)</f>
        <v>0.22824290594465008</v>
      </c>
      <c r="O10" s="824">
        <f>($M$10/$N$6)/$N$5</f>
        <v>1.426518162154063E-2</v>
      </c>
    </row>
    <row r="11" spans="2:15" x14ac:dyDescent="0.25">
      <c r="B11" s="825">
        <v>4</v>
      </c>
      <c r="C11" s="362" t="s">
        <v>237</v>
      </c>
      <c r="D11" s="397"/>
      <c r="E11" s="822"/>
      <c r="F11" s="375"/>
      <c r="G11" s="823"/>
      <c r="H11" s="375"/>
      <c r="I11" s="375"/>
      <c r="J11" s="375"/>
      <c r="K11" s="363"/>
      <c r="L11" s="363"/>
      <c r="M11" s="375"/>
      <c r="N11" s="397"/>
      <c r="O11" s="824"/>
    </row>
    <row r="12" spans="2:15" x14ac:dyDescent="0.25">
      <c r="B12" s="826"/>
      <c r="C12" s="364" t="s">
        <v>238</v>
      </c>
      <c r="D12" s="397">
        <f>'Januari 2026 PMG 2'!$AM$249</f>
        <v>0.1082528199548239</v>
      </c>
      <c r="E12" s="822" t="s">
        <v>239</v>
      </c>
      <c r="F12" s="375">
        <f>$D$12*$N$3</f>
        <v>217.18427683794459</v>
      </c>
      <c r="G12" s="823" t="s">
        <v>240</v>
      </c>
      <c r="H12" s="375">
        <f>$H$8</f>
        <v>20</v>
      </c>
      <c r="I12" s="375"/>
      <c r="J12" s="375">
        <f>$H$12*$F$12</f>
        <v>4343.6855367588923</v>
      </c>
      <c r="K12" s="363">
        <f>11.5*$N$6</f>
        <v>184000</v>
      </c>
      <c r="L12" s="363"/>
      <c r="M12" s="375">
        <f>$J$12*$K$12</f>
        <v>799238138.76363623</v>
      </c>
      <c r="N12" s="397">
        <f>$M$12/($N$5*1000)</f>
        <v>19.918518871687603</v>
      </c>
      <c r="O12" s="824">
        <f>($M$12/$N$6)/$N$5</f>
        <v>1.2449074294804752</v>
      </c>
    </row>
    <row r="13" spans="2:15" x14ac:dyDescent="0.25">
      <c r="B13" s="826"/>
      <c r="C13" s="364" t="s">
        <v>241</v>
      </c>
      <c r="D13" s="397">
        <v>0</v>
      </c>
      <c r="E13" s="822" t="s">
        <v>239</v>
      </c>
      <c r="F13" s="375">
        <f>$D$13*$N$3</f>
        <v>0</v>
      </c>
      <c r="G13" s="823" t="s">
        <v>240</v>
      </c>
      <c r="H13" s="375">
        <f>$H$8</f>
        <v>20</v>
      </c>
      <c r="I13" s="375"/>
      <c r="J13" s="375">
        <f>$H$13*$F$13</f>
        <v>0</v>
      </c>
      <c r="K13" s="363">
        <f>11.5*$N$6</f>
        <v>184000</v>
      </c>
      <c r="L13" s="363"/>
      <c r="M13" s="375">
        <f>$J$13*$K$13</f>
        <v>0</v>
      </c>
      <c r="N13" s="397">
        <f>$M$13/($N$5*1000)</f>
        <v>0</v>
      </c>
      <c r="O13" s="824">
        <f>($M$13/$N$6)/$N$5</f>
        <v>0</v>
      </c>
    </row>
    <row r="14" spans="2:15" x14ac:dyDescent="0.25">
      <c r="B14" s="827"/>
      <c r="C14" s="364" t="s">
        <v>242</v>
      </c>
      <c r="D14" s="397">
        <v>0</v>
      </c>
      <c r="E14" s="822" t="s">
        <v>239</v>
      </c>
      <c r="F14" s="375">
        <f>$D$14*$N$3</f>
        <v>0</v>
      </c>
      <c r="G14" s="823" t="s">
        <v>240</v>
      </c>
      <c r="H14" s="375">
        <f>$H$8</f>
        <v>20</v>
      </c>
      <c r="I14" s="375"/>
      <c r="J14" s="375">
        <f>$H$14*$F$14</f>
        <v>0</v>
      </c>
      <c r="K14" s="363">
        <f>11.5*$N$6</f>
        <v>184000</v>
      </c>
      <c r="L14" s="363"/>
      <c r="M14" s="375">
        <f>$J$14*$K$14</f>
        <v>0</v>
      </c>
      <c r="N14" s="397">
        <f>$M$14/($N$5*1000)</f>
        <v>0</v>
      </c>
      <c r="O14" s="824">
        <f>($M$14/$N$6)/$N$5</f>
        <v>0</v>
      </c>
    </row>
    <row r="15" spans="2:15" x14ac:dyDescent="0.25">
      <c r="B15" s="825">
        <v>5</v>
      </c>
      <c r="C15" s="362" t="s">
        <v>357</v>
      </c>
      <c r="D15" s="397"/>
      <c r="E15" s="822"/>
      <c r="F15" s="375"/>
      <c r="G15" s="823"/>
      <c r="H15" s="375"/>
      <c r="I15" s="375"/>
      <c r="J15" s="375"/>
      <c r="K15" s="363"/>
      <c r="L15" s="363"/>
      <c r="M15" s="375"/>
      <c r="N15" s="397"/>
      <c r="O15" s="824"/>
    </row>
    <row r="16" spans="2:15" x14ac:dyDescent="0.25">
      <c r="B16" s="826"/>
      <c r="C16" s="364" t="s">
        <v>243</v>
      </c>
      <c r="D16" s="365">
        <f>'Januari 2026 PMG 2'!AM256</f>
        <v>43131.304924713491</v>
      </c>
      <c r="E16" s="822" t="s">
        <v>244</v>
      </c>
      <c r="F16" s="375">
        <f>$D$16*$N$3/1000</f>
        <v>86533.000000000015</v>
      </c>
      <c r="G16" s="823" t="s">
        <v>245</v>
      </c>
      <c r="H16" s="375">
        <f>$H$8</f>
        <v>20</v>
      </c>
      <c r="I16" s="375"/>
      <c r="J16" s="375">
        <f>$H$16*$F$16</f>
        <v>1730660.0000000002</v>
      </c>
      <c r="K16" s="363">
        <f>Steam!H15</f>
        <v>45.029293842189695</v>
      </c>
      <c r="L16" s="363"/>
      <c r="M16" s="375">
        <f>$J$16*$K$16</f>
        <v>77930397.680924028</v>
      </c>
      <c r="N16" s="397">
        <f>$M$16/($N$5*1000)</f>
        <v>1.9421722032520072</v>
      </c>
      <c r="O16" s="824">
        <f>($M$16/$N$6)/$N$5</f>
        <v>0.12138576270325047</v>
      </c>
    </row>
    <row r="17" spans="2:15" x14ac:dyDescent="0.25">
      <c r="B17" s="827"/>
      <c r="C17" s="364" t="s">
        <v>246</v>
      </c>
      <c r="D17" s="365">
        <f>'Januari 2026 PMG 2'!$AM$260</f>
        <v>69146.398115108197</v>
      </c>
      <c r="E17" s="822" t="s">
        <v>244</v>
      </c>
      <c r="F17" s="375">
        <f>$D$17*$N$3/1000</f>
        <v>138726.27499999999</v>
      </c>
      <c r="G17" s="823" t="s">
        <v>245</v>
      </c>
      <c r="H17" s="375">
        <f>$H$8</f>
        <v>20</v>
      </c>
      <c r="I17" s="375"/>
      <c r="J17" s="375">
        <f>$H$17*$F$17</f>
        <v>2774525.5</v>
      </c>
      <c r="K17" s="363">
        <f>Steam!H15</f>
        <v>45.029293842189695</v>
      </c>
      <c r="L17" s="363"/>
      <c r="M17" s="375">
        <f>$J$17*$K$17</f>
        <v>124934924.01214829</v>
      </c>
      <c r="N17" s="397">
        <f>$M$17/($N$5*1000)</f>
        <v>3.1136134788542384</v>
      </c>
      <c r="O17" s="824">
        <f>($M$17/$N$6)/$N$5</f>
        <v>0.19460084242838993</v>
      </c>
    </row>
    <row r="18" spans="2:15" x14ac:dyDescent="0.25">
      <c r="B18" s="826">
        <v>6</v>
      </c>
      <c r="C18" s="362" t="s">
        <v>358</v>
      </c>
      <c r="D18" s="367"/>
      <c r="E18" s="822"/>
      <c r="F18" s="370"/>
      <c r="G18" s="823"/>
      <c r="H18" s="375"/>
      <c r="I18" s="375"/>
      <c r="J18" s="375"/>
      <c r="K18" s="363"/>
      <c r="L18" s="363"/>
      <c r="M18" s="375"/>
      <c r="N18" s="397"/>
      <c r="O18" s="824"/>
    </row>
    <row r="19" spans="2:15" x14ac:dyDescent="0.25">
      <c r="B19" s="826"/>
      <c r="C19" s="364" t="s">
        <v>243</v>
      </c>
      <c r="D19" s="397">
        <f>'Januari 2026 PMG 2'!$AM$297</f>
        <v>6.4437271372881701</v>
      </c>
      <c r="E19" s="822" t="s">
        <v>247</v>
      </c>
      <c r="F19" s="375">
        <f>$D$19*$N$3</f>
        <v>12927.85</v>
      </c>
      <c r="G19" s="823" t="s">
        <v>248</v>
      </c>
      <c r="H19" s="375">
        <f>$H$8</f>
        <v>20</v>
      </c>
      <c r="I19" s="375">
        <v>0</v>
      </c>
      <c r="J19" s="375">
        <f>$H$19*$F$19</f>
        <v>258557</v>
      </c>
      <c r="K19" s="363">
        <v>1550</v>
      </c>
      <c r="L19" s="363">
        <f>[1]Electric!H21</f>
        <v>3666.6666666666665</v>
      </c>
      <c r="M19" s="375">
        <f>($F$19*$H$19*$K$19)+($F$19*$I$19*$L$19)</f>
        <v>400763350</v>
      </c>
      <c r="N19" s="397">
        <f>$M$19/($N$5*1000)</f>
        <v>9.9877770627966633</v>
      </c>
      <c r="O19" s="824">
        <f>($M$19/$N$6)/$N$5</f>
        <v>0.62423606642479146</v>
      </c>
    </row>
    <row r="20" spans="2:15" x14ac:dyDescent="0.25">
      <c r="B20" s="826"/>
      <c r="C20" s="364" t="s">
        <v>249</v>
      </c>
      <c r="D20" s="368">
        <f>'Januari 2026 PMG 2'!$AM$299</f>
        <v>4.8851126145098194</v>
      </c>
      <c r="E20" s="822" t="s">
        <v>247</v>
      </c>
      <c r="F20" s="375">
        <f>$D$20*$N$3</f>
        <v>9800.85</v>
      </c>
      <c r="G20" s="823" t="s">
        <v>248</v>
      </c>
      <c r="H20" s="375">
        <f>$H$8</f>
        <v>20</v>
      </c>
      <c r="I20" s="375">
        <v>0</v>
      </c>
      <c r="J20" s="375">
        <f>$H$20*$F$20</f>
        <v>196017</v>
      </c>
      <c r="K20" s="363">
        <v>1550</v>
      </c>
      <c r="L20" s="363">
        <f>L19</f>
        <v>3666.6666666666665</v>
      </c>
      <c r="M20" s="375">
        <f>(F20*H20*K20)+(F20*I20*L20)</f>
        <v>303826350</v>
      </c>
      <c r="N20" s="397">
        <f>$M$20/($N$5*1000)</f>
        <v>7.571924552490219</v>
      </c>
      <c r="O20" s="824">
        <f>($M$20/$N$6)/$N$5</f>
        <v>0.47324528453063869</v>
      </c>
    </row>
    <row r="21" spans="2:15" x14ac:dyDescent="0.25">
      <c r="B21" s="826"/>
      <c r="C21" s="364" t="s">
        <v>250</v>
      </c>
      <c r="D21" s="369">
        <v>0.33778769841269801</v>
      </c>
      <c r="E21" s="822" t="s">
        <v>247</v>
      </c>
      <c r="F21" s="375">
        <f>$D$21*$N$3</f>
        <v>677.6929879067452</v>
      </c>
      <c r="G21" s="823" t="s">
        <v>248</v>
      </c>
      <c r="H21" s="375">
        <f>$H$8</f>
        <v>20</v>
      </c>
      <c r="I21" s="375">
        <v>0</v>
      </c>
      <c r="J21" s="375">
        <f>$H$21*$F$21</f>
        <v>13553.859758134904</v>
      </c>
      <c r="K21" s="363">
        <v>1550</v>
      </c>
      <c r="L21" s="363">
        <f>L20</f>
        <v>3666.6666666666665</v>
      </c>
      <c r="M21" s="375">
        <f>($F$21*$H$21*$K$21)+($F$21*$I$21*$L$21)</f>
        <v>21008482.625109103</v>
      </c>
      <c r="N21" s="397">
        <f>$M$21/($N$5*1000)</f>
        <v>0.5235709325396819</v>
      </c>
      <c r="O21" s="824">
        <f>($M$21/$N$6)/$N$5</f>
        <v>3.2723183283730126E-2</v>
      </c>
    </row>
    <row r="22" spans="2:15" x14ac:dyDescent="0.25">
      <c r="B22" s="826">
        <v>7</v>
      </c>
      <c r="C22" s="362" t="s">
        <v>359</v>
      </c>
      <c r="D22" s="368"/>
      <c r="E22" s="822"/>
      <c r="F22" s="375"/>
      <c r="G22" s="823"/>
      <c r="H22" s="375"/>
      <c r="I22" s="375"/>
      <c r="J22" s="375"/>
      <c r="K22" s="363"/>
      <c r="L22" s="363"/>
      <c r="M22" s="375"/>
      <c r="N22" s="397"/>
      <c r="O22" s="824"/>
    </row>
    <row r="23" spans="2:15" x14ac:dyDescent="0.25">
      <c r="B23" s="826"/>
      <c r="C23" s="364" t="s">
        <v>252</v>
      </c>
      <c r="D23" s="365">
        <f>'Januari 2026 PMG 2'!$AM$274</f>
        <v>0.10634167202902502</v>
      </c>
      <c r="E23" s="822" t="s">
        <v>253</v>
      </c>
      <c r="F23" s="375">
        <f>$D$23</f>
        <v>0.10634167202902502</v>
      </c>
      <c r="G23" s="823" t="s">
        <v>253</v>
      </c>
      <c r="H23" s="375">
        <f>$H$8</f>
        <v>20</v>
      </c>
      <c r="I23" s="375"/>
      <c r="J23" s="375">
        <f>$H$23*$F$23</f>
        <v>2.1268334405805005</v>
      </c>
      <c r="K23" s="363">
        <f>WTP!H13</f>
        <v>25239.326226268193</v>
      </c>
      <c r="L23" s="363"/>
      <c r="M23" s="375">
        <f>$J$23*$K$23</f>
        <v>53679.843035747639</v>
      </c>
      <c r="N23" s="397">
        <f>$M$23/($N$5*1000)</f>
        <v>1.3378027332263929E-3</v>
      </c>
      <c r="O23" s="824">
        <f>($M$23/$N$6)/$N$5</f>
        <v>8.3612670826649558E-5</v>
      </c>
    </row>
    <row r="24" spans="2:15" x14ac:dyDescent="0.25">
      <c r="B24" s="825">
        <v>8</v>
      </c>
      <c r="C24" s="362" t="s">
        <v>254</v>
      </c>
      <c r="D24" s="370"/>
      <c r="E24" s="822"/>
      <c r="F24" s="375"/>
      <c r="G24" s="823"/>
      <c r="H24" s="375"/>
      <c r="I24" s="375"/>
      <c r="J24" s="375"/>
      <c r="K24" s="363"/>
      <c r="L24" s="363"/>
      <c r="M24" s="375"/>
      <c r="N24" s="397">
        <f>$M$24/($N$5*1000)</f>
        <v>0</v>
      </c>
      <c r="O24" s="824">
        <f>($M$24/$N$6)/$N$5</f>
        <v>0</v>
      </c>
    </row>
    <row r="25" spans="2:15" x14ac:dyDescent="0.25">
      <c r="B25" s="826"/>
      <c r="C25" s="364" t="s">
        <v>255</v>
      </c>
      <c r="D25" s="370">
        <v>0.4</v>
      </c>
      <c r="E25" s="822" t="s">
        <v>233</v>
      </c>
      <c r="F25" s="370">
        <f>D25</f>
        <v>0.4</v>
      </c>
      <c r="G25" s="823" t="s">
        <v>233</v>
      </c>
      <c r="H25" s="375">
        <f>$H$8</f>
        <v>20</v>
      </c>
      <c r="I25" s="375"/>
      <c r="J25" s="375">
        <f>$H$25*$F$25</f>
        <v>8</v>
      </c>
      <c r="K25" s="363">
        <v>27240</v>
      </c>
      <c r="L25" s="363"/>
      <c r="M25" s="375">
        <f>$J$25*$K$25</f>
        <v>217920</v>
      </c>
      <c r="N25" s="397">
        <f>$M$25/($N$5*1000)</f>
        <v>5.4309766038352783E-3</v>
      </c>
      <c r="O25" s="824">
        <f>($M$25/$N$6)/$N$5</f>
        <v>3.394360377397049E-4</v>
      </c>
    </row>
    <row r="26" spans="2:15" x14ac:dyDescent="0.25">
      <c r="B26" s="826"/>
      <c r="C26" s="364" t="s">
        <v>256</v>
      </c>
      <c r="D26" s="370">
        <v>0.66</v>
      </c>
      <c r="E26" s="822" t="s">
        <v>233</v>
      </c>
      <c r="F26" s="370">
        <f>D26</f>
        <v>0.66</v>
      </c>
      <c r="G26" s="823" t="s">
        <v>233</v>
      </c>
      <c r="H26" s="375">
        <f>$H$8</f>
        <v>20</v>
      </c>
      <c r="I26" s="375"/>
      <c r="J26" s="375">
        <f>$H$26*$F$26</f>
        <v>13.200000000000001</v>
      </c>
      <c r="K26" s="363">
        <v>29120</v>
      </c>
      <c r="L26" s="363"/>
      <c r="M26" s="375">
        <f>$J$26*$K$26</f>
        <v>384384.00000000006</v>
      </c>
      <c r="N26" s="397">
        <f>$M$26/($N$5*1000)</f>
        <v>9.5795728289676026E-3</v>
      </c>
      <c r="O26" s="824">
        <f>($M$26/$N$6)/$N$5</f>
        <v>5.9872330181047516E-4</v>
      </c>
    </row>
    <row r="27" spans="2:15" x14ac:dyDescent="0.25">
      <c r="B27" s="826"/>
      <c r="C27" s="364" t="s">
        <v>257</v>
      </c>
      <c r="D27" s="370">
        <v>0.41</v>
      </c>
      <c r="E27" s="822" t="s">
        <v>233</v>
      </c>
      <c r="F27" s="370">
        <f>D27</f>
        <v>0.41</v>
      </c>
      <c r="G27" s="823" t="s">
        <v>233</v>
      </c>
      <c r="H27" s="375">
        <f>$H$8</f>
        <v>20</v>
      </c>
      <c r="I27" s="375"/>
      <c r="J27" s="375">
        <f>$H$27*$F$27</f>
        <v>8.1999999999999993</v>
      </c>
      <c r="K27" s="363">
        <v>117212</v>
      </c>
      <c r="L27" s="363"/>
      <c r="M27" s="375">
        <f>$J$27*$K$27</f>
        <v>961138.39999999991</v>
      </c>
      <c r="N27" s="397">
        <f>$M$27/($N$5*1000)</f>
        <v>2.3953378136231978E-2</v>
      </c>
      <c r="O27" s="824">
        <f>($M$27/$N$6)/$N$5</f>
        <v>1.4970861335144988E-3</v>
      </c>
    </row>
    <row r="28" spans="2:15" x14ac:dyDescent="0.25">
      <c r="B28" s="827"/>
      <c r="C28" s="364" t="s">
        <v>258</v>
      </c>
      <c r="D28" s="370">
        <v>0.1</v>
      </c>
      <c r="E28" s="822" t="s">
        <v>233</v>
      </c>
      <c r="F28" s="370">
        <f>D28</f>
        <v>0.1</v>
      </c>
      <c r="G28" s="823" t="s">
        <v>233</v>
      </c>
      <c r="H28" s="375">
        <f>$H$8</f>
        <v>20</v>
      </c>
      <c r="I28" s="375"/>
      <c r="J28" s="375">
        <f>$H$28*$F$28</f>
        <v>2</v>
      </c>
      <c r="K28" s="363">
        <v>45940</v>
      </c>
      <c r="L28" s="363"/>
      <c r="M28" s="375">
        <f>$J$28*$K$28</f>
        <v>91880</v>
      </c>
      <c r="N28" s="397">
        <f>$M$28/($N$5*1000)</f>
        <v>2.2898225512132222E-3</v>
      </c>
      <c r="O28" s="824">
        <f>($M$28/$N$6)/$N$5</f>
        <v>1.4311390945082638E-4</v>
      </c>
    </row>
    <row r="29" spans="2:15" x14ac:dyDescent="0.25">
      <c r="B29" s="825">
        <v>9</v>
      </c>
      <c r="C29" s="362" t="s">
        <v>7</v>
      </c>
      <c r="D29" s="370"/>
      <c r="E29" s="822"/>
      <c r="F29" s="375"/>
      <c r="G29" s="823"/>
      <c r="H29" s="375"/>
      <c r="I29" s="375"/>
      <c r="J29" s="375"/>
      <c r="K29" s="363"/>
      <c r="L29" s="363"/>
      <c r="M29" s="375"/>
      <c r="N29" s="397"/>
      <c r="O29" s="824"/>
    </row>
    <row r="30" spans="2:15" x14ac:dyDescent="0.25">
      <c r="B30" s="826"/>
      <c r="C30" s="371" t="s">
        <v>259</v>
      </c>
      <c r="D30" s="372">
        <v>0.90361445783132532</v>
      </c>
      <c r="E30" s="828" t="s">
        <v>260</v>
      </c>
      <c r="F30" s="372">
        <f t="shared" ref="F30:F34" si="0">D30</f>
        <v>0.90361445783132532</v>
      </c>
      <c r="G30" s="829" t="s">
        <v>260</v>
      </c>
      <c r="H30" s="375">
        <f t="shared" ref="H30:H35" si="1">$H$8</f>
        <v>20</v>
      </c>
      <c r="I30" s="375"/>
      <c r="J30" s="375">
        <f>$H$30*$F$30</f>
        <v>18.072289156626507</v>
      </c>
      <c r="K30" s="363">
        <v>40000</v>
      </c>
      <c r="L30" s="363"/>
      <c r="M30" s="375">
        <f>$J$30*$K$30</f>
        <v>722891.56626506033</v>
      </c>
      <c r="N30" s="397">
        <f>$M$30/($N$5*1000)</f>
        <v>1.8015818573308473E-2</v>
      </c>
      <c r="O30" s="824">
        <f>($M$30/$N$6)/$N$5</f>
        <v>1.1259886608317796E-3</v>
      </c>
    </row>
    <row r="31" spans="2:15" x14ac:dyDescent="0.25">
      <c r="B31" s="826"/>
      <c r="C31" s="371" t="s">
        <v>261</v>
      </c>
      <c r="D31" s="372">
        <v>0.63253012048192769</v>
      </c>
      <c r="E31" s="828" t="s">
        <v>260</v>
      </c>
      <c r="F31" s="372">
        <f t="shared" si="0"/>
        <v>0.63253012048192769</v>
      </c>
      <c r="G31" s="829" t="s">
        <v>260</v>
      </c>
      <c r="H31" s="375">
        <f t="shared" si="1"/>
        <v>20</v>
      </c>
      <c r="I31" s="375"/>
      <c r="J31" s="375">
        <f>$H$31*$F$31</f>
        <v>12.650602409638553</v>
      </c>
      <c r="K31" s="363">
        <v>125000</v>
      </c>
      <c r="L31" s="363"/>
      <c r="M31" s="375">
        <f>$J$31*$K$31</f>
        <v>1581325.3012048192</v>
      </c>
      <c r="N31" s="397">
        <f>$M$31/($N$5*1000)</f>
        <v>3.9409603129112278E-2</v>
      </c>
      <c r="O31" s="824">
        <f>($M$31/$N$6)/$N$5</f>
        <v>2.4631001955695174E-3</v>
      </c>
    </row>
    <row r="32" spans="2:15" x14ac:dyDescent="0.25">
      <c r="B32" s="826"/>
      <c r="C32" s="371" t="s">
        <v>262</v>
      </c>
      <c r="D32" s="372">
        <v>1.5666666666666667</v>
      </c>
      <c r="E32" s="828" t="s">
        <v>260</v>
      </c>
      <c r="F32" s="372">
        <f t="shared" si="0"/>
        <v>1.5666666666666667</v>
      </c>
      <c r="G32" s="829" t="s">
        <v>260</v>
      </c>
      <c r="H32" s="375">
        <f t="shared" si="1"/>
        <v>20</v>
      </c>
      <c r="I32" s="375"/>
      <c r="J32" s="375">
        <f>$H$32*$F$32</f>
        <v>31.333333333333332</v>
      </c>
      <c r="K32" s="363">
        <v>145000</v>
      </c>
      <c r="L32" s="363"/>
      <c r="M32" s="375">
        <f>$J$32*$K$32</f>
        <v>4543333.333333333</v>
      </c>
      <c r="N32" s="397">
        <f>$M$32/($N$5*1000)</f>
        <v>0.1132284188544341</v>
      </c>
      <c r="O32" s="824">
        <f>($M$32/$N$6)/$N$5</f>
        <v>7.0767761784021315E-3</v>
      </c>
    </row>
    <row r="33" spans="2:15" x14ac:dyDescent="0.25">
      <c r="B33" s="826"/>
      <c r="C33" s="371" t="s">
        <v>263</v>
      </c>
      <c r="D33" s="372">
        <v>0.12048192771084337</v>
      </c>
      <c r="E33" s="828" t="s">
        <v>260</v>
      </c>
      <c r="F33" s="372">
        <f t="shared" si="0"/>
        <v>0.12048192771084337</v>
      </c>
      <c r="G33" s="829" t="s">
        <v>260</v>
      </c>
      <c r="H33" s="375">
        <f t="shared" si="1"/>
        <v>20</v>
      </c>
      <c r="I33" s="375"/>
      <c r="J33" s="375">
        <f>$H$33*$F$33</f>
        <v>2.4096385542168672</v>
      </c>
      <c r="K33" s="363">
        <v>682500</v>
      </c>
      <c r="L33" s="363"/>
      <c r="M33" s="375">
        <f>$J$33*$K$33</f>
        <v>1644578.3132530118</v>
      </c>
      <c r="N33" s="397">
        <f>$M$33/($N$5*1000)</f>
        <v>4.0985987254276761E-2</v>
      </c>
      <c r="O33" s="824">
        <f>($M$33/$N$6)/$N$5</f>
        <v>2.561624203392298E-3</v>
      </c>
    </row>
    <row r="34" spans="2:15" x14ac:dyDescent="0.25">
      <c r="B34" s="827"/>
      <c r="C34" s="371" t="s">
        <v>264</v>
      </c>
      <c r="D34" s="373">
        <v>3.6144578313253013</v>
      </c>
      <c r="E34" s="828" t="s">
        <v>260</v>
      </c>
      <c r="F34" s="372">
        <f t="shared" si="0"/>
        <v>3.6144578313253013</v>
      </c>
      <c r="G34" s="829" t="s">
        <v>260</v>
      </c>
      <c r="H34" s="375">
        <f t="shared" si="1"/>
        <v>20</v>
      </c>
      <c r="I34" s="375"/>
      <c r="J34" s="375">
        <f>$H$34*$F$34</f>
        <v>72.289156626506028</v>
      </c>
      <c r="K34" s="363">
        <v>14500</v>
      </c>
      <c r="L34" s="363"/>
      <c r="M34" s="375">
        <f>$J$34*$K$34</f>
        <v>1048192.7710843374</v>
      </c>
      <c r="N34" s="397">
        <f>$M$34/($N$5*1000)</f>
        <v>2.6122936931297282E-2</v>
      </c>
      <c r="O34" s="824">
        <f>($M$34/$N$6)/$N$5</f>
        <v>1.6326835582060803E-3</v>
      </c>
    </row>
    <row r="35" spans="2:15" x14ac:dyDescent="0.25">
      <c r="B35" s="821">
        <v>10</v>
      </c>
      <c r="C35" s="374" t="s">
        <v>360</v>
      </c>
      <c r="D35" s="375">
        <f>'Januari 2026 PMG 2'!E279</f>
        <v>330</v>
      </c>
      <c r="E35" s="822" t="s">
        <v>253</v>
      </c>
      <c r="F35" s="394">
        <f>D35</f>
        <v>330</v>
      </c>
      <c r="G35" s="829" t="s">
        <v>253</v>
      </c>
      <c r="H35" s="375">
        <f t="shared" si="1"/>
        <v>20</v>
      </c>
      <c r="I35" s="375"/>
      <c r="J35" s="375">
        <f>$H$35*$F$35</f>
        <v>6600</v>
      </c>
      <c r="K35" s="363">
        <f>WWTP!H17</f>
        <v>971.17576067545872</v>
      </c>
      <c r="L35" s="363"/>
      <c r="M35" s="375">
        <f>$J$35*$K$35</f>
        <v>6409760.0204580277</v>
      </c>
      <c r="N35" s="397">
        <f>$M$35/($N$5*1000)</f>
        <v>0.15974328518404132</v>
      </c>
      <c r="O35" s="824">
        <f>($M$35/$N$6)/$N$5</f>
        <v>9.9839553240025827E-3</v>
      </c>
    </row>
    <row r="36" spans="2:15" x14ac:dyDescent="0.25">
      <c r="B36" s="826">
        <v>11</v>
      </c>
      <c r="C36" s="376" t="s">
        <v>265</v>
      </c>
      <c r="D36" s="373"/>
      <c r="E36" s="828"/>
      <c r="F36" s="378"/>
      <c r="G36" s="829"/>
      <c r="H36" s="375"/>
      <c r="I36" s="375"/>
      <c r="J36" s="375"/>
      <c r="K36" s="377"/>
      <c r="L36" s="377"/>
      <c r="M36" s="375"/>
      <c r="N36" s="397"/>
      <c r="O36" s="824"/>
    </row>
    <row r="37" spans="2:15" x14ac:dyDescent="0.25">
      <c r="B37" s="826"/>
      <c r="C37" s="371" t="s">
        <v>266</v>
      </c>
      <c r="D37" s="378">
        <f>'Januari 2026 PMG 2'!$AM$91</f>
        <v>273050.09750999999</v>
      </c>
      <c r="E37" s="828" t="s">
        <v>233</v>
      </c>
      <c r="F37" s="378">
        <f>D37</f>
        <v>273050.09750999999</v>
      </c>
      <c r="G37" s="829" t="s">
        <v>233</v>
      </c>
      <c r="H37" s="375">
        <f>$H$8</f>
        <v>20</v>
      </c>
      <c r="I37" s="375"/>
      <c r="J37" s="375">
        <f>$F$37</f>
        <v>273050.09750999999</v>
      </c>
      <c r="K37" s="377">
        <v>0</v>
      </c>
      <c r="L37" s="377"/>
      <c r="M37" s="375">
        <f>$J$37*$K$37</f>
        <v>0</v>
      </c>
      <c r="N37" s="397">
        <f>$M$37/($N$5*1000)</f>
        <v>0</v>
      </c>
      <c r="O37" s="824">
        <f>($M$37/$N$6)/$N$5</f>
        <v>0</v>
      </c>
    </row>
    <row r="38" spans="2:15" x14ac:dyDescent="0.25">
      <c r="B38" s="826"/>
      <c r="C38" s="371" t="s">
        <v>267</v>
      </c>
      <c r="D38" s="372">
        <v>0.1</v>
      </c>
      <c r="E38" s="828" t="s">
        <v>268</v>
      </c>
      <c r="F38" s="372">
        <f>D38</f>
        <v>0.1</v>
      </c>
      <c r="G38" s="829" t="s">
        <v>268</v>
      </c>
      <c r="H38" s="375">
        <f>$H$8</f>
        <v>20</v>
      </c>
      <c r="I38" s="375"/>
      <c r="J38" s="375">
        <f>$H$38*$F$38</f>
        <v>2</v>
      </c>
      <c r="K38" s="377">
        <v>303030.30303030298</v>
      </c>
      <c r="L38" s="377"/>
      <c r="M38" s="375">
        <f>$J$38*$K$38</f>
        <v>606060.60606060596</v>
      </c>
      <c r="N38" s="397">
        <f>$M$38/($N$5*1000)</f>
        <v>1.51041711271172E-2</v>
      </c>
      <c r="O38" s="824">
        <f>($M$38/$N$6)/$N$5</f>
        <v>9.4401069544482511E-4</v>
      </c>
    </row>
    <row r="39" spans="2:15" x14ac:dyDescent="0.25">
      <c r="B39" s="830">
        <v>12</v>
      </c>
      <c r="C39" s="379" t="s">
        <v>361</v>
      </c>
      <c r="D39" s="380"/>
      <c r="E39" s="831"/>
      <c r="F39" s="380"/>
      <c r="G39" s="832"/>
      <c r="H39" s="375"/>
      <c r="I39" s="833"/>
      <c r="J39" s="375"/>
      <c r="K39" s="381"/>
      <c r="L39" s="381"/>
      <c r="M39" s="375"/>
      <c r="N39" s="397">
        <f>$M$39/($N$5*1000)</f>
        <v>0</v>
      </c>
      <c r="O39" s="824">
        <f>($M$39/$N$6)/$N$5</f>
        <v>0</v>
      </c>
    </row>
    <row r="40" spans="2:15" x14ac:dyDescent="0.25">
      <c r="B40" s="834"/>
      <c r="C40" s="382" t="s">
        <v>269</v>
      </c>
      <c r="D40" s="380">
        <f>lab!H33</f>
        <v>745255.21064425772</v>
      </c>
      <c r="E40" s="831" t="s">
        <v>270</v>
      </c>
      <c r="F40" s="380">
        <f>D40</f>
        <v>745255.21064425772</v>
      </c>
      <c r="G40" s="832" t="s">
        <v>270</v>
      </c>
      <c r="H40" s="375">
        <f>$H$8</f>
        <v>20</v>
      </c>
      <c r="I40" s="833"/>
      <c r="J40" s="375"/>
      <c r="K40" s="381"/>
      <c r="L40" s="381"/>
      <c r="M40" s="375">
        <f>$H$40*$F$40</f>
        <v>14905104.212885154</v>
      </c>
      <c r="N40" s="397">
        <f>$M$40/($N$5*1000)</f>
        <v>0.37146325375323935</v>
      </c>
      <c r="O40" s="824">
        <f>($M$40/$N$6)/$N$5</f>
        <v>2.321645335957746E-2</v>
      </c>
    </row>
    <row r="41" spans="2:15" x14ac:dyDescent="0.25">
      <c r="B41" s="834"/>
      <c r="C41" s="382" t="s">
        <v>362</v>
      </c>
      <c r="D41" s="380">
        <f>lab!H54</f>
        <v>259161.44425770309</v>
      </c>
      <c r="E41" s="831" t="s">
        <v>270</v>
      </c>
      <c r="F41" s="380">
        <f>D41</f>
        <v>259161.44425770309</v>
      </c>
      <c r="G41" s="832" t="s">
        <v>270</v>
      </c>
      <c r="H41" s="375">
        <f>$H$8</f>
        <v>20</v>
      </c>
      <c r="I41" s="833"/>
      <c r="J41" s="375"/>
      <c r="K41" s="381"/>
      <c r="L41" s="381"/>
      <c r="M41" s="375">
        <f>$H$41*$F$41</f>
        <v>5183228.885154062</v>
      </c>
      <c r="N41" s="397">
        <f>$M$41/($N$5*1000)</f>
        <v>0.12917582051943338</v>
      </c>
      <c r="O41" s="824">
        <f>($M$41/$N$6)/$N$5</f>
        <v>8.0734887824645864E-3</v>
      </c>
    </row>
    <row r="42" spans="2:15" x14ac:dyDescent="0.25">
      <c r="B42" s="834"/>
      <c r="C42" s="382" t="s">
        <v>271</v>
      </c>
      <c r="D42" s="380">
        <v>13909.09090909091</v>
      </c>
      <c r="E42" s="831" t="s">
        <v>270</v>
      </c>
      <c r="F42" s="380">
        <f>D42</f>
        <v>13909.09090909091</v>
      </c>
      <c r="G42" s="832" t="s">
        <v>270</v>
      </c>
      <c r="H42" s="375">
        <f>$H$8</f>
        <v>20</v>
      </c>
      <c r="I42" s="833"/>
      <c r="J42" s="375"/>
      <c r="K42" s="381"/>
      <c r="L42" s="381"/>
      <c r="M42" s="375">
        <f>$H$42*$F$42</f>
        <v>278181.81818181818</v>
      </c>
      <c r="N42" s="397">
        <f>$M$42/($N$5*1000)</f>
        <v>6.9328145473467962E-3</v>
      </c>
      <c r="O42" s="824">
        <f>($M$42/$N$6)/$N$5</f>
        <v>4.3330090920917476E-4</v>
      </c>
    </row>
    <row r="43" spans="2:15" x14ac:dyDescent="0.25">
      <c r="B43" s="834"/>
      <c r="C43" s="382" t="s">
        <v>363</v>
      </c>
      <c r="D43" s="380">
        <f>[1]Chemical!$H$61</f>
        <v>27103.641456582631</v>
      </c>
      <c r="E43" s="831" t="s">
        <v>270</v>
      </c>
      <c r="F43" s="380">
        <f>D43</f>
        <v>27103.641456582631</v>
      </c>
      <c r="G43" s="832" t="s">
        <v>270</v>
      </c>
      <c r="H43" s="375">
        <f>$H$8</f>
        <v>20</v>
      </c>
      <c r="I43" s="833"/>
      <c r="J43" s="375"/>
      <c r="K43" s="381"/>
      <c r="L43" s="381"/>
      <c r="M43" s="375">
        <f>$H$43*$F$43</f>
        <v>542072.8291316526</v>
      </c>
      <c r="N43" s="397">
        <f>$M$43/($N$5*1000)</f>
        <v>1.3509475278032323E-2</v>
      </c>
      <c r="O43" s="824">
        <f>($M$43/$N$6)/$N$5</f>
        <v>8.4434220487702028E-4</v>
      </c>
    </row>
    <row r="44" spans="2:15" x14ac:dyDescent="0.25">
      <c r="B44" s="835"/>
      <c r="C44" s="382" t="s">
        <v>272</v>
      </c>
      <c r="D44" s="380">
        <f>lab!I111</f>
        <v>135770.30812324933</v>
      </c>
      <c r="E44" s="831" t="s">
        <v>270</v>
      </c>
      <c r="F44" s="380">
        <f>D44</f>
        <v>135770.30812324933</v>
      </c>
      <c r="G44" s="832" t="s">
        <v>270</v>
      </c>
      <c r="H44" s="375">
        <f>$H$8</f>
        <v>20</v>
      </c>
      <c r="I44" s="833"/>
      <c r="J44" s="375"/>
      <c r="K44" s="381"/>
      <c r="L44" s="381"/>
      <c r="M44" s="375">
        <f>$H$44*$F$44</f>
        <v>2715406.1624649866</v>
      </c>
      <c r="N44" s="397">
        <f>$M$44/($N$5*1000)</f>
        <v>6.7673032939874631E-2</v>
      </c>
      <c r="O44" s="824">
        <f>($M$44/$N$6)/$N$5</f>
        <v>4.2295645587421644E-3</v>
      </c>
    </row>
    <row r="45" spans="2:15" x14ac:dyDescent="0.25">
      <c r="B45" s="826">
        <v>13</v>
      </c>
      <c r="C45" s="374" t="s">
        <v>273</v>
      </c>
      <c r="D45" s="375"/>
      <c r="E45" s="822"/>
      <c r="F45" s="370"/>
      <c r="G45" s="823"/>
      <c r="H45" s="375"/>
      <c r="I45" s="375"/>
      <c r="J45" s="375"/>
      <c r="K45" s="363"/>
      <c r="L45" s="363"/>
      <c r="M45" s="375"/>
      <c r="N45" s="397"/>
      <c r="O45" s="824"/>
    </row>
    <row r="46" spans="2:15" x14ac:dyDescent="0.25">
      <c r="B46" s="826"/>
      <c r="C46" s="364" t="s">
        <v>274</v>
      </c>
      <c r="D46" s="370">
        <v>15.4</v>
      </c>
      <c r="E46" s="823" t="s">
        <v>275</v>
      </c>
      <c r="F46" s="375">
        <v>0</v>
      </c>
      <c r="G46" s="823" t="s">
        <v>275</v>
      </c>
      <c r="H46" s="375">
        <f>$H$8</f>
        <v>20</v>
      </c>
      <c r="I46" s="375"/>
      <c r="J46" s="375">
        <f>$H$46*$F$46</f>
        <v>0</v>
      </c>
      <c r="K46" s="363">
        <v>14500</v>
      </c>
      <c r="L46" s="363"/>
      <c r="M46" s="375">
        <f>$J$46*$K$46</f>
        <v>0</v>
      </c>
      <c r="N46" s="397">
        <f>$M$46/($N$5*1000)</f>
        <v>0</v>
      </c>
      <c r="O46" s="824">
        <f>($M$46/$N$6)/$N$5</f>
        <v>0</v>
      </c>
    </row>
    <row r="47" spans="2:15" ht="15.75" thickBot="1" x14ac:dyDescent="0.3">
      <c r="B47" s="836"/>
      <c r="C47" s="837" t="s">
        <v>276</v>
      </c>
      <c r="D47" s="838">
        <v>0</v>
      </c>
      <c r="E47" s="839" t="s">
        <v>275</v>
      </c>
      <c r="F47" s="840">
        <f>D47</f>
        <v>0</v>
      </c>
      <c r="G47" s="839" t="s">
        <v>275</v>
      </c>
      <c r="H47" s="840">
        <f>$H$8</f>
        <v>20</v>
      </c>
      <c r="I47" s="840"/>
      <c r="J47" s="840">
        <f>$H$47*$F$47</f>
        <v>0</v>
      </c>
      <c r="K47" s="841">
        <v>14500</v>
      </c>
      <c r="L47" s="841"/>
      <c r="M47" s="840">
        <f>$J$47*$K$47</f>
        <v>0</v>
      </c>
      <c r="N47" s="842">
        <f>$M$47/($N$5*1000)</f>
        <v>0</v>
      </c>
      <c r="O47" s="843">
        <f>($M$47/$N$6)/$N$5</f>
        <v>0</v>
      </c>
    </row>
    <row r="48" spans="2:15" ht="21.6" customHeight="1" thickBot="1" x14ac:dyDescent="0.3">
      <c r="B48" s="400"/>
      <c r="C48" s="383"/>
      <c r="D48" s="384"/>
      <c r="E48" s="384"/>
      <c r="F48" s="385"/>
      <c r="G48" s="385"/>
      <c r="H48" s="385"/>
      <c r="I48" s="385"/>
      <c r="J48" s="385"/>
      <c r="K48" s="384"/>
      <c r="L48" s="384"/>
      <c r="M48" s="844">
        <f>SUM($M$8:$M$47)</f>
        <v>7271927116.477664</v>
      </c>
      <c r="N48" s="845">
        <f>SUM($N$8:$N$47)</f>
        <v>181.23011212548428</v>
      </c>
      <c r="O48" s="845">
        <f>SUM($O$8:$O$47)</f>
        <v>11.326882007842768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H9" sqref="H9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798" t="s">
        <v>277</v>
      </c>
      <c r="C2" s="383"/>
      <c r="D2" s="384"/>
      <c r="E2" s="384"/>
      <c r="F2" s="385"/>
      <c r="G2" s="385"/>
      <c r="H2" s="385"/>
      <c r="I2" s="385"/>
      <c r="J2" s="385"/>
      <c r="K2" s="384"/>
      <c r="L2" s="384"/>
      <c r="M2" s="384"/>
      <c r="N2" s="384"/>
      <c r="O2" s="384"/>
    </row>
    <row r="3" spans="2:15" x14ac:dyDescent="0.25">
      <c r="B3" s="799" t="s">
        <v>278</v>
      </c>
      <c r="C3" s="800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46" t="s">
        <v>376</v>
      </c>
      <c r="O3" s="847">
        <f>'Januari 2026 PMG 2'!AM24/1000</f>
        <v>1775.5360344827586</v>
      </c>
    </row>
    <row r="4" spans="2:15" x14ac:dyDescent="0.25">
      <c r="B4" s="803" t="s">
        <v>280</v>
      </c>
      <c r="C4" s="386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9" t="s">
        <v>227</v>
      </c>
      <c r="O4" s="848">
        <f>'Januari 2026 PMG 2'!AM23</f>
        <v>29</v>
      </c>
    </row>
    <row r="5" spans="2:15" x14ac:dyDescent="0.25">
      <c r="B5" s="805" t="s">
        <v>229</v>
      </c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89" t="s">
        <v>279</v>
      </c>
      <c r="O5" s="848">
        <f>O3*O4</f>
        <v>51490.544999999998</v>
      </c>
    </row>
    <row r="6" spans="2:15" ht="15.75" thickBot="1" x14ac:dyDescent="0.3">
      <c r="B6" s="806" t="s">
        <v>230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849" t="s">
        <v>231</v>
      </c>
      <c r="O6" s="1151">
        <v>16000</v>
      </c>
    </row>
    <row r="7" spans="2:15" ht="15.75" thickBot="1" x14ac:dyDescent="0.3">
      <c r="B7" s="808" t="s">
        <v>98</v>
      </c>
      <c r="C7" s="809" t="s">
        <v>217</v>
      </c>
      <c r="D7" s="2255" t="s">
        <v>218</v>
      </c>
      <c r="E7" s="2255"/>
      <c r="F7" s="2256" t="s">
        <v>219</v>
      </c>
      <c r="G7" s="2256"/>
      <c r="H7" s="2257" t="s">
        <v>220</v>
      </c>
      <c r="I7" s="2258"/>
      <c r="J7" s="811" t="s">
        <v>221</v>
      </c>
      <c r="K7" s="2259" t="s">
        <v>222</v>
      </c>
      <c r="L7" s="2260"/>
      <c r="M7" s="810" t="s">
        <v>223</v>
      </c>
      <c r="N7" s="810" t="s">
        <v>224</v>
      </c>
      <c r="O7" s="812" t="s">
        <v>225</v>
      </c>
    </row>
    <row r="8" spans="2:15" ht="15.75" thickTop="1" x14ac:dyDescent="0.25">
      <c r="B8" s="827">
        <v>1</v>
      </c>
      <c r="C8" s="391" t="s">
        <v>132</v>
      </c>
      <c r="D8" s="392">
        <f>'Januari 2026 PMG 2'!AM258</f>
        <v>21310.980491661139</v>
      </c>
      <c r="E8" s="393" t="s">
        <v>244</v>
      </c>
      <c r="F8" s="394">
        <f>$D$8*$O$3/1000</f>
        <v>37838.413793103449</v>
      </c>
      <c r="G8" s="394" t="s">
        <v>245</v>
      </c>
      <c r="H8" s="394">
        <f>$O$4</f>
        <v>29</v>
      </c>
      <c r="I8" s="394"/>
      <c r="J8" s="394">
        <f>$H$8*$F$8</f>
        <v>1097314</v>
      </c>
      <c r="K8" s="395">
        <f>Steam!H15</f>
        <v>45.029293842189695</v>
      </c>
      <c r="L8" s="395"/>
      <c r="M8" s="394">
        <f>$K$8*$J$8</f>
        <v>49411274.54314854</v>
      </c>
      <c r="N8" s="396">
        <f>$M$8/($O$5*1000)</f>
        <v>0.95961840262418163</v>
      </c>
      <c r="O8" s="850">
        <f>($M$8/$O$6)/$O$5</f>
        <v>5.9976150164011352E-2</v>
      </c>
    </row>
    <row r="9" spans="2:15" x14ac:dyDescent="0.25">
      <c r="B9" s="825">
        <v>2</v>
      </c>
      <c r="C9" s="374" t="s">
        <v>281</v>
      </c>
      <c r="D9" s="369"/>
      <c r="E9" s="366"/>
      <c r="F9" s="375"/>
      <c r="G9" s="375"/>
      <c r="H9" s="375"/>
      <c r="I9" s="375"/>
      <c r="J9" s="375"/>
      <c r="K9" s="363"/>
      <c r="L9" s="363"/>
      <c r="M9" s="375"/>
      <c r="N9" s="397"/>
      <c r="O9" s="824"/>
    </row>
    <row r="10" spans="2:15" x14ac:dyDescent="0.25">
      <c r="B10" s="826"/>
      <c r="C10" s="364" t="s">
        <v>243</v>
      </c>
      <c r="D10" s="368">
        <f>'Januari 2026 PMG 2'!$AM$304</f>
        <v>4.3139056777688145</v>
      </c>
      <c r="E10" s="366" t="s">
        <v>247</v>
      </c>
      <c r="F10" s="375">
        <f>$D$10*$O$3</f>
        <v>7659.494980238298</v>
      </c>
      <c r="G10" s="375" t="s">
        <v>248</v>
      </c>
      <c r="H10" s="375">
        <f>$O$4</f>
        <v>29</v>
      </c>
      <c r="I10" s="375">
        <v>0</v>
      </c>
      <c r="J10" s="375">
        <f>$H$10*$F$10</f>
        <v>222125.35442691064</v>
      </c>
      <c r="K10" s="363">
        <f>[1]Electric!$L$5</f>
        <v>1550</v>
      </c>
      <c r="L10" s="363">
        <v>3666.6666666666665</v>
      </c>
      <c r="M10" s="375">
        <f>($F$10*$H$10*$K$10)+($F$10*$I$10*$L$10)</f>
        <v>344294299.3617115</v>
      </c>
      <c r="N10" s="396">
        <f>$M$10/($O$5*1000)</f>
        <v>6.6865538005416623</v>
      </c>
      <c r="O10" s="850">
        <f>($M$10/$O$6)/$O$5</f>
        <v>0.41790961253385389</v>
      </c>
    </row>
    <row r="11" spans="2:15" x14ac:dyDescent="0.25">
      <c r="B11" s="827"/>
      <c r="C11" s="364" t="s">
        <v>249</v>
      </c>
      <c r="D11" s="368">
        <f>'Januari 2026 PMG 2'!$AM$302</f>
        <v>5.7170954090780146</v>
      </c>
      <c r="E11" s="366" t="s">
        <v>247</v>
      </c>
      <c r="F11" s="375">
        <f>$D$11*$O$3</f>
        <v>10150.908911393963</v>
      </c>
      <c r="G11" s="375" t="s">
        <v>248</v>
      </c>
      <c r="H11" s="375">
        <f>$H$10</f>
        <v>29</v>
      </c>
      <c r="I11" s="375">
        <v>0</v>
      </c>
      <c r="J11" s="375">
        <f>$H$11*$F$11</f>
        <v>294376.35843042494</v>
      </c>
      <c r="K11" s="363">
        <f>$K$10</f>
        <v>1550</v>
      </c>
      <c r="L11" s="363">
        <v>3666.6666666666665</v>
      </c>
      <c r="M11" s="375">
        <f>($F$11*$H$11*$K$11)+($F$11*$I$11*$L$11)</f>
        <v>456283355.56715864</v>
      </c>
      <c r="N11" s="396">
        <f>$M$11/($O$5*1000)</f>
        <v>8.8614978840709231</v>
      </c>
      <c r="O11" s="850">
        <f>($M$11/$O$6)/$O$5</f>
        <v>0.55384361775443269</v>
      </c>
    </row>
    <row r="12" spans="2:15" x14ac:dyDescent="0.25">
      <c r="B12" s="826">
        <v>3</v>
      </c>
      <c r="C12" s="362" t="s">
        <v>251</v>
      </c>
      <c r="D12" s="368"/>
      <c r="E12" s="366"/>
      <c r="F12" s="375"/>
      <c r="G12" s="375"/>
      <c r="H12" s="375"/>
      <c r="I12" s="375"/>
      <c r="J12" s="375"/>
      <c r="K12" s="363"/>
      <c r="L12" s="363"/>
      <c r="M12" s="375"/>
      <c r="N12" s="397"/>
      <c r="O12" s="824"/>
    </row>
    <row r="13" spans="2:15" x14ac:dyDescent="0.25">
      <c r="B13" s="826"/>
      <c r="C13" s="364" t="s">
        <v>252</v>
      </c>
      <c r="D13" s="365">
        <f>'Januari 2026 PMG 2'!$AM$276</f>
        <v>4.7309656559277047E-2</v>
      </c>
      <c r="E13" s="366" t="s">
        <v>253</v>
      </c>
      <c r="F13" s="375">
        <f>$D$13</f>
        <v>4.7309656559277047E-2</v>
      </c>
      <c r="G13" s="375" t="s">
        <v>253</v>
      </c>
      <c r="H13" s="375">
        <f>$H$11</f>
        <v>29</v>
      </c>
      <c r="I13" s="375"/>
      <c r="J13" s="375">
        <f>$H$13*$F$13</f>
        <v>1.3719800402190343</v>
      </c>
      <c r="K13" s="363">
        <f>WTP!H13</f>
        <v>25239.326226268193</v>
      </c>
      <c r="L13" s="363"/>
      <c r="M13" s="394">
        <f>$K$13*$J$13</f>
        <v>34627.851811016764</v>
      </c>
      <c r="N13" s="396">
        <f>$M$13/($O$5*1000)</f>
        <v>6.7250893947649545E-4</v>
      </c>
      <c r="O13" s="850">
        <f>($M$13/$O$6)/$O$5</f>
        <v>4.2031808717280959E-5</v>
      </c>
    </row>
    <row r="14" spans="2:15" x14ac:dyDescent="0.25">
      <c r="B14" s="825">
        <v>4</v>
      </c>
      <c r="C14" s="362" t="s">
        <v>254</v>
      </c>
      <c r="D14" s="375"/>
      <c r="E14" s="366"/>
      <c r="F14" s="375"/>
      <c r="G14" s="375"/>
      <c r="H14" s="375"/>
      <c r="I14" s="375"/>
      <c r="J14" s="375"/>
      <c r="K14" s="363"/>
      <c r="L14" s="363"/>
      <c r="M14" s="375"/>
      <c r="N14" s="397"/>
      <c r="O14" s="824"/>
    </row>
    <row r="15" spans="2:15" x14ac:dyDescent="0.25">
      <c r="B15" s="826"/>
      <c r="C15" s="364" t="s">
        <v>255</v>
      </c>
      <c r="D15" s="370">
        <v>0.4</v>
      </c>
      <c r="E15" s="366" t="s">
        <v>233</v>
      </c>
      <c r="F15" s="370">
        <f>$D$15</f>
        <v>0.4</v>
      </c>
      <c r="G15" s="375" t="s">
        <v>233</v>
      </c>
      <c r="H15" s="375">
        <f>$H$13</f>
        <v>29</v>
      </c>
      <c r="I15" s="375"/>
      <c r="J15" s="375">
        <f>$H$15*$F$15</f>
        <v>11.600000000000001</v>
      </c>
      <c r="K15" s="363">
        <v>27240</v>
      </c>
      <c r="L15" s="363"/>
      <c r="M15" s="394">
        <f>$K$15*$J$15</f>
        <v>315984.00000000006</v>
      </c>
      <c r="N15" s="396">
        <f>$M$15/($O$5*1000)</f>
        <v>6.1367383079747951E-3</v>
      </c>
      <c r="O15" s="850">
        <f>($M$15/$O$6)/$O$5</f>
        <v>3.8354614424842469E-4</v>
      </c>
    </row>
    <row r="16" spans="2:15" x14ac:dyDescent="0.25">
      <c r="B16" s="826"/>
      <c r="C16" s="364" t="s">
        <v>256</v>
      </c>
      <c r="D16" s="370">
        <v>0.66</v>
      </c>
      <c r="E16" s="366" t="s">
        <v>233</v>
      </c>
      <c r="F16" s="370">
        <f>$D$16</f>
        <v>0.66</v>
      </c>
      <c r="G16" s="375" t="s">
        <v>233</v>
      </c>
      <c r="H16" s="375">
        <f>$H$15</f>
        <v>29</v>
      </c>
      <c r="I16" s="375"/>
      <c r="J16" s="375">
        <f>$H$16*$F$16</f>
        <v>19.14</v>
      </c>
      <c r="K16" s="363">
        <v>29120</v>
      </c>
      <c r="L16" s="363"/>
      <c r="M16" s="394">
        <f>$K$16*$J$16</f>
        <v>557356.80000000005</v>
      </c>
      <c r="N16" s="396">
        <f>$M$16/($O$5*1000)</f>
        <v>1.082444942076259E-2</v>
      </c>
      <c r="O16" s="850">
        <f>($M$16/$O$6)/$O$5</f>
        <v>6.7652808879766185E-4</v>
      </c>
    </row>
    <row r="17" spans="2:15" x14ac:dyDescent="0.25">
      <c r="B17" s="826"/>
      <c r="C17" s="364" t="s">
        <v>257</v>
      </c>
      <c r="D17" s="370">
        <v>0.41</v>
      </c>
      <c r="E17" s="366" t="s">
        <v>233</v>
      </c>
      <c r="F17" s="370">
        <f>$D$17</f>
        <v>0.41</v>
      </c>
      <c r="G17" s="375" t="s">
        <v>233</v>
      </c>
      <c r="H17" s="375">
        <f>$H$15</f>
        <v>29</v>
      </c>
      <c r="I17" s="375"/>
      <c r="J17" s="375">
        <f>$H$17*$F$17</f>
        <v>11.889999999999999</v>
      </c>
      <c r="K17" s="363">
        <v>117212</v>
      </c>
      <c r="L17" s="363"/>
      <c r="M17" s="394">
        <f>$K$17*$J$17</f>
        <v>1393650.68</v>
      </c>
      <c r="N17" s="396">
        <f>$M$17/($O$5*1000)</f>
        <v>2.7066147386864907E-2</v>
      </c>
      <c r="O17" s="850">
        <f>($M$17/$O$6)/$O$5</f>
        <v>1.6916342116790569E-3</v>
      </c>
    </row>
    <row r="18" spans="2:15" x14ac:dyDescent="0.25">
      <c r="B18" s="826"/>
      <c r="C18" s="371" t="s">
        <v>258</v>
      </c>
      <c r="D18" s="370">
        <v>0.1</v>
      </c>
      <c r="E18" s="366" t="s">
        <v>233</v>
      </c>
      <c r="F18" s="370">
        <f>$D$18</f>
        <v>0.1</v>
      </c>
      <c r="G18" s="375" t="s">
        <v>233</v>
      </c>
      <c r="H18" s="375">
        <f>$H$16</f>
        <v>29</v>
      </c>
      <c r="I18" s="375"/>
      <c r="J18" s="375">
        <f>$H$18*$F$18</f>
        <v>2.9000000000000004</v>
      </c>
      <c r="K18" s="363">
        <v>45940</v>
      </c>
      <c r="L18" s="363"/>
      <c r="M18" s="394">
        <f>$K$18*$J$18</f>
        <v>133226.00000000003</v>
      </c>
      <c r="N18" s="396">
        <f>$M$18/($O$5*1000)</f>
        <v>2.5873876456347475E-3</v>
      </c>
      <c r="O18" s="850">
        <f>($M$18/$O$6)/$O$5</f>
        <v>1.6171172785217175E-4</v>
      </c>
    </row>
    <row r="19" spans="2:15" x14ac:dyDescent="0.25">
      <c r="B19" s="825">
        <v>5</v>
      </c>
      <c r="C19" s="398" t="s">
        <v>7</v>
      </c>
      <c r="D19" s="375"/>
      <c r="E19" s="366"/>
      <c r="F19" s="375"/>
      <c r="G19" s="375"/>
      <c r="H19" s="375"/>
      <c r="I19" s="375"/>
      <c r="J19" s="375"/>
      <c r="K19" s="363"/>
      <c r="L19" s="363"/>
      <c r="M19" s="375"/>
      <c r="N19" s="397"/>
      <c r="O19" s="824"/>
    </row>
    <row r="20" spans="2:15" x14ac:dyDescent="0.25">
      <c r="B20" s="826"/>
      <c r="C20" s="399" t="s">
        <v>282</v>
      </c>
      <c r="D20" s="370">
        <v>0.33333333333333331</v>
      </c>
      <c r="E20" s="366" t="s">
        <v>260</v>
      </c>
      <c r="F20" s="370">
        <f>$D$20</f>
        <v>0.33333333333333331</v>
      </c>
      <c r="G20" s="375" t="s">
        <v>260</v>
      </c>
      <c r="H20" s="375">
        <f>$H$18</f>
        <v>29</v>
      </c>
      <c r="I20" s="375"/>
      <c r="J20" s="375">
        <f>$H$20*$F$20</f>
        <v>9.6666666666666661</v>
      </c>
      <c r="K20" s="363">
        <v>895000</v>
      </c>
      <c r="L20" s="363"/>
      <c r="M20" s="394">
        <f>$K$20*$J$20</f>
        <v>8651666.666666666</v>
      </c>
      <c r="N20" s="396">
        <f>$M$20/($O$5*1000)</f>
        <v>0.16802437547838475</v>
      </c>
      <c r="O20" s="850">
        <f>($M$20/$O$6)/$O$5</f>
        <v>1.0501523467399047E-2</v>
      </c>
    </row>
    <row r="21" spans="2:15" ht="15.75" thickBot="1" x14ac:dyDescent="0.3">
      <c r="B21" s="836"/>
      <c r="C21" s="851" t="s">
        <v>261</v>
      </c>
      <c r="D21" s="838">
        <v>0.63253012048192769</v>
      </c>
      <c r="E21" s="852" t="s">
        <v>260</v>
      </c>
      <c r="F21" s="838">
        <f>$D$21</f>
        <v>0.63253012048192769</v>
      </c>
      <c r="G21" s="840" t="s">
        <v>260</v>
      </c>
      <c r="H21" s="840">
        <f>$H$20</f>
        <v>29</v>
      </c>
      <c r="I21" s="840"/>
      <c r="J21" s="840">
        <f>$H$21*$F$21</f>
        <v>18.343373493975903</v>
      </c>
      <c r="K21" s="841">
        <v>125000</v>
      </c>
      <c r="L21" s="841"/>
      <c r="M21" s="853">
        <f>$K$21*$J$21</f>
        <v>2292921.686746988</v>
      </c>
      <c r="N21" s="854">
        <f>$M$21/($O$5*1000)</f>
        <v>4.4530926731247221E-2</v>
      </c>
      <c r="O21" s="855">
        <f>($M$21/$O$6)/$O$5</f>
        <v>2.7831829207029517E-3</v>
      </c>
    </row>
    <row r="22" spans="2:15" ht="15.75" thickBot="1" x14ac:dyDescent="0.3">
      <c r="B22" s="400"/>
      <c r="C22" s="383"/>
      <c r="D22" s="384"/>
      <c r="E22" s="384"/>
      <c r="F22" s="385"/>
      <c r="G22" s="385"/>
      <c r="H22" s="385"/>
      <c r="I22" s="385"/>
      <c r="M22" s="844">
        <f>SUM(M8:M21)</f>
        <v>863368363.15724325</v>
      </c>
      <c r="N22" s="845">
        <f>SUM(N8:N21)</f>
        <v>16.767512621147116</v>
      </c>
      <c r="O22" s="845">
        <f>SUM($O$8:$O$21)</f>
        <v>1.0479695388216947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8.42578125" style="339" customWidth="1"/>
    <col min="2" max="2" width="5.42578125" style="339" customWidth="1"/>
    <col min="3" max="3" width="24.42578125" style="339" customWidth="1"/>
    <col min="4" max="4" width="5.42578125" style="339" customWidth="1"/>
    <col min="5" max="5" width="46.5703125" style="339" customWidth="1"/>
    <col min="6" max="6" width="5.42578125" style="339" customWidth="1"/>
    <col min="7" max="7" width="18.42578125" style="339" customWidth="1"/>
    <col min="8" max="8" width="10.5703125" style="339" customWidth="1"/>
    <col min="9" max="9" width="13" style="339" customWidth="1"/>
    <col min="10" max="10" width="3.5703125" style="339" customWidth="1"/>
    <col min="11" max="12" width="8.5703125" style="339"/>
    <col min="13" max="13" width="20.42578125" style="339" customWidth="1"/>
    <col min="14" max="16384" width="8.5703125" style="339"/>
  </cols>
  <sheetData>
    <row r="2" spans="2:13" ht="19.5" thickBot="1" x14ac:dyDescent="0.3">
      <c r="B2" s="798" t="s">
        <v>1132</v>
      </c>
    </row>
    <row r="3" spans="2:13" x14ac:dyDescent="0.25">
      <c r="B3" s="856" t="s">
        <v>226</v>
      </c>
      <c r="C3" s="857"/>
      <c r="D3" s="857"/>
      <c r="E3" s="857"/>
      <c r="F3" s="857"/>
      <c r="G3" s="858"/>
      <c r="H3" s="859" t="s">
        <v>376</v>
      </c>
      <c r="I3" s="860">
        <f>'HPP REF '!$N$3</f>
        <v>2006.269</v>
      </c>
    </row>
    <row r="4" spans="2:13" x14ac:dyDescent="0.25">
      <c r="B4" s="861" t="s">
        <v>228</v>
      </c>
      <c r="C4" s="862"/>
      <c r="D4" s="862"/>
      <c r="E4" s="862"/>
      <c r="F4" s="932">
        <v>1</v>
      </c>
      <c r="G4" s="933"/>
      <c r="H4" s="863" t="s">
        <v>227</v>
      </c>
      <c r="I4" s="864">
        <f>'HPP REF '!$N$4</f>
        <v>20</v>
      </c>
    </row>
    <row r="5" spans="2:13" ht="15.75" thickBot="1" x14ac:dyDescent="0.3">
      <c r="B5" s="934" t="s">
        <v>548</v>
      </c>
      <c r="C5" s="935"/>
      <c r="D5" s="935"/>
      <c r="E5" s="935"/>
      <c r="F5" s="935"/>
      <c r="G5" s="867"/>
      <c r="H5" s="936" t="s">
        <v>279</v>
      </c>
      <c r="I5" s="869">
        <f>$I$4*$I$3</f>
        <v>40125.379999999997</v>
      </c>
    </row>
    <row r="6" spans="2:13" x14ac:dyDescent="0.25">
      <c r="B6" s="856" t="s">
        <v>377</v>
      </c>
      <c r="C6" s="857"/>
      <c r="D6" s="857"/>
      <c r="E6" s="857"/>
      <c r="F6" s="857"/>
      <c r="G6" s="937"/>
      <c r="H6" s="859" t="s">
        <v>376</v>
      </c>
      <c r="I6" s="860">
        <f>'HPP FRACT'!$O$3</f>
        <v>1775.5360344827586</v>
      </c>
    </row>
    <row r="7" spans="2:13" x14ac:dyDescent="0.25">
      <c r="B7" s="861" t="s">
        <v>228</v>
      </c>
      <c r="C7" s="862"/>
      <c r="D7" s="862"/>
      <c r="E7" s="862"/>
      <c r="F7" s="862"/>
      <c r="G7" s="933"/>
      <c r="H7" s="863" t="s">
        <v>227</v>
      </c>
      <c r="I7" s="864">
        <f>'HPP FRACT'!$O$4</f>
        <v>29</v>
      </c>
    </row>
    <row r="8" spans="2:13" ht="15.75" thickBot="1" x14ac:dyDescent="0.3">
      <c r="B8" s="934" t="s">
        <v>549</v>
      </c>
      <c r="C8" s="935"/>
      <c r="D8" s="935"/>
      <c r="E8" s="935"/>
      <c r="F8" s="935"/>
      <c r="G8" s="867"/>
      <c r="H8" s="936" t="s">
        <v>279</v>
      </c>
      <c r="I8" s="869">
        <f>$I$7*$I$6</f>
        <v>51490.544999999998</v>
      </c>
    </row>
    <row r="9" spans="2:13" ht="15.75" thickBot="1" x14ac:dyDescent="0.3">
      <c r="B9" s="865" t="s">
        <v>230</v>
      </c>
      <c r="C9" s="866"/>
      <c r="D9" s="866"/>
      <c r="E9" s="866"/>
      <c r="F9" s="866"/>
      <c r="G9" s="867"/>
      <c r="H9" s="868" t="s">
        <v>231</v>
      </c>
      <c r="I9" s="1149">
        <v>16000</v>
      </c>
    </row>
    <row r="10" spans="2:13" ht="15.75" thickBot="1" x14ac:dyDescent="0.3">
      <c r="B10" s="870" t="s">
        <v>98</v>
      </c>
      <c r="C10" s="871" t="s">
        <v>283</v>
      </c>
      <c r="D10" s="2261" t="s">
        <v>284</v>
      </c>
      <c r="E10" s="2262"/>
      <c r="F10" s="2263"/>
      <c r="G10" s="872" t="s">
        <v>364</v>
      </c>
      <c r="H10" s="870" t="s">
        <v>285</v>
      </c>
      <c r="I10" s="872" t="s">
        <v>225</v>
      </c>
    </row>
    <row r="11" spans="2:13" ht="15.75" thickTop="1" x14ac:dyDescent="0.25">
      <c r="B11" s="873" t="s">
        <v>286</v>
      </c>
      <c r="C11" s="874" t="s">
        <v>365</v>
      </c>
      <c r="D11" s="875" t="s">
        <v>366</v>
      </c>
      <c r="E11" s="874" t="s">
        <v>287</v>
      </c>
      <c r="F11" s="876"/>
      <c r="G11" s="877">
        <f>'HPP REF '!$M$48</f>
        <v>7271927116.477664</v>
      </c>
      <c r="H11" s="878">
        <f>$G$11/($I$5*1000)</f>
        <v>181.23011212548428</v>
      </c>
      <c r="I11" s="879">
        <f>(G11/$I$9)/$I$5</f>
        <v>11.326882007842768</v>
      </c>
      <c r="M11" s="880"/>
    </row>
    <row r="12" spans="2:13" x14ac:dyDescent="0.25">
      <c r="B12" s="881"/>
      <c r="D12" s="882" t="s">
        <v>366</v>
      </c>
      <c r="E12" s="883" t="s">
        <v>277</v>
      </c>
      <c r="F12" s="884"/>
      <c r="G12" s="403">
        <f>'HPP FRACT'!$M$22</f>
        <v>863368363.15724325</v>
      </c>
      <c r="H12" s="404">
        <f>$G$12/($I$8*1000)</f>
        <v>16.767512621147112</v>
      </c>
      <c r="I12" s="885">
        <f>(G12/$I$9)/$I$8</f>
        <v>1.0479695388216945</v>
      </c>
      <c r="M12" s="880"/>
    </row>
    <row r="13" spans="2:13" x14ac:dyDescent="0.25">
      <c r="B13" s="881"/>
      <c r="D13" s="882" t="s">
        <v>366</v>
      </c>
      <c r="E13" s="883" t="s">
        <v>288</v>
      </c>
      <c r="F13" s="886">
        <v>0</v>
      </c>
      <c r="G13" s="403">
        <f>MTC!$F$18*F13</f>
        <v>0</v>
      </c>
      <c r="H13" s="404">
        <f>$G$13/($I$5*1000)</f>
        <v>0</v>
      </c>
      <c r="I13" s="887">
        <f>(G13/$I$9)/$I$5</f>
        <v>0</v>
      </c>
      <c r="M13" s="880"/>
    </row>
    <row r="14" spans="2:13" x14ac:dyDescent="0.25">
      <c r="B14" s="881"/>
      <c r="D14" s="882"/>
      <c r="E14" s="883"/>
      <c r="F14" s="886"/>
      <c r="G14" s="888">
        <f>SUM(G11:$G$13)</f>
        <v>8135295479.6349068</v>
      </c>
      <c r="H14" s="405">
        <f>SUM($H$11:$H$13)</f>
        <v>197.9976247466314</v>
      </c>
      <c r="I14" s="889">
        <f>SUM(I11:I13)</f>
        <v>12.374851546664463</v>
      </c>
      <c r="K14" s="901"/>
      <c r="M14" s="880"/>
    </row>
    <row r="15" spans="2:13" x14ac:dyDescent="0.25">
      <c r="B15" s="890"/>
      <c r="C15" s="891"/>
      <c r="D15" s="892"/>
      <c r="E15" s="893"/>
      <c r="F15" s="894"/>
      <c r="G15" s="895"/>
      <c r="H15" s="896"/>
      <c r="I15" s="897"/>
      <c r="M15" s="880"/>
    </row>
    <row r="16" spans="2:13" x14ac:dyDescent="0.25">
      <c r="B16" s="881" t="s">
        <v>289</v>
      </c>
      <c r="C16" s="339" t="s">
        <v>367</v>
      </c>
      <c r="D16" s="882" t="s">
        <v>366</v>
      </c>
      <c r="E16" s="898" t="s">
        <v>368</v>
      </c>
      <c r="F16" s="886"/>
      <c r="G16" s="403">
        <f>LOG!I8+LOG!I9+LOG!$I$10</f>
        <v>4165977453.1199999</v>
      </c>
      <c r="H16" s="404">
        <f>$G$16/($I$5*1000)</f>
        <v>103.824</v>
      </c>
      <c r="I16" s="885">
        <f>($G$16/$I$9)/$I$5</f>
        <v>6.4889999999999999</v>
      </c>
      <c r="M16" s="899"/>
    </row>
    <row r="17" spans="2:13" x14ac:dyDescent="0.25">
      <c r="B17" s="881"/>
      <c r="D17" s="882" t="s">
        <v>366</v>
      </c>
      <c r="E17" s="900" t="s">
        <v>369</v>
      </c>
      <c r="F17" s="886">
        <f>F4</f>
        <v>1</v>
      </c>
      <c r="G17" s="403">
        <f>LOG!I11+LOG!I12+LOG!I13+LOG!$I$14*F17</f>
        <v>1886000000</v>
      </c>
      <c r="H17" s="404">
        <f>$G$17/($I$5*1000)</f>
        <v>47.002670130476019</v>
      </c>
      <c r="I17" s="885">
        <f>($G$17/$I$9)/$I$5</f>
        <v>2.9376668831547517</v>
      </c>
      <c r="M17" s="899"/>
    </row>
    <row r="18" spans="2:13" x14ac:dyDescent="0.25">
      <c r="B18" s="881"/>
      <c r="D18" s="882" t="s">
        <v>366</v>
      </c>
      <c r="E18" s="883" t="s">
        <v>370</v>
      </c>
      <c r="F18" s="886"/>
      <c r="G18" s="403">
        <f>LOG!I18+LOG!I19+LOG!I20+LOG!$I$21</f>
        <v>2149436355.8400002</v>
      </c>
      <c r="H18" s="404">
        <f>$G$18/($I$5*1000)</f>
        <v>53.568000000000005</v>
      </c>
      <c r="I18" s="885">
        <f>($G$18/$I$9)/$I$5</f>
        <v>3.3480000000000008</v>
      </c>
      <c r="M18" s="899"/>
    </row>
    <row r="19" spans="2:13" x14ac:dyDescent="0.25">
      <c r="B19" s="881"/>
      <c r="D19" s="882" t="s">
        <v>366</v>
      </c>
      <c r="E19" s="883" t="s">
        <v>371</v>
      </c>
      <c r="F19" s="886"/>
      <c r="G19" s="403">
        <f>LOG!I15+LOG!I16+LOG!$I$17</f>
        <v>1711588209.28</v>
      </c>
      <c r="H19" s="404">
        <f>$G$19/($I$5*1000)</f>
        <v>42.655999999999999</v>
      </c>
      <c r="I19" s="885">
        <f>($G$19/$I$9)/$I$5</f>
        <v>2.6660000000000004</v>
      </c>
      <c r="M19" s="899"/>
    </row>
    <row r="20" spans="2:13" x14ac:dyDescent="0.25">
      <c r="B20" s="881"/>
      <c r="D20" s="402"/>
      <c r="E20" s="883"/>
      <c r="F20" s="884"/>
      <c r="G20" s="888">
        <f>SUM($G$16:$G$19)</f>
        <v>9913002018.2399998</v>
      </c>
      <c r="H20" s="405">
        <f>SUM($H$16:$H$19)</f>
        <v>247.05067013047605</v>
      </c>
      <c r="I20" s="405">
        <f>SUM($I$16:$I$19)</f>
        <v>15.440666883154753</v>
      </c>
      <c r="K20" s="901"/>
      <c r="M20" s="899"/>
    </row>
    <row r="21" spans="2:13" x14ac:dyDescent="0.25">
      <c r="B21" s="890"/>
      <c r="C21" s="891"/>
      <c r="D21" s="902"/>
      <c r="E21" s="893"/>
      <c r="F21" s="903"/>
      <c r="G21" s="891"/>
      <c r="H21" s="904"/>
      <c r="I21" s="905"/>
      <c r="M21" s="899"/>
    </row>
    <row r="22" spans="2:13" x14ac:dyDescent="0.25">
      <c r="B22" s="906" t="s">
        <v>289</v>
      </c>
      <c r="C22" s="907" t="s">
        <v>290</v>
      </c>
      <c r="D22" s="908" t="s">
        <v>366</v>
      </c>
      <c r="E22" s="907" t="s">
        <v>291</v>
      </c>
      <c r="F22" s="909">
        <f>F4</f>
        <v>1</v>
      </c>
      <c r="G22" s="910">
        <f>[1]MPC!$H$29*$F$22</f>
        <v>2184665532.2092161</v>
      </c>
      <c r="H22" s="404">
        <f>$G$22/($I$5*1000)</f>
        <v>54.445977389104257</v>
      </c>
      <c r="I22" s="885">
        <f>($G$22/$I$9)/$I$5</f>
        <v>3.4028735868190161</v>
      </c>
      <c r="M22" s="880"/>
    </row>
    <row r="23" spans="2:13" x14ac:dyDescent="0.25">
      <c r="B23" s="881"/>
      <c r="D23" s="882" t="s">
        <v>366</v>
      </c>
      <c r="E23" s="883" t="s">
        <v>292</v>
      </c>
      <c r="F23" s="886">
        <f>F4</f>
        <v>1</v>
      </c>
      <c r="G23" s="403">
        <f>OH!G51*$F$23</f>
        <v>1436056392.483475</v>
      </c>
      <c r="H23" s="404">
        <f>$G$23/($I$5*1000)</f>
        <v>35.78922847543064</v>
      </c>
      <c r="I23" s="885">
        <f>($G$23/$I$9)/$I$5</f>
        <v>2.236826779714415</v>
      </c>
      <c r="M23" s="880"/>
    </row>
    <row r="24" spans="2:13" x14ac:dyDescent="0.25">
      <c r="B24" s="881"/>
      <c r="D24" s="882" t="s">
        <v>366</v>
      </c>
      <c r="E24" s="883" t="s">
        <v>293</v>
      </c>
      <c r="F24" s="886">
        <f>F4</f>
        <v>1</v>
      </c>
      <c r="G24" s="403">
        <f>DEP!I9*$F$24</f>
        <v>4181184787.4775009</v>
      </c>
      <c r="H24" s="404">
        <f>$G$24/($I$5*1000)</f>
        <v>104.20299539786292</v>
      </c>
      <c r="I24" s="885">
        <f>($G$24/$I$9)/$I$5</f>
        <v>6.5126872123664326</v>
      </c>
      <c r="M24" s="880"/>
    </row>
    <row r="25" spans="2:13" x14ac:dyDescent="0.25">
      <c r="B25" s="881"/>
      <c r="D25" s="882" t="s">
        <v>366</v>
      </c>
      <c r="E25" s="883" t="s">
        <v>294</v>
      </c>
      <c r="F25" s="886">
        <f>F4</f>
        <v>1</v>
      </c>
      <c r="G25" s="403">
        <f>AMOR!$G$20*$F$25</f>
        <v>1048409804.9999995</v>
      </c>
      <c r="H25" s="404">
        <f>$G$25/($I$5*1000)</f>
        <v>26.12834582501149</v>
      </c>
      <c r="I25" s="885">
        <f>($G$25/$I$9)/$I$5</f>
        <v>1.6330216140632181</v>
      </c>
      <c r="M25" s="880"/>
    </row>
    <row r="26" spans="2:13" x14ac:dyDescent="0.25">
      <c r="B26" s="881"/>
      <c r="D26" s="402"/>
      <c r="E26" s="883"/>
      <c r="F26" s="884"/>
      <c r="G26" s="888">
        <f>SUM($G$22:$G$25)</f>
        <v>8850316517.1701908</v>
      </c>
      <c r="H26" s="405">
        <f>SUM($H$22:$H$25)</f>
        <v>220.56654708740928</v>
      </c>
      <c r="I26" s="889">
        <f>SUM($I$22:$I$25)</f>
        <v>13.78540919296308</v>
      </c>
      <c r="K26" s="901"/>
      <c r="M26" s="880"/>
    </row>
    <row r="27" spans="2:13" ht="15.75" thickBot="1" x14ac:dyDescent="0.3">
      <c r="B27" s="881"/>
      <c r="D27" s="402"/>
      <c r="E27" s="883"/>
      <c r="F27" s="884"/>
      <c r="H27" s="405"/>
      <c r="I27" s="911"/>
      <c r="M27" s="880"/>
    </row>
    <row r="28" spans="2:13" ht="17.25" thickTop="1" thickBot="1" x14ac:dyDescent="0.3">
      <c r="B28" s="2264" t="s">
        <v>372</v>
      </c>
      <c r="C28" s="2264"/>
      <c r="D28" s="2264"/>
      <c r="E28" s="2264"/>
      <c r="F28" s="2264"/>
      <c r="G28" s="912">
        <f>$G$26+$G$20+$G$14</f>
        <v>26898614015.045097</v>
      </c>
      <c r="H28" s="913">
        <f>$H$26+$H$20+$H$14</f>
        <v>665.6148419645167</v>
      </c>
      <c r="I28" s="913">
        <f>$I$26+$I$20+$I$14</f>
        <v>41.600927622782294</v>
      </c>
      <c r="K28" s="901"/>
    </row>
  </sheetData>
  <mergeCells count="2">
    <mergeCell ref="D10:F10"/>
    <mergeCell ref="B28:F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C5C-2170-40AD-BA3F-B88F7DED0F4F}">
  <dimension ref="A1"/>
  <sheetViews>
    <sheetView workbookViewId="0">
      <selection activeCell="F28" sqref="F28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658B-63EE-4079-B176-FA31030CC66F}">
  <dimension ref="A1:BE44"/>
  <sheetViews>
    <sheetView topLeftCell="C10" zoomScale="80" zoomScaleNormal="80" workbookViewId="0">
      <selection activeCell="AC27" sqref="AC27"/>
    </sheetView>
  </sheetViews>
  <sheetFormatPr defaultColWidth="12.5703125" defaultRowHeight="15" x14ac:dyDescent="0.25"/>
  <cols>
    <col min="1" max="1" width="16.5703125" style="1582" customWidth="1"/>
    <col min="2" max="2" width="16.42578125" style="1582" customWidth="1"/>
    <col min="3" max="4" width="12.5703125" style="1582"/>
    <col min="5" max="5" width="14.42578125" style="1582" customWidth="1"/>
    <col min="6" max="6" width="15.42578125" style="1582" customWidth="1"/>
    <col min="7" max="7" width="15.42578125" style="1582" bestFit="1" customWidth="1"/>
    <col min="8" max="8" width="26" style="1582" customWidth="1"/>
    <col min="9" max="9" width="20.140625" style="1582" bestFit="1" customWidth="1"/>
    <col min="10" max="10" width="9.42578125" style="1582" customWidth="1"/>
    <col min="11" max="11" width="11.140625" style="1582" bestFit="1" customWidth="1"/>
    <col min="12" max="12" width="11.5703125" style="1582" hidden="1" customWidth="1"/>
    <col min="13" max="14" width="10.5703125" style="1582" customWidth="1"/>
    <col min="15" max="15" width="11" style="1582" hidden="1" customWidth="1"/>
    <col min="16" max="16" width="9.42578125" style="1582" customWidth="1"/>
    <col min="17" max="17" width="11.140625" style="1582" customWidth="1"/>
    <col min="18" max="18" width="0.42578125" style="1582" customWidth="1"/>
    <col min="19" max="20" width="9.42578125" style="1582" customWidth="1"/>
    <col min="21" max="21" width="9.5703125" style="1582" customWidth="1"/>
    <col min="22" max="22" width="10.5703125" style="1582" bestFit="1" customWidth="1"/>
    <col min="23" max="23" width="9.5703125" style="1582" customWidth="1"/>
    <col min="24" max="16384" width="12.5703125" style="1582"/>
  </cols>
  <sheetData>
    <row r="1" spans="1:23" ht="15" customHeight="1" x14ac:dyDescent="0.25">
      <c r="E1" s="2266"/>
      <c r="F1" s="2266"/>
      <c r="G1" s="2266"/>
    </row>
    <row r="2" spans="1:23" ht="15" customHeight="1" x14ac:dyDescent="0.25">
      <c r="E2" s="2266"/>
      <c r="F2" s="2266"/>
      <c r="G2" s="2266"/>
    </row>
    <row r="4" spans="1:23" ht="18.75" x14ac:dyDescent="0.3">
      <c r="A4" s="1582" t="s">
        <v>908</v>
      </c>
      <c r="I4" s="2267" t="s">
        <v>984</v>
      </c>
      <c r="J4" s="2268"/>
      <c r="K4" s="2268"/>
      <c r="L4" s="2268"/>
      <c r="M4" s="2268"/>
      <c r="N4" s="2268"/>
      <c r="O4" s="2268"/>
      <c r="P4" s="2268"/>
      <c r="Q4" s="2268"/>
      <c r="R4" s="2269"/>
      <c r="S4" s="2270" t="s">
        <v>985</v>
      </c>
      <c r="T4" s="2270"/>
      <c r="U4" s="2270"/>
      <c r="V4" s="2270"/>
      <c r="W4" s="2271" t="s">
        <v>1098</v>
      </c>
    </row>
    <row r="5" spans="1:23" ht="15.75" x14ac:dyDescent="0.25">
      <c r="A5" s="1642" t="s">
        <v>1137</v>
      </c>
      <c r="I5" s="2273" t="s">
        <v>983</v>
      </c>
      <c r="J5" s="2274"/>
      <c r="K5" s="2274"/>
      <c r="L5" s="2275"/>
      <c r="M5" s="2276" t="s">
        <v>970</v>
      </c>
      <c r="N5" s="2277"/>
      <c r="O5" s="2278"/>
      <c r="P5" s="2279" t="s">
        <v>73</v>
      </c>
      <c r="Q5" s="2279"/>
      <c r="R5" s="2279"/>
      <c r="S5" s="2280" t="s">
        <v>974</v>
      </c>
      <c r="T5" s="2280"/>
      <c r="U5" s="2280" t="s">
        <v>975</v>
      </c>
      <c r="V5" s="2280"/>
      <c r="W5" s="2272"/>
    </row>
    <row r="6" spans="1:23" ht="165" x14ac:dyDescent="0.25">
      <c r="A6" s="1605" t="s">
        <v>877</v>
      </c>
      <c r="B6" s="1604" t="s">
        <v>878</v>
      </c>
      <c r="C6" s="1604" t="s">
        <v>879</v>
      </c>
      <c r="D6" s="1605" t="s">
        <v>880</v>
      </c>
      <c r="E6" s="1604" t="s">
        <v>909</v>
      </c>
      <c r="F6" s="1606" t="s">
        <v>910</v>
      </c>
      <c r="G6" s="1605" t="s">
        <v>14</v>
      </c>
      <c r="I6" s="1714" t="s">
        <v>168</v>
      </c>
      <c r="J6" s="1715" t="s">
        <v>169</v>
      </c>
      <c r="K6" s="1715" t="s">
        <v>170</v>
      </c>
      <c r="L6" s="1715" t="s">
        <v>973</v>
      </c>
      <c r="M6" s="1716" t="s">
        <v>169</v>
      </c>
      <c r="N6" s="1716" t="s">
        <v>170</v>
      </c>
      <c r="O6" s="1716" t="s">
        <v>973</v>
      </c>
      <c r="P6" s="1717" t="s">
        <v>169</v>
      </c>
      <c r="Q6" s="1717" t="s">
        <v>170</v>
      </c>
      <c r="R6" s="1728" t="s">
        <v>973</v>
      </c>
      <c r="S6" s="1913" t="s">
        <v>169</v>
      </c>
      <c r="T6" s="1913" t="s">
        <v>972</v>
      </c>
      <c r="U6" s="1914" t="s">
        <v>169</v>
      </c>
      <c r="V6" s="1914" t="s">
        <v>972</v>
      </c>
      <c r="W6" s="1914"/>
    </row>
    <row r="7" spans="1:23" x14ac:dyDescent="0.25">
      <c r="A7" s="1586" t="s">
        <v>911</v>
      </c>
      <c r="B7" s="1588">
        <v>70.510000000000005</v>
      </c>
      <c r="C7" s="1607">
        <v>890</v>
      </c>
      <c r="D7" s="1588">
        <v>60</v>
      </c>
      <c r="E7" s="1608">
        <f>D7/100</f>
        <v>0.6</v>
      </c>
      <c r="F7" s="2030">
        <v>0</v>
      </c>
      <c r="G7" s="1609">
        <f>E7*F7*1000</f>
        <v>0</v>
      </c>
      <c r="H7" s="1582" t="s">
        <v>215</v>
      </c>
      <c r="I7" s="795">
        <v>46023</v>
      </c>
      <c r="J7" s="2034"/>
      <c r="K7" s="2034"/>
      <c r="L7" s="1720"/>
      <c r="M7" s="2036"/>
      <c r="N7" s="2036"/>
      <c r="O7" s="1586"/>
      <c r="P7" s="304"/>
      <c r="Q7" s="1587"/>
      <c r="R7" s="1718"/>
      <c r="S7" s="1901"/>
      <c r="T7" s="1901"/>
      <c r="U7" s="1901"/>
      <c r="V7" s="1901"/>
      <c r="W7" s="1708"/>
    </row>
    <row r="8" spans="1:23" x14ac:dyDescent="0.25">
      <c r="A8" s="1586" t="s">
        <v>912</v>
      </c>
      <c r="B8" s="1588">
        <v>70.510000000000005</v>
      </c>
      <c r="C8" s="1607">
        <v>890</v>
      </c>
      <c r="D8" s="1588">
        <v>60</v>
      </c>
      <c r="E8" s="1608">
        <f>D8/100</f>
        <v>0.6</v>
      </c>
      <c r="F8" s="2030">
        <v>0</v>
      </c>
      <c r="G8" s="1609">
        <f t="shared" ref="G8:G21" si="0">E8*F8*1000</f>
        <v>0</v>
      </c>
      <c r="H8" s="1610"/>
      <c r="I8" s="795">
        <v>46024</v>
      </c>
      <c r="J8" s="1901"/>
      <c r="K8" s="2034"/>
      <c r="L8" s="1720"/>
      <c r="M8" s="1901"/>
      <c r="N8" s="2036"/>
      <c r="O8" s="1586"/>
      <c r="P8" s="1587"/>
      <c r="Q8" s="1587"/>
      <c r="R8" s="1718"/>
      <c r="S8" s="1901"/>
      <c r="T8" s="1901"/>
      <c r="U8" s="1901"/>
      <c r="V8" s="1901"/>
      <c r="W8" s="1708"/>
    </row>
    <row r="9" spans="1:23" x14ac:dyDescent="0.25">
      <c r="A9" s="1586" t="s">
        <v>913</v>
      </c>
      <c r="B9" s="1588">
        <v>70.510000000000005</v>
      </c>
      <c r="C9" s="1607">
        <v>890</v>
      </c>
      <c r="D9" s="1588">
        <v>60</v>
      </c>
      <c r="E9" s="1608">
        <f t="shared" ref="E9:E21" si="1">D9/100</f>
        <v>0.6</v>
      </c>
      <c r="F9" s="2030">
        <v>0</v>
      </c>
      <c r="G9" s="1609">
        <f t="shared" si="0"/>
        <v>0</v>
      </c>
      <c r="I9" s="795">
        <v>46025</v>
      </c>
      <c r="J9" s="1901"/>
      <c r="K9" s="2034"/>
      <c r="L9" s="1720"/>
      <c r="M9" s="1901"/>
      <c r="N9" s="2036"/>
      <c r="O9" s="1586"/>
      <c r="P9" s="1587"/>
      <c r="Q9" s="1587"/>
      <c r="R9" s="1718"/>
      <c r="S9" s="1901"/>
      <c r="T9" s="1901"/>
      <c r="U9" s="1901"/>
      <c r="V9" s="1901"/>
      <c r="W9" s="1708"/>
    </row>
    <row r="10" spans="1:23" x14ac:dyDescent="0.25">
      <c r="A10" s="1586" t="s">
        <v>914</v>
      </c>
      <c r="B10" s="1588">
        <v>70.510000000000005</v>
      </c>
      <c r="C10" s="1607">
        <v>890</v>
      </c>
      <c r="D10" s="1588">
        <v>60</v>
      </c>
      <c r="E10" s="1608">
        <f t="shared" si="1"/>
        <v>0.6</v>
      </c>
      <c r="F10" s="2030">
        <v>0</v>
      </c>
      <c r="G10" s="1609">
        <f t="shared" si="0"/>
        <v>0</v>
      </c>
      <c r="I10" s="795">
        <v>46026</v>
      </c>
      <c r="J10" s="1901"/>
      <c r="K10" s="1901"/>
      <c r="L10" s="1901"/>
      <c r="M10" s="1901"/>
      <c r="N10" s="1901"/>
      <c r="O10" s="1901"/>
      <c r="P10" s="1901"/>
      <c r="Q10" s="1901"/>
      <c r="R10" s="1901"/>
      <c r="S10" s="1901"/>
      <c r="T10" s="1901"/>
      <c r="U10" s="1901"/>
      <c r="V10" s="1901"/>
      <c r="W10" s="1901"/>
    </row>
    <row r="11" spans="1:23" x14ac:dyDescent="0.25">
      <c r="A11" s="1586" t="s">
        <v>915</v>
      </c>
      <c r="B11" s="1588">
        <v>70.510000000000005</v>
      </c>
      <c r="C11" s="1607">
        <v>890</v>
      </c>
      <c r="D11" s="1588">
        <v>60</v>
      </c>
      <c r="E11" s="1608">
        <f t="shared" si="1"/>
        <v>0.6</v>
      </c>
      <c r="F11" s="2030">
        <v>0</v>
      </c>
      <c r="G11" s="1609">
        <f t="shared" si="0"/>
        <v>0</v>
      </c>
      <c r="I11" s="795">
        <v>46027</v>
      </c>
      <c r="J11" s="1901"/>
      <c r="K11" s="1901"/>
      <c r="L11" s="1901"/>
      <c r="M11" s="1901"/>
      <c r="N11" s="1901"/>
      <c r="O11" s="1901"/>
      <c r="P11" s="1901"/>
      <c r="Q11" s="1901"/>
      <c r="R11" s="1901"/>
      <c r="S11" s="1901"/>
      <c r="T11" s="1901"/>
      <c r="U11" s="1901"/>
      <c r="V11" s="1901"/>
      <c r="W11" s="1901"/>
    </row>
    <row r="12" spans="1:23" x14ac:dyDescent="0.25">
      <c r="A12" s="1586" t="s">
        <v>916</v>
      </c>
      <c r="B12" s="1588">
        <v>70.510000000000005</v>
      </c>
      <c r="C12" s="1607">
        <v>890</v>
      </c>
      <c r="D12" s="1588">
        <v>60</v>
      </c>
      <c r="E12" s="1608">
        <f t="shared" si="1"/>
        <v>0.6</v>
      </c>
      <c r="F12" s="2030">
        <v>0</v>
      </c>
      <c r="G12" s="1609">
        <f>E12*F12*1000</f>
        <v>0</v>
      </c>
      <c r="I12" s="795">
        <v>46028</v>
      </c>
      <c r="J12" s="1901"/>
      <c r="K12" s="1901"/>
      <c r="L12" s="1901"/>
      <c r="M12" s="1901"/>
      <c r="N12" s="1901"/>
      <c r="O12" s="1901"/>
      <c r="P12" s="1901"/>
      <c r="Q12" s="1901"/>
      <c r="R12" s="1901"/>
      <c r="S12" s="1901"/>
      <c r="T12" s="1901"/>
      <c r="U12" s="1901"/>
      <c r="V12" s="1901"/>
      <c r="W12" s="1901"/>
    </row>
    <row r="13" spans="1:23" x14ac:dyDescent="0.25">
      <c r="A13" s="1586" t="s">
        <v>917</v>
      </c>
      <c r="B13" s="1588">
        <v>70.510000000000005</v>
      </c>
      <c r="C13" s="1607">
        <v>890</v>
      </c>
      <c r="D13" s="1588">
        <v>60</v>
      </c>
      <c r="E13" s="1608">
        <f>D13/100</f>
        <v>0.6</v>
      </c>
      <c r="F13" s="2030">
        <v>0</v>
      </c>
      <c r="G13" s="1609">
        <f t="shared" si="0"/>
        <v>0</v>
      </c>
      <c r="H13" s="1611"/>
      <c r="I13" s="795">
        <v>46029</v>
      </c>
      <c r="J13" s="1901"/>
      <c r="K13" s="1901"/>
      <c r="L13" s="1901"/>
      <c r="M13" s="1901"/>
      <c r="N13" s="1901"/>
      <c r="O13" s="1901"/>
      <c r="P13" s="1901"/>
      <c r="Q13" s="1901"/>
      <c r="R13" s="1901"/>
      <c r="S13" s="1901"/>
      <c r="T13" s="1901"/>
      <c r="U13" s="1901"/>
      <c r="V13" s="1901"/>
      <c r="W13" s="1901"/>
    </row>
    <row r="14" spans="1:23" x14ac:dyDescent="0.25">
      <c r="A14" s="1586" t="s">
        <v>918</v>
      </c>
      <c r="B14" s="1588">
        <v>70.510000000000005</v>
      </c>
      <c r="C14" s="1607">
        <v>890</v>
      </c>
      <c r="D14" s="1588">
        <v>60</v>
      </c>
      <c r="E14" s="1608">
        <f>D14/100</f>
        <v>0.6</v>
      </c>
      <c r="F14" s="2030">
        <v>0</v>
      </c>
      <c r="G14" s="1609">
        <f t="shared" si="0"/>
        <v>0</v>
      </c>
      <c r="I14" s="795">
        <v>46030</v>
      </c>
      <c r="J14" s="1901"/>
      <c r="K14" s="1901"/>
      <c r="L14" s="1901"/>
      <c r="M14" s="1901"/>
      <c r="N14" s="1901"/>
      <c r="O14" s="1901"/>
      <c r="P14" s="1901"/>
      <c r="Q14" s="1901"/>
      <c r="R14" s="1901"/>
      <c r="S14" s="1901"/>
      <c r="T14" s="1901"/>
      <c r="U14" s="1901"/>
      <c r="V14" s="1901"/>
      <c r="W14" s="1901"/>
    </row>
    <row r="15" spans="1:23" ht="14.85" customHeight="1" x14ac:dyDescent="0.25">
      <c r="A15" s="1586" t="s">
        <v>919</v>
      </c>
      <c r="B15" s="1588">
        <v>70.510000000000005</v>
      </c>
      <c r="C15" s="1607">
        <v>890</v>
      </c>
      <c r="D15" s="1588">
        <v>60</v>
      </c>
      <c r="E15" s="1608">
        <f t="shared" si="1"/>
        <v>0.6</v>
      </c>
      <c r="F15" s="2030">
        <v>0</v>
      </c>
      <c r="G15" s="1609">
        <f t="shared" si="0"/>
        <v>0</v>
      </c>
      <c r="I15" s="795">
        <v>46031</v>
      </c>
      <c r="J15" s="1901"/>
      <c r="K15" s="1901"/>
      <c r="L15" s="1901"/>
      <c r="M15" s="1901"/>
      <c r="N15" s="1901"/>
      <c r="O15" s="1901"/>
      <c r="P15" s="1901"/>
      <c r="Q15" s="1901"/>
      <c r="R15" s="1901"/>
      <c r="S15" s="1901"/>
      <c r="T15" s="1901"/>
      <c r="U15" s="1901"/>
      <c r="V15" s="1901"/>
      <c r="W15" s="1901"/>
    </row>
    <row r="16" spans="1:23" ht="14.85" customHeight="1" x14ac:dyDescent="0.25">
      <c r="A16" s="1586" t="s">
        <v>920</v>
      </c>
      <c r="B16" s="1588">
        <v>70.510000000000005</v>
      </c>
      <c r="C16" s="1607">
        <v>890</v>
      </c>
      <c r="D16" s="1588">
        <v>60</v>
      </c>
      <c r="E16" s="1608">
        <f t="shared" si="1"/>
        <v>0.6</v>
      </c>
      <c r="F16" s="2030">
        <v>0</v>
      </c>
      <c r="G16" s="1609">
        <f t="shared" si="0"/>
        <v>0</v>
      </c>
      <c r="H16" s="1585"/>
      <c r="I16" s="795">
        <v>46032</v>
      </c>
      <c r="J16" s="1901"/>
      <c r="K16" s="1901">
        <v>168670</v>
      </c>
      <c r="L16" s="1901"/>
      <c r="M16" s="1901"/>
      <c r="N16" s="1901"/>
      <c r="O16" s="1901"/>
      <c r="P16" s="1901"/>
      <c r="Q16" s="1901"/>
      <c r="R16" s="1901"/>
      <c r="S16" s="1901"/>
      <c r="T16" s="1901"/>
      <c r="U16" s="1901"/>
      <c r="V16" s="1901"/>
      <c r="W16" s="1901"/>
    </row>
    <row r="17" spans="1:28" x14ac:dyDescent="0.25">
      <c r="A17" s="1586" t="s">
        <v>921</v>
      </c>
      <c r="B17" s="1588">
        <v>70.510000000000005</v>
      </c>
      <c r="C17" s="1607">
        <v>890</v>
      </c>
      <c r="D17" s="1588">
        <v>60</v>
      </c>
      <c r="E17" s="1608">
        <f t="shared" si="1"/>
        <v>0.6</v>
      </c>
      <c r="F17" s="2030">
        <v>0</v>
      </c>
      <c r="G17" s="1609">
        <f t="shared" si="0"/>
        <v>0</v>
      </c>
      <c r="I17" s="795">
        <v>46033</v>
      </c>
      <c r="J17" s="1901">
        <f>K16</f>
        <v>168670</v>
      </c>
      <c r="K17" s="1901">
        <v>0</v>
      </c>
      <c r="L17" s="1901"/>
      <c r="M17" s="1901"/>
      <c r="N17" s="1901"/>
      <c r="O17" s="1901"/>
      <c r="P17" s="1901"/>
      <c r="Q17" s="1901"/>
      <c r="R17" s="1901"/>
      <c r="S17" s="1901"/>
      <c r="T17" s="1901"/>
      <c r="U17" s="1901"/>
      <c r="V17" s="1901"/>
      <c r="W17" s="1901"/>
      <c r="X17" s="1585"/>
    </row>
    <row r="18" spans="1:28" x14ac:dyDescent="0.25">
      <c r="A18" s="1586" t="s">
        <v>922</v>
      </c>
      <c r="B18" s="1588">
        <v>70.510000000000005</v>
      </c>
      <c r="C18" s="1607">
        <v>890</v>
      </c>
      <c r="D18" s="1588">
        <v>60</v>
      </c>
      <c r="E18" s="1608">
        <f t="shared" si="1"/>
        <v>0.6</v>
      </c>
      <c r="F18" s="2030">
        <v>0</v>
      </c>
      <c r="G18" s="1609">
        <f t="shared" si="0"/>
        <v>0</v>
      </c>
      <c r="H18" s="1585"/>
      <c r="I18" s="795">
        <v>46034</v>
      </c>
      <c r="J18" s="1901">
        <f t="shared" ref="J18:J24" si="2">K17</f>
        <v>0</v>
      </c>
      <c r="K18" s="1901"/>
      <c r="L18" s="1901"/>
      <c r="M18" s="1901"/>
      <c r="N18" s="1901"/>
      <c r="O18" s="1901"/>
      <c r="P18" s="1901"/>
      <c r="Q18" s="1901"/>
      <c r="R18" s="1901"/>
      <c r="S18" s="1901"/>
      <c r="T18" s="1901"/>
      <c r="U18" s="1901"/>
      <c r="V18" s="1901"/>
      <c r="W18" s="1901"/>
    </row>
    <row r="19" spans="1:28" x14ac:dyDescent="0.25">
      <c r="A19" s="1586" t="s">
        <v>923</v>
      </c>
      <c r="B19" s="1588">
        <v>70.510000000000005</v>
      </c>
      <c r="C19" s="1607">
        <v>890</v>
      </c>
      <c r="D19" s="1588">
        <v>60</v>
      </c>
      <c r="E19" s="1608">
        <f t="shared" si="1"/>
        <v>0.6</v>
      </c>
      <c r="F19" s="2030">
        <v>0</v>
      </c>
      <c r="G19" s="1609">
        <f t="shared" si="0"/>
        <v>0</v>
      </c>
      <c r="I19" s="795">
        <v>46035</v>
      </c>
      <c r="J19" s="1901">
        <f t="shared" si="2"/>
        <v>0</v>
      </c>
      <c r="K19" s="1901"/>
      <c r="L19" s="1901"/>
      <c r="M19" s="1901"/>
      <c r="N19" s="1901"/>
      <c r="O19" s="1901"/>
      <c r="P19" s="1901"/>
      <c r="Q19" s="1901"/>
      <c r="R19" s="1901"/>
      <c r="S19" s="1901"/>
      <c r="T19" s="1901"/>
      <c r="U19" s="1901"/>
      <c r="V19" s="1901"/>
      <c r="W19" s="1901"/>
      <c r="Y19" s="1642"/>
      <c r="Z19" s="1642"/>
      <c r="AA19" s="1642"/>
      <c r="AB19" s="1642"/>
    </row>
    <row r="20" spans="1:28" x14ac:dyDescent="0.25">
      <c r="A20" s="1586" t="s">
        <v>924</v>
      </c>
      <c r="B20" s="1588">
        <v>70.510000000000005</v>
      </c>
      <c r="C20" s="1607">
        <v>890</v>
      </c>
      <c r="D20" s="1588">
        <v>60</v>
      </c>
      <c r="E20" s="1608">
        <f t="shared" si="1"/>
        <v>0.6</v>
      </c>
      <c r="F20" s="2030">
        <v>0</v>
      </c>
      <c r="G20" s="1609">
        <f t="shared" si="0"/>
        <v>0</v>
      </c>
      <c r="I20" s="795">
        <v>46036</v>
      </c>
      <c r="J20" s="1901">
        <f t="shared" si="2"/>
        <v>0</v>
      </c>
      <c r="K20" s="1901"/>
      <c r="L20" s="1901"/>
      <c r="M20" s="1901"/>
      <c r="N20" s="1901"/>
      <c r="O20" s="1901"/>
      <c r="P20" s="1901"/>
      <c r="Q20" s="1901"/>
      <c r="R20" s="1901"/>
      <c r="S20" s="1901"/>
      <c r="T20" s="1901"/>
      <c r="U20" s="1901"/>
      <c r="V20" s="1901"/>
      <c r="W20" s="1901"/>
    </row>
    <row r="21" spans="1:28" x14ac:dyDescent="0.25">
      <c r="A21" s="1586" t="s">
        <v>925</v>
      </c>
      <c r="B21" s="1588">
        <v>70.510000000000005</v>
      </c>
      <c r="C21" s="1607">
        <v>890</v>
      </c>
      <c r="D21" s="1588">
        <v>60</v>
      </c>
      <c r="E21" s="1608">
        <f t="shared" si="1"/>
        <v>0.6</v>
      </c>
      <c r="F21" s="2030">
        <v>0</v>
      </c>
      <c r="G21" s="1609">
        <f t="shared" si="0"/>
        <v>0</v>
      </c>
      <c r="I21" s="795">
        <v>46037</v>
      </c>
      <c r="J21" s="1901">
        <f t="shared" si="2"/>
        <v>0</v>
      </c>
      <c r="K21" s="1901"/>
      <c r="L21" s="1901"/>
      <c r="M21" s="1901"/>
      <c r="N21" s="1901"/>
      <c r="O21" s="1901"/>
      <c r="P21" s="1901"/>
      <c r="Q21" s="1901"/>
      <c r="R21" s="1901"/>
      <c r="S21" s="1901"/>
      <c r="T21" s="1901"/>
      <c r="U21" s="1901"/>
      <c r="V21" s="1901"/>
      <c r="W21" s="1901"/>
    </row>
    <row r="22" spans="1:28" x14ac:dyDescent="0.25">
      <c r="A22" s="1612"/>
      <c r="B22" s="1613"/>
      <c r="C22" s="1614"/>
      <c r="D22" s="1615"/>
      <c r="E22" s="1616"/>
      <c r="F22" s="1970"/>
      <c r="G22" s="1617"/>
      <c r="H22" s="1637"/>
      <c r="I22" s="795">
        <v>46038</v>
      </c>
      <c r="J22" s="1901">
        <f t="shared" si="2"/>
        <v>0</v>
      </c>
      <c r="K22" s="1901">
        <v>287700</v>
      </c>
      <c r="L22" s="1901"/>
      <c r="M22" s="1901"/>
      <c r="N22" s="1901"/>
      <c r="O22" s="1901"/>
      <c r="P22" s="1901"/>
      <c r="Q22" s="1901"/>
      <c r="R22" s="1901"/>
      <c r="S22" s="1901"/>
      <c r="T22" s="1901"/>
      <c r="U22" s="1901"/>
      <c r="V22" s="1901"/>
      <c r="W22" s="1901"/>
    </row>
    <row r="23" spans="1:28" x14ac:dyDescent="0.25">
      <c r="A23" s="1619"/>
      <c r="B23" s="1619"/>
      <c r="C23" s="1619"/>
      <c r="D23" s="1595"/>
      <c r="E23" s="1594"/>
      <c r="F23" s="1618" t="s">
        <v>926</v>
      </c>
      <c r="G23" s="1638">
        <f>SUM(G7:G21)</f>
        <v>0</v>
      </c>
      <c r="H23" s="1585"/>
      <c r="I23" s="795">
        <v>46039</v>
      </c>
      <c r="J23" s="1901">
        <f t="shared" si="2"/>
        <v>287700</v>
      </c>
      <c r="K23" s="1901">
        <v>446900</v>
      </c>
      <c r="L23" s="1901"/>
      <c r="M23" s="1901"/>
      <c r="N23" s="1901"/>
      <c r="O23" s="1901"/>
      <c r="P23" s="1901"/>
      <c r="Q23" s="1901"/>
      <c r="R23" s="1901"/>
      <c r="S23" s="1901"/>
      <c r="T23" s="1901"/>
      <c r="U23" s="1901"/>
      <c r="V23" s="1901"/>
      <c r="W23" s="1901"/>
      <c r="X23" s="1585"/>
      <c r="Y23" s="2148"/>
    </row>
    <row r="24" spans="1:28" x14ac:dyDescent="0.25">
      <c r="A24" s="1619"/>
      <c r="B24" s="1619"/>
      <c r="C24" s="1619"/>
      <c r="D24" s="1595"/>
      <c r="E24" s="1594"/>
      <c r="G24" s="1620"/>
      <c r="H24" s="1585"/>
      <c r="I24" s="795">
        <v>46040</v>
      </c>
      <c r="J24" s="1901">
        <f t="shared" si="2"/>
        <v>446900</v>
      </c>
      <c r="K24" s="1901">
        <v>446900</v>
      </c>
      <c r="L24" s="1901"/>
      <c r="M24" s="1901"/>
      <c r="N24" s="1901"/>
      <c r="O24" s="1901"/>
      <c r="P24" s="1901"/>
      <c r="Q24" s="1901"/>
      <c r="R24" s="1901"/>
      <c r="S24" s="1901"/>
      <c r="T24" s="1901"/>
      <c r="U24" s="1901"/>
      <c r="V24" s="1901"/>
      <c r="W24" s="1901"/>
      <c r="X24" s="1585"/>
    </row>
    <row r="25" spans="1:28" x14ac:dyDescent="0.25">
      <c r="A25" s="1582" t="s">
        <v>927</v>
      </c>
      <c r="D25" s="1595"/>
      <c r="E25" s="1594"/>
      <c r="G25" s="1620"/>
      <c r="I25" s="795">
        <v>46041</v>
      </c>
      <c r="J25" s="1901">
        <v>416900</v>
      </c>
      <c r="K25" s="1901">
        <v>416900</v>
      </c>
      <c r="L25" s="1720"/>
      <c r="M25" s="1901"/>
      <c r="N25" s="1919"/>
      <c r="O25" s="1586"/>
      <c r="P25" s="1919"/>
      <c r="Q25" s="1919"/>
      <c r="R25" s="1718"/>
      <c r="S25" s="1901"/>
      <c r="T25" s="1711"/>
      <c r="U25" s="1901"/>
      <c r="V25" s="1711"/>
      <c r="W25" s="1711"/>
      <c r="Z25" s="1585"/>
      <c r="AB25" s="1585"/>
    </row>
    <row r="26" spans="1:28" ht="42.75" x14ac:dyDescent="0.25">
      <c r="A26" s="1605" t="s">
        <v>877</v>
      </c>
      <c r="B26" s="1604" t="s">
        <v>878</v>
      </c>
      <c r="C26" s="1604" t="s">
        <v>879</v>
      </c>
      <c r="D26" s="1605" t="s">
        <v>880</v>
      </c>
      <c r="E26" s="1604" t="s">
        <v>909</v>
      </c>
      <c r="F26" s="1621" t="s">
        <v>910</v>
      </c>
      <c r="G26" s="1605" t="s">
        <v>14</v>
      </c>
      <c r="I26" s="795">
        <v>46042</v>
      </c>
      <c r="J26" s="1901"/>
      <c r="K26" s="2034"/>
      <c r="L26" s="2108"/>
      <c r="M26" s="1901"/>
      <c r="N26" s="2034"/>
      <c r="O26" s="1635"/>
      <c r="P26" s="2034"/>
      <c r="Q26" s="2034"/>
      <c r="R26" s="2109"/>
      <c r="S26" s="1901"/>
      <c r="T26" s="1902"/>
      <c r="U26" s="1901"/>
      <c r="V26" s="1902"/>
      <c r="W26" s="1711"/>
      <c r="X26" s="1585"/>
      <c r="Z26" s="1585"/>
      <c r="AB26" s="1585"/>
    </row>
    <row r="27" spans="1:28" x14ac:dyDescent="0.25">
      <c r="A27" s="1644" t="s">
        <v>944</v>
      </c>
      <c r="B27" s="1587">
        <v>15.95</v>
      </c>
      <c r="C27" s="1587">
        <v>885</v>
      </c>
      <c r="D27" s="1588">
        <f>B27*C27/1000</f>
        <v>14.11575</v>
      </c>
      <c r="E27" s="1608">
        <f>D27/100</f>
        <v>0.14115749999999999</v>
      </c>
      <c r="F27" s="2033"/>
      <c r="G27" s="1609">
        <f>E27*F27*1000</f>
        <v>0</v>
      </c>
      <c r="I27" s="795">
        <v>46043</v>
      </c>
      <c r="J27" s="1901"/>
      <c r="K27" s="2034"/>
      <c r="L27" s="1720"/>
      <c r="M27" s="1901"/>
      <c r="N27" s="2034"/>
      <c r="O27" s="1586"/>
      <c r="P27" s="1919"/>
      <c r="Q27" s="1919"/>
      <c r="R27" s="1718"/>
      <c r="S27" s="1901"/>
      <c r="T27" s="1902"/>
      <c r="U27" s="1901"/>
      <c r="V27" s="1902"/>
      <c r="W27" s="1711"/>
      <c r="X27" s="1585"/>
    </row>
    <row r="28" spans="1:28" x14ac:dyDescent="0.25">
      <c r="A28" s="1644" t="s">
        <v>940</v>
      </c>
      <c r="B28" s="1587">
        <v>3.02</v>
      </c>
      <c r="C28" s="1587">
        <v>885</v>
      </c>
      <c r="D28" s="1588">
        <f>B28*C28/1000</f>
        <v>2.6726999999999999</v>
      </c>
      <c r="E28" s="1608">
        <f>D28/100</f>
        <v>2.6726999999999997E-2</v>
      </c>
      <c r="F28" s="2033"/>
      <c r="G28" s="1609">
        <f>E28*F28*1000</f>
        <v>0</v>
      </c>
      <c r="I28" s="795">
        <v>46044</v>
      </c>
      <c r="J28" s="1901"/>
      <c r="K28" s="2034"/>
      <c r="L28" s="1720"/>
      <c r="M28" s="1901"/>
      <c r="N28" s="2034"/>
      <c r="O28" s="1586"/>
      <c r="P28" s="304"/>
      <c r="Q28" s="1643"/>
      <c r="R28" s="1718"/>
      <c r="S28" s="1901"/>
      <c r="T28" s="1902"/>
      <c r="U28" s="1901"/>
      <c r="V28" s="1902"/>
      <c r="W28" s="1711"/>
      <c r="X28" s="1585"/>
    </row>
    <row r="29" spans="1:28" x14ac:dyDescent="0.25">
      <c r="A29" s="1586" t="s">
        <v>928</v>
      </c>
      <c r="B29" s="1587">
        <v>82.48</v>
      </c>
      <c r="C29" s="1587">
        <v>885</v>
      </c>
      <c r="D29" s="1588">
        <f>B29*C29/1000</f>
        <v>72.994799999999998</v>
      </c>
      <c r="E29" s="1608">
        <f>D29/100</f>
        <v>0.72994799999999993</v>
      </c>
      <c r="F29" s="2033"/>
      <c r="G29" s="1609">
        <f>E29*F29*1000</f>
        <v>0</v>
      </c>
      <c r="H29" s="1622"/>
      <c r="I29" s="795">
        <v>46045</v>
      </c>
      <c r="J29" s="1901"/>
      <c r="K29" s="2034"/>
      <c r="L29" s="1720"/>
      <c r="M29" s="1901"/>
      <c r="N29" s="1919"/>
      <c r="O29" s="1586"/>
      <c r="P29" s="304"/>
      <c r="Q29" s="1643"/>
      <c r="R29" s="1718"/>
      <c r="S29" s="1901"/>
      <c r="T29" s="1901"/>
      <c r="U29" s="1901"/>
      <c r="V29" s="1711"/>
      <c r="W29" s="1711"/>
      <c r="Z29" s="2141"/>
      <c r="AA29" s="2142"/>
      <c r="AB29" s="2141"/>
    </row>
    <row r="30" spans="1:28" x14ac:dyDescent="0.25">
      <c r="A30" s="1586" t="s">
        <v>929</v>
      </c>
      <c r="B30" s="1587">
        <v>16.95</v>
      </c>
      <c r="C30" s="1587">
        <v>885</v>
      </c>
      <c r="D30" s="1588">
        <f>B30*C30/1000</f>
        <v>15.00075</v>
      </c>
      <c r="E30" s="1608">
        <f>D30/100</f>
        <v>0.15000749999999999</v>
      </c>
      <c r="F30" s="2033"/>
      <c r="G30" s="1609">
        <f>E30*F30*1000</f>
        <v>0</v>
      </c>
      <c r="H30" s="1602"/>
      <c r="I30" s="795">
        <v>46046</v>
      </c>
      <c r="J30" s="1901"/>
      <c r="K30" s="2034"/>
      <c r="L30" s="1720"/>
      <c r="M30" s="1901"/>
      <c r="N30" s="1919"/>
      <c r="O30" s="1586"/>
      <c r="P30" s="1643"/>
      <c r="Q30" s="1643"/>
      <c r="R30" s="1718"/>
      <c r="S30" s="1901"/>
      <c r="T30" s="2148"/>
      <c r="U30" s="1901"/>
      <c r="V30" s="1711"/>
      <c r="W30" s="1711"/>
      <c r="AA30" s="2142"/>
    </row>
    <row r="31" spans="1:28" x14ac:dyDescent="0.25">
      <c r="F31" s="1618" t="s">
        <v>1138</v>
      </c>
      <c r="G31" s="1638">
        <f>SUM(G27:G30)</f>
        <v>0</v>
      </c>
      <c r="I31" s="795">
        <v>46047</v>
      </c>
      <c r="J31" s="1901"/>
      <c r="K31" s="2034"/>
      <c r="L31" s="1720"/>
      <c r="M31" s="1901"/>
      <c r="N31" s="2034"/>
      <c r="O31" s="1586"/>
      <c r="P31" s="1643"/>
      <c r="Q31" s="1643"/>
      <c r="R31" s="1718"/>
      <c r="S31" s="1901"/>
      <c r="T31" s="1901"/>
      <c r="U31" s="1901"/>
      <c r="V31" s="1711"/>
      <c r="W31" s="1901"/>
    </row>
    <row r="32" spans="1:28" x14ac:dyDescent="0.25">
      <c r="H32" s="1630"/>
      <c r="I32" s="795">
        <v>46048</v>
      </c>
      <c r="J32" s="1901"/>
      <c r="K32" s="2034">
        <v>402210</v>
      </c>
      <c r="L32" s="1720"/>
      <c r="M32" s="1901"/>
      <c r="N32" s="2034">
        <v>37360</v>
      </c>
      <c r="O32" s="1586"/>
      <c r="P32" s="2036"/>
      <c r="Q32" s="1643"/>
      <c r="R32" s="1718"/>
      <c r="S32" s="1901"/>
      <c r="T32" s="1901"/>
      <c r="U32" s="1901"/>
      <c r="V32" s="1711"/>
      <c r="W32" s="1901"/>
    </row>
    <row r="33" spans="1:57" ht="23.1" customHeight="1" x14ac:dyDescent="0.25">
      <c r="I33" s="795">
        <v>46049</v>
      </c>
      <c r="J33" s="1901">
        <f>K32</f>
        <v>402210</v>
      </c>
      <c r="K33" s="2034">
        <v>309830</v>
      </c>
      <c r="L33" s="1720"/>
      <c r="M33" s="1901">
        <f>N32</f>
        <v>37360</v>
      </c>
      <c r="N33" s="2034">
        <f>280+1278+1358</f>
        <v>2916</v>
      </c>
      <c r="O33" s="1586"/>
      <c r="P33" s="1909"/>
      <c r="Q33" s="1643"/>
      <c r="R33" s="1718"/>
      <c r="S33" s="1901"/>
      <c r="T33" s="1901"/>
      <c r="U33" s="1901"/>
      <c r="V33" s="1901"/>
      <c r="W33" s="1901"/>
    </row>
    <row r="34" spans="1:57" ht="15" customHeight="1" x14ac:dyDescent="0.25">
      <c r="H34" s="2265"/>
      <c r="I34" s="795">
        <v>46050</v>
      </c>
      <c r="J34" s="1901">
        <f>K33</f>
        <v>309830</v>
      </c>
      <c r="K34" s="2034"/>
      <c r="L34" s="1720"/>
      <c r="M34" s="1901">
        <f>N33</f>
        <v>2916</v>
      </c>
      <c r="N34" s="2036"/>
      <c r="O34" s="1586"/>
      <c r="P34" s="304"/>
      <c r="Q34" s="1587"/>
      <c r="R34" s="1718"/>
      <c r="S34" s="1901"/>
      <c r="T34" s="1901"/>
      <c r="U34" s="1901"/>
      <c r="V34" s="1901"/>
      <c r="W34" s="1708"/>
    </row>
    <row r="35" spans="1:57" ht="15" customHeight="1" x14ac:dyDescent="0.25">
      <c r="H35" s="2265"/>
      <c r="I35" s="795">
        <v>46051</v>
      </c>
      <c r="J35" s="1901"/>
      <c r="K35" s="2034"/>
      <c r="L35" s="2034"/>
      <c r="M35" s="1901"/>
      <c r="N35" s="2034"/>
      <c r="O35" s="2035"/>
      <c r="P35" s="304"/>
      <c r="Q35" s="1920"/>
      <c r="R35" s="1921"/>
      <c r="S35" s="1901"/>
      <c r="T35" s="1901"/>
      <c r="U35" s="1901"/>
      <c r="V35" s="1901"/>
      <c r="W35" s="1708"/>
    </row>
    <row r="36" spans="1:57" x14ac:dyDescent="0.25">
      <c r="I36" s="795">
        <v>46052</v>
      </c>
      <c r="J36" s="1901"/>
      <c r="K36" s="2034"/>
      <c r="L36" s="2034"/>
      <c r="M36" s="1901"/>
      <c r="N36" s="2034"/>
      <c r="O36" s="1586"/>
      <c r="P36" s="304"/>
      <c r="Q36" s="1587"/>
      <c r="R36" s="1718"/>
      <c r="S36" s="1901"/>
      <c r="T36" s="1901"/>
      <c r="U36" s="1901"/>
      <c r="V36" s="1901"/>
      <c r="W36" s="1708"/>
      <c r="BE36" s="1642" t="s">
        <v>1140</v>
      </c>
    </row>
    <row r="37" spans="1:57" x14ac:dyDescent="0.25">
      <c r="I37" s="795">
        <v>46053</v>
      </c>
      <c r="J37" s="1901"/>
      <c r="K37" s="2034"/>
      <c r="L37" s="2034"/>
      <c r="M37" s="1901"/>
      <c r="N37" s="2034"/>
      <c r="O37" s="1586"/>
      <c r="P37" s="304"/>
      <c r="Q37" s="1587"/>
      <c r="R37" s="1718"/>
      <c r="S37" s="1901"/>
      <c r="T37" s="1901"/>
      <c r="U37" s="1901"/>
      <c r="V37" s="1901"/>
      <c r="W37" s="1708"/>
    </row>
    <row r="38" spans="1:57" x14ac:dyDescent="0.25">
      <c r="G38" s="1585"/>
      <c r="I38"/>
      <c r="J38"/>
      <c r="K38"/>
      <c r="T38" s="1585"/>
    </row>
    <row r="39" spans="1:57" hidden="1" x14ac:dyDescent="0.25">
      <c r="A39" s="1624" t="s">
        <v>930</v>
      </c>
      <c r="B39" s="1625"/>
      <c r="C39" s="1625"/>
      <c r="D39" s="1626"/>
      <c r="E39" s="1627"/>
      <c r="F39" s="1628"/>
      <c r="G39" s="1629"/>
      <c r="I39"/>
      <c r="J39"/>
      <c r="K39" s="410"/>
      <c r="M39" s="1585"/>
      <c r="N39" s="1585"/>
    </row>
    <row r="40" spans="1:57" ht="24" hidden="1" x14ac:dyDescent="0.25">
      <c r="A40" s="1631" t="s">
        <v>931</v>
      </c>
      <c r="B40" s="1583" t="s">
        <v>932</v>
      </c>
      <c r="C40" s="1583" t="s">
        <v>933</v>
      </c>
      <c r="D40" s="1631" t="s">
        <v>934</v>
      </c>
      <c r="E40" s="1632" t="s">
        <v>935</v>
      </c>
      <c r="F40" s="1633" t="s">
        <v>936</v>
      </c>
      <c r="G40" s="1631" t="s">
        <v>14</v>
      </c>
      <c r="I40"/>
      <c r="J40"/>
      <c r="K40" s="410"/>
    </row>
    <row r="41" spans="1:57" hidden="1" x14ac:dyDescent="0.25">
      <c r="A41" s="1635" t="s">
        <v>937</v>
      </c>
      <c r="B41" s="1623">
        <v>12.2</v>
      </c>
      <c r="C41" s="1623">
        <v>1.75</v>
      </c>
      <c r="D41" s="1623">
        <v>1.52</v>
      </c>
      <c r="E41" s="1623">
        <v>0.88</v>
      </c>
      <c r="F41" s="1954">
        <v>0</v>
      </c>
      <c r="G41" s="1636">
        <f>B41*C41*D41*E41*F41/100</f>
        <v>0</v>
      </c>
      <c r="I41"/>
      <c r="J41"/>
      <c r="K41"/>
    </row>
    <row r="42" spans="1:57" hidden="1" x14ac:dyDescent="0.25">
      <c r="A42" s="1635" t="s">
        <v>938</v>
      </c>
      <c r="B42" s="1623">
        <v>12.2</v>
      </c>
      <c r="C42" s="1623">
        <v>1.75</v>
      </c>
      <c r="D42" s="1623">
        <v>1.52</v>
      </c>
      <c r="E42" s="1623">
        <v>0.88</v>
      </c>
      <c r="F42" s="1954">
        <v>0</v>
      </c>
      <c r="G42" s="1636">
        <f>B42*C42*D42*E42*F42/100</f>
        <v>0</v>
      </c>
      <c r="I42"/>
      <c r="J42"/>
      <c r="K42"/>
    </row>
    <row r="43" spans="1:57" ht="28.5" hidden="1" x14ac:dyDescent="0.25">
      <c r="F43" s="1618" t="s">
        <v>939</v>
      </c>
      <c r="G43" s="1634">
        <f>SUM(G41:G42)</f>
        <v>0</v>
      </c>
      <c r="I43"/>
      <c r="J43"/>
      <c r="K43"/>
    </row>
    <row r="44" spans="1:57" x14ac:dyDescent="0.25">
      <c r="I44"/>
      <c r="J44"/>
      <c r="K44"/>
    </row>
  </sheetData>
  <mergeCells count="11">
    <mergeCell ref="W4:W5"/>
    <mergeCell ref="I5:L5"/>
    <mergeCell ref="M5:O5"/>
    <mergeCell ref="P5:R5"/>
    <mergeCell ref="S5:T5"/>
    <mergeCell ref="U5:V5"/>
    <mergeCell ref="H34:H35"/>
    <mergeCell ref="E1:G1"/>
    <mergeCell ref="E2:G2"/>
    <mergeCell ref="I4:R4"/>
    <mergeCell ref="S4:V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R268"/>
  <sheetViews>
    <sheetView showGridLines="0" topLeftCell="A3" zoomScaleNormal="100" workbookViewId="0">
      <pane xSplit="2" ySplit="5" topLeftCell="H26" activePane="bottomRight" state="frozen"/>
      <selection activeCell="F28" sqref="F28"/>
      <selection pane="topRight" activeCell="F28" sqref="F28"/>
      <selection pane="bottomLeft" activeCell="F28" sqref="F28"/>
      <selection pane="bottomRight" activeCell="I38" sqref="I38"/>
    </sheetView>
  </sheetViews>
  <sheetFormatPr defaultColWidth="9" defaultRowHeight="14.25" x14ac:dyDescent="0.2"/>
  <cols>
    <col min="1" max="1" width="9" style="178"/>
    <col min="2" max="2" width="9.5703125" style="178" customWidth="1"/>
    <col min="3" max="3" width="18" style="173" customWidth="1"/>
    <col min="4" max="4" width="11.42578125" style="178" customWidth="1"/>
    <col min="5" max="5" width="15.5703125" style="178" customWidth="1"/>
    <col min="6" max="6" width="15.42578125" style="178" bestFit="1" customWidth="1"/>
    <col min="7" max="7" width="13.5703125" style="178" customWidth="1"/>
    <col min="8" max="8" width="15.42578125" style="178" customWidth="1"/>
    <col min="9" max="9" width="19.28515625" style="225" bestFit="1" customWidth="1"/>
    <col min="10" max="10" width="16.42578125" style="178" customWidth="1"/>
    <col min="11" max="11" width="17.5703125" style="178" customWidth="1"/>
    <col min="12" max="12" width="17.42578125" style="225" customWidth="1"/>
    <col min="13" max="13" width="11.42578125" style="178" customWidth="1"/>
    <col min="14" max="14" width="10.42578125" style="178" customWidth="1"/>
    <col min="15" max="16384" width="9" style="178"/>
  </cols>
  <sheetData>
    <row r="2" spans="2:14" s="174" customFormat="1" x14ac:dyDescent="0.2">
      <c r="C2" s="151"/>
    </row>
    <row r="3" spans="2:14" s="174" customFormat="1" ht="21" customHeight="1" x14ac:dyDescent="0.2">
      <c r="B3" s="2281" t="s">
        <v>135</v>
      </c>
      <c r="C3" s="2281"/>
      <c r="D3" s="2281"/>
      <c r="E3" s="2281"/>
      <c r="F3" s="2281"/>
      <c r="G3" s="2281"/>
      <c r="H3" s="2281"/>
      <c r="I3" s="2281"/>
      <c r="J3" s="2281"/>
      <c r="K3" s="2281"/>
      <c r="L3" s="2281"/>
      <c r="M3" s="2281"/>
      <c r="N3" s="2281"/>
    </row>
    <row r="4" spans="2:14" s="174" customFormat="1" ht="15.75" thickBot="1" x14ac:dyDescent="0.3">
      <c r="B4" s="2291" t="s">
        <v>1136</v>
      </c>
      <c r="C4" s="2291"/>
    </row>
    <row r="5" spans="2:14" ht="18.75" customHeight="1" thickBot="1" x14ac:dyDescent="0.25">
      <c r="B5" s="2282" t="s">
        <v>1118</v>
      </c>
      <c r="C5" s="2283" t="s">
        <v>136</v>
      </c>
      <c r="D5" s="2284"/>
      <c r="E5" s="2285"/>
      <c r="F5" s="2282" t="s">
        <v>137</v>
      </c>
      <c r="G5" s="175"/>
      <c r="H5" s="176"/>
      <c r="I5" s="177"/>
      <c r="J5" s="176"/>
      <c r="K5" s="2286" t="s">
        <v>138</v>
      </c>
      <c r="L5" s="2288" t="s">
        <v>139</v>
      </c>
      <c r="M5" s="2290" t="s">
        <v>140</v>
      </c>
      <c r="N5" s="2286"/>
    </row>
    <row r="6" spans="2:14" ht="60.75" thickBot="1" x14ac:dyDescent="0.25">
      <c r="B6" s="2282"/>
      <c r="C6" s="152" t="s">
        <v>978</v>
      </c>
      <c r="D6" s="175" t="s">
        <v>141</v>
      </c>
      <c r="E6" s="175" t="s">
        <v>142</v>
      </c>
      <c r="F6" s="2282"/>
      <c r="G6" s="175" t="s">
        <v>143</v>
      </c>
      <c r="H6" s="175" t="s">
        <v>144</v>
      </c>
      <c r="I6" s="179" t="s">
        <v>145</v>
      </c>
      <c r="J6" s="175" t="s">
        <v>146</v>
      </c>
      <c r="K6" s="2287"/>
      <c r="L6" s="2289"/>
      <c r="M6" s="175" t="s">
        <v>147</v>
      </c>
      <c r="N6" s="175" t="s">
        <v>148</v>
      </c>
    </row>
    <row r="7" spans="2:14" s="183" customFormat="1" ht="27" customHeight="1" thickBot="1" x14ac:dyDescent="0.25">
      <c r="B7" s="2282"/>
      <c r="C7" s="153">
        <v>1</v>
      </c>
      <c r="D7" s="180">
        <v>2</v>
      </c>
      <c r="E7" s="180" t="s">
        <v>149</v>
      </c>
      <c r="F7" s="180" t="s">
        <v>150</v>
      </c>
      <c r="G7" s="180">
        <v>5</v>
      </c>
      <c r="H7" s="180" t="s">
        <v>151</v>
      </c>
      <c r="I7" s="181">
        <v>7</v>
      </c>
      <c r="J7" s="180" t="s">
        <v>152</v>
      </c>
      <c r="K7" s="182" t="s">
        <v>153</v>
      </c>
      <c r="L7" s="181">
        <v>10</v>
      </c>
      <c r="M7" s="180" t="s">
        <v>154</v>
      </c>
      <c r="N7" s="180" t="s">
        <v>155</v>
      </c>
    </row>
    <row r="8" spans="2:14" x14ac:dyDescent="0.2">
      <c r="B8" s="184">
        <v>1</v>
      </c>
      <c r="C8" s="2056">
        <v>5430</v>
      </c>
      <c r="D8" s="154">
        <v>5</v>
      </c>
      <c r="E8" s="155">
        <f>C8*D8</f>
        <v>27150</v>
      </c>
      <c r="F8" s="155">
        <f>E8</f>
        <v>27150</v>
      </c>
      <c r="G8" s="156">
        <v>35.314667</v>
      </c>
      <c r="H8" s="156">
        <f>(F8*G8)/1000</f>
        <v>958.79320904999997</v>
      </c>
      <c r="I8" s="187">
        <v>1039.3854899999999</v>
      </c>
      <c r="J8" s="157">
        <f t="shared" ref="J8:J14" si="0">(H8*I8)/1000</f>
        <v>996.55574939710664</v>
      </c>
      <c r="K8" s="185">
        <f>L8-J8</f>
        <v>-181.40614939710667</v>
      </c>
      <c r="L8" s="158">
        <f>'Januari 2026 PMG 2'!G242</f>
        <v>815.14959999999996</v>
      </c>
      <c r="M8" s="159">
        <f>(J8/L8)</f>
        <v>1.2225433827080412</v>
      </c>
      <c r="N8" s="159">
        <f>K8/L8</f>
        <v>-0.22254338270804117</v>
      </c>
    </row>
    <row r="9" spans="2:14" x14ac:dyDescent="0.2">
      <c r="B9" s="186">
        <f>B8+1</f>
        <v>2</v>
      </c>
      <c r="C9" s="2056">
        <v>5479</v>
      </c>
      <c r="D9" s="160">
        <v>5</v>
      </c>
      <c r="E9" s="161">
        <f t="shared" ref="E9:E21" si="1">C9*D9</f>
        <v>27395</v>
      </c>
      <c r="F9" s="161">
        <f t="shared" ref="F9:F21" si="2">E9</f>
        <v>27395</v>
      </c>
      <c r="G9" s="162">
        <v>35.314667</v>
      </c>
      <c r="H9" s="162">
        <f t="shared" ref="H9:H21" si="3">(F9*G9)/1000</f>
        <v>967.44530246499994</v>
      </c>
      <c r="I9" s="187">
        <v>1051.3796299999999</v>
      </c>
      <c r="J9" s="163">
        <f t="shared" si="0"/>
        <v>1017.1522841508896</v>
      </c>
      <c r="K9" s="188">
        <f t="shared" ref="K9:K21" si="4">L9-J9</f>
        <v>-134.18438415088963</v>
      </c>
      <c r="L9" s="164">
        <f>'Januari 2026 PMG 2'!H242</f>
        <v>882.96789999999999</v>
      </c>
      <c r="M9" s="165">
        <f t="shared" ref="M9:M23" si="5">(J9/L9)</f>
        <v>1.1519697195683893</v>
      </c>
      <c r="N9" s="166">
        <f t="shared" ref="N9:N34" si="6">K9/L9</f>
        <v>-0.15196971956838934</v>
      </c>
    </row>
    <row r="10" spans="2:14" x14ac:dyDescent="0.2">
      <c r="B10" s="186">
        <f t="shared" ref="B10:B36" si="7">B9+1</f>
        <v>3</v>
      </c>
      <c r="C10" s="2056">
        <v>5420</v>
      </c>
      <c r="D10" s="160">
        <v>5</v>
      </c>
      <c r="E10" s="161">
        <f t="shared" si="1"/>
        <v>27100</v>
      </c>
      <c r="F10" s="161">
        <f t="shared" si="2"/>
        <v>27100</v>
      </c>
      <c r="G10" s="162">
        <v>35.314667</v>
      </c>
      <c r="H10" s="162">
        <f t="shared" si="3"/>
        <v>957.02747569999997</v>
      </c>
      <c r="I10" s="187">
        <v>1051.0228199999999</v>
      </c>
      <c r="J10" s="163">
        <f t="shared" si="0"/>
        <v>1005.8577163276954</v>
      </c>
      <c r="K10" s="188">
        <f>L10-J10</f>
        <v>-100.18901632769541</v>
      </c>
      <c r="L10" s="164">
        <f>'Januari 2026 PMG 2'!I242</f>
        <v>905.66869999999994</v>
      </c>
      <c r="M10" s="165">
        <f t="shared" si="5"/>
        <v>1.1106243556034292</v>
      </c>
      <c r="N10" s="166">
        <f t="shared" si="6"/>
        <v>-0.11062435560342918</v>
      </c>
    </row>
    <row r="11" spans="2:14" x14ac:dyDescent="0.2">
      <c r="B11" s="186">
        <f t="shared" si="7"/>
        <v>4</v>
      </c>
      <c r="C11" s="2056">
        <v>199</v>
      </c>
      <c r="D11" s="160">
        <v>5</v>
      </c>
      <c r="E11" s="161">
        <f t="shared" si="1"/>
        <v>995</v>
      </c>
      <c r="F11" s="161">
        <f t="shared" si="2"/>
        <v>995</v>
      </c>
      <c r="G11" s="162">
        <v>35.314667</v>
      </c>
      <c r="H11" s="162">
        <f t="shared" si="3"/>
        <v>35.138093665</v>
      </c>
      <c r="I11" s="187">
        <v>1054.8216500000001</v>
      </c>
      <c r="J11" s="163">
        <f t="shared" si="0"/>
        <v>37.064421937569854</v>
      </c>
      <c r="K11" s="188">
        <f t="shared" si="4"/>
        <v>533.54987806243014</v>
      </c>
      <c r="L11" s="167">
        <f>'Januari 2026 PMG 2'!J242</f>
        <v>570.61429999999996</v>
      </c>
      <c r="M11" s="165">
        <f t="shared" si="5"/>
        <v>6.4955298066609712E-2</v>
      </c>
      <c r="N11" s="166">
        <f t="shared" si="6"/>
        <v>0.9350447019333904</v>
      </c>
    </row>
    <row r="12" spans="2:14" x14ac:dyDescent="0.2">
      <c r="B12" s="186">
        <f t="shared" si="7"/>
        <v>5</v>
      </c>
      <c r="C12" s="2056">
        <v>0</v>
      </c>
      <c r="D12" s="160">
        <v>5</v>
      </c>
      <c r="E12" s="161">
        <f t="shared" si="1"/>
        <v>0</v>
      </c>
      <c r="F12" s="161">
        <f t="shared" si="2"/>
        <v>0</v>
      </c>
      <c r="G12" s="162">
        <v>35.314667</v>
      </c>
      <c r="H12" s="162">
        <f t="shared" si="3"/>
        <v>0</v>
      </c>
      <c r="I12" s="187">
        <v>1057.0888600000001</v>
      </c>
      <c r="J12" s="163">
        <f t="shared" si="0"/>
        <v>0</v>
      </c>
      <c r="K12" s="188">
        <f t="shared" si="4"/>
        <v>330.27730000000003</v>
      </c>
      <c r="L12" s="164">
        <f>'Januari 2026 PMG 2'!K242</f>
        <v>330.27730000000003</v>
      </c>
      <c r="M12" s="165">
        <f t="shared" si="5"/>
        <v>0</v>
      </c>
      <c r="N12" s="166">
        <f t="shared" si="6"/>
        <v>1</v>
      </c>
    </row>
    <row r="13" spans="2:14" x14ac:dyDescent="0.2">
      <c r="B13" s="186">
        <f t="shared" si="7"/>
        <v>6</v>
      </c>
      <c r="C13" s="2056">
        <v>100</v>
      </c>
      <c r="D13" s="160">
        <v>5</v>
      </c>
      <c r="E13" s="161">
        <f t="shared" si="1"/>
        <v>500</v>
      </c>
      <c r="F13" s="161">
        <f t="shared" si="2"/>
        <v>500</v>
      </c>
      <c r="G13" s="162">
        <v>35.314667</v>
      </c>
      <c r="H13" s="162">
        <f t="shared" si="3"/>
        <v>17.6573335</v>
      </c>
      <c r="I13" s="187">
        <v>1059.75854</v>
      </c>
      <c r="J13" s="163">
        <f t="shared" si="0"/>
        <v>18.712509970253091</v>
      </c>
      <c r="K13" s="188">
        <f t="shared" si="4"/>
        <v>403.37109002974688</v>
      </c>
      <c r="L13" s="164">
        <v>422.08359999999999</v>
      </c>
      <c r="M13" s="165">
        <f t="shared" si="5"/>
        <v>4.4333658001052614E-2</v>
      </c>
      <c r="N13" s="166">
        <f t="shared" si="6"/>
        <v>0.95566634199894729</v>
      </c>
    </row>
    <row r="14" spans="2:14" x14ac:dyDescent="0.2">
      <c r="B14" s="186">
        <f t="shared" si="7"/>
        <v>7</v>
      </c>
      <c r="C14" s="2056">
        <v>785.4</v>
      </c>
      <c r="D14" s="160">
        <v>5</v>
      </c>
      <c r="E14" s="161">
        <f>C14*D14</f>
        <v>3927</v>
      </c>
      <c r="F14" s="161">
        <f t="shared" si="2"/>
        <v>3927</v>
      </c>
      <c r="G14" s="162">
        <v>35.314667</v>
      </c>
      <c r="H14" s="162">
        <f t="shared" si="3"/>
        <v>138.68069730900001</v>
      </c>
      <c r="I14" s="187">
        <v>1061.89904</v>
      </c>
      <c r="J14" s="163">
        <f t="shared" si="0"/>
        <v>147.26489933895772</v>
      </c>
      <c r="K14" s="188">
        <f t="shared" si="4"/>
        <v>1118.9188006610423</v>
      </c>
      <c r="L14" s="164">
        <v>1266.1837</v>
      </c>
      <c r="M14" s="165">
        <f t="shared" si="5"/>
        <v>0.11630610893107984</v>
      </c>
      <c r="N14" s="166">
        <f t="shared" si="6"/>
        <v>0.88369389106892016</v>
      </c>
    </row>
    <row r="15" spans="2:14" x14ac:dyDescent="0.2">
      <c r="B15" s="186">
        <f t="shared" si="7"/>
        <v>8</v>
      </c>
      <c r="C15" s="2056">
        <v>769.5</v>
      </c>
      <c r="D15" s="160">
        <v>5</v>
      </c>
      <c r="E15" s="161">
        <f t="shared" si="1"/>
        <v>3847.5</v>
      </c>
      <c r="F15" s="161">
        <f t="shared" si="2"/>
        <v>3847.5</v>
      </c>
      <c r="G15" s="162">
        <v>35.314667</v>
      </c>
      <c r="H15" s="162">
        <f t="shared" si="3"/>
        <v>135.87318128250001</v>
      </c>
      <c r="I15" s="187">
        <v>1061.7687900000001</v>
      </c>
      <c r="J15" s="163">
        <f t="shared" ref="J15:J21" si="8">(H15*I15)/1000</f>
        <v>144.26590328377068</v>
      </c>
      <c r="K15" s="188">
        <f>L15-J15</f>
        <v>1204.7674967162293</v>
      </c>
      <c r="L15" s="164">
        <v>1349.0334</v>
      </c>
      <c r="M15" s="165">
        <f t="shared" si="5"/>
        <v>0.10694020124614459</v>
      </c>
      <c r="N15" s="166">
        <f t="shared" si="6"/>
        <v>0.89305979875385533</v>
      </c>
    </row>
    <row r="16" spans="2:14" x14ac:dyDescent="0.2">
      <c r="B16" s="186">
        <f t="shared" si="7"/>
        <v>9</v>
      </c>
      <c r="C16" s="2056"/>
      <c r="D16" s="160">
        <v>5</v>
      </c>
      <c r="E16" s="161">
        <f t="shared" si="1"/>
        <v>0</v>
      </c>
      <c r="F16" s="161">
        <f t="shared" si="2"/>
        <v>0</v>
      </c>
      <c r="G16" s="162">
        <v>35.314667</v>
      </c>
      <c r="H16" s="162">
        <f t="shared" si="3"/>
        <v>0</v>
      </c>
      <c r="I16" s="187">
        <v>1061.1996999999999</v>
      </c>
      <c r="J16" s="163">
        <f t="shared" si="8"/>
        <v>0</v>
      </c>
      <c r="K16" s="188">
        <f>L16-J16</f>
        <v>0</v>
      </c>
      <c r="L16" s="164"/>
      <c r="M16" s="165" t="e">
        <f t="shared" si="5"/>
        <v>#DIV/0!</v>
      </c>
      <c r="N16" s="166" t="e">
        <f t="shared" si="6"/>
        <v>#DIV/0!</v>
      </c>
    </row>
    <row r="17" spans="2:18" x14ac:dyDescent="0.2">
      <c r="B17" s="186">
        <f t="shared" si="7"/>
        <v>10</v>
      </c>
      <c r="C17" s="2056"/>
      <c r="D17" s="160">
        <v>5</v>
      </c>
      <c r="E17" s="161">
        <f t="shared" si="1"/>
        <v>0</v>
      </c>
      <c r="F17" s="161">
        <f t="shared" si="2"/>
        <v>0</v>
      </c>
      <c r="G17" s="162">
        <v>35.314667</v>
      </c>
      <c r="H17" s="162">
        <f t="shared" si="3"/>
        <v>0</v>
      </c>
      <c r="I17" s="187">
        <v>1062.1746800000001</v>
      </c>
      <c r="J17" s="163">
        <f t="shared" si="8"/>
        <v>0</v>
      </c>
      <c r="K17" s="188">
        <f>L17-J17</f>
        <v>0</v>
      </c>
      <c r="L17" s="164"/>
      <c r="M17" s="165" t="e">
        <f t="shared" si="5"/>
        <v>#DIV/0!</v>
      </c>
      <c r="N17" s="166" t="e">
        <f t="shared" si="6"/>
        <v>#DIV/0!</v>
      </c>
    </row>
    <row r="18" spans="2:18" x14ac:dyDescent="0.2">
      <c r="B18" s="186">
        <f t="shared" si="7"/>
        <v>11</v>
      </c>
      <c r="C18" s="2056"/>
      <c r="D18" s="160">
        <v>5</v>
      </c>
      <c r="E18" s="161">
        <f t="shared" si="1"/>
        <v>0</v>
      </c>
      <c r="F18" s="161">
        <f>E18</f>
        <v>0</v>
      </c>
      <c r="G18" s="162">
        <v>35.314667</v>
      </c>
      <c r="H18" s="162">
        <f t="shared" si="3"/>
        <v>0</v>
      </c>
      <c r="I18" s="187">
        <v>1061.2947999999999</v>
      </c>
      <c r="J18" s="163">
        <f t="shared" si="8"/>
        <v>0</v>
      </c>
      <c r="K18" s="188">
        <f t="shared" si="4"/>
        <v>0</v>
      </c>
      <c r="L18" s="164"/>
      <c r="M18" s="165" t="e">
        <f t="shared" si="5"/>
        <v>#DIV/0!</v>
      </c>
      <c r="N18" s="166" t="e">
        <f t="shared" si="6"/>
        <v>#DIV/0!</v>
      </c>
    </row>
    <row r="19" spans="2:18" x14ac:dyDescent="0.2">
      <c r="B19" s="186">
        <f t="shared" si="7"/>
        <v>12</v>
      </c>
      <c r="C19" s="2056"/>
      <c r="D19" s="160">
        <v>5</v>
      </c>
      <c r="E19" s="161">
        <f>C19*D19</f>
        <v>0</v>
      </c>
      <c r="F19" s="161">
        <f>E19</f>
        <v>0</v>
      </c>
      <c r="G19" s="162">
        <v>35.314667</v>
      </c>
      <c r="H19" s="162">
        <f t="shared" si="3"/>
        <v>0</v>
      </c>
      <c r="I19" s="187">
        <v>1060.6907900000001</v>
      </c>
      <c r="J19" s="163">
        <f t="shared" si="8"/>
        <v>0</v>
      </c>
      <c r="K19" s="188">
        <f>L19-J19</f>
        <v>0</v>
      </c>
      <c r="L19" s="164"/>
      <c r="M19" s="165" t="e">
        <f t="shared" si="5"/>
        <v>#DIV/0!</v>
      </c>
      <c r="N19" s="166" t="e">
        <f t="shared" si="6"/>
        <v>#DIV/0!</v>
      </c>
    </row>
    <row r="20" spans="2:18" x14ac:dyDescent="0.2">
      <c r="B20" s="186">
        <f t="shared" si="7"/>
        <v>13</v>
      </c>
      <c r="C20" s="2056"/>
      <c r="D20" s="160">
        <v>5</v>
      </c>
      <c r="E20" s="161">
        <f t="shared" si="1"/>
        <v>0</v>
      </c>
      <c r="F20" s="161">
        <f>E20</f>
        <v>0</v>
      </c>
      <c r="G20" s="162">
        <v>35.314667</v>
      </c>
      <c r="H20" s="162">
        <f t="shared" si="3"/>
        <v>0</v>
      </c>
      <c r="I20" s="187">
        <v>1054.3016299999999</v>
      </c>
      <c r="J20" s="163">
        <f t="shared" si="8"/>
        <v>0</v>
      </c>
      <c r="K20" s="188">
        <f t="shared" si="4"/>
        <v>0</v>
      </c>
      <c r="L20" s="164"/>
      <c r="M20" s="165" t="e">
        <f t="shared" si="5"/>
        <v>#DIV/0!</v>
      </c>
      <c r="N20" s="166" t="e">
        <f t="shared" si="6"/>
        <v>#DIV/0!</v>
      </c>
    </row>
    <row r="21" spans="2:18" x14ac:dyDescent="0.2">
      <c r="B21" s="186">
        <f t="shared" si="7"/>
        <v>14</v>
      </c>
      <c r="C21" s="2056"/>
      <c r="D21" s="160">
        <v>5</v>
      </c>
      <c r="E21" s="161">
        <f t="shared" si="1"/>
        <v>0</v>
      </c>
      <c r="F21" s="161">
        <f t="shared" si="2"/>
        <v>0</v>
      </c>
      <c r="G21" s="162">
        <v>35.314667</v>
      </c>
      <c r="H21" s="162">
        <f t="shared" si="3"/>
        <v>0</v>
      </c>
      <c r="I21" s="187">
        <v>1059.76232</v>
      </c>
      <c r="J21" s="163">
        <f t="shared" si="8"/>
        <v>0</v>
      </c>
      <c r="K21" s="188">
        <f t="shared" si="4"/>
        <v>0</v>
      </c>
      <c r="L21" s="164"/>
      <c r="M21" s="165" t="e">
        <f t="shared" si="5"/>
        <v>#DIV/0!</v>
      </c>
      <c r="N21" s="166" t="e">
        <f t="shared" si="6"/>
        <v>#DIV/0!</v>
      </c>
    </row>
    <row r="22" spans="2:18" x14ac:dyDescent="0.2">
      <c r="B22" s="186">
        <f t="shared" si="7"/>
        <v>15</v>
      </c>
      <c r="C22" s="2056"/>
      <c r="D22" s="160">
        <v>5</v>
      </c>
      <c r="E22" s="161">
        <f t="shared" ref="E22:E37" si="9">C22*D22</f>
        <v>0</v>
      </c>
      <c r="F22" s="161">
        <f t="shared" ref="F22:F39" si="10">E22</f>
        <v>0</v>
      </c>
      <c r="G22" s="162">
        <v>36.314667</v>
      </c>
      <c r="H22" s="162">
        <f t="shared" ref="H22:H37" si="11">(F22*G22)/1000</f>
        <v>0</v>
      </c>
      <c r="I22" s="187">
        <v>1063.1436699999999</v>
      </c>
      <c r="J22" s="163">
        <f t="shared" ref="J22:J37" si="12">(H22*I22)/1000</f>
        <v>0</v>
      </c>
      <c r="K22" s="188">
        <f t="shared" ref="K22:K37" si="13">L22-J22</f>
        <v>0</v>
      </c>
      <c r="L22" s="164"/>
      <c r="M22" s="165" t="e">
        <f t="shared" si="5"/>
        <v>#DIV/0!</v>
      </c>
      <c r="N22" s="166" t="e">
        <f t="shared" si="6"/>
        <v>#DIV/0!</v>
      </c>
      <c r="R22" s="178" t="s">
        <v>215</v>
      </c>
    </row>
    <row r="23" spans="2:18" x14ac:dyDescent="0.2">
      <c r="B23" s="186">
        <f t="shared" si="7"/>
        <v>16</v>
      </c>
      <c r="C23" s="2056"/>
      <c r="D23" s="160">
        <v>5</v>
      </c>
      <c r="E23" s="161">
        <f t="shared" si="9"/>
        <v>0</v>
      </c>
      <c r="F23" s="161">
        <f t="shared" si="10"/>
        <v>0</v>
      </c>
      <c r="G23" s="162">
        <v>37.314667</v>
      </c>
      <c r="H23" s="162">
        <f t="shared" si="11"/>
        <v>0</v>
      </c>
      <c r="I23" s="187">
        <v>1062.3756100000001</v>
      </c>
      <c r="J23" s="163">
        <f t="shared" si="12"/>
        <v>0</v>
      </c>
      <c r="K23" s="188">
        <f t="shared" si="13"/>
        <v>0</v>
      </c>
      <c r="L23" s="164"/>
      <c r="M23" s="165" t="e">
        <f t="shared" si="5"/>
        <v>#DIV/0!</v>
      </c>
      <c r="N23" s="166" t="e">
        <f t="shared" si="6"/>
        <v>#DIV/0!</v>
      </c>
    </row>
    <row r="24" spans="2:18" x14ac:dyDescent="0.2">
      <c r="B24" s="186">
        <f t="shared" si="7"/>
        <v>17</v>
      </c>
      <c r="C24" s="2056"/>
      <c r="D24" s="160">
        <v>5</v>
      </c>
      <c r="E24" s="161">
        <f t="shared" si="9"/>
        <v>0</v>
      </c>
      <c r="F24" s="161">
        <f t="shared" si="10"/>
        <v>0</v>
      </c>
      <c r="G24" s="162">
        <v>38.314667</v>
      </c>
      <c r="H24" s="162">
        <f t="shared" si="11"/>
        <v>0</v>
      </c>
      <c r="I24" s="187">
        <v>1056.75109</v>
      </c>
      <c r="J24" s="163">
        <f>(H24*I24)/1000</f>
        <v>0</v>
      </c>
      <c r="K24" s="188">
        <f>L24-J24</f>
        <v>0</v>
      </c>
      <c r="L24" s="164"/>
      <c r="M24" s="165" t="e">
        <f>(J24/L24)</f>
        <v>#DIV/0!</v>
      </c>
      <c r="N24" s="166" t="e">
        <f>K24/L24</f>
        <v>#DIV/0!</v>
      </c>
    </row>
    <row r="25" spans="2:18" x14ac:dyDescent="0.2">
      <c r="B25" s="186">
        <f t="shared" si="7"/>
        <v>18</v>
      </c>
      <c r="C25" s="2056"/>
      <c r="D25" s="160">
        <v>5</v>
      </c>
      <c r="E25" s="161">
        <f t="shared" si="9"/>
        <v>0</v>
      </c>
      <c r="F25" s="161">
        <f t="shared" si="10"/>
        <v>0</v>
      </c>
      <c r="G25" s="162">
        <v>39.314667</v>
      </c>
      <c r="H25" s="162">
        <f t="shared" si="11"/>
        <v>0</v>
      </c>
      <c r="I25" s="187">
        <v>1055.08215</v>
      </c>
      <c r="J25" s="163">
        <f t="shared" si="12"/>
        <v>0</v>
      </c>
      <c r="K25" s="188">
        <f>L25-J25</f>
        <v>0</v>
      </c>
      <c r="L25" s="164"/>
      <c r="M25" s="165" t="e">
        <f>(J25/L25)</f>
        <v>#DIV/0!</v>
      </c>
      <c r="N25" s="166" t="e">
        <f>K25/L25</f>
        <v>#DIV/0!</v>
      </c>
    </row>
    <row r="26" spans="2:18" x14ac:dyDescent="0.2">
      <c r="B26" s="186">
        <f t="shared" si="7"/>
        <v>19</v>
      </c>
      <c r="C26" s="2056"/>
      <c r="D26" s="160">
        <v>5</v>
      </c>
      <c r="E26" s="161">
        <f t="shared" si="9"/>
        <v>0</v>
      </c>
      <c r="F26" s="161">
        <f t="shared" si="10"/>
        <v>0</v>
      </c>
      <c r="G26" s="162">
        <v>40.314667</v>
      </c>
      <c r="H26" s="162">
        <f t="shared" si="11"/>
        <v>0</v>
      </c>
      <c r="I26" s="187">
        <v>1057.1660099999999</v>
      </c>
      <c r="J26" s="163">
        <f t="shared" si="12"/>
        <v>0</v>
      </c>
      <c r="K26" s="188">
        <f t="shared" si="13"/>
        <v>0</v>
      </c>
      <c r="L26" s="164"/>
      <c r="M26" s="165" t="e">
        <f t="shared" ref="M26:M34" si="14">(J26/L26)</f>
        <v>#DIV/0!</v>
      </c>
      <c r="N26" s="166" t="e">
        <f t="shared" si="6"/>
        <v>#DIV/0!</v>
      </c>
    </row>
    <row r="27" spans="2:18" x14ac:dyDescent="0.2">
      <c r="B27" s="186">
        <f t="shared" si="7"/>
        <v>20</v>
      </c>
      <c r="C27" s="2056"/>
      <c r="D27" s="160">
        <v>5</v>
      </c>
      <c r="E27" s="161">
        <f t="shared" si="9"/>
        <v>0</v>
      </c>
      <c r="F27" s="161">
        <f t="shared" si="10"/>
        <v>0</v>
      </c>
      <c r="G27" s="162">
        <v>41.314667</v>
      </c>
      <c r="H27" s="162">
        <f t="shared" si="11"/>
        <v>0</v>
      </c>
      <c r="I27" s="187">
        <v>1061.43579</v>
      </c>
      <c r="J27" s="163">
        <f t="shared" si="12"/>
        <v>0</v>
      </c>
      <c r="K27" s="188">
        <f>L27-J27</f>
        <v>0</v>
      </c>
      <c r="L27" s="164"/>
      <c r="M27" s="165" t="e">
        <f t="shared" si="14"/>
        <v>#DIV/0!</v>
      </c>
      <c r="N27" s="166" t="e">
        <f t="shared" si="6"/>
        <v>#DIV/0!</v>
      </c>
    </row>
    <row r="28" spans="2:18" x14ac:dyDescent="0.2">
      <c r="B28" s="186">
        <f t="shared" si="7"/>
        <v>21</v>
      </c>
      <c r="C28" s="2056"/>
      <c r="D28" s="160">
        <v>5</v>
      </c>
      <c r="E28" s="161">
        <f t="shared" si="9"/>
        <v>0</v>
      </c>
      <c r="F28" s="161">
        <f t="shared" si="10"/>
        <v>0</v>
      </c>
      <c r="G28" s="162">
        <v>42.314667</v>
      </c>
      <c r="H28" s="162">
        <f t="shared" si="11"/>
        <v>0</v>
      </c>
      <c r="I28" s="187">
        <v>1063.9583700000001</v>
      </c>
      <c r="J28" s="163">
        <f t="shared" si="12"/>
        <v>0</v>
      </c>
      <c r="K28" s="188">
        <f t="shared" si="13"/>
        <v>0</v>
      </c>
      <c r="L28" s="164"/>
      <c r="M28" s="165" t="e">
        <f t="shared" si="14"/>
        <v>#DIV/0!</v>
      </c>
      <c r="N28" s="166" t="e">
        <f t="shared" si="6"/>
        <v>#DIV/0!</v>
      </c>
    </row>
    <row r="29" spans="2:18" x14ac:dyDescent="0.2">
      <c r="B29" s="186">
        <f t="shared" si="7"/>
        <v>22</v>
      </c>
      <c r="C29" s="2056"/>
      <c r="D29" s="160">
        <v>5</v>
      </c>
      <c r="E29" s="161">
        <f>C29*D29</f>
        <v>0</v>
      </c>
      <c r="F29" s="161">
        <f t="shared" si="10"/>
        <v>0</v>
      </c>
      <c r="G29" s="162">
        <v>42.314667</v>
      </c>
      <c r="H29" s="162">
        <f>(F29*G29)/1000</f>
        <v>0</v>
      </c>
      <c r="I29" s="187">
        <v>1063.0356400000001</v>
      </c>
      <c r="J29" s="163">
        <f>(H29*I29)/1000</f>
        <v>0</v>
      </c>
      <c r="K29" s="188">
        <f>L29-J29</f>
        <v>0</v>
      </c>
      <c r="L29" s="164"/>
      <c r="M29" s="165" t="e">
        <f t="shared" si="14"/>
        <v>#DIV/0!</v>
      </c>
      <c r="N29" s="166" t="e">
        <f t="shared" si="6"/>
        <v>#DIV/0!</v>
      </c>
    </row>
    <row r="30" spans="2:18" x14ac:dyDescent="0.2">
      <c r="B30" s="186">
        <f t="shared" si="7"/>
        <v>23</v>
      </c>
      <c r="C30" s="2056"/>
      <c r="D30" s="160">
        <v>5</v>
      </c>
      <c r="E30" s="161">
        <f t="shared" si="9"/>
        <v>0</v>
      </c>
      <c r="F30" s="161">
        <f t="shared" si="10"/>
        <v>0</v>
      </c>
      <c r="G30" s="162">
        <v>44.314667</v>
      </c>
      <c r="H30" s="162">
        <f t="shared" si="11"/>
        <v>0</v>
      </c>
      <c r="I30" s="187">
        <v>1061.91345</v>
      </c>
      <c r="J30" s="163">
        <f>(H30*I30)/1000</f>
        <v>0</v>
      </c>
      <c r="K30" s="188">
        <f t="shared" si="13"/>
        <v>0</v>
      </c>
      <c r="L30" s="164"/>
      <c r="M30" s="165" t="e">
        <f t="shared" si="14"/>
        <v>#DIV/0!</v>
      </c>
      <c r="N30" s="166" t="e">
        <f t="shared" si="6"/>
        <v>#DIV/0!</v>
      </c>
    </row>
    <row r="31" spans="2:18" x14ac:dyDescent="0.2">
      <c r="B31" s="186">
        <f t="shared" si="7"/>
        <v>24</v>
      </c>
      <c r="C31" s="2056"/>
      <c r="D31" s="160">
        <v>5</v>
      </c>
      <c r="E31" s="161">
        <f t="shared" si="9"/>
        <v>0</v>
      </c>
      <c r="F31" s="161">
        <f t="shared" si="10"/>
        <v>0</v>
      </c>
      <c r="G31" s="162">
        <v>45.314667</v>
      </c>
      <c r="H31" s="162">
        <f t="shared" si="11"/>
        <v>0</v>
      </c>
      <c r="I31" s="187">
        <v>1065.64013</v>
      </c>
      <c r="J31" s="163">
        <f>(H31*I31)/1000</f>
        <v>0</v>
      </c>
      <c r="K31" s="188">
        <f>L31-J31</f>
        <v>0</v>
      </c>
      <c r="L31" s="164"/>
      <c r="M31" s="165" t="e">
        <f t="shared" si="14"/>
        <v>#DIV/0!</v>
      </c>
      <c r="N31" s="166" t="e">
        <f t="shared" si="6"/>
        <v>#DIV/0!</v>
      </c>
    </row>
    <row r="32" spans="2:18" x14ac:dyDescent="0.2">
      <c r="B32" s="186">
        <f t="shared" si="7"/>
        <v>25</v>
      </c>
      <c r="C32" s="2056"/>
      <c r="D32" s="160">
        <v>5</v>
      </c>
      <c r="E32" s="161">
        <f t="shared" si="9"/>
        <v>0</v>
      </c>
      <c r="F32" s="161">
        <f t="shared" si="10"/>
        <v>0</v>
      </c>
      <c r="G32" s="162">
        <v>46.314667</v>
      </c>
      <c r="H32" s="162">
        <f t="shared" si="11"/>
        <v>0</v>
      </c>
      <c r="I32" s="187">
        <v>1066.7538999999999</v>
      </c>
      <c r="J32" s="163">
        <f>(H32*I32)/1000</f>
        <v>0</v>
      </c>
      <c r="K32" s="188">
        <f t="shared" si="13"/>
        <v>0</v>
      </c>
      <c r="L32" s="164"/>
      <c r="M32" s="165" t="e">
        <f t="shared" si="14"/>
        <v>#DIV/0!</v>
      </c>
      <c r="N32" s="166" t="e">
        <f t="shared" si="6"/>
        <v>#DIV/0!</v>
      </c>
    </row>
    <row r="33" spans="2:14" x14ac:dyDescent="0.2">
      <c r="B33" s="186">
        <f t="shared" si="7"/>
        <v>26</v>
      </c>
      <c r="C33" s="2056"/>
      <c r="D33" s="160">
        <v>5</v>
      </c>
      <c r="E33" s="161">
        <f t="shared" si="9"/>
        <v>0</v>
      </c>
      <c r="F33" s="161">
        <f t="shared" si="10"/>
        <v>0</v>
      </c>
      <c r="G33" s="162">
        <v>47.314667</v>
      </c>
      <c r="H33" s="162">
        <f t="shared" si="11"/>
        <v>0</v>
      </c>
      <c r="I33" s="187">
        <v>1068.1731400000001</v>
      </c>
      <c r="J33" s="163">
        <f t="shared" si="12"/>
        <v>0</v>
      </c>
      <c r="K33" s="188">
        <f t="shared" si="13"/>
        <v>0</v>
      </c>
      <c r="L33" s="164"/>
      <c r="M33" s="165" t="e">
        <f t="shared" si="14"/>
        <v>#DIV/0!</v>
      </c>
      <c r="N33" s="166" t="e">
        <f t="shared" si="6"/>
        <v>#DIV/0!</v>
      </c>
    </row>
    <row r="34" spans="2:14" x14ac:dyDescent="0.2">
      <c r="B34" s="186">
        <f t="shared" si="7"/>
        <v>27</v>
      </c>
      <c r="C34" s="2056"/>
      <c r="D34" s="160">
        <v>5</v>
      </c>
      <c r="E34" s="161">
        <f t="shared" si="9"/>
        <v>0</v>
      </c>
      <c r="F34" s="161">
        <f t="shared" si="10"/>
        <v>0</v>
      </c>
      <c r="G34" s="162">
        <v>48.314667</v>
      </c>
      <c r="H34" s="162">
        <f t="shared" si="11"/>
        <v>0</v>
      </c>
      <c r="I34" s="187">
        <v>1070.1694399999999</v>
      </c>
      <c r="J34" s="163">
        <f t="shared" si="12"/>
        <v>0</v>
      </c>
      <c r="K34" s="188">
        <f t="shared" si="13"/>
        <v>0</v>
      </c>
      <c r="L34" s="164"/>
      <c r="M34" s="165" t="e">
        <f t="shared" si="14"/>
        <v>#DIV/0!</v>
      </c>
      <c r="N34" s="166" t="e">
        <f t="shared" si="6"/>
        <v>#DIV/0!</v>
      </c>
    </row>
    <row r="35" spans="2:14" x14ac:dyDescent="0.2">
      <c r="B35" s="186">
        <f t="shared" si="7"/>
        <v>28</v>
      </c>
      <c r="C35" s="2056"/>
      <c r="D35" s="160">
        <v>5</v>
      </c>
      <c r="E35" s="161">
        <f t="shared" si="9"/>
        <v>0</v>
      </c>
      <c r="F35" s="161">
        <f t="shared" si="10"/>
        <v>0</v>
      </c>
      <c r="G35" s="162">
        <v>49.314667</v>
      </c>
      <c r="H35" s="162">
        <f t="shared" si="11"/>
        <v>0</v>
      </c>
      <c r="I35" s="187">
        <v>1077.4520199999999</v>
      </c>
      <c r="J35" s="163">
        <f t="shared" si="12"/>
        <v>0</v>
      </c>
      <c r="K35" s="188">
        <f>L35-J35</f>
        <v>0</v>
      </c>
      <c r="L35" s="164"/>
      <c r="M35" s="165" t="e">
        <f>(J35/L35)</f>
        <v>#DIV/0!</v>
      </c>
      <c r="N35" s="166" t="e">
        <f>K35/L35</f>
        <v>#DIV/0!</v>
      </c>
    </row>
    <row r="36" spans="2:14" x14ac:dyDescent="0.2">
      <c r="B36" s="186">
        <f t="shared" si="7"/>
        <v>29</v>
      </c>
      <c r="C36" s="2056"/>
      <c r="D36" s="160">
        <v>5</v>
      </c>
      <c r="E36" s="161">
        <f t="shared" si="9"/>
        <v>0</v>
      </c>
      <c r="F36" s="161">
        <f t="shared" si="10"/>
        <v>0</v>
      </c>
      <c r="G36" s="162">
        <v>50.314667</v>
      </c>
      <c r="H36" s="162">
        <f t="shared" si="11"/>
        <v>0</v>
      </c>
      <c r="I36" s="187">
        <v>1090.76135</v>
      </c>
      <c r="J36" s="163">
        <f t="shared" si="12"/>
        <v>0</v>
      </c>
      <c r="K36" s="188">
        <f t="shared" si="13"/>
        <v>0</v>
      </c>
      <c r="L36" s="164"/>
      <c r="M36" s="165" t="e">
        <f>(J36/L36)</f>
        <v>#DIV/0!</v>
      </c>
      <c r="N36" s="166" t="e">
        <f>K36/L36</f>
        <v>#DIV/0!</v>
      </c>
    </row>
    <row r="37" spans="2:14" x14ac:dyDescent="0.2">
      <c r="B37" s="186">
        <f>B36+1</f>
        <v>30</v>
      </c>
      <c r="C37" s="2056"/>
      <c r="D37" s="160">
        <v>5</v>
      </c>
      <c r="E37" s="161">
        <f t="shared" si="9"/>
        <v>0</v>
      </c>
      <c r="F37" s="2079">
        <f t="shared" si="10"/>
        <v>0</v>
      </c>
      <c r="G37" s="162">
        <v>51.314667</v>
      </c>
      <c r="H37" s="162">
        <f t="shared" si="11"/>
        <v>0</v>
      </c>
      <c r="I37" s="187">
        <v>1083.7523100000001</v>
      </c>
      <c r="J37" s="163">
        <f t="shared" si="12"/>
        <v>0</v>
      </c>
      <c r="K37" s="188">
        <f t="shared" si="13"/>
        <v>0</v>
      </c>
      <c r="L37" s="164"/>
      <c r="M37" s="165" t="e">
        <f>(J37/L37)</f>
        <v>#DIV/0!</v>
      </c>
      <c r="N37" s="166" t="e">
        <f>K37/L37</f>
        <v>#DIV/0!</v>
      </c>
    </row>
    <row r="38" spans="2:14" ht="15" thickBot="1" x14ac:dyDescent="0.25">
      <c r="B38" s="186">
        <f>B37+1</f>
        <v>31</v>
      </c>
      <c r="C38" s="2056"/>
      <c r="D38" s="160">
        <v>5</v>
      </c>
      <c r="E38" s="161">
        <f t="shared" ref="E38" si="15">C38*D38</f>
        <v>0</v>
      </c>
      <c r="F38" s="2079">
        <f t="shared" ref="F38" si="16">E38</f>
        <v>0</v>
      </c>
      <c r="G38" s="162">
        <v>51.314667</v>
      </c>
      <c r="H38" s="162">
        <f t="shared" ref="H38" si="17">(F38*G38)/1000</f>
        <v>0</v>
      </c>
      <c r="I38" s="187">
        <v>1083.7641599999999</v>
      </c>
      <c r="J38" s="163">
        <f t="shared" ref="J38" si="18">(H38*I38)/1000</f>
        <v>0</v>
      </c>
      <c r="K38" s="188">
        <f t="shared" ref="K38" si="19">L38-J38</f>
        <v>0</v>
      </c>
      <c r="L38" s="164"/>
      <c r="M38" s="165" t="e">
        <f>(J38/L38)</f>
        <v>#DIV/0!</v>
      </c>
      <c r="N38" s="166" t="e">
        <f>K38/L38</f>
        <v>#DIV/0!</v>
      </c>
    </row>
    <row r="39" spans="2:14" ht="15" x14ac:dyDescent="0.25">
      <c r="B39" s="189" t="s">
        <v>156</v>
      </c>
      <c r="C39" s="168"/>
      <c r="D39" s="190"/>
      <c r="E39" s="190"/>
      <c r="F39" s="2115">
        <f t="shared" si="10"/>
        <v>0</v>
      </c>
      <c r="G39" s="191"/>
      <c r="H39" s="191">
        <f>AVERAGE(H8:H38)</f>
        <v>103.56823525714515</v>
      </c>
      <c r="I39" s="192">
        <f>AVERAGE(I8:I38)</f>
        <v>1062.8347409677419</v>
      </c>
      <c r="J39" s="193">
        <f>AVERAGE(J8:J38)</f>
        <v>108.60882207762073</v>
      </c>
      <c r="K39" s="194">
        <f>AVERAGE(K8:K38)</f>
        <v>102.42274243850828</v>
      </c>
      <c r="L39" s="195">
        <f>AVERAGE(L8:L38)</f>
        <v>817.74731250000002</v>
      </c>
      <c r="M39" s="196" t="e">
        <f t="shared" ref="M39:N39" si="20">AVERAGE(M8:M37)</f>
        <v>#DIV/0!</v>
      </c>
      <c r="N39" s="196" t="e">
        <f t="shared" si="20"/>
        <v>#DIV/0!</v>
      </c>
    </row>
    <row r="40" spans="2:14" ht="15" x14ac:dyDescent="0.25">
      <c r="B40" s="197" t="s">
        <v>157</v>
      </c>
      <c r="C40" s="112">
        <f>SUM(C8:C38)</f>
        <v>18182.900000000001</v>
      </c>
      <c r="D40" s="198"/>
      <c r="E40" s="199">
        <f>SUM(E8:E38)</f>
        <v>90914.5</v>
      </c>
      <c r="F40" s="161">
        <f>E40</f>
        <v>90914.5</v>
      </c>
      <c r="G40" s="199"/>
      <c r="H40" s="199">
        <f>SUM(H8:H38)</f>
        <v>3210.6152929714995</v>
      </c>
      <c r="I40" s="200"/>
      <c r="J40" s="201">
        <f>SUM(J8:J38)</f>
        <v>3366.8734844062428</v>
      </c>
      <c r="K40" s="202"/>
      <c r="L40" s="203"/>
      <c r="M40" s="204"/>
      <c r="N40" s="204"/>
    </row>
    <row r="41" spans="2:14" ht="15" x14ac:dyDescent="0.25">
      <c r="B41" s="205" t="s">
        <v>158</v>
      </c>
      <c r="C41" s="169"/>
      <c r="D41" s="206"/>
      <c r="E41" s="206"/>
      <c r="F41" s="207"/>
      <c r="G41" s="207"/>
      <c r="H41" s="207"/>
      <c r="I41" s="208"/>
      <c r="J41" s="204"/>
      <c r="K41" s="202"/>
      <c r="L41" s="209"/>
      <c r="M41" s="204"/>
      <c r="N41" s="204"/>
    </row>
    <row r="42" spans="2:14" ht="30.75" customHeight="1" thickBot="1" x14ac:dyDescent="0.25">
      <c r="B42" s="210" t="s">
        <v>159</v>
      </c>
      <c r="C42" s="170"/>
      <c r="D42" s="211"/>
      <c r="E42" s="211"/>
      <c r="F42" s="212"/>
      <c r="G42" s="212"/>
      <c r="H42" s="213">
        <f>H40+H41</f>
        <v>3210.6152929714995</v>
      </c>
      <c r="I42" s="214"/>
      <c r="J42" s="215">
        <f>J40+J41</f>
        <v>3366.8734844062428</v>
      </c>
      <c r="K42" s="216"/>
      <c r="L42" s="217"/>
      <c r="M42" s="218"/>
      <c r="N42" s="218"/>
    </row>
    <row r="43" spans="2:14" s="174" customFormat="1" x14ac:dyDescent="0.2">
      <c r="C43" s="151"/>
    </row>
    <row r="44" spans="2:14" s="174" customFormat="1" hidden="1" x14ac:dyDescent="0.2">
      <c r="C44" s="151" t="s">
        <v>160</v>
      </c>
      <c r="F44" s="219"/>
    </row>
    <row r="45" spans="2:14" s="174" customFormat="1" hidden="1" x14ac:dyDescent="0.2">
      <c r="C45" s="151">
        <f>C40</f>
        <v>18182.900000000001</v>
      </c>
      <c r="D45" s="174" t="s">
        <v>123</v>
      </c>
      <c r="F45" s="151">
        <f>C40*5</f>
        <v>90914.5</v>
      </c>
      <c r="G45" s="174">
        <v>9983.7000000000007</v>
      </c>
    </row>
    <row r="46" spans="2:14" s="174" customFormat="1" ht="15" hidden="1" x14ac:dyDescent="0.25">
      <c r="C46" s="151">
        <v>5</v>
      </c>
      <c r="D46" s="174" t="s">
        <v>161</v>
      </c>
      <c r="F46" s="151">
        <v>21286.9</v>
      </c>
      <c r="G46" s="219">
        <f>G45-C40</f>
        <v>-8199.2000000000007</v>
      </c>
      <c r="H46" s="220"/>
      <c r="L46" s="220"/>
    </row>
    <row r="47" spans="2:14" s="174" customFormat="1" hidden="1" x14ac:dyDescent="0.2">
      <c r="C47" s="151">
        <f>C45*C46</f>
        <v>90914.5</v>
      </c>
      <c r="D47" s="174" t="s">
        <v>162</v>
      </c>
      <c r="F47" s="151">
        <f>F45/F46</f>
        <v>4.2709130967872255</v>
      </c>
      <c r="G47" s="219"/>
      <c r="H47" s="142"/>
      <c r="J47" s="142"/>
      <c r="L47" s="221"/>
    </row>
    <row r="48" spans="2:14" s="174" customFormat="1" hidden="1" x14ac:dyDescent="0.2">
      <c r="C48" s="151" t="e">
        <f>#REF!</f>
        <v>#REF!</v>
      </c>
      <c r="D48" s="174" t="s">
        <v>163</v>
      </c>
      <c r="H48" s="222"/>
      <c r="J48" s="151"/>
      <c r="L48" s="221"/>
    </row>
    <row r="49" spans="3:12" s="174" customFormat="1" ht="15" hidden="1" x14ac:dyDescent="0.25">
      <c r="C49" s="151" t="e">
        <f>(C47*C48)/1000</f>
        <v>#REF!</v>
      </c>
      <c r="D49" s="174" t="s">
        <v>164</v>
      </c>
      <c r="H49" s="172"/>
      <c r="J49" s="142"/>
      <c r="L49" s="151"/>
    </row>
    <row r="50" spans="3:12" s="174" customFormat="1" hidden="1" x14ac:dyDescent="0.2">
      <c r="C50" s="151">
        <f>I39</f>
        <v>1062.8347409677419</v>
      </c>
      <c r="D50" s="174" t="s">
        <v>165</v>
      </c>
      <c r="H50" s="151"/>
      <c r="J50" s="223"/>
    </row>
    <row r="51" spans="3:12" s="174" customFormat="1" ht="15" hidden="1" x14ac:dyDescent="0.25">
      <c r="C51" s="172" t="e">
        <f>(C49*C50)/1000</f>
        <v>#REF!</v>
      </c>
      <c r="D51" s="174" t="s">
        <v>166</v>
      </c>
      <c r="H51" s="224"/>
      <c r="I51" s="220"/>
    </row>
    <row r="52" spans="3:12" s="174" customFormat="1" x14ac:dyDescent="0.2">
      <c r="C52" s="151"/>
    </row>
    <row r="53" spans="3:12" s="174" customFormat="1" x14ac:dyDescent="0.2">
      <c r="C53" s="151"/>
    </row>
    <row r="54" spans="3:12" s="174" customFormat="1" x14ac:dyDescent="0.2">
      <c r="C54" s="151"/>
    </row>
    <row r="55" spans="3:12" s="174" customFormat="1" x14ac:dyDescent="0.2">
      <c r="C55" s="151"/>
    </row>
    <row r="56" spans="3:12" s="174" customFormat="1" x14ac:dyDescent="0.2">
      <c r="C56" s="151"/>
    </row>
    <row r="57" spans="3:12" s="174" customFormat="1" x14ac:dyDescent="0.2">
      <c r="C57" s="151"/>
    </row>
    <row r="58" spans="3:12" s="174" customFormat="1" x14ac:dyDescent="0.2">
      <c r="C58" s="151"/>
    </row>
    <row r="59" spans="3:12" s="174" customFormat="1" x14ac:dyDescent="0.2">
      <c r="C59" s="151"/>
    </row>
    <row r="60" spans="3:12" s="174" customFormat="1" x14ac:dyDescent="0.2">
      <c r="C60" s="151"/>
      <c r="F60" s="142"/>
    </row>
    <row r="61" spans="3:12" s="174" customFormat="1" x14ac:dyDescent="0.2">
      <c r="C61" s="151"/>
      <c r="F61" s="142"/>
    </row>
    <row r="62" spans="3:12" s="174" customFormat="1" x14ac:dyDescent="0.2">
      <c r="C62" s="151"/>
      <c r="F62" s="142"/>
    </row>
    <row r="63" spans="3:12" s="174" customFormat="1" x14ac:dyDescent="0.2">
      <c r="C63" s="151"/>
      <c r="F63" s="142"/>
    </row>
    <row r="64" spans="3:12" s="174" customFormat="1" x14ac:dyDescent="0.2">
      <c r="C64" s="151"/>
    </row>
    <row r="65" spans="3:3" s="174" customFormat="1" x14ac:dyDescent="0.2">
      <c r="C65" s="151"/>
    </row>
    <row r="66" spans="3:3" s="174" customFormat="1" x14ac:dyDescent="0.2">
      <c r="C66" s="151"/>
    </row>
    <row r="67" spans="3:3" s="174" customFormat="1" x14ac:dyDescent="0.2">
      <c r="C67" s="151"/>
    </row>
    <row r="68" spans="3:3" s="174" customFormat="1" x14ac:dyDescent="0.2">
      <c r="C68" s="151"/>
    </row>
    <row r="69" spans="3:3" s="174" customFormat="1" x14ac:dyDescent="0.2">
      <c r="C69" s="151"/>
    </row>
    <row r="70" spans="3:3" s="174" customFormat="1" x14ac:dyDescent="0.2">
      <c r="C70" s="151"/>
    </row>
    <row r="71" spans="3:3" s="174" customFormat="1" x14ac:dyDescent="0.2">
      <c r="C71" s="151"/>
    </row>
    <row r="72" spans="3:3" s="174" customFormat="1" x14ac:dyDescent="0.2">
      <c r="C72" s="151"/>
    </row>
    <row r="73" spans="3:3" s="174" customFormat="1" x14ac:dyDescent="0.2">
      <c r="C73" s="151"/>
    </row>
    <row r="74" spans="3:3" s="174" customFormat="1" x14ac:dyDescent="0.2">
      <c r="C74" s="151"/>
    </row>
    <row r="75" spans="3:3" s="174" customFormat="1" x14ac:dyDescent="0.2">
      <c r="C75" s="151"/>
    </row>
    <row r="76" spans="3:3" s="174" customFormat="1" x14ac:dyDescent="0.2">
      <c r="C76" s="151"/>
    </row>
    <row r="77" spans="3:3" s="174" customFormat="1" x14ac:dyDescent="0.2">
      <c r="C77" s="151"/>
    </row>
    <row r="78" spans="3:3" s="174" customFormat="1" x14ac:dyDescent="0.2">
      <c r="C78" s="151"/>
    </row>
    <row r="79" spans="3:3" s="174" customFormat="1" x14ac:dyDescent="0.2">
      <c r="C79" s="151"/>
    </row>
    <row r="80" spans="3:3" s="174" customFormat="1" x14ac:dyDescent="0.2">
      <c r="C80" s="151"/>
    </row>
    <row r="81" spans="3:3" s="174" customFormat="1" x14ac:dyDescent="0.2">
      <c r="C81" s="151"/>
    </row>
    <row r="82" spans="3:3" s="174" customFormat="1" x14ac:dyDescent="0.2">
      <c r="C82" s="151"/>
    </row>
    <row r="83" spans="3:3" s="174" customFormat="1" x14ac:dyDescent="0.2">
      <c r="C83" s="151"/>
    </row>
    <row r="84" spans="3:3" s="174" customFormat="1" x14ac:dyDescent="0.2">
      <c r="C84" s="151"/>
    </row>
    <row r="85" spans="3:3" s="174" customFormat="1" x14ac:dyDescent="0.2">
      <c r="C85" s="151"/>
    </row>
    <row r="86" spans="3:3" s="174" customFormat="1" x14ac:dyDescent="0.2">
      <c r="C86" s="151"/>
    </row>
    <row r="87" spans="3:3" s="174" customFormat="1" x14ac:dyDescent="0.2">
      <c r="C87" s="151"/>
    </row>
    <row r="88" spans="3:3" s="174" customFormat="1" x14ac:dyDescent="0.2">
      <c r="C88" s="151"/>
    </row>
    <row r="89" spans="3:3" s="174" customFormat="1" x14ac:dyDescent="0.2">
      <c r="C89" s="151"/>
    </row>
    <row r="90" spans="3:3" s="174" customFormat="1" x14ac:dyDescent="0.2">
      <c r="C90" s="151"/>
    </row>
    <row r="91" spans="3:3" s="174" customFormat="1" x14ac:dyDescent="0.2">
      <c r="C91" s="151"/>
    </row>
    <row r="92" spans="3:3" s="174" customFormat="1" x14ac:dyDescent="0.2">
      <c r="C92" s="151"/>
    </row>
    <row r="93" spans="3:3" s="174" customFormat="1" x14ac:dyDescent="0.2">
      <c r="C93" s="151"/>
    </row>
    <row r="94" spans="3:3" s="174" customFormat="1" x14ac:dyDescent="0.2">
      <c r="C94" s="151"/>
    </row>
    <row r="95" spans="3:3" s="174" customFormat="1" x14ac:dyDescent="0.2">
      <c r="C95" s="151"/>
    </row>
    <row r="96" spans="3:3" s="174" customFormat="1" x14ac:dyDescent="0.2">
      <c r="C96" s="151"/>
    </row>
    <row r="97" spans="3:3" s="174" customFormat="1" x14ac:dyDescent="0.2">
      <c r="C97" s="151"/>
    </row>
    <row r="98" spans="3:3" s="174" customFormat="1" x14ac:dyDescent="0.2">
      <c r="C98" s="151"/>
    </row>
    <row r="99" spans="3:3" s="174" customFormat="1" x14ac:dyDescent="0.2">
      <c r="C99" s="151"/>
    </row>
    <row r="100" spans="3:3" s="174" customFormat="1" x14ac:dyDescent="0.2">
      <c r="C100" s="151"/>
    </row>
    <row r="101" spans="3:3" s="174" customFormat="1" x14ac:dyDescent="0.2">
      <c r="C101" s="151"/>
    </row>
    <row r="102" spans="3:3" s="174" customFormat="1" x14ac:dyDescent="0.2">
      <c r="C102" s="151"/>
    </row>
    <row r="103" spans="3:3" s="174" customFormat="1" x14ac:dyDescent="0.2">
      <c r="C103" s="151"/>
    </row>
    <row r="104" spans="3:3" s="174" customFormat="1" x14ac:dyDescent="0.2">
      <c r="C104" s="151"/>
    </row>
    <row r="105" spans="3:3" s="174" customFormat="1" x14ac:dyDescent="0.2">
      <c r="C105" s="151"/>
    </row>
    <row r="106" spans="3:3" s="174" customFormat="1" x14ac:dyDescent="0.2">
      <c r="C106" s="151"/>
    </row>
    <row r="107" spans="3:3" s="174" customFormat="1" x14ac:dyDescent="0.2">
      <c r="C107" s="151"/>
    </row>
    <row r="108" spans="3:3" s="174" customFormat="1" x14ac:dyDescent="0.2">
      <c r="C108" s="151"/>
    </row>
    <row r="109" spans="3:3" s="174" customFormat="1" x14ac:dyDescent="0.2">
      <c r="C109" s="151"/>
    </row>
    <row r="110" spans="3:3" s="174" customFormat="1" x14ac:dyDescent="0.2">
      <c r="C110" s="151"/>
    </row>
    <row r="111" spans="3:3" s="174" customFormat="1" x14ac:dyDescent="0.2">
      <c r="C111" s="151"/>
    </row>
    <row r="112" spans="3:3" s="174" customFormat="1" x14ac:dyDescent="0.2">
      <c r="C112" s="151"/>
    </row>
    <row r="113" spans="3:3" s="174" customFormat="1" x14ac:dyDescent="0.2">
      <c r="C113" s="151"/>
    </row>
    <row r="114" spans="3:3" s="174" customFormat="1" x14ac:dyDescent="0.2">
      <c r="C114" s="151"/>
    </row>
    <row r="115" spans="3:3" s="174" customFormat="1" x14ac:dyDescent="0.2">
      <c r="C115" s="151"/>
    </row>
    <row r="116" spans="3:3" s="174" customFormat="1" x14ac:dyDescent="0.2">
      <c r="C116" s="151"/>
    </row>
    <row r="117" spans="3:3" s="174" customFormat="1" x14ac:dyDescent="0.2">
      <c r="C117" s="151"/>
    </row>
    <row r="118" spans="3:3" s="174" customFormat="1" x14ac:dyDescent="0.2">
      <c r="C118" s="151"/>
    </row>
    <row r="119" spans="3:3" s="174" customFormat="1" x14ac:dyDescent="0.2">
      <c r="C119" s="151"/>
    </row>
    <row r="120" spans="3:3" s="174" customFormat="1" x14ac:dyDescent="0.2">
      <c r="C120" s="151"/>
    </row>
    <row r="121" spans="3:3" s="174" customFormat="1" x14ac:dyDescent="0.2">
      <c r="C121" s="151"/>
    </row>
    <row r="122" spans="3:3" s="174" customFormat="1" x14ac:dyDescent="0.2">
      <c r="C122" s="151"/>
    </row>
    <row r="123" spans="3:3" s="174" customFormat="1" x14ac:dyDescent="0.2">
      <c r="C123" s="151"/>
    </row>
    <row r="124" spans="3:3" s="174" customFormat="1" x14ac:dyDescent="0.2">
      <c r="C124" s="151"/>
    </row>
    <row r="125" spans="3:3" s="174" customFormat="1" x14ac:dyDescent="0.2">
      <c r="C125" s="151"/>
    </row>
    <row r="126" spans="3:3" s="174" customFormat="1" x14ac:dyDescent="0.2">
      <c r="C126" s="151"/>
    </row>
    <row r="127" spans="3:3" s="174" customFormat="1" x14ac:dyDescent="0.2">
      <c r="C127" s="151"/>
    </row>
    <row r="128" spans="3:3" s="174" customFormat="1" x14ac:dyDescent="0.2">
      <c r="C128" s="151"/>
    </row>
    <row r="129" spans="3:3" s="174" customFormat="1" x14ac:dyDescent="0.2">
      <c r="C129" s="151"/>
    </row>
    <row r="130" spans="3:3" s="174" customFormat="1" x14ac:dyDescent="0.2">
      <c r="C130" s="151"/>
    </row>
    <row r="131" spans="3:3" s="174" customFormat="1" x14ac:dyDescent="0.2">
      <c r="C131" s="151"/>
    </row>
    <row r="132" spans="3:3" s="174" customFormat="1" x14ac:dyDescent="0.2">
      <c r="C132" s="151"/>
    </row>
    <row r="133" spans="3:3" s="174" customFormat="1" x14ac:dyDescent="0.2">
      <c r="C133" s="151"/>
    </row>
    <row r="134" spans="3:3" s="174" customFormat="1" x14ac:dyDescent="0.2">
      <c r="C134" s="151"/>
    </row>
    <row r="135" spans="3:3" s="174" customFormat="1" x14ac:dyDescent="0.2">
      <c r="C135" s="151"/>
    </row>
    <row r="136" spans="3:3" s="174" customFormat="1" x14ac:dyDescent="0.2">
      <c r="C136" s="151"/>
    </row>
    <row r="137" spans="3:3" s="174" customFormat="1" x14ac:dyDescent="0.2">
      <c r="C137" s="151"/>
    </row>
    <row r="138" spans="3:3" s="174" customFormat="1" x14ac:dyDescent="0.2">
      <c r="C138" s="151"/>
    </row>
    <row r="139" spans="3:3" s="174" customFormat="1" x14ac:dyDescent="0.2">
      <c r="C139" s="151"/>
    </row>
    <row r="140" spans="3:3" s="174" customFormat="1" x14ac:dyDescent="0.2">
      <c r="C140" s="151"/>
    </row>
    <row r="141" spans="3:3" s="174" customFormat="1" x14ac:dyDescent="0.2">
      <c r="C141" s="151"/>
    </row>
    <row r="142" spans="3:3" s="174" customFormat="1" x14ac:dyDescent="0.2">
      <c r="C142" s="151"/>
    </row>
    <row r="143" spans="3:3" s="174" customFormat="1" x14ac:dyDescent="0.2">
      <c r="C143" s="151"/>
    </row>
    <row r="144" spans="3:3" s="174" customFormat="1" x14ac:dyDescent="0.2">
      <c r="C144" s="151"/>
    </row>
    <row r="145" spans="3:3" s="174" customFormat="1" x14ac:dyDescent="0.2">
      <c r="C145" s="151"/>
    </row>
    <row r="146" spans="3:3" s="174" customFormat="1" x14ac:dyDescent="0.2">
      <c r="C146" s="151"/>
    </row>
    <row r="147" spans="3:3" s="174" customFormat="1" x14ac:dyDescent="0.2">
      <c r="C147" s="151"/>
    </row>
    <row r="148" spans="3:3" s="174" customFormat="1" x14ac:dyDescent="0.2">
      <c r="C148" s="151"/>
    </row>
    <row r="149" spans="3:3" s="174" customFormat="1" x14ac:dyDescent="0.2">
      <c r="C149" s="151"/>
    </row>
    <row r="150" spans="3:3" s="174" customFormat="1" x14ac:dyDescent="0.2">
      <c r="C150" s="151"/>
    </row>
    <row r="151" spans="3:3" s="174" customFormat="1" x14ac:dyDescent="0.2">
      <c r="C151" s="151"/>
    </row>
    <row r="152" spans="3:3" s="174" customFormat="1" x14ac:dyDescent="0.2">
      <c r="C152" s="151"/>
    </row>
    <row r="153" spans="3:3" s="174" customFormat="1" x14ac:dyDescent="0.2">
      <c r="C153" s="151"/>
    </row>
    <row r="154" spans="3:3" s="174" customFormat="1" x14ac:dyDescent="0.2">
      <c r="C154" s="151"/>
    </row>
    <row r="155" spans="3:3" s="174" customFormat="1" x14ac:dyDescent="0.2">
      <c r="C155" s="151"/>
    </row>
    <row r="156" spans="3:3" s="174" customFormat="1" x14ac:dyDescent="0.2">
      <c r="C156" s="151"/>
    </row>
    <row r="157" spans="3:3" s="174" customFormat="1" x14ac:dyDescent="0.2">
      <c r="C157" s="151"/>
    </row>
    <row r="158" spans="3:3" s="174" customFormat="1" x14ac:dyDescent="0.2">
      <c r="C158" s="151"/>
    </row>
    <row r="159" spans="3:3" s="174" customFormat="1" x14ac:dyDescent="0.2">
      <c r="C159" s="151"/>
    </row>
    <row r="160" spans="3:3" s="174" customFormat="1" x14ac:dyDescent="0.2">
      <c r="C160" s="151"/>
    </row>
    <row r="161" spans="3:3" s="174" customFormat="1" x14ac:dyDescent="0.2">
      <c r="C161" s="151"/>
    </row>
    <row r="162" spans="3:3" s="174" customFormat="1" x14ac:dyDescent="0.2">
      <c r="C162" s="151"/>
    </row>
    <row r="163" spans="3:3" s="174" customFormat="1" x14ac:dyDescent="0.2">
      <c r="C163" s="151"/>
    </row>
    <row r="164" spans="3:3" s="174" customFormat="1" x14ac:dyDescent="0.2">
      <c r="C164" s="151"/>
    </row>
    <row r="165" spans="3:3" s="174" customFormat="1" x14ac:dyDescent="0.2">
      <c r="C165" s="151"/>
    </row>
    <row r="166" spans="3:3" s="174" customFormat="1" x14ac:dyDescent="0.2">
      <c r="C166" s="151"/>
    </row>
    <row r="167" spans="3:3" s="174" customFormat="1" x14ac:dyDescent="0.2">
      <c r="C167" s="151"/>
    </row>
    <row r="168" spans="3:3" s="174" customFormat="1" x14ac:dyDescent="0.2">
      <c r="C168" s="151"/>
    </row>
    <row r="169" spans="3:3" s="174" customFormat="1" x14ac:dyDescent="0.2">
      <c r="C169" s="151"/>
    </row>
    <row r="170" spans="3:3" s="174" customFormat="1" x14ac:dyDescent="0.2">
      <c r="C170" s="151"/>
    </row>
    <row r="171" spans="3:3" s="174" customFormat="1" x14ac:dyDescent="0.2">
      <c r="C171" s="151"/>
    </row>
    <row r="172" spans="3:3" s="174" customFormat="1" x14ac:dyDescent="0.2">
      <c r="C172" s="151"/>
    </row>
    <row r="173" spans="3:3" s="174" customFormat="1" x14ac:dyDescent="0.2">
      <c r="C173" s="151"/>
    </row>
    <row r="174" spans="3:3" s="174" customFormat="1" x14ac:dyDescent="0.2">
      <c r="C174" s="151"/>
    </row>
    <row r="175" spans="3:3" s="174" customFormat="1" x14ac:dyDescent="0.2">
      <c r="C175" s="151"/>
    </row>
    <row r="176" spans="3:3" s="174" customFormat="1" x14ac:dyDescent="0.2">
      <c r="C176" s="151"/>
    </row>
    <row r="177" spans="3:3" s="174" customFormat="1" x14ac:dyDescent="0.2">
      <c r="C177" s="151"/>
    </row>
    <row r="178" spans="3:3" s="174" customFormat="1" x14ac:dyDescent="0.2">
      <c r="C178" s="151"/>
    </row>
    <row r="179" spans="3:3" s="174" customFormat="1" x14ac:dyDescent="0.2">
      <c r="C179" s="151"/>
    </row>
    <row r="180" spans="3:3" s="174" customFormat="1" x14ac:dyDescent="0.2">
      <c r="C180" s="151"/>
    </row>
    <row r="181" spans="3:3" s="174" customFormat="1" x14ac:dyDescent="0.2">
      <c r="C181" s="151"/>
    </row>
    <row r="182" spans="3:3" s="174" customFormat="1" x14ac:dyDescent="0.2">
      <c r="C182" s="151"/>
    </row>
    <row r="183" spans="3:3" s="174" customFormat="1" x14ac:dyDescent="0.2">
      <c r="C183" s="151"/>
    </row>
    <row r="184" spans="3:3" s="174" customFormat="1" x14ac:dyDescent="0.2">
      <c r="C184" s="151"/>
    </row>
    <row r="185" spans="3:3" s="174" customFormat="1" x14ac:dyDescent="0.2">
      <c r="C185" s="151"/>
    </row>
    <row r="186" spans="3:3" s="174" customFormat="1" x14ac:dyDescent="0.2">
      <c r="C186" s="151"/>
    </row>
    <row r="187" spans="3:3" s="174" customFormat="1" x14ac:dyDescent="0.2">
      <c r="C187" s="151"/>
    </row>
    <row r="188" spans="3:3" s="174" customFormat="1" x14ac:dyDescent="0.2">
      <c r="C188" s="151"/>
    </row>
    <row r="189" spans="3:3" s="174" customFormat="1" x14ac:dyDescent="0.2">
      <c r="C189" s="151"/>
    </row>
    <row r="190" spans="3:3" s="174" customFormat="1" x14ac:dyDescent="0.2">
      <c r="C190" s="151"/>
    </row>
    <row r="191" spans="3:3" s="174" customFormat="1" x14ac:dyDescent="0.2">
      <c r="C191" s="151"/>
    </row>
    <row r="192" spans="3:3" s="174" customFormat="1" x14ac:dyDescent="0.2">
      <c r="C192" s="151"/>
    </row>
    <row r="193" spans="3:3" s="174" customFormat="1" x14ac:dyDescent="0.2">
      <c r="C193" s="151"/>
    </row>
    <row r="194" spans="3:3" s="174" customFormat="1" x14ac:dyDescent="0.2">
      <c r="C194" s="151"/>
    </row>
    <row r="195" spans="3:3" s="174" customFormat="1" x14ac:dyDescent="0.2">
      <c r="C195" s="151"/>
    </row>
    <row r="196" spans="3:3" s="174" customFormat="1" x14ac:dyDescent="0.2">
      <c r="C196" s="151"/>
    </row>
    <row r="197" spans="3:3" s="174" customFormat="1" x14ac:dyDescent="0.2">
      <c r="C197" s="151"/>
    </row>
    <row r="198" spans="3:3" s="174" customFormat="1" x14ac:dyDescent="0.2">
      <c r="C198" s="151"/>
    </row>
    <row r="199" spans="3:3" s="174" customFormat="1" x14ac:dyDescent="0.2">
      <c r="C199" s="151"/>
    </row>
    <row r="200" spans="3:3" s="174" customFormat="1" x14ac:dyDescent="0.2">
      <c r="C200" s="151"/>
    </row>
    <row r="201" spans="3:3" s="174" customFormat="1" x14ac:dyDescent="0.2">
      <c r="C201" s="151"/>
    </row>
    <row r="202" spans="3:3" s="174" customFormat="1" x14ac:dyDescent="0.2">
      <c r="C202" s="151"/>
    </row>
    <row r="203" spans="3:3" s="174" customFormat="1" x14ac:dyDescent="0.2">
      <c r="C203" s="151"/>
    </row>
    <row r="204" spans="3:3" s="174" customFormat="1" x14ac:dyDescent="0.2">
      <c r="C204" s="151"/>
    </row>
    <row r="205" spans="3:3" s="174" customFormat="1" x14ac:dyDescent="0.2">
      <c r="C205" s="151"/>
    </row>
    <row r="206" spans="3:3" s="174" customFormat="1" x14ac:dyDescent="0.2">
      <c r="C206" s="151"/>
    </row>
    <row r="207" spans="3:3" s="174" customFormat="1" x14ac:dyDescent="0.2">
      <c r="C207" s="151"/>
    </row>
    <row r="208" spans="3:3" s="174" customFormat="1" x14ac:dyDescent="0.2">
      <c r="C208" s="151"/>
    </row>
    <row r="209" spans="3:3" s="174" customFormat="1" x14ac:dyDescent="0.2">
      <c r="C209" s="151"/>
    </row>
    <row r="210" spans="3:3" s="174" customFormat="1" x14ac:dyDescent="0.2">
      <c r="C210" s="151"/>
    </row>
    <row r="211" spans="3:3" s="174" customFormat="1" x14ac:dyDescent="0.2">
      <c r="C211" s="151"/>
    </row>
    <row r="212" spans="3:3" s="174" customFormat="1" x14ac:dyDescent="0.2">
      <c r="C212" s="151"/>
    </row>
    <row r="213" spans="3:3" s="174" customFormat="1" x14ac:dyDescent="0.2">
      <c r="C213" s="151"/>
    </row>
    <row r="214" spans="3:3" s="174" customFormat="1" x14ac:dyDescent="0.2">
      <c r="C214" s="151"/>
    </row>
    <row r="215" spans="3:3" s="174" customFormat="1" x14ac:dyDescent="0.2">
      <c r="C215" s="151"/>
    </row>
    <row r="216" spans="3:3" s="174" customFormat="1" x14ac:dyDescent="0.2">
      <c r="C216" s="151"/>
    </row>
    <row r="217" spans="3:3" s="174" customFormat="1" x14ac:dyDescent="0.2">
      <c r="C217" s="151"/>
    </row>
    <row r="218" spans="3:3" s="174" customFormat="1" x14ac:dyDescent="0.2">
      <c r="C218" s="151"/>
    </row>
    <row r="219" spans="3:3" s="174" customFormat="1" x14ac:dyDescent="0.2">
      <c r="C219" s="151"/>
    </row>
    <row r="220" spans="3:3" s="174" customFormat="1" x14ac:dyDescent="0.2">
      <c r="C220" s="151"/>
    </row>
    <row r="221" spans="3:3" s="174" customFormat="1" x14ac:dyDescent="0.2">
      <c r="C221" s="151"/>
    </row>
    <row r="222" spans="3:3" s="174" customFormat="1" x14ac:dyDescent="0.2">
      <c r="C222" s="151"/>
    </row>
    <row r="223" spans="3:3" s="174" customFormat="1" x14ac:dyDescent="0.2">
      <c r="C223" s="151"/>
    </row>
    <row r="224" spans="3:3" s="174" customFormat="1" x14ac:dyDescent="0.2">
      <c r="C224" s="151"/>
    </row>
    <row r="225" spans="3:3" s="174" customFormat="1" x14ac:dyDescent="0.2">
      <c r="C225" s="151"/>
    </row>
    <row r="226" spans="3:3" s="174" customFormat="1" x14ac:dyDescent="0.2">
      <c r="C226" s="151"/>
    </row>
    <row r="227" spans="3:3" s="174" customFormat="1" x14ac:dyDescent="0.2">
      <c r="C227" s="151"/>
    </row>
    <row r="228" spans="3:3" s="174" customFormat="1" x14ac:dyDescent="0.2">
      <c r="C228" s="151"/>
    </row>
    <row r="229" spans="3:3" s="174" customFormat="1" x14ac:dyDescent="0.2">
      <c r="C229" s="151"/>
    </row>
    <row r="230" spans="3:3" s="174" customFormat="1" x14ac:dyDescent="0.2">
      <c r="C230" s="151"/>
    </row>
    <row r="231" spans="3:3" s="174" customFormat="1" x14ac:dyDescent="0.2">
      <c r="C231" s="151"/>
    </row>
    <row r="232" spans="3:3" s="174" customFormat="1" x14ac:dyDescent="0.2">
      <c r="C232" s="151"/>
    </row>
    <row r="233" spans="3:3" s="174" customFormat="1" x14ac:dyDescent="0.2">
      <c r="C233" s="151"/>
    </row>
    <row r="234" spans="3:3" s="174" customFormat="1" x14ac:dyDescent="0.2">
      <c r="C234" s="151"/>
    </row>
    <row r="235" spans="3:3" s="174" customFormat="1" x14ac:dyDescent="0.2">
      <c r="C235" s="151"/>
    </row>
    <row r="236" spans="3:3" s="174" customFormat="1" x14ac:dyDescent="0.2">
      <c r="C236" s="151"/>
    </row>
    <row r="237" spans="3:3" s="174" customFormat="1" x14ac:dyDescent="0.2">
      <c r="C237" s="151"/>
    </row>
    <row r="238" spans="3:3" s="174" customFormat="1" x14ac:dyDescent="0.2">
      <c r="C238" s="151"/>
    </row>
    <row r="239" spans="3:3" s="174" customFormat="1" x14ac:dyDescent="0.2">
      <c r="C239" s="151"/>
    </row>
    <row r="240" spans="3:3" s="174" customFormat="1" x14ac:dyDescent="0.2">
      <c r="C240" s="151"/>
    </row>
    <row r="241" spans="3:3" s="174" customFormat="1" x14ac:dyDescent="0.2">
      <c r="C241" s="151"/>
    </row>
    <row r="242" spans="3:3" s="174" customFormat="1" x14ac:dyDescent="0.2">
      <c r="C242" s="151"/>
    </row>
    <row r="243" spans="3:3" s="174" customFormat="1" x14ac:dyDescent="0.2">
      <c r="C243" s="151"/>
    </row>
    <row r="244" spans="3:3" s="174" customFormat="1" x14ac:dyDescent="0.2">
      <c r="C244" s="151"/>
    </row>
    <row r="245" spans="3:3" s="174" customFormat="1" x14ac:dyDescent="0.2">
      <c r="C245" s="151"/>
    </row>
    <row r="246" spans="3:3" s="174" customFormat="1" x14ac:dyDescent="0.2">
      <c r="C246" s="151"/>
    </row>
    <row r="247" spans="3:3" s="174" customFormat="1" x14ac:dyDescent="0.2">
      <c r="C247" s="151"/>
    </row>
    <row r="248" spans="3:3" s="174" customFormat="1" x14ac:dyDescent="0.2">
      <c r="C248" s="151"/>
    </row>
    <row r="249" spans="3:3" s="174" customFormat="1" x14ac:dyDescent="0.2">
      <c r="C249" s="151"/>
    </row>
    <row r="250" spans="3:3" s="174" customFormat="1" x14ac:dyDescent="0.2">
      <c r="C250" s="151"/>
    </row>
    <row r="251" spans="3:3" s="174" customFormat="1" x14ac:dyDescent="0.2">
      <c r="C251" s="151"/>
    </row>
    <row r="252" spans="3:3" s="174" customFormat="1" x14ac:dyDescent="0.2">
      <c r="C252" s="151"/>
    </row>
    <row r="253" spans="3:3" s="174" customFormat="1" x14ac:dyDescent="0.2">
      <c r="C253" s="151"/>
    </row>
    <row r="254" spans="3:3" s="174" customFormat="1" x14ac:dyDescent="0.2">
      <c r="C254" s="151"/>
    </row>
    <row r="255" spans="3:3" s="174" customFormat="1" x14ac:dyDescent="0.2">
      <c r="C255" s="151"/>
    </row>
    <row r="256" spans="3:3" s="174" customFormat="1" x14ac:dyDescent="0.2">
      <c r="C256" s="151"/>
    </row>
    <row r="257" spans="3:3" s="174" customFormat="1" x14ac:dyDescent="0.2">
      <c r="C257" s="151"/>
    </row>
    <row r="258" spans="3:3" s="174" customFormat="1" x14ac:dyDescent="0.2">
      <c r="C258" s="151"/>
    </row>
    <row r="259" spans="3:3" s="174" customFormat="1" x14ac:dyDescent="0.2">
      <c r="C259" s="151"/>
    </row>
    <row r="260" spans="3:3" s="174" customFormat="1" x14ac:dyDescent="0.2">
      <c r="C260" s="151"/>
    </row>
    <row r="261" spans="3:3" s="174" customFormat="1" x14ac:dyDescent="0.2">
      <c r="C261" s="151"/>
    </row>
    <row r="262" spans="3:3" s="174" customFormat="1" x14ac:dyDescent="0.2">
      <c r="C262" s="151"/>
    </row>
    <row r="263" spans="3:3" s="174" customFormat="1" x14ac:dyDescent="0.2">
      <c r="C263" s="151"/>
    </row>
    <row r="264" spans="3:3" s="174" customFormat="1" x14ac:dyDescent="0.2">
      <c r="C264" s="151"/>
    </row>
    <row r="265" spans="3:3" s="174" customFormat="1" x14ac:dyDescent="0.2">
      <c r="C265" s="151"/>
    </row>
    <row r="266" spans="3:3" s="174" customFormat="1" x14ac:dyDescent="0.2">
      <c r="C266" s="151"/>
    </row>
    <row r="267" spans="3:3" s="174" customFormat="1" x14ac:dyDescent="0.2">
      <c r="C267" s="151"/>
    </row>
    <row r="268" spans="3:3" s="174" customFormat="1" x14ac:dyDescent="0.2">
      <c r="C268" s="151"/>
    </row>
  </sheetData>
  <mergeCells count="8">
    <mergeCell ref="B3:N3"/>
    <mergeCell ref="B5:B7"/>
    <mergeCell ref="C5:E5"/>
    <mergeCell ref="F5:F6"/>
    <mergeCell ref="K5:K6"/>
    <mergeCell ref="L5:L6"/>
    <mergeCell ref="M5:N5"/>
    <mergeCell ref="B4:C4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tabColor rgb="FF00B050"/>
    <pageSetUpPr fitToPage="1"/>
  </sheetPr>
  <dimension ref="A1:VUA347"/>
  <sheetViews>
    <sheetView zoomScale="85" zoomScaleNormal="85" workbookViewId="0">
      <pane xSplit="6" ySplit="3" topLeftCell="AJ4" activePane="bottomRight" state="frozen"/>
      <selection activeCell="D35" sqref="D35"/>
      <selection pane="topRight" activeCell="D35" sqref="D35"/>
      <selection pane="bottomLeft" activeCell="D35" sqref="D35"/>
      <selection pane="bottomRight" activeCell="BH20" sqref="BH20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4.28515625" style="1" bestFit="1" customWidth="1"/>
    <col min="8" max="8" width="15.140625" style="1" bestFit="1" customWidth="1"/>
    <col min="9" max="9" width="14.5703125" style="1" customWidth="1"/>
    <col min="10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4.710937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7" width="13.5703125" style="1" customWidth="1"/>
    <col min="38" max="38" width="3.5703125" style="1" customWidth="1"/>
    <col min="39" max="39" width="22.85546875" style="1" bestFit="1" customWidth="1"/>
    <col min="40" max="40" width="10.7109375" style="1" hidden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2.5703125" style="1" hidden="1" customWidth="1"/>
    <col min="48" max="48" width="14.42578125" style="1" hidden="1" customWidth="1"/>
    <col min="49" max="49" width="13.5703125" style="1" hidden="1" customWidth="1"/>
    <col min="50" max="50" width="21.5703125" style="1" hidden="1" customWidth="1"/>
    <col min="51" max="51" width="26.42578125" style="1" hidden="1" customWidth="1"/>
    <col min="52" max="53" width="12.42578125" style="1" hidden="1" customWidth="1"/>
    <col min="54" max="54" width="0" style="1" hidden="1" customWidth="1"/>
    <col min="55" max="55" width="9.140625" style="511" hidden="1" customWidth="1"/>
    <col min="56" max="56" width="23.85546875" style="511" hidden="1" customWidth="1"/>
    <col min="57" max="57" width="9" style="1"/>
    <col min="58" max="58" width="11" style="1" bestFit="1" customWidth="1"/>
    <col min="59" max="60" width="9" style="1"/>
    <col min="61" max="61" width="9.5703125" style="140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178" t="s">
        <v>1134</v>
      </c>
      <c r="D1" s="2178"/>
      <c r="E1" s="2178"/>
      <c r="F1" s="2178"/>
      <c r="G1" s="2178"/>
      <c r="H1" s="2178"/>
      <c r="I1" s="2178"/>
      <c r="J1" s="2178"/>
      <c r="K1" s="2178"/>
      <c r="L1" s="2178"/>
      <c r="M1" s="2178"/>
      <c r="N1" s="2178"/>
      <c r="O1" s="2178"/>
      <c r="P1" s="2178"/>
      <c r="Q1" s="2178"/>
      <c r="R1" s="2178"/>
      <c r="S1" s="2178"/>
      <c r="T1" s="2178"/>
      <c r="U1" s="2178"/>
      <c r="V1" s="2178"/>
      <c r="W1" s="2178"/>
      <c r="X1" s="2178"/>
      <c r="Y1" s="2178"/>
      <c r="Z1" s="2178"/>
      <c r="AA1" s="2178"/>
      <c r="AB1" s="2178"/>
      <c r="AC1" s="2178"/>
      <c r="AD1" s="2178"/>
      <c r="AE1" s="2178"/>
      <c r="AF1" s="2178"/>
      <c r="AG1" s="2178"/>
      <c r="AH1" s="2178"/>
      <c r="AI1" s="2178"/>
      <c r="AJ1" s="2178"/>
      <c r="AK1" s="2178"/>
      <c r="AL1" s="2178"/>
      <c r="AM1" s="2178"/>
    </row>
    <row r="2" spans="3:61" ht="30" customHeight="1" x14ac:dyDescent="0.25">
      <c r="C2" s="2179" t="s">
        <v>98</v>
      </c>
      <c r="D2" s="2181" t="s">
        <v>99</v>
      </c>
      <c r="E2" s="2183" t="s">
        <v>100</v>
      </c>
      <c r="F2" s="2185" t="s">
        <v>101</v>
      </c>
      <c r="G2" s="2187" t="s">
        <v>1136</v>
      </c>
      <c r="H2" s="2188"/>
      <c r="I2" s="2188"/>
      <c r="J2" s="2188"/>
      <c r="K2" s="2188"/>
      <c r="L2" s="2188"/>
      <c r="M2" s="2188"/>
      <c r="N2" s="2188"/>
      <c r="O2" s="2188"/>
      <c r="P2" s="2188"/>
      <c r="Q2" s="2188"/>
      <c r="R2" s="2188"/>
      <c r="S2" s="2188"/>
      <c r="T2" s="2188"/>
      <c r="U2" s="2188"/>
      <c r="V2" s="2188"/>
      <c r="W2" s="2188"/>
      <c r="X2" s="2188"/>
      <c r="Y2" s="2188"/>
      <c r="Z2" s="2188"/>
      <c r="AA2" s="2188"/>
      <c r="AB2" s="2188"/>
      <c r="AC2" s="2188"/>
      <c r="AD2" s="2188"/>
      <c r="AE2" s="2188"/>
      <c r="AF2" s="2188"/>
      <c r="AG2" s="2188"/>
      <c r="AH2" s="2188"/>
      <c r="AI2" s="2188"/>
      <c r="AJ2" s="2188"/>
      <c r="AK2" s="2189"/>
      <c r="AM2" s="2190" t="s">
        <v>295</v>
      </c>
    </row>
    <row r="3" spans="3:61" x14ac:dyDescent="0.25">
      <c r="C3" s="2180"/>
      <c r="D3" s="2182"/>
      <c r="E3" s="2184"/>
      <c r="F3" s="2186"/>
      <c r="G3" s="2059">
        <v>1</v>
      </c>
      <c r="H3" s="2059">
        <v>2</v>
      </c>
      <c r="I3" s="2059">
        <v>3</v>
      </c>
      <c r="J3" s="2059">
        <v>4</v>
      </c>
      <c r="K3" s="2059">
        <v>5</v>
      </c>
      <c r="L3" s="2059">
        <v>6</v>
      </c>
      <c r="M3" s="2059">
        <v>7</v>
      </c>
      <c r="N3" s="2059">
        <v>8</v>
      </c>
      <c r="O3" s="2059">
        <v>9</v>
      </c>
      <c r="P3" s="2059">
        <v>10</v>
      </c>
      <c r="Q3" s="2059">
        <v>11</v>
      </c>
      <c r="R3" s="360">
        <v>12</v>
      </c>
      <c r="S3" s="360">
        <v>13</v>
      </c>
      <c r="T3" s="360">
        <v>14</v>
      </c>
      <c r="U3" s="360">
        <v>15</v>
      </c>
      <c r="V3" s="360">
        <v>16</v>
      </c>
      <c r="W3" s="360">
        <v>17</v>
      </c>
      <c r="X3" s="360">
        <v>18</v>
      </c>
      <c r="Y3" s="360">
        <v>19</v>
      </c>
      <c r="Z3" s="360">
        <v>20</v>
      </c>
      <c r="AA3" s="360">
        <v>21</v>
      </c>
      <c r="AB3" s="360">
        <v>22</v>
      </c>
      <c r="AC3" s="360">
        <v>23</v>
      </c>
      <c r="AD3" s="360">
        <v>24</v>
      </c>
      <c r="AE3" s="360">
        <v>25</v>
      </c>
      <c r="AF3" s="360">
        <v>26</v>
      </c>
      <c r="AG3" s="360">
        <v>27</v>
      </c>
      <c r="AH3" s="360">
        <v>28</v>
      </c>
      <c r="AI3" s="360">
        <v>29</v>
      </c>
      <c r="AJ3" s="360">
        <v>30</v>
      </c>
      <c r="AK3" s="360">
        <v>31</v>
      </c>
      <c r="AM3" s="2191"/>
    </row>
    <row r="4" spans="3:61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1964" t="s">
        <v>126</v>
      </c>
      <c r="AO4" s="2010" t="s">
        <v>1104</v>
      </c>
      <c r="AP4" s="2005"/>
      <c r="AQ4" s="2005"/>
      <c r="AR4" s="2005" t="s">
        <v>1110</v>
      </c>
      <c r="AS4" s="2006">
        <f>AS6+AS7+AS9</f>
        <v>80236</v>
      </c>
      <c r="AT4" s="2005"/>
    </row>
    <row r="5" spans="3:61" x14ac:dyDescent="0.25">
      <c r="C5" s="8"/>
      <c r="D5" s="9" t="s">
        <v>16</v>
      </c>
      <c r="E5" s="246"/>
      <c r="F5" s="10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3"/>
      <c r="AM5" s="52" t="s">
        <v>16</v>
      </c>
      <c r="AO5" s="2005" t="s">
        <v>1102</v>
      </c>
      <c r="AP5" s="2006">
        <f>AM9</f>
        <v>40125380</v>
      </c>
      <c r="AQ5" s="2005"/>
      <c r="AR5" s="2005" t="s">
        <v>1108</v>
      </c>
      <c r="AS5" s="2005"/>
      <c r="AT5" s="2005"/>
    </row>
    <row r="6" spans="3:61" x14ac:dyDescent="0.25">
      <c r="C6" s="8"/>
      <c r="D6" s="11" t="s">
        <v>83</v>
      </c>
      <c r="E6" s="247"/>
      <c r="F6" s="12" t="s">
        <v>82</v>
      </c>
      <c r="G6" s="33">
        <v>1</v>
      </c>
      <c r="H6" s="916">
        <v>1</v>
      </c>
      <c r="I6" s="916">
        <v>1</v>
      </c>
      <c r="J6" s="916">
        <v>1</v>
      </c>
      <c r="K6" s="916"/>
      <c r="L6" s="916"/>
      <c r="M6" s="916"/>
      <c r="N6" s="916"/>
      <c r="O6" s="916"/>
      <c r="P6" s="916"/>
      <c r="Q6" s="916"/>
      <c r="R6" s="916"/>
      <c r="S6" s="916"/>
      <c r="T6" s="916"/>
      <c r="U6" s="33"/>
      <c r="V6" s="33">
        <v>1</v>
      </c>
      <c r="W6" s="33">
        <v>1</v>
      </c>
      <c r="X6" s="916">
        <v>1</v>
      </c>
      <c r="Y6" s="916">
        <v>1</v>
      </c>
      <c r="Z6" s="916">
        <v>1</v>
      </c>
      <c r="AA6" s="916">
        <v>1</v>
      </c>
      <c r="AB6" s="916">
        <v>1</v>
      </c>
      <c r="AC6" s="916">
        <v>1</v>
      </c>
      <c r="AD6" s="916">
        <v>1</v>
      </c>
      <c r="AE6" s="916">
        <v>1</v>
      </c>
      <c r="AF6" s="916">
        <v>1</v>
      </c>
      <c r="AG6" s="916">
        <v>1</v>
      </c>
      <c r="AH6" s="916">
        <v>1</v>
      </c>
      <c r="AI6" s="916">
        <v>1</v>
      </c>
      <c r="AJ6" s="916">
        <v>1</v>
      </c>
      <c r="AK6" s="916">
        <v>1</v>
      </c>
      <c r="AL6" s="3"/>
      <c r="AM6" s="54">
        <f>SUM(G6:AK6)</f>
        <v>20</v>
      </c>
      <c r="AO6" s="2005" t="s">
        <v>1103</v>
      </c>
      <c r="AP6" s="2006">
        <f>AM20+AM19+AM18</f>
        <v>38270376</v>
      </c>
      <c r="AQ6" s="2005"/>
      <c r="AR6" s="2011" t="s">
        <v>1109</v>
      </c>
      <c r="AS6" s="2006">
        <v>80236</v>
      </c>
      <c r="AT6" s="2005"/>
    </row>
    <row r="7" spans="3:61" x14ac:dyDescent="0.25">
      <c r="C7" s="8"/>
      <c r="D7" s="71" t="s">
        <v>124</v>
      </c>
      <c r="E7" s="247"/>
      <c r="F7" s="72" t="s">
        <v>14</v>
      </c>
      <c r="G7" s="266">
        <v>0</v>
      </c>
      <c r="H7" s="266"/>
      <c r="I7" s="266"/>
      <c r="J7" s="266">
        <v>105280</v>
      </c>
      <c r="K7" s="266">
        <v>522460</v>
      </c>
      <c r="L7" s="266"/>
      <c r="M7" s="266"/>
      <c r="N7" s="266"/>
      <c r="O7" s="266"/>
      <c r="P7" s="266"/>
      <c r="Q7" s="266"/>
      <c r="R7" s="266"/>
      <c r="S7" s="1926"/>
      <c r="T7" s="266"/>
      <c r="U7" s="266"/>
      <c r="V7" s="266">
        <v>2298459</v>
      </c>
      <c r="W7" s="266">
        <v>1760050</v>
      </c>
      <c r="X7" s="266">
        <v>1100253</v>
      </c>
      <c r="Y7" s="266">
        <v>1170450</v>
      </c>
      <c r="Z7" s="266">
        <v>2354398</v>
      </c>
      <c r="AA7" s="266">
        <v>2685019</v>
      </c>
      <c r="AB7" s="266">
        <v>2794189</v>
      </c>
      <c r="AC7" s="266">
        <v>2277190</v>
      </c>
      <c r="AD7" s="266">
        <v>3746325</v>
      </c>
      <c r="AE7" s="266">
        <v>1563383</v>
      </c>
      <c r="AF7" s="266">
        <v>1263930</v>
      </c>
      <c r="AG7" s="266">
        <v>1485561</v>
      </c>
      <c r="AH7" s="266">
        <v>2164949</v>
      </c>
      <c r="AI7" s="266">
        <v>3173686</v>
      </c>
      <c r="AJ7" s="266">
        <v>1588046</v>
      </c>
      <c r="AK7" s="266">
        <v>3641207</v>
      </c>
      <c r="AL7" s="3"/>
      <c r="AM7" s="57">
        <f>SUM(G7:AK7)</f>
        <v>35694835</v>
      </c>
      <c r="AO7" s="2007"/>
      <c r="AP7" s="2008"/>
      <c r="AQ7" s="2007"/>
      <c r="AR7" s="2012"/>
      <c r="AS7" s="2006"/>
      <c r="AT7" s="2005"/>
      <c r="AU7" s="3">
        <f>AM7+'Januari 2026 PMG 1'!AM7</f>
        <v>57887356</v>
      </c>
    </row>
    <row r="8" spans="3:61" x14ac:dyDescent="0.25">
      <c r="C8" s="8"/>
      <c r="D8" s="11" t="s">
        <v>1093</v>
      </c>
      <c r="E8" s="247"/>
      <c r="F8" s="13" t="s">
        <v>25</v>
      </c>
      <c r="G8" s="1735">
        <f>G9/2500000</f>
        <v>0.7517528</v>
      </c>
      <c r="H8" s="1735">
        <f t="shared" ref="H8:V8" si="0">H9/2500000</f>
        <v>0.78712000000000004</v>
      </c>
      <c r="I8" s="1735">
        <f t="shared" si="0"/>
        <v>0.78699759999999996</v>
      </c>
      <c r="J8" s="1735">
        <f t="shared" si="0"/>
        <v>0</v>
      </c>
      <c r="K8" s="1735">
        <f t="shared" si="0"/>
        <v>0</v>
      </c>
      <c r="L8" s="1735">
        <f t="shared" si="0"/>
        <v>0</v>
      </c>
      <c r="M8" s="1735">
        <f t="shared" si="0"/>
        <v>0</v>
      </c>
      <c r="N8" s="1735">
        <f t="shared" si="0"/>
        <v>0</v>
      </c>
      <c r="O8" s="1735">
        <f t="shared" si="0"/>
        <v>0</v>
      </c>
      <c r="P8" s="1735">
        <f t="shared" si="0"/>
        <v>0</v>
      </c>
      <c r="Q8" s="1735">
        <f t="shared" si="0"/>
        <v>0</v>
      </c>
      <c r="R8" s="1735">
        <f t="shared" si="0"/>
        <v>0</v>
      </c>
      <c r="S8" s="1735">
        <f t="shared" si="0"/>
        <v>0</v>
      </c>
      <c r="T8" s="1735">
        <f t="shared" si="0"/>
        <v>0</v>
      </c>
      <c r="U8" s="1735">
        <f t="shared" si="0"/>
        <v>0</v>
      </c>
      <c r="V8" s="1735">
        <f t="shared" si="0"/>
        <v>0.54656760000000004</v>
      </c>
      <c r="W8" s="1735">
        <v>0.80906040000000001</v>
      </c>
      <c r="X8" s="1735">
        <v>0</v>
      </c>
      <c r="Y8" s="1735">
        <f t="shared" ref="Y8:AK8" si="1">Y9/2500000</f>
        <v>0.81803760000000003</v>
      </c>
      <c r="Z8" s="1735">
        <f t="shared" si="1"/>
        <v>0.82555440000000002</v>
      </c>
      <c r="AA8" s="1735">
        <f t="shared" si="1"/>
        <v>0.82623080000000004</v>
      </c>
      <c r="AB8" s="1735">
        <f t="shared" si="1"/>
        <v>0.91762560000000004</v>
      </c>
      <c r="AC8" s="1735">
        <f t="shared" si="1"/>
        <v>0.95302640000000005</v>
      </c>
      <c r="AD8" s="1735">
        <f t="shared" si="1"/>
        <v>0.90348320000000004</v>
      </c>
      <c r="AE8" s="1735">
        <f t="shared" si="1"/>
        <v>0.94388519999999998</v>
      </c>
      <c r="AF8" s="1735">
        <f t="shared" si="1"/>
        <v>0.81966640000000002</v>
      </c>
      <c r="AG8" s="1735">
        <f t="shared" si="1"/>
        <v>0.87734080000000003</v>
      </c>
      <c r="AH8" s="1735">
        <f t="shared" si="1"/>
        <v>0.86163599999999996</v>
      </c>
      <c r="AI8" s="1735">
        <f t="shared" si="1"/>
        <v>0.85089479999999995</v>
      </c>
      <c r="AJ8" s="1735">
        <f t="shared" si="1"/>
        <v>0.84997639999999997</v>
      </c>
      <c r="AK8" s="1735">
        <f t="shared" si="1"/>
        <v>0.85866319999999996</v>
      </c>
      <c r="AL8" s="3"/>
      <c r="AM8" s="1771">
        <f>AM9/2500000/AM6</f>
        <v>0.80250759999999999</v>
      </c>
      <c r="AO8" s="2005"/>
      <c r="AP8" s="2009"/>
      <c r="AQ8" s="2005"/>
      <c r="AR8" s="2013"/>
      <c r="AS8" s="2006"/>
      <c r="AT8" s="2005"/>
    </row>
    <row r="9" spans="3:61" s="1" customFormat="1" x14ac:dyDescent="0.25">
      <c r="C9" s="8"/>
      <c r="D9" s="55" t="s">
        <v>95</v>
      </c>
      <c r="E9" s="231">
        <v>58900000</v>
      </c>
      <c r="F9" s="56" t="s">
        <v>14</v>
      </c>
      <c r="G9" s="1926">
        <v>1879382</v>
      </c>
      <c r="H9" s="266">
        <v>1967800</v>
      </c>
      <c r="I9" s="266">
        <v>1967494</v>
      </c>
      <c r="J9" s="266">
        <v>0</v>
      </c>
      <c r="K9" s="266">
        <v>0</v>
      </c>
      <c r="L9" s="266"/>
      <c r="M9" s="266"/>
      <c r="N9" s="266"/>
      <c r="O9" s="266"/>
      <c r="P9" s="266"/>
      <c r="Q9" s="266"/>
      <c r="R9" s="266"/>
      <c r="S9" s="266"/>
      <c r="T9" s="266"/>
      <c r="U9" s="2110"/>
      <c r="V9" s="266">
        <v>1366419</v>
      </c>
      <c r="W9" s="266">
        <v>2328853</v>
      </c>
      <c r="X9" s="266">
        <v>2350380</v>
      </c>
      <c r="Y9" s="266">
        <v>2045094</v>
      </c>
      <c r="Z9" s="266">
        <v>2063886</v>
      </c>
      <c r="AA9" s="266">
        <v>2065577</v>
      </c>
      <c r="AB9" s="266">
        <v>2294064</v>
      </c>
      <c r="AC9" s="266">
        <v>2382566</v>
      </c>
      <c r="AD9" s="266">
        <v>2258708</v>
      </c>
      <c r="AE9" s="266">
        <v>2359713</v>
      </c>
      <c r="AF9" s="266">
        <v>2049166</v>
      </c>
      <c r="AG9" s="266">
        <v>2193352</v>
      </c>
      <c r="AH9" s="266">
        <v>2154090</v>
      </c>
      <c r="AI9" s="266">
        <v>2127237</v>
      </c>
      <c r="AJ9" s="266">
        <v>2124941</v>
      </c>
      <c r="AK9" s="266">
        <v>2146658</v>
      </c>
      <c r="AM9" s="57">
        <f>SUM(G9:AK9)</f>
        <v>40125380</v>
      </c>
      <c r="AN9" s="3"/>
      <c r="AO9" s="2005"/>
      <c r="AP9" s="2009"/>
      <c r="AQ9" s="2006"/>
      <c r="AR9" s="2005"/>
      <c r="AS9" s="2005"/>
      <c r="AT9" s="2005"/>
      <c r="AU9" s="3"/>
      <c r="AV9" s="3"/>
      <c r="AX9" s="2060"/>
      <c r="AY9" s="3"/>
      <c r="BC9" s="511"/>
      <c r="BD9" s="511"/>
      <c r="BI9" s="141"/>
    </row>
    <row r="10" spans="3:61" s="1" customFormat="1" x14ac:dyDescent="0.25">
      <c r="C10" s="8"/>
      <c r="D10" s="914" t="s">
        <v>374</v>
      </c>
      <c r="E10" s="915"/>
      <c r="F10" s="61"/>
      <c r="G10" s="916"/>
      <c r="H10" s="916"/>
      <c r="I10" s="916"/>
      <c r="J10" s="916"/>
      <c r="K10" s="916"/>
      <c r="L10" s="916"/>
      <c r="M10" s="916"/>
      <c r="N10" s="916"/>
      <c r="O10" s="916"/>
      <c r="P10" s="916"/>
      <c r="Q10" s="916"/>
      <c r="R10" s="916"/>
      <c r="S10" s="1946"/>
      <c r="T10" s="916"/>
      <c r="U10" s="916"/>
      <c r="V10" s="916"/>
      <c r="W10" s="916"/>
      <c r="X10" s="916"/>
      <c r="Y10" s="916"/>
      <c r="Z10" s="916"/>
      <c r="AA10" s="916"/>
      <c r="AB10" s="916"/>
      <c r="AC10" s="916"/>
      <c r="AD10" s="916"/>
      <c r="AE10" s="916"/>
      <c r="AF10" s="916"/>
      <c r="AG10" s="916"/>
      <c r="AH10" s="916"/>
      <c r="AI10" s="916"/>
      <c r="AJ10" s="916"/>
      <c r="AK10" s="916"/>
      <c r="AL10" s="62"/>
      <c r="AM10" s="514">
        <f>AM9/AM6</f>
        <v>2006269</v>
      </c>
      <c r="AN10" s="468"/>
      <c r="AO10" s="2005"/>
      <c r="AP10" s="2009"/>
      <c r="AQ10" s="2005"/>
      <c r="AR10" s="2005"/>
      <c r="AS10" s="2006"/>
      <c r="AT10" s="2005"/>
      <c r="AX10" s="2055"/>
      <c r="BC10" s="511"/>
      <c r="BD10" s="511"/>
      <c r="BI10" s="141"/>
    </row>
    <row r="11" spans="3:61" s="1" customFormat="1" x14ac:dyDescent="0.25">
      <c r="C11" s="8"/>
      <c r="D11" s="21" t="s">
        <v>96</v>
      </c>
      <c r="E11" s="231"/>
      <c r="F11" s="13" t="s">
        <v>14</v>
      </c>
      <c r="G11" s="33">
        <f>G9-G12</f>
        <v>1879382</v>
      </c>
      <c r="H11" s="33">
        <f>H9-H12</f>
        <v>1967800</v>
      </c>
      <c r="I11" s="33">
        <f t="shared" ref="I11:Q11" si="2">I9-I12</f>
        <v>1967494</v>
      </c>
      <c r="J11" s="33">
        <f t="shared" si="2"/>
        <v>0</v>
      </c>
      <c r="K11" s="33">
        <f t="shared" si="2"/>
        <v>0</v>
      </c>
      <c r="L11" s="33">
        <f t="shared" si="2"/>
        <v>0</v>
      </c>
      <c r="M11" s="33">
        <f t="shared" si="2"/>
        <v>0</v>
      </c>
      <c r="N11" s="33">
        <f t="shared" si="2"/>
        <v>0</v>
      </c>
      <c r="O11" s="33">
        <f t="shared" si="2"/>
        <v>0</v>
      </c>
      <c r="P11" s="33">
        <f t="shared" si="2"/>
        <v>0</v>
      </c>
      <c r="Q11" s="33">
        <f t="shared" si="2"/>
        <v>0</v>
      </c>
      <c r="R11" s="33">
        <f>R9-R12</f>
        <v>0</v>
      </c>
      <c r="S11" s="33">
        <f>S9-S12</f>
        <v>0</v>
      </c>
      <c r="T11" s="33">
        <f>T9-T12</f>
        <v>0</v>
      </c>
      <c r="U11" s="33">
        <f>U9-U12</f>
        <v>0</v>
      </c>
      <c r="V11" s="33">
        <f t="shared" ref="V11:AK11" si="3">V9-V12</f>
        <v>1366419</v>
      </c>
      <c r="W11" s="33">
        <f t="shared" si="3"/>
        <v>2328853</v>
      </c>
      <c r="X11" s="33">
        <f>X9-X12</f>
        <v>2350380</v>
      </c>
      <c r="Y11" s="33">
        <f>Y9-Y12</f>
        <v>2045094</v>
      </c>
      <c r="Z11" s="33">
        <f>Z9-Z12</f>
        <v>2063886</v>
      </c>
      <c r="AA11" s="33">
        <f t="shared" si="3"/>
        <v>2065577</v>
      </c>
      <c r="AB11" s="33">
        <f t="shared" si="3"/>
        <v>2294064</v>
      </c>
      <c r="AC11" s="33">
        <f t="shared" si="3"/>
        <v>2382566</v>
      </c>
      <c r="AD11" s="33">
        <f t="shared" si="3"/>
        <v>2258708</v>
      </c>
      <c r="AE11" s="33">
        <f t="shared" si="3"/>
        <v>2359713</v>
      </c>
      <c r="AF11" s="33">
        <f t="shared" si="3"/>
        <v>2049166</v>
      </c>
      <c r="AG11" s="33">
        <f t="shared" si="3"/>
        <v>2193352</v>
      </c>
      <c r="AH11" s="33">
        <f t="shared" si="3"/>
        <v>2154090</v>
      </c>
      <c r="AI11" s="33">
        <f t="shared" si="3"/>
        <v>2127237</v>
      </c>
      <c r="AJ11" s="33">
        <f t="shared" ref="AJ11" si="4">AJ9-AJ12</f>
        <v>2124941</v>
      </c>
      <c r="AK11" s="33">
        <f t="shared" si="3"/>
        <v>2146658</v>
      </c>
      <c r="AM11" s="54">
        <f>SUM(G11:AK11)</f>
        <v>40125380</v>
      </c>
      <c r="AO11" s="2005"/>
      <c r="AP11" s="2006"/>
      <c r="AQ11" s="2005"/>
      <c r="AR11" s="2005"/>
      <c r="AS11" s="2006"/>
      <c r="AT11" s="2006"/>
      <c r="AX11" s="3"/>
      <c r="BC11" s="511"/>
      <c r="BD11" s="511"/>
      <c r="BI11" s="141"/>
    </row>
    <row r="12" spans="3:61" s="1" customFormat="1" x14ac:dyDescent="0.25">
      <c r="C12" s="8"/>
      <c r="D12" s="21" t="s">
        <v>97</v>
      </c>
      <c r="E12" s="231"/>
      <c r="F12" s="13" t="s">
        <v>14</v>
      </c>
      <c r="G12" s="33">
        <f>G40+G49+G54</f>
        <v>0</v>
      </c>
      <c r="H12" s="33">
        <f>H40+H49+H54</f>
        <v>0</v>
      </c>
      <c r="I12" s="33">
        <f t="shared" ref="I12:Q12" si="5">I40+I49+I54</f>
        <v>0</v>
      </c>
      <c r="J12" s="33">
        <f t="shared" si="5"/>
        <v>0</v>
      </c>
      <c r="K12" s="33">
        <f t="shared" si="5"/>
        <v>0</v>
      </c>
      <c r="L12" s="33">
        <f t="shared" si="5"/>
        <v>0</v>
      </c>
      <c r="M12" s="33">
        <f t="shared" si="5"/>
        <v>0</v>
      </c>
      <c r="N12" s="33">
        <f t="shared" si="5"/>
        <v>0</v>
      </c>
      <c r="O12" s="33">
        <f t="shared" si="5"/>
        <v>0</v>
      </c>
      <c r="P12" s="33">
        <f t="shared" si="5"/>
        <v>0</v>
      </c>
      <c r="Q12" s="33">
        <f t="shared" si="5"/>
        <v>0</v>
      </c>
      <c r="R12" s="33">
        <f t="shared" ref="R12:AH12" si="6">R40+R49+R54</f>
        <v>0</v>
      </c>
      <c r="S12" s="1922">
        <v>0</v>
      </c>
      <c r="T12" s="33">
        <f t="shared" si="6"/>
        <v>0</v>
      </c>
      <c r="U12" s="33">
        <f t="shared" si="6"/>
        <v>0</v>
      </c>
      <c r="V12" s="33">
        <f t="shared" si="6"/>
        <v>0</v>
      </c>
      <c r="W12" s="33">
        <v>0</v>
      </c>
      <c r="X12" s="33">
        <v>0</v>
      </c>
      <c r="Y12" s="33">
        <f>Y40+Y49+Y54</f>
        <v>0</v>
      </c>
      <c r="Z12" s="33">
        <f>Z40+Z49+Z54</f>
        <v>0</v>
      </c>
      <c r="AA12" s="33">
        <f t="shared" si="6"/>
        <v>0</v>
      </c>
      <c r="AB12" s="33">
        <f t="shared" si="6"/>
        <v>0</v>
      </c>
      <c r="AC12" s="33">
        <v>0</v>
      </c>
      <c r="AD12" s="33">
        <v>0</v>
      </c>
      <c r="AE12" s="33">
        <f t="shared" si="6"/>
        <v>0</v>
      </c>
      <c r="AF12" s="33">
        <f t="shared" si="6"/>
        <v>0</v>
      </c>
      <c r="AG12" s="33">
        <f t="shared" si="6"/>
        <v>0</v>
      </c>
      <c r="AH12" s="33">
        <f t="shared" si="6"/>
        <v>0</v>
      </c>
      <c r="AI12" s="33"/>
      <c r="AJ12" s="33"/>
      <c r="AK12" s="33"/>
      <c r="AM12" s="54">
        <f>SUM(G12:AK12)</f>
        <v>0</v>
      </c>
      <c r="AO12" s="2010"/>
      <c r="AP12" s="2006"/>
      <c r="AQ12" s="2005"/>
      <c r="AR12" s="2006"/>
      <c r="AS12" s="2006"/>
      <c r="AT12" s="2005"/>
      <c r="BC12" s="511"/>
      <c r="BD12" s="511"/>
      <c r="BI12" s="141"/>
    </row>
    <row r="13" spans="3:61" s="1" customFormat="1" x14ac:dyDescent="0.25">
      <c r="C13" s="8"/>
      <c r="D13" s="14" t="s">
        <v>1133</v>
      </c>
      <c r="E13" s="248">
        <v>5</v>
      </c>
      <c r="F13" s="13" t="s">
        <v>25</v>
      </c>
      <c r="G13" s="29">
        <v>4.0999999999999996</v>
      </c>
      <c r="H13" s="29">
        <f>(4.15+3.97)/2</f>
        <v>4.0600000000000005</v>
      </c>
      <c r="I13" s="29">
        <v>4.03</v>
      </c>
      <c r="J13" s="29">
        <v>0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>
        <v>0</v>
      </c>
      <c r="W13" s="29">
        <v>4.24</v>
      </c>
      <c r="X13" s="29">
        <v>3.97</v>
      </c>
      <c r="Y13" s="29">
        <f>(4.09+3.48)/2</f>
        <v>3.7850000000000001</v>
      </c>
      <c r="Z13" s="29">
        <v>4.13</v>
      </c>
      <c r="AA13" s="29">
        <f>(4.28+4.21)/2</f>
        <v>4.2450000000000001</v>
      </c>
      <c r="AB13" s="29">
        <v>4.2300000000000004</v>
      </c>
      <c r="AC13" s="29">
        <v>4.26</v>
      </c>
      <c r="AD13" s="29">
        <f>(4.5+3.89)/2</f>
        <v>4.1950000000000003</v>
      </c>
      <c r="AE13" s="29">
        <f>(3.89+4.22)/2</f>
        <v>4.0549999999999997</v>
      </c>
      <c r="AF13" s="29">
        <v>4.24</v>
      </c>
      <c r="AG13" s="29">
        <f>(5.67+4.42)/2</f>
        <v>5.0449999999999999</v>
      </c>
      <c r="AH13" s="29">
        <v>4.12</v>
      </c>
      <c r="AI13" s="29">
        <f>(4.41+3.93)/2</f>
        <v>4.17</v>
      </c>
      <c r="AJ13" s="29">
        <f>(3.83+4.17)/2</f>
        <v>4</v>
      </c>
      <c r="AK13" s="29">
        <f>(4.16+4.44+3.71)/3</f>
        <v>4.1033333333333344</v>
      </c>
      <c r="AM13" s="58">
        <f>SUM(G13:AK13)/AM6</f>
        <v>3.7489166666666662</v>
      </c>
      <c r="AO13" s="2005" t="s">
        <v>1105</v>
      </c>
      <c r="AP13" s="2006">
        <f>AP14+AP15</f>
        <v>39418618</v>
      </c>
      <c r="AQ13" s="2005"/>
      <c r="AR13" s="2005" t="s">
        <v>1111</v>
      </c>
      <c r="AS13" s="2005">
        <f>'OIP Fract PMG 2'!T13</f>
        <v>133300</v>
      </c>
      <c r="AT13" s="2005"/>
      <c r="AY13" s="2116"/>
      <c r="BA13" s="511"/>
      <c r="BC13" s="511"/>
      <c r="BD13" s="511"/>
      <c r="BI13" s="140"/>
    </row>
    <row r="14" spans="3:61" s="1" customFormat="1" x14ac:dyDescent="0.25">
      <c r="C14" s="8"/>
      <c r="D14" s="14" t="s">
        <v>80</v>
      </c>
      <c r="E14" s="248">
        <v>0.5</v>
      </c>
      <c r="F14" s="13" t="s">
        <v>25</v>
      </c>
      <c r="G14" s="29">
        <v>0.44</v>
      </c>
      <c r="H14" s="29">
        <f>(0.45+0.41)/2</f>
        <v>0.43</v>
      </c>
      <c r="I14" s="29">
        <v>0.43</v>
      </c>
      <c r="J14" s="29">
        <v>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>
        <v>0</v>
      </c>
      <c r="W14" s="29">
        <v>0.4</v>
      </c>
      <c r="X14" s="29">
        <v>0.4</v>
      </c>
      <c r="Y14" s="29">
        <f>(3.48+0.41)/2</f>
        <v>1.9450000000000001</v>
      </c>
      <c r="Z14" s="29">
        <v>0.4</v>
      </c>
      <c r="AA14" s="29">
        <f>(0.41+0.44)/2</f>
        <v>0.42499999999999999</v>
      </c>
      <c r="AB14" s="29">
        <v>0.45</v>
      </c>
      <c r="AC14" s="29">
        <v>0.46</v>
      </c>
      <c r="AD14" s="29">
        <f>(0.49+0.38)/2</f>
        <v>0.435</v>
      </c>
      <c r="AE14" s="29">
        <f>(0.4+0.39)/2</f>
        <v>0.39500000000000002</v>
      </c>
      <c r="AF14" s="29">
        <v>0.4</v>
      </c>
      <c r="AG14" s="29">
        <f>(0.43+0.41)/2</f>
        <v>0.42</v>
      </c>
      <c r="AH14" s="29">
        <v>0.44</v>
      </c>
      <c r="AI14" s="29">
        <f>(0.4+0.36)/2</f>
        <v>0.38</v>
      </c>
      <c r="AJ14" s="29">
        <f>(0.41+0.46)/2</f>
        <v>0.435</v>
      </c>
      <c r="AK14" s="29">
        <f>(0.45+0.46+0.4)/3</f>
        <v>0.4366666666666667</v>
      </c>
      <c r="AM14" s="58">
        <f>SUM(G14:AK14)/AM6</f>
        <v>0.4560833333333334</v>
      </c>
      <c r="AO14" s="2005" t="s">
        <v>1100</v>
      </c>
      <c r="AP14" s="2006">
        <f>AM33</f>
        <v>32649843</v>
      </c>
      <c r="AQ14" s="2005"/>
      <c r="AR14" s="2005" t="s">
        <v>1112</v>
      </c>
      <c r="AS14" s="2005">
        <f>'OIP Fract PMG 2'!U13</f>
        <v>0</v>
      </c>
      <c r="AT14" s="2005"/>
      <c r="BA14" s="511"/>
      <c r="BC14" s="511"/>
      <c r="BD14" s="511"/>
      <c r="BI14" s="141"/>
    </row>
    <row r="15" spans="3:61" s="1" customFormat="1" x14ac:dyDescent="0.25">
      <c r="C15" s="8"/>
      <c r="D15" s="14" t="s">
        <v>79</v>
      </c>
      <c r="E15" s="249" t="s">
        <v>78</v>
      </c>
      <c r="F15" s="13" t="s">
        <v>25</v>
      </c>
      <c r="G15" s="3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025"/>
      <c r="AB15" s="29"/>
      <c r="AC15" s="29"/>
      <c r="AD15" s="2025"/>
      <c r="AE15" s="2025"/>
      <c r="AF15" s="29"/>
      <c r="AG15" s="2025"/>
      <c r="AH15" s="29"/>
      <c r="AI15" s="2025"/>
      <c r="AJ15" s="2025"/>
      <c r="AK15" s="2025"/>
      <c r="AM15" s="58">
        <f>SUM(G15:AK15)/AM6</f>
        <v>0</v>
      </c>
      <c r="AO15" s="2005" t="s">
        <v>1101</v>
      </c>
      <c r="AP15" s="2006">
        <f>AM34</f>
        <v>6768775</v>
      </c>
      <c r="AQ15" s="2005"/>
      <c r="AR15" s="2005" t="s">
        <v>1113</v>
      </c>
      <c r="AS15" s="2006"/>
      <c r="AT15" s="2005"/>
      <c r="BA15" s="511"/>
      <c r="BC15" s="2117"/>
      <c r="BD15" s="2120"/>
      <c r="BE15" s="2"/>
      <c r="BF15" s="2"/>
      <c r="BI15" s="141"/>
    </row>
    <row r="16" spans="3:61" s="1" customFormat="1" x14ac:dyDescent="0.25">
      <c r="C16" s="8"/>
      <c r="D16" s="64" t="s">
        <v>942</v>
      </c>
      <c r="E16" s="1645"/>
      <c r="F16" s="56"/>
      <c r="G16" s="266">
        <v>107</v>
      </c>
      <c r="H16" s="266">
        <v>107104</v>
      </c>
      <c r="I16" s="266">
        <v>104</v>
      </c>
      <c r="J16" s="266">
        <v>0</v>
      </c>
      <c r="K16" s="266"/>
      <c r="L16" s="266"/>
      <c r="M16" s="266"/>
      <c r="N16" s="266"/>
      <c r="O16" s="266"/>
      <c r="P16" s="266"/>
      <c r="Q16" s="266"/>
      <c r="R16" s="1646"/>
      <c r="S16" s="266"/>
      <c r="T16" s="266"/>
      <c r="U16" s="266"/>
      <c r="V16" s="266">
        <v>0</v>
      </c>
      <c r="W16" s="266">
        <v>106</v>
      </c>
      <c r="X16" s="266">
        <v>107</v>
      </c>
      <c r="Y16" s="266">
        <v>104107</v>
      </c>
      <c r="Z16" s="266">
        <v>104</v>
      </c>
      <c r="AA16" s="266">
        <v>104107</v>
      </c>
      <c r="AB16" s="266">
        <v>107</v>
      </c>
      <c r="AC16" s="266">
        <v>107</v>
      </c>
      <c r="AD16" s="266">
        <v>104107</v>
      </c>
      <c r="AE16" s="266">
        <v>106107</v>
      </c>
      <c r="AF16" s="266">
        <v>107</v>
      </c>
      <c r="AG16" s="266">
        <v>107104</v>
      </c>
      <c r="AH16" s="266">
        <v>107</v>
      </c>
      <c r="AI16" s="266">
        <v>104106</v>
      </c>
      <c r="AJ16" s="266">
        <v>106107</v>
      </c>
      <c r="AK16" s="266">
        <v>106107</v>
      </c>
      <c r="AM16" s="58"/>
      <c r="AO16" s="2005" t="s">
        <v>1106</v>
      </c>
      <c r="AP16" s="2009">
        <f>AP14/(AP14+AP15)*100</f>
        <v>82.828482216195397</v>
      </c>
      <c r="AQ16" s="2005"/>
      <c r="AR16" s="2005" t="s">
        <v>1111</v>
      </c>
      <c r="AS16" s="2006">
        <f>AS13</f>
        <v>133300</v>
      </c>
      <c r="AT16" s="2005"/>
      <c r="BA16" s="511"/>
      <c r="BC16" s="2117"/>
      <c r="BD16" s="2120"/>
      <c r="BE16" s="2"/>
      <c r="BF16" s="2"/>
      <c r="BI16" s="141"/>
    </row>
    <row r="17" spans="3:61 15030:15074" s="1" customFormat="1" x14ac:dyDescent="0.25">
      <c r="C17" s="8"/>
      <c r="D17" s="59" t="s">
        <v>77</v>
      </c>
      <c r="E17" s="250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22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2005" t="s">
        <v>1107</v>
      </c>
      <c r="AP17" s="2007">
        <f>AP15/(AP14+AP15)*100</f>
        <v>17.171517783804596</v>
      </c>
      <c r="AQ17" s="2005"/>
      <c r="AR17" s="2005" t="s">
        <v>1112</v>
      </c>
      <c r="AS17" s="2006">
        <f>AS14-AP13</f>
        <v>-39418618</v>
      </c>
      <c r="AT17" s="2005"/>
      <c r="BA17" s="511"/>
      <c r="BC17" s="2117"/>
      <c r="BD17" s="2120"/>
      <c r="BE17" s="2"/>
      <c r="BF17" s="2"/>
      <c r="BI17" s="141"/>
    </row>
    <row r="18" spans="3:61 15030:15074" s="1" customFormat="1" x14ac:dyDescent="0.25">
      <c r="C18" s="8"/>
      <c r="D18" s="797" t="s">
        <v>355</v>
      </c>
      <c r="E18" s="250"/>
      <c r="F18" s="65" t="s">
        <v>14</v>
      </c>
      <c r="G18" s="1968"/>
      <c r="H18" s="1968"/>
      <c r="I18" s="1968"/>
      <c r="J18" s="1968"/>
      <c r="K18" s="1968"/>
      <c r="L18" s="1968"/>
      <c r="M18" s="1968"/>
      <c r="N18" s="1968"/>
      <c r="O18" s="1968"/>
      <c r="P18" s="1968"/>
      <c r="Q18" s="1968"/>
      <c r="R18" s="1968"/>
      <c r="S18" s="1968"/>
      <c r="T18" s="1968"/>
      <c r="U18" s="1968"/>
      <c r="V18" s="1968"/>
      <c r="W18" s="1968"/>
      <c r="X18" s="1968"/>
      <c r="Y18" s="1968"/>
      <c r="Z18" s="1968"/>
      <c r="AA18" s="1968"/>
      <c r="AB18" s="1968"/>
      <c r="AC18" s="1968"/>
      <c r="AD18" s="1968"/>
      <c r="AE18" s="1968"/>
      <c r="AF18" s="1968"/>
      <c r="AG18" s="1968"/>
      <c r="AH18" s="1968"/>
      <c r="AI18" s="1968"/>
      <c r="AJ18" s="1968"/>
      <c r="AK18" s="1968"/>
      <c r="AL18" s="62"/>
      <c r="AM18" s="1969">
        <f>SUM(G18:AK18)</f>
        <v>0</v>
      </c>
      <c r="AO18" s="2001"/>
      <c r="AP18" s="2002"/>
      <c r="AQ18" s="2002"/>
      <c r="AR18" s="2002"/>
      <c r="AS18" s="2002"/>
      <c r="AT18" s="2001"/>
      <c r="BC18" s="2117"/>
      <c r="BD18" s="2120"/>
      <c r="BE18" s="2"/>
      <c r="BF18" s="2"/>
      <c r="BI18" s="141"/>
    </row>
    <row r="19" spans="3:61 15030:15074" s="1" customFormat="1" x14ac:dyDescent="0.25">
      <c r="C19" s="8"/>
      <c r="D19" s="797" t="s">
        <v>1099</v>
      </c>
      <c r="E19" s="250"/>
      <c r="F19" s="65" t="s">
        <v>14</v>
      </c>
      <c r="G19" s="266">
        <v>1789520</v>
      </c>
      <c r="H19" s="266">
        <v>1871999</v>
      </c>
      <c r="I19" s="1968">
        <v>1865431</v>
      </c>
      <c r="J19" s="1968">
        <v>83475</v>
      </c>
      <c r="K19" s="1968"/>
      <c r="L19" s="1968"/>
      <c r="M19" s="1968"/>
      <c r="N19" s="1968"/>
      <c r="O19" s="1968"/>
      <c r="P19" s="1968"/>
      <c r="Q19" s="1968"/>
      <c r="R19" s="1968"/>
      <c r="S19" s="1968"/>
      <c r="T19" s="1968"/>
      <c r="U19" s="1968"/>
      <c r="V19" s="1968">
        <v>1288722</v>
      </c>
      <c r="W19" s="1968">
        <v>2199287</v>
      </c>
      <c r="X19" s="1968">
        <v>2244332</v>
      </c>
      <c r="Y19" s="1968">
        <v>1945574</v>
      </c>
      <c r="Z19" s="1968">
        <v>1960365</v>
      </c>
      <c r="AA19" s="1968">
        <v>1964892</v>
      </c>
      <c r="AB19" s="1968">
        <v>2186862</v>
      </c>
      <c r="AC19" s="1968">
        <v>2278056</v>
      </c>
      <c r="AD19" s="1968">
        <v>2159702</v>
      </c>
      <c r="AE19" s="1968">
        <v>2258073</v>
      </c>
      <c r="AF19" s="1968">
        <v>1949216</v>
      </c>
      <c r="AG19" s="1968">
        <v>2082705</v>
      </c>
      <c r="AH19" s="1968">
        <v>2049455</v>
      </c>
      <c r="AI19" s="1968">
        <v>2008090</v>
      </c>
      <c r="AJ19" s="1968">
        <v>2023267</v>
      </c>
      <c r="AK19" s="1968">
        <v>2061353</v>
      </c>
      <c r="AL19" s="62"/>
      <c r="AM19" s="1969">
        <f>SUM(G19:AK19)</f>
        <v>38270376</v>
      </c>
      <c r="AN19" s="2"/>
      <c r="AO19" s="474"/>
      <c r="AP19" s="2125"/>
      <c r="AQ19" s="2125"/>
      <c r="AR19" s="2125"/>
      <c r="AS19" s="2125"/>
      <c r="AT19" s="2125"/>
      <c r="AU19" s="2"/>
      <c r="AV19" s="2"/>
      <c r="AW19" s="2"/>
      <c r="AX19" s="2"/>
      <c r="AY19" s="2151"/>
      <c r="AZ19" s="2"/>
      <c r="BC19" s="2117"/>
      <c r="BD19" s="2120"/>
      <c r="BE19" s="2"/>
      <c r="BF19" s="2"/>
      <c r="BI19" s="141"/>
    </row>
    <row r="20" spans="3:61 15030:15074" s="1" customFormat="1" x14ac:dyDescent="0.25">
      <c r="C20" s="15"/>
      <c r="D20" s="64" t="s">
        <v>192</v>
      </c>
      <c r="E20" s="231">
        <v>55661000</v>
      </c>
      <c r="F20" s="65" t="s">
        <v>14</v>
      </c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1926"/>
      <c r="T20" s="266"/>
      <c r="U20" s="2031"/>
      <c r="V20" s="2031"/>
      <c r="W20" s="2031"/>
      <c r="X20" s="2031"/>
      <c r="Y20" s="2031"/>
      <c r="Z20" s="2031"/>
      <c r="AA20" s="1955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M20" s="57">
        <f>SUM(G20:AK20)</f>
        <v>0</v>
      </c>
      <c r="AN20" s="2"/>
      <c r="AO20" s="2125"/>
      <c r="AP20" s="2126"/>
      <c r="AQ20" s="2125"/>
      <c r="AR20" s="2125"/>
      <c r="AS20" s="2126"/>
      <c r="AT20" s="2126"/>
      <c r="AU20" s="2"/>
      <c r="AV20" s="2"/>
      <c r="AW20" s="2"/>
      <c r="AX20" s="2"/>
      <c r="AY20" s="27"/>
      <c r="AZ20" s="2"/>
      <c r="BC20" s="2117"/>
      <c r="BD20" s="2120"/>
      <c r="BE20" s="2"/>
      <c r="BF20" s="2"/>
      <c r="BI20" s="140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1">
        <v>2827000</v>
      </c>
      <c r="F21" s="65" t="s">
        <v>14</v>
      </c>
      <c r="G21" s="266">
        <v>79332</v>
      </c>
      <c r="H21" s="266">
        <v>86463</v>
      </c>
      <c r="I21" s="266">
        <v>83606</v>
      </c>
      <c r="J21" s="266">
        <v>4613</v>
      </c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>
        <v>67467</v>
      </c>
      <c r="W21" s="266">
        <v>109927</v>
      </c>
      <c r="X21" s="266">
        <v>94071</v>
      </c>
      <c r="Y21" s="266">
        <v>88505</v>
      </c>
      <c r="Z21" s="266">
        <v>90992</v>
      </c>
      <c r="AA21" s="266">
        <v>91336</v>
      </c>
      <c r="AB21" s="266">
        <v>104079</v>
      </c>
      <c r="AC21" s="266">
        <v>97755</v>
      </c>
      <c r="AD21" s="266">
        <v>104153</v>
      </c>
      <c r="AE21" s="266">
        <v>89862</v>
      </c>
      <c r="AF21" s="266">
        <v>91305</v>
      </c>
      <c r="AG21" s="266">
        <v>98055</v>
      </c>
      <c r="AH21" s="266">
        <v>89257</v>
      </c>
      <c r="AI21" s="266">
        <v>100135</v>
      </c>
      <c r="AJ21" s="266">
        <v>87907</v>
      </c>
      <c r="AK21" s="266">
        <v>93668</v>
      </c>
      <c r="AM21" s="57">
        <f>SUM(G21:AK21)</f>
        <v>1752488</v>
      </c>
      <c r="AN21" s="2"/>
      <c r="AO21" s="2125"/>
      <c r="AP21" s="2126"/>
      <c r="AQ21" s="2125"/>
      <c r="AR21" s="2125"/>
      <c r="AS21" s="2126"/>
      <c r="AT21" s="2126"/>
      <c r="AU21" s="2"/>
      <c r="AV21" s="2"/>
      <c r="AW21" s="2"/>
      <c r="AX21" s="2"/>
      <c r="AY21" s="2"/>
      <c r="AZ21" s="2"/>
      <c r="BA21" s="3"/>
      <c r="BC21" s="2117"/>
      <c r="BD21" s="2120"/>
      <c r="BE21" s="2"/>
      <c r="BF21" s="2"/>
      <c r="BI21" s="140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696" t="s">
        <v>348</v>
      </c>
      <c r="E22" s="718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2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N22" s="2"/>
      <c r="AO22" s="2125"/>
      <c r="AP22" s="2126"/>
      <c r="AQ22" s="2125"/>
      <c r="AR22" s="2125"/>
      <c r="AS22" s="2126"/>
      <c r="AT22" s="2126"/>
      <c r="AU22" s="2"/>
      <c r="AV22" s="2"/>
      <c r="AW22" s="2"/>
      <c r="AX22" s="27"/>
      <c r="AY22" s="2"/>
      <c r="AZ22" s="2"/>
      <c r="BC22" s="2120"/>
      <c r="BD22" s="2117"/>
      <c r="BE22" s="2"/>
      <c r="BF22" s="2"/>
      <c r="BI22" s="140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47"/>
      <c r="F23" s="12" t="s">
        <v>82</v>
      </c>
      <c r="G23" s="33">
        <v>1</v>
      </c>
      <c r="H23" s="33">
        <v>1</v>
      </c>
      <c r="I23" s="33">
        <v>1</v>
      </c>
      <c r="J23" s="33">
        <v>1</v>
      </c>
      <c r="K23" s="33"/>
      <c r="L23" s="33"/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>
        <v>1</v>
      </c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3">
        <v>1</v>
      </c>
      <c r="AL23" s="3"/>
      <c r="AM23" s="54">
        <f>SUM(G23:AK23)</f>
        <v>29</v>
      </c>
      <c r="AN23" s="2"/>
      <c r="AO23" s="2127"/>
      <c r="AP23" s="2126"/>
      <c r="AQ23" s="2125"/>
      <c r="AR23" s="474"/>
      <c r="AS23" s="474"/>
      <c r="AT23" s="474"/>
      <c r="AU23" s="2"/>
      <c r="AV23" s="2128"/>
      <c r="AW23" s="2"/>
      <c r="AX23" s="2"/>
      <c r="AY23" s="2"/>
      <c r="AZ23" s="2"/>
      <c r="BC23" s="2117"/>
      <c r="BD23" s="2117"/>
      <c r="BE23" s="2"/>
      <c r="BF23" s="2"/>
    </row>
    <row r="24" spans="3:61 15030:15074" x14ac:dyDescent="0.25">
      <c r="C24" s="8"/>
      <c r="D24" s="914" t="s">
        <v>1007</v>
      </c>
      <c r="E24" s="247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1922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"/>
      <c r="AM24" s="54">
        <f>AM29/AM23</f>
        <v>1775536.0344827587</v>
      </c>
      <c r="AN24" s="2"/>
      <c r="AO24" s="2125"/>
      <c r="AP24" s="2129"/>
      <c r="AQ24" s="2125"/>
      <c r="AR24" s="474"/>
      <c r="AS24" s="2130"/>
      <c r="AT24" s="2130"/>
      <c r="AU24" s="2"/>
      <c r="AV24" s="2"/>
      <c r="AW24" s="2"/>
      <c r="AX24" s="2"/>
      <c r="AY24" s="2"/>
      <c r="AZ24" s="2"/>
    </row>
    <row r="25" spans="3:61 15030:15074" s="1" customFormat="1" x14ac:dyDescent="0.25">
      <c r="C25" s="15"/>
      <c r="D25" s="64" t="s">
        <v>979</v>
      </c>
      <c r="E25" s="231"/>
      <c r="F25" s="65" t="s">
        <v>14</v>
      </c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1926"/>
      <c r="T25" s="266"/>
      <c r="U25" s="2032"/>
      <c r="V25" s="2032"/>
      <c r="W25" s="2032"/>
      <c r="X25" s="2032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>
        <v>0</v>
      </c>
      <c r="AK25" s="266">
        <v>0</v>
      </c>
      <c r="AM25" s="57">
        <f>SUM(G25:AK25)</f>
        <v>0</v>
      </c>
      <c r="AN25" s="2"/>
      <c r="AO25" s="2131"/>
      <c r="AP25" s="2129"/>
      <c r="AQ25" s="2125"/>
      <c r="AR25" s="474"/>
      <c r="AS25" s="2130"/>
      <c r="AT25" s="2130"/>
      <c r="AU25" s="2"/>
      <c r="AV25" s="2"/>
      <c r="AW25" s="2"/>
      <c r="AX25" s="2"/>
      <c r="AY25" s="27"/>
      <c r="AZ25" s="2"/>
      <c r="BC25" s="511"/>
      <c r="BD25" s="511"/>
      <c r="BI25" s="140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980</v>
      </c>
      <c r="E26" s="1726">
        <v>559</v>
      </c>
      <c r="F26" s="65" t="s">
        <v>982</v>
      </c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192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M26" s="57"/>
      <c r="AN26" s="2"/>
      <c r="AO26" s="2125"/>
      <c r="AP26" s="2126"/>
      <c r="AQ26" s="2132"/>
      <c r="AR26" s="2125"/>
      <c r="AS26" s="2126"/>
      <c r="AT26" s="2126"/>
      <c r="AU26" s="2"/>
      <c r="AV26" s="2"/>
      <c r="AW26" s="2"/>
      <c r="AX26" s="2"/>
      <c r="AY26" s="2"/>
      <c r="AZ26" s="2"/>
      <c r="BC26" s="511"/>
      <c r="BD26" s="511"/>
      <c r="BI26" s="140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981</v>
      </c>
      <c r="E27" s="1727">
        <v>559</v>
      </c>
      <c r="F27" s="65" t="s">
        <v>982</v>
      </c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192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M27" s="57"/>
      <c r="AN27" s="2"/>
      <c r="AO27" s="2133"/>
      <c r="AP27" s="2126"/>
      <c r="AQ27" s="2125"/>
      <c r="AR27" s="2125"/>
      <c r="AS27" s="2125"/>
      <c r="AT27" s="2125"/>
      <c r="AU27" s="2"/>
      <c r="AV27" s="2"/>
      <c r="AW27" s="2"/>
      <c r="AX27" s="2"/>
      <c r="AY27" s="2"/>
      <c r="AZ27" s="2"/>
      <c r="BC27" s="511"/>
      <c r="BD27" s="511"/>
      <c r="BI27" s="140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15"/>
      <c r="F28" s="13" t="s">
        <v>25</v>
      </c>
      <c r="G28" s="1735">
        <f>G29/2500000</f>
        <v>0.76760720000000005</v>
      </c>
      <c r="H28" s="1735">
        <f t="shared" ref="H28:R28" si="7">H29/2500000</f>
        <v>0.63171639999999996</v>
      </c>
      <c r="I28" s="1735">
        <f t="shared" si="7"/>
        <v>0.6484316</v>
      </c>
      <c r="J28" s="1735">
        <f t="shared" si="7"/>
        <v>0.46991640000000001</v>
      </c>
      <c r="K28" s="1735">
        <f t="shared" si="7"/>
        <v>0</v>
      </c>
      <c r="L28" s="1735">
        <f t="shared" si="7"/>
        <v>0</v>
      </c>
      <c r="M28" s="1735">
        <f t="shared" si="7"/>
        <v>0.20254920000000001</v>
      </c>
      <c r="N28" s="1735">
        <f t="shared" si="7"/>
        <v>0.65169480000000002</v>
      </c>
      <c r="O28" s="1735">
        <f t="shared" si="7"/>
        <v>0.71048480000000003</v>
      </c>
      <c r="P28" s="1735">
        <f t="shared" si="7"/>
        <v>0.84708079999999997</v>
      </c>
      <c r="Q28" s="1735">
        <f t="shared" si="7"/>
        <v>0.80820879999999995</v>
      </c>
      <c r="R28" s="1735">
        <f t="shared" si="7"/>
        <v>0.71683920000000001</v>
      </c>
      <c r="S28" s="1735">
        <f>S29/2500000</f>
        <v>0.76325679999999996</v>
      </c>
      <c r="T28" s="1735">
        <f>T29/2500000</f>
        <v>0.71645959999999997</v>
      </c>
      <c r="U28" s="1735">
        <f>U29/2500000</f>
        <v>0.70581039999999995</v>
      </c>
      <c r="V28" s="1735">
        <f>V29/2500000</f>
        <v>0.44613079999999999</v>
      </c>
      <c r="W28" s="1735">
        <v>0.72746279999999997</v>
      </c>
      <c r="X28" s="1735">
        <v>0</v>
      </c>
      <c r="Y28" s="1735">
        <f>Y29/2500000</f>
        <v>0.72951560000000004</v>
      </c>
      <c r="Z28" s="1735">
        <f>Z29/2500000</f>
        <v>0.8939452</v>
      </c>
      <c r="AA28" s="1735">
        <f t="shared" ref="AA28:AK28" si="8">AA29/2500000</f>
        <v>0.88445839999999998</v>
      </c>
      <c r="AB28" s="1735">
        <f>AB29/2500000</f>
        <v>0.91574679999999997</v>
      </c>
      <c r="AC28" s="1735">
        <v>0.52886</v>
      </c>
      <c r="AD28" s="1735">
        <f t="shared" si="8"/>
        <v>0.87848919999999997</v>
      </c>
      <c r="AE28" s="1735">
        <f t="shared" si="8"/>
        <v>0.67774160000000006</v>
      </c>
      <c r="AF28" s="1735">
        <f t="shared" si="8"/>
        <v>0.63850399999999996</v>
      </c>
      <c r="AG28" s="1735">
        <f t="shared" si="8"/>
        <v>0.65826240000000003</v>
      </c>
      <c r="AH28" s="1735">
        <f t="shared" si="8"/>
        <v>0.68113919999999994</v>
      </c>
      <c r="AI28" s="1735">
        <f t="shared" si="8"/>
        <v>0.75450079999999997</v>
      </c>
      <c r="AJ28" s="1735">
        <f t="shared" si="8"/>
        <v>0.76559319999999997</v>
      </c>
      <c r="AK28" s="1735">
        <f t="shared" si="8"/>
        <v>0.83343239999999996</v>
      </c>
      <c r="AL28" s="62"/>
      <c r="AM28" s="1771">
        <f>AM29/2500000/AM23</f>
        <v>0.71021441379310346</v>
      </c>
      <c r="AN28" s="2"/>
      <c r="AO28" s="2130"/>
      <c r="AP28" s="2126"/>
      <c r="AQ28" s="2125"/>
      <c r="AR28" s="2125"/>
      <c r="AS28" s="2125"/>
      <c r="AT28" s="2132"/>
      <c r="AU28" s="2"/>
      <c r="AV28" s="2"/>
      <c r="AX28" s="2"/>
      <c r="AY28" s="2"/>
      <c r="AZ28" s="2"/>
      <c r="BC28" s="511"/>
      <c r="BD28" s="511"/>
      <c r="BI28" s="140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350</v>
      </c>
      <c r="E29" s="717">
        <v>35501000</v>
      </c>
      <c r="F29" s="13" t="s">
        <v>14</v>
      </c>
      <c r="G29" s="33">
        <f t="shared" ref="G29" si="9">SUM(G32,G36,G41,G45,G55)</f>
        <v>1919018</v>
      </c>
      <c r="H29" s="33">
        <f t="shared" ref="H29:AK29" si="10">SUM(H32,H36,H41,H45,H55)</f>
        <v>1579291</v>
      </c>
      <c r="I29" s="33">
        <f t="shared" ref="I29:Q29" si="11">SUM(I32,I36,I41,I45,I55)</f>
        <v>1621079</v>
      </c>
      <c r="J29" s="33">
        <f t="shared" si="11"/>
        <v>1174791</v>
      </c>
      <c r="K29" s="33">
        <f t="shared" si="11"/>
        <v>0</v>
      </c>
      <c r="L29" s="33">
        <f t="shared" si="11"/>
        <v>0</v>
      </c>
      <c r="M29" s="33">
        <f t="shared" si="11"/>
        <v>506373</v>
      </c>
      <c r="N29" s="33">
        <f t="shared" si="11"/>
        <v>1629237</v>
      </c>
      <c r="O29" s="33">
        <f t="shared" si="11"/>
        <v>1776212</v>
      </c>
      <c r="P29" s="33">
        <f t="shared" si="11"/>
        <v>2117702</v>
      </c>
      <c r="Q29" s="33">
        <f t="shared" si="11"/>
        <v>2020522</v>
      </c>
      <c r="R29" s="33">
        <f t="shared" si="10"/>
        <v>1792098</v>
      </c>
      <c r="S29" s="33">
        <f t="shared" si="10"/>
        <v>1908142</v>
      </c>
      <c r="T29" s="33">
        <f t="shared" si="10"/>
        <v>1791149</v>
      </c>
      <c r="U29" s="33">
        <f t="shared" si="10"/>
        <v>1764526</v>
      </c>
      <c r="V29" s="33">
        <f t="shared" si="10"/>
        <v>1115327</v>
      </c>
      <c r="W29" s="33">
        <f t="shared" si="10"/>
        <v>1563180</v>
      </c>
      <c r="X29" s="33">
        <f t="shared" si="10"/>
        <v>1726451</v>
      </c>
      <c r="Y29" s="33">
        <f t="shared" si="10"/>
        <v>1823789</v>
      </c>
      <c r="Z29" s="33">
        <f t="shared" si="10"/>
        <v>2234863</v>
      </c>
      <c r="AA29" s="33">
        <f t="shared" si="10"/>
        <v>2211146</v>
      </c>
      <c r="AB29" s="33">
        <f t="shared" si="10"/>
        <v>2289367</v>
      </c>
      <c r="AC29" s="33">
        <f t="shared" si="10"/>
        <v>2207125</v>
      </c>
      <c r="AD29" s="33">
        <f t="shared" si="10"/>
        <v>2196223</v>
      </c>
      <c r="AE29" s="33">
        <f t="shared" si="10"/>
        <v>1694354</v>
      </c>
      <c r="AF29" s="33">
        <f t="shared" si="10"/>
        <v>1596260</v>
      </c>
      <c r="AG29" s="33">
        <f t="shared" si="10"/>
        <v>1645656</v>
      </c>
      <c r="AH29" s="33">
        <f t="shared" si="10"/>
        <v>1702848</v>
      </c>
      <c r="AI29" s="33">
        <f t="shared" si="10"/>
        <v>1886252</v>
      </c>
      <c r="AJ29" s="33">
        <f t="shared" si="10"/>
        <v>1913983</v>
      </c>
      <c r="AK29" s="33">
        <f t="shared" si="10"/>
        <v>2083581</v>
      </c>
      <c r="AM29" s="54">
        <f>SUM(G29:AK29)</f>
        <v>51490545</v>
      </c>
      <c r="AN29" s="2134"/>
      <c r="AO29" s="2131"/>
      <c r="AP29" s="2126"/>
      <c r="AQ29" s="2125"/>
      <c r="AR29" s="2125"/>
      <c r="AS29" s="2125"/>
      <c r="AT29" s="2126"/>
      <c r="AU29" s="2"/>
      <c r="AV29" s="2"/>
      <c r="AW29" s="2"/>
      <c r="AX29" s="2"/>
      <c r="AY29" s="2"/>
      <c r="AZ29" s="2"/>
      <c r="BC29" s="511"/>
      <c r="BD29" s="511"/>
      <c r="BI29" s="141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349</v>
      </c>
      <c r="E30" s="719"/>
      <c r="F30" s="13" t="s">
        <v>14</v>
      </c>
      <c r="G30" s="33">
        <f>G25-G29</f>
        <v>-1919018</v>
      </c>
      <c r="H30" s="33">
        <f t="shared" ref="H30:AK30" si="12">H25-H29</f>
        <v>-1579291</v>
      </c>
      <c r="I30" s="33">
        <f t="shared" si="12"/>
        <v>-1621079</v>
      </c>
      <c r="J30" s="33">
        <f t="shared" si="12"/>
        <v>-1174791</v>
      </c>
      <c r="K30" s="33">
        <f t="shared" si="12"/>
        <v>0</v>
      </c>
      <c r="L30" s="33">
        <f t="shared" si="12"/>
        <v>0</v>
      </c>
      <c r="M30" s="33">
        <f t="shared" si="12"/>
        <v>-506373</v>
      </c>
      <c r="N30" s="33">
        <f t="shared" si="12"/>
        <v>-1629237</v>
      </c>
      <c r="O30" s="33">
        <f t="shared" si="12"/>
        <v>-1776212</v>
      </c>
      <c r="P30" s="33">
        <f t="shared" si="12"/>
        <v>-2117702</v>
      </c>
      <c r="Q30" s="33">
        <f t="shared" si="12"/>
        <v>-2020522</v>
      </c>
      <c r="R30" s="33">
        <f t="shared" si="12"/>
        <v>-1792098</v>
      </c>
      <c r="S30" s="33">
        <f t="shared" si="12"/>
        <v>-1908142</v>
      </c>
      <c r="T30" s="33">
        <f t="shared" si="12"/>
        <v>-1791149</v>
      </c>
      <c r="U30" s="33">
        <f t="shared" si="12"/>
        <v>-1764526</v>
      </c>
      <c r="V30" s="33">
        <f t="shared" si="12"/>
        <v>-1115327</v>
      </c>
      <c r="W30" s="33">
        <f t="shared" si="12"/>
        <v>-1563180</v>
      </c>
      <c r="X30" s="33">
        <f t="shared" si="12"/>
        <v>-1726451</v>
      </c>
      <c r="Y30" s="33">
        <f t="shared" si="12"/>
        <v>-1823789</v>
      </c>
      <c r="Z30" s="33">
        <f t="shared" si="12"/>
        <v>-2234863</v>
      </c>
      <c r="AA30" s="33">
        <f t="shared" si="12"/>
        <v>-2211146</v>
      </c>
      <c r="AB30" s="33">
        <f t="shared" si="12"/>
        <v>-2289367</v>
      </c>
      <c r="AC30" s="33">
        <f t="shared" si="12"/>
        <v>-2207125</v>
      </c>
      <c r="AD30" s="33">
        <f t="shared" si="12"/>
        <v>-2196223</v>
      </c>
      <c r="AE30" s="33">
        <f t="shared" si="12"/>
        <v>-1694354</v>
      </c>
      <c r="AF30" s="33">
        <f t="shared" si="12"/>
        <v>-1596260</v>
      </c>
      <c r="AG30" s="33">
        <f t="shared" si="12"/>
        <v>-1645656</v>
      </c>
      <c r="AH30" s="33">
        <f t="shared" si="12"/>
        <v>-1702848</v>
      </c>
      <c r="AI30" s="33">
        <f t="shared" si="12"/>
        <v>-1886252</v>
      </c>
      <c r="AJ30" s="33">
        <f t="shared" si="12"/>
        <v>-1913983</v>
      </c>
      <c r="AK30" s="33">
        <f t="shared" si="12"/>
        <v>-2083581</v>
      </c>
      <c r="AM30" s="54">
        <f>SUM(G30:AK30)</f>
        <v>-51490545</v>
      </c>
      <c r="AN30" s="2"/>
      <c r="AO30" s="2125"/>
      <c r="AP30" s="2125"/>
      <c r="AQ30" s="2125"/>
      <c r="AR30" s="2125"/>
      <c r="AS30" s="2125"/>
      <c r="AT30" s="2125"/>
      <c r="AU30" s="2"/>
      <c r="AV30" s="2"/>
      <c r="AW30" s="2"/>
      <c r="AX30" s="2"/>
      <c r="AY30" s="2"/>
      <c r="AZ30" s="2"/>
      <c r="BC30" s="511"/>
      <c r="BD30" s="511"/>
      <c r="BI30" s="141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27" t="s">
        <v>76</v>
      </c>
      <c r="E31" s="228"/>
      <c r="F31" s="229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N31" s="2"/>
      <c r="AO31" s="2131"/>
      <c r="AP31" s="2126"/>
      <c r="AQ31" s="2125"/>
      <c r="AR31" s="2125"/>
      <c r="AS31" s="2125"/>
      <c r="AT31" s="2132"/>
      <c r="AU31" s="2"/>
      <c r="AV31" s="2"/>
      <c r="AW31" s="2"/>
      <c r="AX31" s="2"/>
      <c r="AY31" s="2"/>
      <c r="AZ31" s="2"/>
    </row>
    <row r="32" spans="3:61 15030:15074" s="1" customFormat="1" x14ac:dyDescent="0.25">
      <c r="C32" s="15"/>
      <c r="D32" s="14" t="s">
        <v>75</v>
      </c>
      <c r="E32" s="251"/>
      <c r="F32" s="20" t="s">
        <v>14</v>
      </c>
      <c r="G32" s="33">
        <f>G33+G34</f>
        <v>1919018</v>
      </c>
      <c r="H32" s="33">
        <f t="shared" ref="H32:AK32" si="13">H33+H34</f>
        <v>60632</v>
      </c>
      <c r="I32" s="33">
        <f t="shared" si="13"/>
        <v>0</v>
      </c>
      <c r="J32" s="33">
        <f t="shared" si="13"/>
        <v>0</v>
      </c>
      <c r="K32" s="33">
        <f t="shared" si="13"/>
        <v>0</v>
      </c>
      <c r="L32" s="33">
        <f t="shared" si="13"/>
        <v>0</v>
      </c>
      <c r="M32" s="33">
        <f t="shared" si="13"/>
        <v>0</v>
      </c>
      <c r="N32" s="33">
        <f t="shared" si="13"/>
        <v>0</v>
      </c>
      <c r="O32" s="33">
        <f t="shared" si="13"/>
        <v>1280155</v>
      </c>
      <c r="P32" s="33">
        <f t="shared" si="13"/>
        <v>2117702</v>
      </c>
      <c r="Q32" s="33">
        <f t="shared" si="13"/>
        <v>2020522</v>
      </c>
      <c r="R32" s="33">
        <f t="shared" si="13"/>
        <v>1792098</v>
      </c>
      <c r="S32" s="33">
        <f t="shared" si="13"/>
        <v>1908142</v>
      </c>
      <c r="T32" s="33">
        <f t="shared" si="13"/>
        <v>1791149</v>
      </c>
      <c r="U32" s="33">
        <f t="shared" si="13"/>
        <v>1764526</v>
      </c>
      <c r="V32" s="33">
        <f t="shared" si="13"/>
        <v>1115327</v>
      </c>
      <c r="W32" s="33">
        <f t="shared" si="13"/>
        <v>1563180</v>
      </c>
      <c r="X32" s="33">
        <f t="shared" si="13"/>
        <v>1329754</v>
      </c>
      <c r="Y32" s="33">
        <f t="shared" si="13"/>
        <v>1623543</v>
      </c>
      <c r="Z32" s="33">
        <f t="shared" si="13"/>
        <v>2234863</v>
      </c>
      <c r="AA32" s="33">
        <f t="shared" si="13"/>
        <v>2211146</v>
      </c>
      <c r="AB32" s="33">
        <f t="shared" si="13"/>
        <v>2289367</v>
      </c>
      <c r="AC32" s="33">
        <f t="shared" si="13"/>
        <v>2207125</v>
      </c>
      <c r="AD32" s="33">
        <f t="shared" si="13"/>
        <v>2196223</v>
      </c>
      <c r="AE32" s="33">
        <f t="shared" si="13"/>
        <v>1140729</v>
      </c>
      <c r="AF32" s="33">
        <f t="shared" si="13"/>
        <v>498569</v>
      </c>
      <c r="AG32" s="33">
        <f t="shared" si="13"/>
        <v>0</v>
      </c>
      <c r="AH32" s="33">
        <f t="shared" si="13"/>
        <v>471032</v>
      </c>
      <c r="AI32" s="33">
        <f t="shared" si="13"/>
        <v>1886252</v>
      </c>
      <c r="AJ32" s="33">
        <f t="shared" si="13"/>
        <v>1913983</v>
      </c>
      <c r="AK32" s="33">
        <f t="shared" si="13"/>
        <v>2083581</v>
      </c>
      <c r="AM32" s="54">
        <f>SUM(G32:AK32)</f>
        <v>39418618</v>
      </c>
      <c r="AN32" s="2"/>
      <c r="AO32" s="2126"/>
      <c r="AP32" s="2126"/>
      <c r="AQ32" s="2125"/>
      <c r="AR32" s="2125"/>
      <c r="AS32" s="2125"/>
      <c r="AT32" s="2126"/>
      <c r="AU32" s="2"/>
      <c r="AV32" s="2"/>
      <c r="AW32" s="27"/>
      <c r="AX32" s="2"/>
      <c r="AY32" s="2"/>
      <c r="AZ32" s="2"/>
      <c r="BC32" s="511"/>
      <c r="BD32" s="511"/>
      <c r="BI32" s="141"/>
    </row>
    <row r="33" spans="1:15026" x14ac:dyDescent="0.25">
      <c r="C33" s="15"/>
      <c r="D33" s="64" t="s">
        <v>74</v>
      </c>
      <c r="E33" s="251">
        <v>25000000</v>
      </c>
      <c r="F33" s="65" t="s">
        <v>14</v>
      </c>
      <c r="G33" s="266">
        <v>1638220</v>
      </c>
      <c r="H33" s="266">
        <v>45173</v>
      </c>
      <c r="I33" s="266"/>
      <c r="J33" s="266"/>
      <c r="K33" s="266"/>
      <c r="L33" s="266"/>
      <c r="M33" s="266"/>
      <c r="N33" s="266"/>
      <c r="O33" s="266">
        <v>1070613</v>
      </c>
      <c r="P33" s="266">
        <v>1779634</v>
      </c>
      <c r="Q33" s="266">
        <v>1641727</v>
      </c>
      <c r="R33" s="266">
        <v>1472069</v>
      </c>
      <c r="S33" s="266">
        <v>1577279</v>
      </c>
      <c r="T33" s="266">
        <v>1483953</v>
      </c>
      <c r="U33" s="266">
        <v>1470575</v>
      </c>
      <c r="V33" s="266">
        <v>931609</v>
      </c>
      <c r="W33" s="266">
        <v>1268920</v>
      </c>
      <c r="X33" s="266">
        <v>1089983</v>
      </c>
      <c r="Y33" s="266">
        <v>1344811</v>
      </c>
      <c r="Z33" s="266">
        <v>1856465</v>
      </c>
      <c r="AA33" s="266">
        <v>1830392</v>
      </c>
      <c r="AB33" s="266">
        <v>1907299</v>
      </c>
      <c r="AC33" s="266">
        <v>1809986</v>
      </c>
      <c r="AD33" s="266">
        <v>1817464</v>
      </c>
      <c r="AE33" s="266">
        <v>947513</v>
      </c>
      <c r="AF33" s="266">
        <v>419201</v>
      </c>
      <c r="AG33" s="266"/>
      <c r="AH33" s="266">
        <v>386576</v>
      </c>
      <c r="AI33" s="266">
        <v>1551630</v>
      </c>
      <c r="AJ33" s="266">
        <v>1576974</v>
      </c>
      <c r="AK33" s="266">
        <v>1731777</v>
      </c>
      <c r="AM33" s="57">
        <f>SUM(G33:AK33)</f>
        <v>32649843</v>
      </c>
      <c r="AN33" s="1" t="s">
        <v>1155</v>
      </c>
      <c r="AO33" s="2126"/>
      <c r="AP33" s="2126"/>
      <c r="AQ33" s="2125"/>
      <c r="AR33" s="2125"/>
      <c r="AS33" s="2125"/>
      <c r="AT33" s="2126"/>
      <c r="AU33" s="2"/>
      <c r="AV33" s="2"/>
      <c r="AW33" s="27"/>
      <c r="AX33" s="27"/>
      <c r="AY33" s="2"/>
      <c r="AZ33" s="27"/>
    </row>
    <row r="34" spans="1:15026" x14ac:dyDescent="0.25">
      <c r="C34" s="15"/>
      <c r="D34" s="64" t="s">
        <v>73</v>
      </c>
      <c r="E34" s="251">
        <v>639000</v>
      </c>
      <c r="F34" s="65" t="s">
        <v>14</v>
      </c>
      <c r="G34" s="267">
        <v>280798</v>
      </c>
      <c r="H34" s="267">
        <v>15459</v>
      </c>
      <c r="I34" s="267"/>
      <c r="J34" s="267"/>
      <c r="K34" s="266"/>
      <c r="L34" s="2044"/>
      <c r="M34" s="267"/>
      <c r="N34" s="267"/>
      <c r="O34" s="267">
        <v>209542</v>
      </c>
      <c r="P34" s="267">
        <v>338068</v>
      </c>
      <c r="Q34" s="267">
        <v>378795</v>
      </c>
      <c r="R34" s="267">
        <v>320029</v>
      </c>
      <c r="S34" s="267">
        <v>330863</v>
      </c>
      <c r="T34" s="267">
        <v>307196</v>
      </c>
      <c r="U34" s="267">
        <v>293951</v>
      </c>
      <c r="V34" s="267">
        <v>183718</v>
      </c>
      <c r="W34" s="267">
        <v>294260</v>
      </c>
      <c r="X34" s="267">
        <v>239771</v>
      </c>
      <c r="Y34" s="267">
        <v>278732</v>
      </c>
      <c r="Z34" s="266">
        <f>135333+243065</f>
        <v>378398</v>
      </c>
      <c r="AA34" s="266">
        <v>380754</v>
      </c>
      <c r="AB34" s="266">
        <v>382068</v>
      </c>
      <c r="AC34" s="266">
        <v>397139</v>
      </c>
      <c r="AD34" s="266">
        <v>378759</v>
      </c>
      <c r="AE34" s="267">
        <v>193216</v>
      </c>
      <c r="AF34" s="266">
        <v>79368</v>
      </c>
      <c r="AG34" s="266"/>
      <c r="AH34" s="266">
        <v>84456</v>
      </c>
      <c r="AI34" s="266">
        <v>334622</v>
      </c>
      <c r="AJ34" s="266">
        <v>337009</v>
      </c>
      <c r="AK34" s="266">
        <v>351804</v>
      </c>
      <c r="AM34" s="57">
        <f>SUM(G34:AK34)</f>
        <v>6768775</v>
      </c>
      <c r="AN34" s="1" t="s">
        <v>1155</v>
      </c>
      <c r="AO34" s="2126"/>
      <c r="AP34" s="2135"/>
      <c r="AQ34" s="2125"/>
      <c r="AR34" s="2125"/>
      <c r="AS34" s="2125"/>
      <c r="AT34" s="2126"/>
      <c r="AU34" s="2"/>
      <c r="AV34" s="2"/>
      <c r="AW34" s="27"/>
      <c r="AX34" s="27"/>
      <c r="AY34" s="2"/>
      <c r="AZ34" s="2"/>
      <c r="BA34" s="3"/>
      <c r="BB34" s="3"/>
    </row>
    <row r="35" spans="1:15026" s="70" customFormat="1" ht="15" hidden="1" customHeight="1" x14ac:dyDescent="0.25">
      <c r="A35" s="62"/>
      <c r="B35" s="62"/>
      <c r="C35" s="68"/>
      <c r="D35" s="227" t="s">
        <v>103</v>
      </c>
      <c r="E35" s="301"/>
      <c r="F35" s="92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1928"/>
      <c r="T35" s="268"/>
      <c r="U35" s="268"/>
      <c r="V35" s="268"/>
      <c r="W35" s="268"/>
      <c r="X35" s="268"/>
      <c r="Y35" s="268"/>
      <c r="Z35" s="267">
        <v>0</v>
      </c>
      <c r="AA35" s="268"/>
      <c r="AB35" s="268"/>
      <c r="AC35" s="268"/>
      <c r="AD35" s="268"/>
      <c r="AE35" s="268"/>
      <c r="AF35" s="268"/>
      <c r="AG35" s="268"/>
      <c r="AH35" s="268"/>
      <c r="AI35" s="2052"/>
      <c r="AJ35" s="2052"/>
      <c r="AK35" s="2052"/>
      <c r="AL35" s="62"/>
      <c r="AM35" s="66" t="s">
        <v>105</v>
      </c>
      <c r="AN35" s="778"/>
      <c r="AO35" s="2125"/>
      <c r="AP35" s="2125"/>
      <c r="AQ35" s="2125"/>
      <c r="AR35" s="2125"/>
      <c r="AS35" s="2125"/>
      <c r="AT35" s="2125"/>
      <c r="AU35" s="2"/>
      <c r="AV35" s="2"/>
      <c r="AW35" s="2"/>
      <c r="AX35" s="2"/>
      <c r="AY35" s="2"/>
      <c r="AZ35" s="2"/>
      <c r="BA35" s="1"/>
      <c r="BB35" s="1"/>
      <c r="BC35" s="511"/>
      <c r="BD35" s="2118"/>
      <c r="BE35" s="62"/>
      <c r="BF35" s="62"/>
      <c r="BG35" s="62"/>
      <c r="BH35" s="62"/>
      <c r="BI35" s="14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1"/>
      <c r="F36" s="20" t="s">
        <v>14</v>
      </c>
      <c r="G36" s="33">
        <f>G37+G38</f>
        <v>0</v>
      </c>
      <c r="H36" s="33">
        <f>H37+H38</f>
        <v>0</v>
      </c>
      <c r="I36" s="33">
        <f t="shared" ref="I36:AH36" si="14">I37+I38</f>
        <v>0</v>
      </c>
      <c r="J36" s="33">
        <f t="shared" si="14"/>
        <v>0</v>
      </c>
      <c r="K36" s="33">
        <v>0</v>
      </c>
      <c r="L36" s="33"/>
      <c r="M36" s="33">
        <v>0</v>
      </c>
      <c r="N36" s="33"/>
      <c r="O36" s="33"/>
      <c r="P36" s="33"/>
      <c r="Q36" s="33"/>
      <c r="R36" s="33">
        <f t="shared" si="14"/>
        <v>0</v>
      </c>
      <c r="S36" s="1922">
        <v>0</v>
      </c>
      <c r="T36" s="33">
        <f t="shared" si="14"/>
        <v>0</v>
      </c>
      <c r="U36" s="33">
        <f t="shared" si="14"/>
        <v>0</v>
      </c>
      <c r="V36" s="33">
        <f t="shared" si="14"/>
        <v>0</v>
      </c>
      <c r="W36" s="33">
        <v>0</v>
      </c>
      <c r="X36" s="33">
        <v>0</v>
      </c>
      <c r="Y36" s="33"/>
      <c r="Z36" s="33"/>
      <c r="AA36" s="33">
        <f t="shared" si="14"/>
        <v>0</v>
      </c>
      <c r="AB36" s="33">
        <f t="shared" si="14"/>
        <v>0</v>
      </c>
      <c r="AC36" s="33">
        <v>0</v>
      </c>
      <c r="AD36" s="33">
        <f t="shared" si="14"/>
        <v>0</v>
      </c>
      <c r="AE36" s="33">
        <f t="shared" si="14"/>
        <v>0</v>
      </c>
      <c r="AF36" s="33">
        <f t="shared" si="14"/>
        <v>0</v>
      </c>
      <c r="AG36" s="33">
        <f t="shared" si="14"/>
        <v>0</v>
      </c>
      <c r="AH36" s="33">
        <f t="shared" si="14"/>
        <v>0</v>
      </c>
      <c r="AI36" s="2053"/>
      <c r="AJ36" s="2053"/>
      <c r="AK36" s="2053"/>
      <c r="AM36" s="54">
        <f>SUM(G36:AK36)</f>
        <v>0</v>
      </c>
      <c r="AN36" s="2"/>
      <c r="AO36" s="2125"/>
      <c r="AP36" s="2125"/>
      <c r="AQ36" s="2125"/>
      <c r="AR36" s="2125"/>
      <c r="AS36" s="2125"/>
      <c r="AT36" s="2125"/>
      <c r="AU36" s="2"/>
      <c r="AV36" s="2"/>
      <c r="AW36" s="2"/>
      <c r="AX36" s="2"/>
      <c r="AY36" s="2"/>
      <c r="AZ36" s="2"/>
    </row>
    <row r="37" spans="1:15026" ht="15" hidden="1" customHeight="1" x14ac:dyDescent="0.25">
      <c r="C37" s="15"/>
      <c r="D37" s="64" t="s">
        <v>104</v>
      </c>
      <c r="E37" s="251"/>
      <c r="F37" s="65" t="s">
        <v>14</v>
      </c>
      <c r="G37" s="266"/>
      <c r="H37" s="266">
        <v>0</v>
      </c>
      <c r="I37" s="266">
        <v>0</v>
      </c>
      <c r="J37" s="266">
        <v>0</v>
      </c>
      <c r="K37" s="266">
        <v>0</v>
      </c>
      <c r="L37" s="266"/>
      <c r="M37" s="266">
        <v>0</v>
      </c>
      <c r="N37" s="266"/>
      <c r="O37" s="266"/>
      <c r="P37" s="266"/>
      <c r="Q37" s="266"/>
      <c r="R37" s="266">
        <v>0</v>
      </c>
      <c r="S37" s="1926">
        <v>0</v>
      </c>
      <c r="T37" s="266">
        <v>0</v>
      </c>
      <c r="U37" s="266">
        <v>0</v>
      </c>
      <c r="V37" s="266">
        <v>0</v>
      </c>
      <c r="W37" s="266">
        <v>0</v>
      </c>
      <c r="X37" s="266">
        <v>0</v>
      </c>
      <c r="Y37" s="266"/>
      <c r="Z37" s="266"/>
      <c r="AA37" s="266">
        <v>0</v>
      </c>
      <c r="AB37" s="266">
        <v>0</v>
      </c>
      <c r="AC37" s="266">
        <v>0</v>
      </c>
      <c r="AD37" s="266">
        <v>0</v>
      </c>
      <c r="AE37" s="266">
        <v>0</v>
      </c>
      <c r="AF37" s="266">
        <v>0</v>
      </c>
      <c r="AG37" s="266">
        <v>0</v>
      </c>
      <c r="AH37" s="266"/>
      <c r="AI37" s="2050"/>
      <c r="AJ37" s="2050"/>
      <c r="AK37" s="2050"/>
      <c r="AM37" s="57">
        <f>SUM(G37:AK37)</f>
        <v>0</v>
      </c>
      <c r="AN37" s="2"/>
      <c r="AO37" s="2125"/>
      <c r="AP37" s="2125"/>
      <c r="AQ37" s="2125"/>
      <c r="AR37" s="2125"/>
      <c r="AS37" s="2125"/>
      <c r="AT37" s="2125"/>
      <c r="AU37" s="2"/>
      <c r="AV37" s="2"/>
      <c r="AW37" s="2"/>
      <c r="AX37" s="2"/>
      <c r="AY37" s="2"/>
      <c r="AZ37" s="2"/>
    </row>
    <row r="38" spans="1:15026" ht="15" hidden="1" customHeight="1" x14ac:dyDescent="0.25">
      <c r="C38" s="15"/>
      <c r="D38" s="64" t="s">
        <v>73</v>
      </c>
      <c r="E38" s="251"/>
      <c r="F38" s="65" t="s">
        <v>14</v>
      </c>
      <c r="G38" s="266"/>
      <c r="H38" s="266">
        <v>0</v>
      </c>
      <c r="I38" s="266">
        <v>0</v>
      </c>
      <c r="J38" s="266">
        <v>0</v>
      </c>
      <c r="K38" s="266">
        <v>0</v>
      </c>
      <c r="L38" s="266"/>
      <c r="M38" s="266">
        <v>0</v>
      </c>
      <c r="N38" s="266"/>
      <c r="O38" s="266"/>
      <c r="P38" s="266"/>
      <c r="Q38" s="266"/>
      <c r="R38" s="266">
        <v>0</v>
      </c>
      <c r="S38" s="1926">
        <v>0</v>
      </c>
      <c r="T38" s="266">
        <v>0</v>
      </c>
      <c r="U38" s="266">
        <v>0</v>
      </c>
      <c r="V38" s="266">
        <v>0</v>
      </c>
      <c r="W38" s="266">
        <v>0</v>
      </c>
      <c r="X38" s="266">
        <v>0</v>
      </c>
      <c r="Y38" s="266"/>
      <c r="Z38" s="266"/>
      <c r="AA38" s="266">
        <v>0</v>
      </c>
      <c r="AB38" s="266">
        <v>0</v>
      </c>
      <c r="AC38" s="266">
        <v>0</v>
      </c>
      <c r="AD38" s="266">
        <v>0</v>
      </c>
      <c r="AE38" s="266">
        <v>0</v>
      </c>
      <c r="AF38" s="266">
        <v>0</v>
      </c>
      <c r="AG38" s="266">
        <v>0</v>
      </c>
      <c r="AH38" s="266"/>
      <c r="AI38" s="2050"/>
      <c r="AJ38" s="2050"/>
      <c r="AK38" s="2050"/>
      <c r="AM38" s="57">
        <f>SUM(G38:AK38)</f>
        <v>0</v>
      </c>
      <c r="AN38" s="2"/>
      <c r="AO38" s="2125"/>
      <c r="AP38" s="2125"/>
      <c r="AQ38" s="2125"/>
      <c r="AR38" s="2125"/>
      <c r="AS38" s="2125"/>
      <c r="AT38" s="2125"/>
      <c r="AU38" s="2"/>
      <c r="AV38" s="2"/>
      <c r="AW38" s="2"/>
      <c r="AX38" s="2"/>
      <c r="AY38" s="2"/>
      <c r="AZ38" s="2"/>
    </row>
    <row r="39" spans="1:15026" ht="15" hidden="1" customHeight="1" x14ac:dyDescent="0.25">
      <c r="C39" s="15"/>
      <c r="D39" s="227" t="s">
        <v>106</v>
      </c>
      <c r="E39" s="230"/>
      <c r="F39" s="229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25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054"/>
      <c r="AJ39" s="2054"/>
      <c r="AK39" s="2054"/>
      <c r="AM39" s="66" t="s">
        <v>107</v>
      </c>
      <c r="AN39" s="2"/>
      <c r="AO39" s="2125"/>
      <c r="AP39" s="2125"/>
      <c r="AQ39" s="2125"/>
      <c r="AR39" s="2125"/>
      <c r="AS39" s="2125"/>
      <c r="AT39" s="2125"/>
      <c r="AU39" s="2"/>
      <c r="AV39" s="2"/>
      <c r="AW39" s="2"/>
      <c r="AX39" s="2"/>
      <c r="AY39" s="2"/>
      <c r="AZ39" s="2"/>
    </row>
    <row r="40" spans="1:15026" s="73" customFormat="1" ht="15" hidden="1" customHeight="1" x14ac:dyDescent="0.25">
      <c r="A40" s="16"/>
      <c r="B40" s="16"/>
      <c r="C40" s="17"/>
      <c r="D40" s="11" t="s">
        <v>71</v>
      </c>
      <c r="E40" s="252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2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053"/>
      <c r="AJ40" s="2053"/>
      <c r="AK40" s="2053"/>
      <c r="AL40" s="16"/>
      <c r="AM40" s="54">
        <f>SUM(G40:AK40)</f>
        <v>0</v>
      </c>
      <c r="AN40" s="2136"/>
      <c r="AO40" s="2137"/>
      <c r="AP40" s="2137"/>
      <c r="AQ40" s="2137"/>
      <c r="AR40" s="2137"/>
      <c r="AS40" s="2137"/>
      <c r="AT40" s="2137"/>
      <c r="AU40" s="2"/>
      <c r="AV40" s="2"/>
      <c r="AW40" s="2"/>
      <c r="AX40" s="2"/>
      <c r="AY40" s="2"/>
      <c r="AZ40" s="2"/>
      <c r="BA40" s="1"/>
      <c r="BB40" s="1"/>
      <c r="BC40" s="511"/>
      <c r="BD40" s="511"/>
      <c r="BE40" s="16"/>
      <c r="BF40" s="16"/>
      <c r="BG40" s="16"/>
      <c r="BH40" s="16"/>
      <c r="BI40" s="143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1"/>
      <c r="F41" s="20" t="s">
        <v>14</v>
      </c>
      <c r="G41" s="33">
        <f>G42+G43</f>
        <v>0</v>
      </c>
      <c r="H41" s="33">
        <f>H42+H43</f>
        <v>0</v>
      </c>
      <c r="I41" s="33">
        <f t="shared" ref="I41:AH41" si="15">I42+I43</f>
        <v>0</v>
      </c>
      <c r="J41" s="33">
        <f t="shared" si="15"/>
        <v>0</v>
      </c>
      <c r="K41" s="33">
        <v>0</v>
      </c>
      <c r="L41" s="33"/>
      <c r="M41" s="33">
        <v>0</v>
      </c>
      <c r="N41" s="33"/>
      <c r="O41" s="33"/>
      <c r="P41" s="33"/>
      <c r="Q41" s="33"/>
      <c r="R41" s="33">
        <f t="shared" si="15"/>
        <v>0</v>
      </c>
      <c r="S41" s="1922">
        <v>0</v>
      </c>
      <c r="T41" s="33">
        <f t="shared" si="15"/>
        <v>0</v>
      </c>
      <c r="U41" s="33">
        <f t="shared" si="15"/>
        <v>0</v>
      </c>
      <c r="V41" s="33">
        <f t="shared" si="15"/>
        <v>0</v>
      </c>
      <c r="W41" s="33">
        <v>0</v>
      </c>
      <c r="X41" s="33">
        <v>0</v>
      </c>
      <c r="Y41" s="33"/>
      <c r="Z41" s="33"/>
      <c r="AA41" s="33">
        <f t="shared" si="15"/>
        <v>0</v>
      </c>
      <c r="AB41" s="33">
        <f t="shared" si="15"/>
        <v>0</v>
      </c>
      <c r="AC41" s="33">
        <v>0</v>
      </c>
      <c r="AD41" s="33">
        <f t="shared" si="15"/>
        <v>0</v>
      </c>
      <c r="AE41" s="33">
        <f t="shared" si="15"/>
        <v>0</v>
      </c>
      <c r="AF41" s="33">
        <f t="shared" si="15"/>
        <v>0</v>
      </c>
      <c r="AG41" s="33">
        <f t="shared" si="15"/>
        <v>0</v>
      </c>
      <c r="AH41" s="33">
        <f t="shared" si="15"/>
        <v>0</v>
      </c>
      <c r="AI41" s="2053"/>
      <c r="AJ41" s="2053"/>
      <c r="AK41" s="2053"/>
      <c r="AM41" s="54">
        <f>SUM(G41:AK41)</f>
        <v>0</v>
      </c>
      <c r="AN41" s="2"/>
      <c r="AO41" s="2125"/>
      <c r="AP41" s="2125"/>
      <c r="AQ41" s="2125"/>
      <c r="AR41" s="2125"/>
      <c r="AS41" s="2125"/>
      <c r="AT41" s="2125"/>
      <c r="AU41" s="2"/>
      <c r="AV41" s="2"/>
      <c r="AW41" s="2"/>
      <c r="AX41" s="2"/>
      <c r="AY41" s="2"/>
      <c r="AZ41" s="2"/>
      <c r="BC41" s="511"/>
      <c r="BD41" s="511"/>
      <c r="BI41" s="141"/>
    </row>
    <row r="42" spans="1:15026" s="1" customFormat="1" ht="15" hidden="1" customHeight="1" x14ac:dyDescent="0.25">
      <c r="C42" s="15"/>
      <c r="D42" s="64" t="s">
        <v>108</v>
      </c>
      <c r="E42" s="251"/>
      <c r="F42" s="65" t="s">
        <v>14</v>
      </c>
      <c r="G42" s="266"/>
      <c r="H42" s="266">
        <v>0</v>
      </c>
      <c r="I42" s="266">
        <v>0</v>
      </c>
      <c r="J42" s="266">
        <v>0</v>
      </c>
      <c r="K42" s="266">
        <v>0</v>
      </c>
      <c r="L42" s="266"/>
      <c r="M42" s="266">
        <v>0</v>
      </c>
      <c r="N42" s="266"/>
      <c r="O42" s="266"/>
      <c r="P42" s="266"/>
      <c r="Q42" s="266"/>
      <c r="R42" s="266">
        <v>0</v>
      </c>
      <c r="S42" s="1926">
        <v>0</v>
      </c>
      <c r="T42" s="266">
        <v>0</v>
      </c>
      <c r="U42" s="266">
        <v>0</v>
      </c>
      <c r="V42" s="266">
        <v>0</v>
      </c>
      <c r="W42" s="266">
        <v>0</v>
      </c>
      <c r="X42" s="266">
        <v>0</v>
      </c>
      <c r="Y42" s="266"/>
      <c r="Z42" s="266"/>
      <c r="AA42" s="266">
        <v>0</v>
      </c>
      <c r="AB42" s="266">
        <v>0</v>
      </c>
      <c r="AC42" s="266">
        <v>0</v>
      </c>
      <c r="AD42" s="266">
        <v>0</v>
      </c>
      <c r="AE42" s="266">
        <v>0</v>
      </c>
      <c r="AF42" s="266">
        <v>0</v>
      </c>
      <c r="AG42" s="266">
        <v>0</v>
      </c>
      <c r="AH42" s="266"/>
      <c r="AI42" s="2050"/>
      <c r="AJ42" s="2050"/>
      <c r="AK42" s="2050"/>
      <c r="AM42" s="57">
        <f>SUM(G42:AK42)</f>
        <v>0</v>
      </c>
      <c r="AN42" s="2"/>
      <c r="AO42" s="2125"/>
      <c r="AP42" s="2125"/>
      <c r="AQ42" s="2125"/>
      <c r="AR42" s="2125"/>
      <c r="AS42" s="2125"/>
      <c r="AT42" s="2125"/>
      <c r="AU42" s="2"/>
      <c r="AV42" s="2"/>
      <c r="AW42" s="2"/>
      <c r="AX42" s="2"/>
      <c r="AY42" s="2"/>
      <c r="AZ42" s="2"/>
      <c r="BC42" s="511"/>
      <c r="BD42" s="511"/>
      <c r="BI42" s="141"/>
    </row>
    <row r="43" spans="1:15026" s="1" customFormat="1" ht="15" hidden="1" customHeight="1" x14ac:dyDescent="0.25">
      <c r="C43" s="15"/>
      <c r="D43" s="55" t="s">
        <v>73</v>
      </c>
      <c r="E43" s="251"/>
      <c r="F43" s="65" t="s">
        <v>14</v>
      </c>
      <c r="G43" s="267"/>
      <c r="H43" s="267">
        <v>0</v>
      </c>
      <c r="I43" s="267">
        <v>0</v>
      </c>
      <c r="J43" s="267">
        <v>0</v>
      </c>
      <c r="K43" s="267">
        <v>0</v>
      </c>
      <c r="L43" s="267"/>
      <c r="M43" s="267">
        <v>0</v>
      </c>
      <c r="N43" s="267"/>
      <c r="O43" s="267"/>
      <c r="P43" s="267"/>
      <c r="Q43" s="267"/>
      <c r="R43" s="267">
        <v>0</v>
      </c>
      <c r="S43" s="1927">
        <v>0</v>
      </c>
      <c r="T43" s="267">
        <v>0</v>
      </c>
      <c r="U43" s="267">
        <v>0</v>
      </c>
      <c r="V43" s="267">
        <v>0</v>
      </c>
      <c r="W43" s="267">
        <v>0</v>
      </c>
      <c r="X43" s="267">
        <v>0</v>
      </c>
      <c r="Y43" s="267"/>
      <c r="Z43" s="267"/>
      <c r="AA43" s="267">
        <v>0</v>
      </c>
      <c r="AB43" s="267">
        <v>0</v>
      </c>
      <c r="AC43" s="267">
        <v>0</v>
      </c>
      <c r="AD43" s="267">
        <v>0</v>
      </c>
      <c r="AE43" s="267">
        <v>0</v>
      </c>
      <c r="AF43" s="267">
        <v>0</v>
      </c>
      <c r="AG43" s="267">
        <v>0</v>
      </c>
      <c r="AH43" s="267"/>
      <c r="AI43" s="2051"/>
      <c r="AJ43" s="2051"/>
      <c r="AK43" s="2051"/>
      <c r="AM43" s="57">
        <f>SUM(G43:AK43)</f>
        <v>0</v>
      </c>
      <c r="AN43" s="2"/>
      <c r="AO43" s="2125"/>
      <c r="AP43" s="2125"/>
      <c r="AQ43" s="2125"/>
      <c r="AR43" s="2125"/>
      <c r="AS43" s="2125"/>
      <c r="AT43" s="2125"/>
      <c r="AU43" s="2"/>
      <c r="AV43" s="2"/>
      <c r="AW43" s="2"/>
      <c r="AX43" s="2"/>
      <c r="AY43" s="2"/>
      <c r="AZ43" s="2"/>
      <c r="BC43" s="511"/>
      <c r="BD43" s="511"/>
      <c r="BI43" s="141"/>
    </row>
    <row r="44" spans="1:15026" s="70" customFormat="1" x14ac:dyDescent="0.25">
      <c r="A44" s="62"/>
      <c r="B44" s="62"/>
      <c r="C44" s="68"/>
      <c r="D44" s="227" t="s">
        <v>109</v>
      </c>
      <c r="E44" s="301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25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054"/>
      <c r="AJ44" s="2054"/>
      <c r="AK44" s="2054"/>
      <c r="AL44" s="62"/>
      <c r="AM44" s="66" t="s">
        <v>110</v>
      </c>
      <c r="AN44" s="2138"/>
      <c r="AO44" s="2125"/>
      <c r="AP44" s="2125"/>
      <c r="AQ44" s="2125"/>
      <c r="AR44" s="2125"/>
      <c r="AS44" s="2125"/>
      <c r="AT44" s="2125"/>
      <c r="AU44" s="2"/>
      <c r="AV44" s="2"/>
      <c r="AW44" s="2"/>
      <c r="AX44" s="2"/>
      <c r="AY44" s="2"/>
      <c r="AZ44" s="2"/>
      <c r="BA44" s="3"/>
      <c r="BB44" s="1"/>
      <c r="BC44" s="511"/>
      <c r="BD44" s="2118"/>
      <c r="BE44" s="62"/>
      <c r="BF44" s="62"/>
      <c r="BG44" s="62"/>
      <c r="BH44" s="62"/>
      <c r="BI44" s="14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6">
        <v>17143</v>
      </c>
      <c r="F45" s="20" t="s">
        <v>14</v>
      </c>
      <c r="G45" s="33">
        <f>G46+G47</f>
        <v>0</v>
      </c>
      <c r="H45" s="33">
        <f t="shared" ref="H45:AK45" si="16">H46+H47</f>
        <v>1518659</v>
      </c>
      <c r="I45" s="33">
        <f t="shared" si="16"/>
        <v>1621079</v>
      </c>
      <c r="J45" s="33">
        <f t="shared" si="16"/>
        <v>1174791</v>
      </c>
      <c r="K45" s="33">
        <f t="shared" si="16"/>
        <v>0</v>
      </c>
      <c r="L45" s="33">
        <f t="shared" si="16"/>
        <v>0</v>
      </c>
      <c r="M45" s="33">
        <f t="shared" si="16"/>
        <v>506373</v>
      </c>
      <c r="N45" s="33">
        <f t="shared" si="16"/>
        <v>1629237</v>
      </c>
      <c r="O45" s="33">
        <f t="shared" si="16"/>
        <v>496057</v>
      </c>
      <c r="P45" s="33">
        <f t="shared" si="16"/>
        <v>0</v>
      </c>
      <c r="Q45" s="33">
        <f t="shared" si="16"/>
        <v>0</v>
      </c>
      <c r="R45" s="33">
        <f t="shared" si="16"/>
        <v>0</v>
      </c>
      <c r="S45" s="33">
        <f t="shared" si="16"/>
        <v>0</v>
      </c>
      <c r="T45" s="33">
        <f t="shared" si="16"/>
        <v>0</v>
      </c>
      <c r="U45" s="33">
        <f t="shared" si="16"/>
        <v>0</v>
      </c>
      <c r="V45" s="33">
        <f t="shared" si="16"/>
        <v>0</v>
      </c>
      <c r="W45" s="33">
        <f t="shared" si="16"/>
        <v>0</v>
      </c>
      <c r="X45" s="33">
        <f t="shared" si="16"/>
        <v>396697</v>
      </c>
      <c r="Y45" s="33">
        <f t="shared" si="16"/>
        <v>200246</v>
      </c>
      <c r="Z45" s="33">
        <f t="shared" si="16"/>
        <v>0</v>
      </c>
      <c r="AA45" s="33">
        <f t="shared" si="16"/>
        <v>0</v>
      </c>
      <c r="AB45" s="33">
        <f t="shared" si="16"/>
        <v>0</v>
      </c>
      <c r="AC45" s="33">
        <f t="shared" si="16"/>
        <v>0</v>
      </c>
      <c r="AD45" s="33">
        <f t="shared" si="16"/>
        <v>0</v>
      </c>
      <c r="AE45" s="33">
        <f t="shared" si="16"/>
        <v>553625</v>
      </c>
      <c r="AF45" s="33">
        <f t="shared" si="16"/>
        <v>1097691</v>
      </c>
      <c r="AG45" s="33">
        <f t="shared" si="16"/>
        <v>1645656</v>
      </c>
      <c r="AH45" s="33">
        <f t="shared" si="16"/>
        <v>1231816</v>
      </c>
      <c r="AI45" s="33">
        <f t="shared" si="16"/>
        <v>0</v>
      </c>
      <c r="AJ45" s="33">
        <f t="shared" si="16"/>
        <v>0</v>
      </c>
      <c r="AK45" s="33">
        <f t="shared" si="16"/>
        <v>0</v>
      </c>
      <c r="AM45" s="54">
        <f>SUM(G45:AK45)</f>
        <v>12071927</v>
      </c>
      <c r="AN45" s="27"/>
      <c r="AO45" s="2125"/>
      <c r="AP45" s="2125"/>
      <c r="AQ45" s="2125"/>
      <c r="AR45" s="2125"/>
      <c r="AS45" s="2125"/>
      <c r="AT45" s="2125"/>
      <c r="AU45" s="2"/>
      <c r="AV45" s="2"/>
      <c r="AW45" s="2"/>
      <c r="AX45" s="2"/>
      <c r="AY45" s="2"/>
      <c r="AZ45" s="2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66"/>
      <c r="H46" s="266">
        <v>1157159</v>
      </c>
      <c r="I46" s="266">
        <v>1231986</v>
      </c>
      <c r="J46" s="266">
        <v>875130</v>
      </c>
      <c r="K46" s="266"/>
      <c r="L46" s="266"/>
      <c r="M46" s="266">
        <v>430867</v>
      </c>
      <c r="N46" s="266">
        <v>1243637</v>
      </c>
      <c r="O46" s="266">
        <v>354999</v>
      </c>
      <c r="P46" s="266"/>
      <c r="Q46" s="266"/>
      <c r="R46" s="266"/>
      <c r="S46" s="266"/>
      <c r="T46" s="266"/>
      <c r="U46" s="266"/>
      <c r="V46" s="266"/>
      <c r="W46" s="266"/>
      <c r="X46" s="266">
        <v>286697</v>
      </c>
      <c r="Y46" s="266">
        <v>140629</v>
      </c>
      <c r="Z46" s="266"/>
      <c r="AA46" s="266"/>
      <c r="AB46" s="266"/>
      <c r="AC46" s="266"/>
      <c r="AD46" s="266"/>
      <c r="AE46" s="266">
        <v>427825</v>
      </c>
      <c r="AF46" s="266">
        <v>821660</v>
      </c>
      <c r="AG46" s="266">
        <v>1255178</v>
      </c>
      <c r="AH46" s="266">
        <v>932781</v>
      </c>
      <c r="AI46" s="266"/>
      <c r="AJ46" s="266"/>
      <c r="AK46" s="266"/>
      <c r="AM46" s="57">
        <f>SUM(G46:AK46)</f>
        <v>9158548</v>
      </c>
      <c r="AN46" s="1" t="s">
        <v>1155</v>
      </c>
      <c r="AO46" s="2125"/>
      <c r="AP46" s="2126"/>
      <c r="AQ46" s="2125"/>
      <c r="AR46" s="2125"/>
      <c r="AS46" s="2125"/>
      <c r="AT46" s="2125"/>
      <c r="AU46" s="2"/>
      <c r="AV46" s="27"/>
      <c r="AW46" s="27"/>
      <c r="AX46" s="27"/>
      <c r="AY46" s="2"/>
      <c r="AZ46" s="2"/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67"/>
      <c r="H47" s="267">
        <v>361500</v>
      </c>
      <c r="I47" s="267">
        <v>389093</v>
      </c>
      <c r="J47" s="267">
        <v>299661</v>
      </c>
      <c r="K47" s="266"/>
      <c r="L47" s="267"/>
      <c r="M47" s="267">
        <v>75506</v>
      </c>
      <c r="N47" s="267">
        <v>385600</v>
      </c>
      <c r="O47" s="267">
        <v>141058</v>
      </c>
      <c r="P47" s="267"/>
      <c r="Q47" s="267"/>
      <c r="R47" s="267"/>
      <c r="S47" s="2044"/>
      <c r="T47" s="2044"/>
      <c r="U47" s="2044"/>
      <c r="V47" s="267"/>
      <c r="W47" s="267"/>
      <c r="X47" s="267">
        <v>110000</v>
      </c>
      <c r="Y47" s="267">
        <v>59617</v>
      </c>
      <c r="Z47" s="267"/>
      <c r="AA47" s="267"/>
      <c r="AB47" s="267"/>
      <c r="AC47" s="267"/>
      <c r="AD47" s="266"/>
      <c r="AE47" s="267">
        <v>125800</v>
      </c>
      <c r="AF47" s="267">
        <v>276031</v>
      </c>
      <c r="AG47" s="267">
        <v>390478</v>
      </c>
      <c r="AH47" s="267">
        <v>299035</v>
      </c>
      <c r="AI47" s="267"/>
      <c r="AJ47" s="267"/>
      <c r="AK47" s="267"/>
      <c r="AM47" s="57">
        <f>SUM(G47:AK47)</f>
        <v>2913379</v>
      </c>
      <c r="AN47" s="1" t="s">
        <v>1155</v>
      </c>
      <c r="AO47" s="2001"/>
      <c r="AP47" s="2002"/>
      <c r="AQ47" s="2001"/>
      <c r="AR47" s="2001"/>
      <c r="AS47" s="2001"/>
      <c r="AT47" s="2001"/>
      <c r="AV47" s="27"/>
      <c r="AW47" s="27"/>
      <c r="AX47" s="27"/>
      <c r="AY47" s="2"/>
      <c r="AZ47" s="2"/>
      <c r="BA47" s="3"/>
    </row>
    <row r="48" spans="1:15026" s="70" customFormat="1" ht="15" hidden="1" customHeight="1" x14ac:dyDescent="0.25">
      <c r="A48" s="62"/>
      <c r="B48" s="62"/>
      <c r="C48" s="68"/>
      <c r="D48" s="227" t="s">
        <v>834</v>
      </c>
      <c r="E48" s="301"/>
      <c r="F48" s="92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192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62"/>
      <c r="AM48" s="66" t="s">
        <v>835</v>
      </c>
      <c r="AN48" s="62"/>
      <c r="AO48" s="2001"/>
      <c r="AP48" s="2001"/>
      <c r="AQ48" s="2001"/>
      <c r="AR48" s="2001"/>
      <c r="AS48" s="2001"/>
      <c r="AT48" s="2001"/>
      <c r="AU48" s="62"/>
      <c r="AV48" s="27"/>
      <c r="AW48" s="2"/>
      <c r="AX48" s="2"/>
      <c r="AY48" s="2"/>
      <c r="AZ48" s="2"/>
      <c r="BA48" s="1"/>
      <c r="BB48" s="1"/>
      <c r="BC48" s="511"/>
      <c r="BD48" s="2118"/>
      <c r="BE48" s="62"/>
      <c r="BF48" s="62"/>
      <c r="BG48" s="62"/>
      <c r="BH48" s="62"/>
      <c r="BI48" s="14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5">
      <c r="A49" s="16"/>
      <c r="B49" s="16"/>
      <c r="C49" s="17"/>
      <c r="D49" s="11" t="s">
        <v>71</v>
      </c>
      <c r="E49" s="252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2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SUM(G49:AK49)</f>
        <v>0</v>
      </c>
      <c r="AN49" s="16"/>
      <c r="AO49" s="2003"/>
      <c r="AP49" s="2003"/>
      <c r="AQ49" s="2003"/>
      <c r="AR49" s="2003"/>
      <c r="AS49" s="2003"/>
      <c r="AT49" s="2003"/>
      <c r="AU49" s="16"/>
      <c r="AV49" s="27"/>
      <c r="AW49" s="2"/>
      <c r="AX49" s="2"/>
      <c r="AY49" s="2"/>
      <c r="AZ49" s="2"/>
      <c r="BA49" s="1"/>
      <c r="BB49" s="1"/>
      <c r="BC49" s="511"/>
      <c r="BD49" s="511"/>
      <c r="BE49" s="16"/>
      <c r="BF49" s="16"/>
      <c r="BG49" s="16"/>
      <c r="BH49" s="16"/>
      <c r="BI49" s="1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6">
        <f>E51+E52</f>
        <v>21429000</v>
      </c>
      <c r="F50" s="20" t="s">
        <v>14</v>
      </c>
      <c r="G50" s="33">
        <f>G51+G52</f>
        <v>0</v>
      </c>
      <c r="H50" s="33">
        <f t="shared" ref="H50:AH50" si="17">H51+H52</f>
        <v>0</v>
      </c>
      <c r="I50" s="33">
        <f t="shared" si="17"/>
        <v>0</v>
      </c>
      <c r="J50" s="33">
        <f t="shared" si="17"/>
        <v>0</v>
      </c>
      <c r="K50" s="33">
        <v>0</v>
      </c>
      <c r="L50" s="33"/>
      <c r="M50" s="33">
        <v>0</v>
      </c>
      <c r="N50" s="33"/>
      <c r="O50" s="33"/>
      <c r="P50" s="33"/>
      <c r="Q50" s="33"/>
      <c r="R50" s="33">
        <f t="shared" si="17"/>
        <v>0</v>
      </c>
      <c r="S50" s="1922">
        <v>0</v>
      </c>
      <c r="T50" s="33">
        <f t="shared" si="17"/>
        <v>0</v>
      </c>
      <c r="U50" s="33">
        <f t="shared" si="17"/>
        <v>0</v>
      </c>
      <c r="V50" s="33">
        <f t="shared" si="17"/>
        <v>0</v>
      </c>
      <c r="W50" s="33">
        <v>0</v>
      </c>
      <c r="X50" s="33">
        <v>0</v>
      </c>
      <c r="Y50" s="33">
        <f>Y51+Y52</f>
        <v>0</v>
      </c>
      <c r="Z50" s="33">
        <f>Z51+Z52</f>
        <v>0</v>
      </c>
      <c r="AA50" s="33">
        <f t="shared" si="17"/>
        <v>0</v>
      </c>
      <c r="AB50" s="33">
        <f t="shared" si="17"/>
        <v>0</v>
      </c>
      <c r="AC50" s="33">
        <f>AC51+AC52</f>
        <v>0</v>
      </c>
      <c r="AD50" s="33">
        <f t="shared" si="17"/>
        <v>0</v>
      </c>
      <c r="AE50" s="33">
        <f t="shared" si="17"/>
        <v>0</v>
      </c>
      <c r="AF50" s="33">
        <f t="shared" si="17"/>
        <v>0</v>
      </c>
      <c r="AG50" s="33">
        <f t="shared" si="17"/>
        <v>0</v>
      </c>
      <c r="AH50" s="33">
        <f t="shared" si="17"/>
        <v>0</v>
      </c>
      <c r="AI50" s="33"/>
      <c r="AJ50" s="33"/>
      <c r="AK50" s="33"/>
      <c r="AM50" s="54">
        <f>SUM(G50:AK50)</f>
        <v>0</v>
      </c>
      <c r="AO50" s="2001"/>
      <c r="AP50" s="2001"/>
      <c r="AQ50" s="2001"/>
      <c r="AR50" s="2001"/>
      <c r="AS50" s="2001"/>
      <c r="AT50" s="2001"/>
      <c r="AV50" s="27"/>
      <c r="AW50" s="2"/>
      <c r="AX50" s="2"/>
      <c r="AY50" s="2"/>
      <c r="AZ50" s="2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6"/>
      <c r="H51" s="266">
        <v>0</v>
      </c>
      <c r="I51" s="266">
        <v>0</v>
      </c>
      <c r="J51" s="266">
        <v>0</v>
      </c>
      <c r="K51" s="266">
        <v>0</v>
      </c>
      <c r="L51" s="266"/>
      <c r="M51" s="266">
        <v>0</v>
      </c>
      <c r="N51" s="266"/>
      <c r="O51" s="266"/>
      <c r="P51" s="266"/>
      <c r="Q51" s="266"/>
      <c r="R51" s="266">
        <v>0</v>
      </c>
      <c r="S51" s="1926">
        <v>0</v>
      </c>
      <c r="T51" s="266">
        <v>0</v>
      </c>
      <c r="U51" s="266">
        <v>0</v>
      </c>
      <c r="V51" s="266">
        <v>0</v>
      </c>
      <c r="W51" s="266">
        <v>0</v>
      </c>
      <c r="X51" s="266">
        <v>0</v>
      </c>
      <c r="Y51" s="266">
        <v>0</v>
      </c>
      <c r="Z51" s="266">
        <v>0</v>
      </c>
      <c r="AA51" s="266">
        <v>0</v>
      </c>
      <c r="AB51" s="266">
        <v>0</v>
      </c>
      <c r="AC51" s="266">
        <v>0</v>
      </c>
      <c r="AD51" s="266">
        <v>0</v>
      </c>
      <c r="AE51" s="266">
        <v>0</v>
      </c>
      <c r="AF51" s="266">
        <v>0</v>
      </c>
      <c r="AG51" s="266">
        <v>0</v>
      </c>
      <c r="AH51" s="266">
        <v>0</v>
      </c>
      <c r="AI51" s="266"/>
      <c r="AJ51" s="266"/>
      <c r="AK51" s="266"/>
      <c r="AM51" s="57">
        <f>SUM(G51:AK51)</f>
        <v>0</v>
      </c>
      <c r="AO51" s="2001"/>
      <c r="AP51" s="2001"/>
      <c r="AQ51" s="2001"/>
      <c r="AR51" s="2001"/>
      <c r="AS51" s="2001"/>
      <c r="AT51" s="2001"/>
      <c r="AV51" s="27"/>
      <c r="AW51" s="2"/>
      <c r="AX51" s="2"/>
      <c r="AY51" s="2"/>
      <c r="AZ51" s="2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6"/>
      <c r="H52" s="266">
        <v>0</v>
      </c>
      <c r="I52" s="266">
        <v>0</v>
      </c>
      <c r="J52" s="266">
        <v>0</v>
      </c>
      <c r="K52" s="266">
        <v>0</v>
      </c>
      <c r="L52" s="266"/>
      <c r="M52" s="266">
        <v>0</v>
      </c>
      <c r="N52" s="266"/>
      <c r="O52" s="266"/>
      <c r="P52" s="266"/>
      <c r="Q52" s="266"/>
      <c r="R52" s="266">
        <v>0</v>
      </c>
      <c r="S52" s="1926">
        <v>0</v>
      </c>
      <c r="T52" s="266">
        <v>0</v>
      </c>
      <c r="U52" s="266">
        <v>0</v>
      </c>
      <c r="V52" s="266">
        <v>0</v>
      </c>
      <c r="W52" s="266">
        <v>0</v>
      </c>
      <c r="X52" s="266">
        <v>0</v>
      </c>
      <c r="Y52" s="266">
        <v>0</v>
      </c>
      <c r="Z52" s="266">
        <v>0</v>
      </c>
      <c r="AA52" s="266">
        <v>0</v>
      </c>
      <c r="AB52" s="266">
        <v>0</v>
      </c>
      <c r="AC52" s="266">
        <v>0</v>
      </c>
      <c r="AD52" s="266">
        <v>0</v>
      </c>
      <c r="AE52" s="266">
        <v>0</v>
      </c>
      <c r="AF52" s="266">
        <v>0</v>
      </c>
      <c r="AG52" s="266">
        <v>0</v>
      </c>
      <c r="AH52" s="266">
        <v>0</v>
      </c>
      <c r="AI52" s="266"/>
      <c r="AJ52" s="266"/>
      <c r="AK52" s="266"/>
      <c r="AM52" s="57">
        <f>SUM(G52:AK52)</f>
        <v>0</v>
      </c>
      <c r="AO52" s="2001"/>
      <c r="AP52" s="2001"/>
      <c r="AQ52" s="2001"/>
      <c r="AR52" s="2001"/>
      <c r="AS52" s="2001"/>
      <c r="AT52" s="2001"/>
      <c r="AV52" s="27"/>
      <c r="AW52" s="2"/>
      <c r="AX52" s="2"/>
      <c r="AY52" s="2"/>
      <c r="AZ52" s="2"/>
    </row>
    <row r="53" spans="1:15026" hidden="1" x14ac:dyDescent="0.25">
      <c r="C53" s="15"/>
      <c r="D53" s="227" t="s">
        <v>72</v>
      </c>
      <c r="E53" s="230"/>
      <c r="F53" s="229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25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2001"/>
      <c r="AP53" s="2001"/>
      <c r="AQ53" s="2001"/>
      <c r="AR53" s="2001"/>
      <c r="AS53" s="2001"/>
      <c r="AT53" s="2001"/>
      <c r="AV53" s="27"/>
      <c r="AW53" s="2"/>
      <c r="AX53" s="2"/>
      <c r="AY53" s="2"/>
      <c r="AZ53" s="2"/>
    </row>
    <row r="54" spans="1:15026" s="73" customFormat="1" hidden="1" x14ac:dyDescent="0.25">
      <c r="A54" s="16"/>
      <c r="B54" s="16"/>
      <c r="C54" s="17"/>
      <c r="D54" s="11" t="s">
        <v>71</v>
      </c>
      <c r="E54" s="252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2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SUM(G54:AK54)</f>
        <v>0</v>
      </c>
      <c r="AN54" s="16"/>
      <c r="AO54" s="2003"/>
      <c r="AP54" s="2004"/>
      <c r="AQ54" s="2003"/>
      <c r="AR54" s="2003"/>
      <c r="AS54" s="2003"/>
      <c r="AT54" s="2003"/>
      <c r="AU54" s="16"/>
      <c r="AV54" s="27"/>
      <c r="AW54" s="2"/>
      <c r="AX54" s="2"/>
      <c r="AY54" s="2"/>
      <c r="AZ54" s="2"/>
      <c r="BA54" s="1"/>
      <c r="BB54" s="1"/>
      <c r="BC54" s="511"/>
      <c r="BD54" s="511"/>
      <c r="BE54" s="16"/>
      <c r="BF54" s="16"/>
      <c r="BG54" s="16"/>
      <c r="BH54" s="16"/>
      <c r="BI54" s="143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1">
        <f>E56+E57</f>
        <v>1333300</v>
      </c>
      <c r="F55" s="20" t="s">
        <v>14</v>
      </c>
      <c r="G55" s="33">
        <f>G56+G57</f>
        <v>0</v>
      </c>
      <c r="H55" s="33">
        <f>H56+H57</f>
        <v>0</v>
      </c>
      <c r="I55" s="33">
        <f>I56+I57</f>
        <v>0</v>
      </c>
      <c r="J55" s="33">
        <f t="shared" ref="J55:AH55" si="18">J56+J57</f>
        <v>0</v>
      </c>
      <c r="K55" s="33">
        <v>0</v>
      </c>
      <c r="L55" s="33"/>
      <c r="M55" s="33">
        <v>0</v>
      </c>
      <c r="N55" s="33"/>
      <c r="O55" s="33"/>
      <c r="P55" s="33"/>
      <c r="Q55" s="33"/>
      <c r="R55" s="33"/>
      <c r="S55" s="1922">
        <f>S56+S57</f>
        <v>0</v>
      </c>
      <c r="T55" s="33">
        <f t="shared" si="18"/>
        <v>0</v>
      </c>
      <c r="U55" s="33">
        <f t="shared" si="18"/>
        <v>0</v>
      </c>
      <c r="V55" s="33">
        <f t="shared" si="18"/>
        <v>0</v>
      </c>
      <c r="W55" s="33">
        <v>0</v>
      </c>
      <c r="X55" s="33">
        <v>0</v>
      </c>
      <c r="Y55" s="33">
        <f>Y56+Y57</f>
        <v>0</v>
      </c>
      <c r="Z55" s="33"/>
      <c r="AA55" s="33">
        <f>AA56+AA57</f>
        <v>0</v>
      </c>
      <c r="AB55" s="33">
        <f t="shared" si="18"/>
        <v>0</v>
      </c>
      <c r="AC55" s="33">
        <f>AC56+AC57</f>
        <v>0</v>
      </c>
      <c r="AD55" s="33">
        <f t="shared" si="18"/>
        <v>0</v>
      </c>
      <c r="AE55" s="33">
        <f t="shared" si="18"/>
        <v>0</v>
      </c>
      <c r="AF55" s="33">
        <f t="shared" si="18"/>
        <v>0</v>
      </c>
      <c r="AG55" s="33">
        <f t="shared" si="18"/>
        <v>0</v>
      </c>
      <c r="AH55" s="33">
        <f t="shared" si="18"/>
        <v>0</v>
      </c>
      <c r="AI55" s="33"/>
      <c r="AJ55" s="33"/>
      <c r="AK55" s="33"/>
      <c r="AM55" s="54">
        <f>SUM(G55:AK55)</f>
        <v>0</v>
      </c>
      <c r="AO55" s="2001"/>
      <c r="AP55" s="2001"/>
      <c r="AQ55" s="2001"/>
      <c r="AR55" s="2001"/>
      <c r="AS55" s="2001"/>
      <c r="AT55" s="2001"/>
      <c r="AV55" s="27"/>
      <c r="AW55" s="2"/>
      <c r="AX55" s="2"/>
      <c r="AY55" s="2"/>
      <c r="AZ55" s="2"/>
      <c r="BC55" s="511"/>
      <c r="BD55" s="511"/>
      <c r="BI55" s="141"/>
    </row>
    <row r="56" spans="1:15026" s="1" customFormat="1" hidden="1" x14ac:dyDescent="0.25">
      <c r="C56" s="15"/>
      <c r="D56" s="64" t="s">
        <v>68</v>
      </c>
      <c r="E56" s="251">
        <v>1250000</v>
      </c>
      <c r="F56" s="65" t="s">
        <v>14</v>
      </c>
      <c r="G56" s="266"/>
      <c r="H56" s="266">
        <v>0</v>
      </c>
      <c r="I56" s="266">
        <v>0</v>
      </c>
      <c r="J56" s="266">
        <v>0</v>
      </c>
      <c r="K56" s="266">
        <v>0</v>
      </c>
      <c r="L56" s="266"/>
      <c r="M56" s="266">
        <v>0</v>
      </c>
      <c r="N56" s="266"/>
      <c r="O56" s="266"/>
      <c r="P56" s="266"/>
      <c r="Q56" s="266"/>
      <c r="R56" s="266">
        <v>0</v>
      </c>
      <c r="S56" s="1926"/>
      <c r="T56" s="266">
        <v>0</v>
      </c>
      <c r="U56" s="266">
        <v>0</v>
      </c>
      <c r="V56" s="266">
        <v>0</v>
      </c>
      <c r="W56" s="266">
        <v>0</v>
      </c>
      <c r="X56" s="266">
        <v>0</v>
      </c>
      <c r="Y56" s="266">
        <v>0</v>
      </c>
      <c r="Z56" s="266"/>
      <c r="AA56" s="266"/>
      <c r="AB56" s="266">
        <v>0</v>
      </c>
      <c r="AC56" s="266">
        <v>0</v>
      </c>
      <c r="AD56" s="266">
        <v>0</v>
      </c>
      <c r="AE56" s="266">
        <v>0</v>
      </c>
      <c r="AF56" s="266">
        <v>0</v>
      </c>
      <c r="AG56" s="266"/>
      <c r="AH56" s="266">
        <v>0</v>
      </c>
      <c r="AI56" s="266"/>
      <c r="AJ56" s="266"/>
      <c r="AK56" s="266"/>
      <c r="AM56" s="57">
        <f>SUM(G56:AK56)</f>
        <v>0</v>
      </c>
      <c r="AO56" s="2001"/>
      <c r="AP56" s="2002"/>
      <c r="AQ56" s="2001"/>
      <c r="AR56" s="2001"/>
      <c r="AS56" s="2001"/>
      <c r="AT56" s="2001"/>
      <c r="AV56" s="27"/>
      <c r="AW56" s="2"/>
      <c r="AX56" s="2"/>
      <c r="AY56" s="2"/>
      <c r="AZ56" s="2"/>
      <c r="BC56" s="511"/>
      <c r="BD56" s="511"/>
      <c r="BI56" s="141"/>
    </row>
    <row r="57" spans="1:15026" s="1" customFormat="1" hidden="1" x14ac:dyDescent="0.25">
      <c r="C57" s="15"/>
      <c r="D57" s="64" t="s">
        <v>67</v>
      </c>
      <c r="E57" s="251">
        <v>83300</v>
      </c>
      <c r="F57" s="65" t="s">
        <v>14</v>
      </c>
      <c r="G57" s="266"/>
      <c r="H57" s="266">
        <v>0</v>
      </c>
      <c r="I57" s="266">
        <v>0</v>
      </c>
      <c r="J57" s="266">
        <v>0</v>
      </c>
      <c r="K57" s="266">
        <v>0</v>
      </c>
      <c r="L57" s="266"/>
      <c r="M57" s="266">
        <v>0</v>
      </c>
      <c r="N57" s="266"/>
      <c r="O57" s="266"/>
      <c r="P57" s="266"/>
      <c r="Q57" s="266"/>
      <c r="R57" s="266">
        <v>0</v>
      </c>
      <c r="S57" s="1926"/>
      <c r="T57" s="266">
        <v>0</v>
      </c>
      <c r="U57" s="266">
        <v>0</v>
      </c>
      <c r="V57" s="266">
        <v>0</v>
      </c>
      <c r="W57" s="266">
        <v>0</v>
      </c>
      <c r="X57" s="266">
        <v>0</v>
      </c>
      <c r="Y57" s="266">
        <v>0</v>
      </c>
      <c r="Z57" s="266"/>
      <c r="AA57" s="266"/>
      <c r="AB57" s="266">
        <v>0</v>
      </c>
      <c r="AC57" s="266">
        <v>0</v>
      </c>
      <c r="AD57" s="266">
        <v>0</v>
      </c>
      <c r="AE57" s="266">
        <v>0</v>
      </c>
      <c r="AF57" s="266">
        <v>0</v>
      </c>
      <c r="AG57" s="266"/>
      <c r="AH57" s="266">
        <v>0</v>
      </c>
      <c r="AI57" s="266"/>
      <c r="AJ57" s="266"/>
      <c r="AK57" s="266"/>
      <c r="AM57" s="57">
        <f>SUM(G57:AK57)</f>
        <v>0</v>
      </c>
      <c r="AO57" s="2001"/>
      <c r="AP57" s="2002"/>
      <c r="AQ57" s="2001"/>
      <c r="AR57" s="2001"/>
      <c r="AS57" s="2001"/>
      <c r="AT57" s="2001"/>
      <c r="AV57" s="27"/>
      <c r="AW57" s="2"/>
      <c r="AX57" s="2"/>
      <c r="AY57" s="2"/>
      <c r="AZ57" s="2"/>
      <c r="BC57" s="511"/>
      <c r="BD57" s="511"/>
      <c r="BI57" s="141"/>
    </row>
    <row r="58" spans="1:15026" s="1" customFormat="1" hidden="1" x14ac:dyDescent="0.25">
      <c r="C58" s="15"/>
      <c r="D58" s="74" t="s">
        <v>112</v>
      </c>
      <c r="E58" s="251"/>
      <c r="F58" s="13" t="s">
        <v>25</v>
      </c>
      <c r="G58" s="269">
        <v>0</v>
      </c>
      <c r="H58" s="269">
        <v>0</v>
      </c>
      <c r="I58" s="269">
        <v>0</v>
      </c>
      <c r="J58" s="269">
        <v>0</v>
      </c>
      <c r="K58" s="269">
        <v>0</v>
      </c>
      <c r="L58" s="269"/>
      <c r="M58" s="269">
        <v>0</v>
      </c>
      <c r="N58" s="269"/>
      <c r="O58" s="269"/>
      <c r="P58" s="269"/>
      <c r="Q58" s="269"/>
      <c r="R58" s="269">
        <v>0</v>
      </c>
      <c r="S58" s="1929">
        <v>0</v>
      </c>
      <c r="T58" s="269">
        <v>0</v>
      </c>
      <c r="U58" s="269">
        <v>0</v>
      </c>
      <c r="V58" s="269">
        <v>0</v>
      </c>
      <c r="W58" s="269">
        <v>0</v>
      </c>
      <c r="X58" s="269">
        <v>0</v>
      </c>
      <c r="Y58" s="269">
        <v>0</v>
      </c>
      <c r="Z58" s="269">
        <v>0</v>
      </c>
      <c r="AA58" s="269">
        <v>0</v>
      </c>
      <c r="AB58" s="269">
        <v>0</v>
      </c>
      <c r="AC58" s="269">
        <v>0</v>
      </c>
      <c r="AD58" s="269">
        <v>0</v>
      </c>
      <c r="AE58" s="269">
        <v>0</v>
      </c>
      <c r="AF58" s="269">
        <v>0</v>
      </c>
      <c r="AG58" s="269">
        <v>0</v>
      </c>
      <c r="AH58" s="269">
        <v>0</v>
      </c>
      <c r="AI58" s="269"/>
      <c r="AJ58" s="269"/>
      <c r="AK58" s="269"/>
      <c r="AL58" s="62"/>
      <c r="AM58" s="57">
        <f>SUM(G58:AK58)</f>
        <v>0</v>
      </c>
      <c r="AO58" s="2001"/>
      <c r="AP58" s="2002"/>
      <c r="AQ58" s="2001"/>
      <c r="AR58" s="2001"/>
      <c r="AS58" s="2001"/>
      <c r="AT58" s="2001"/>
      <c r="AV58" s="27"/>
      <c r="AW58" s="2"/>
      <c r="AX58" s="2"/>
      <c r="AY58" s="2"/>
      <c r="AZ58" s="2"/>
      <c r="BC58" s="511"/>
      <c r="BD58" s="511"/>
      <c r="BI58" s="141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25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127</v>
      </c>
      <c r="AO59" s="2002"/>
      <c r="AP59" s="2001"/>
      <c r="AQ59" s="2001"/>
      <c r="AR59" s="2001"/>
      <c r="AS59" s="2001"/>
      <c r="AT59" s="2001"/>
      <c r="AV59" s="27"/>
      <c r="AW59" s="2"/>
      <c r="AX59" s="2"/>
      <c r="AY59" s="2"/>
      <c r="AZ59" s="2"/>
      <c r="BA59" s="1">
        <v>40006710</v>
      </c>
      <c r="BB59" s="1" t="s">
        <v>1153</v>
      </c>
    </row>
    <row r="60" spans="1:15026" x14ac:dyDescent="0.25">
      <c r="C60" s="15"/>
      <c r="D60" s="74" t="s">
        <v>65</v>
      </c>
      <c r="E60" s="1581">
        <v>94.2</v>
      </c>
      <c r="F60" s="69" t="s">
        <v>25</v>
      </c>
      <c r="G60" s="270">
        <f t="shared" ref="G60" si="19">((G20+G19+G18)/(G9))*100</f>
        <v>95.218534603396222</v>
      </c>
      <c r="H60" s="270">
        <f t="shared" ref="H60:AK60" si="20">((H20+H19+H18)/(H9))*100</f>
        <v>95.131568248805777</v>
      </c>
      <c r="I60" s="270">
        <f t="shared" si="20"/>
        <v>94.812538183089757</v>
      </c>
      <c r="J60" s="270" t="e">
        <f t="shared" si="20"/>
        <v>#DIV/0!</v>
      </c>
      <c r="K60" s="270" t="e">
        <f t="shared" si="20"/>
        <v>#DIV/0!</v>
      </c>
      <c r="L60" s="270" t="e">
        <f t="shared" si="20"/>
        <v>#DIV/0!</v>
      </c>
      <c r="M60" s="270" t="e">
        <f t="shared" si="20"/>
        <v>#DIV/0!</v>
      </c>
      <c r="N60" s="270" t="e">
        <f t="shared" si="20"/>
        <v>#DIV/0!</v>
      </c>
      <c r="O60" s="270" t="e">
        <f t="shared" si="20"/>
        <v>#DIV/0!</v>
      </c>
      <c r="P60" s="270" t="e">
        <f t="shared" si="20"/>
        <v>#DIV/0!</v>
      </c>
      <c r="Q60" s="270" t="e">
        <f t="shared" si="20"/>
        <v>#DIV/0!</v>
      </c>
      <c r="R60" s="270" t="e">
        <f t="shared" si="20"/>
        <v>#DIV/0!</v>
      </c>
      <c r="S60" s="270" t="e">
        <f t="shared" si="20"/>
        <v>#DIV/0!</v>
      </c>
      <c r="T60" s="270" t="e">
        <f t="shared" si="20"/>
        <v>#DIV/0!</v>
      </c>
      <c r="U60" s="270" t="e">
        <f t="shared" si="20"/>
        <v>#DIV/0!</v>
      </c>
      <c r="V60" s="270">
        <f t="shared" si="20"/>
        <v>94.313823212352872</v>
      </c>
      <c r="W60" s="270">
        <f t="shared" si="20"/>
        <v>94.436488692072885</v>
      </c>
      <c r="X60" s="270">
        <f t="shared" si="20"/>
        <v>95.488048741054641</v>
      </c>
      <c r="Y60" s="270">
        <f t="shared" si="20"/>
        <v>95.133720014825727</v>
      </c>
      <c r="Z60" s="270">
        <f t="shared" si="20"/>
        <v>94.984170637331715</v>
      </c>
      <c r="AA60" s="270">
        <f t="shared" si="20"/>
        <v>95.125575081442136</v>
      </c>
      <c r="AB60" s="270">
        <f t="shared" si="20"/>
        <v>95.326983030987805</v>
      </c>
      <c r="AC60" s="270">
        <f t="shared" si="20"/>
        <v>95.613552783007904</v>
      </c>
      <c r="AD60" s="270">
        <f t="shared" si="20"/>
        <v>95.616697687350467</v>
      </c>
      <c r="AE60" s="270">
        <f t="shared" si="20"/>
        <v>95.692696527077658</v>
      </c>
      <c r="AF60" s="270">
        <f t="shared" si="20"/>
        <v>95.12240589586203</v>
      </c>
      <c r="AG60" s="270">
        <f t="shared" si="20"/>
        <v>94.955346884585794</v>
      </c>
      <c r="AH60" s="270">
        <f t="shared" si="20"/>
        <v>95.142496367375557</v>
      </c>
      <c r="AI60" s="270">
        <f t="shared" si="20"/>
        <v>94.398978581135992</v>
      </c>
      <c r="AJ60" s="270">
        <f t="shared" si="20"/>
        <v>95.215208328137109</v>
      </c>
      <c r="AK60" s="270">
        <f t="shared" si="20"/>
        <v>96.026148552773662</v>
      </c>
      <c r="AL60" s="62"/>
      <c r="AM60" s="1495">
        <f>((AM20+AM19+AM18)/(AM9))*100</f>
        <v>95.376980853514652</v>
      </c>
      <c r="AV60" s="27"/>
      <c r="AW60" s="2"/>
      <c r="AX60" s="2"/>
      <c r="AY60" s="2">
        <v>40006709</v>
      </c>
      <c r="AZ60" s="2" t="s">
        <v>1151</v>
      </c>
      <c r="BA60" s="1">
        <v>7000</v>
      </c>
      <c r="BB60" s="1" t="s">
        <v>1152</v>
      </c>
      <c r="BC60" s="511" t="s">
        <v>1154</v>
      </c>
    </row>
    <row r="61" spans="1:15026" x14ac:dyDescent="0.25">
      <c r="C61" s="15"/>
      <c r="D61" s="74" t="s">
        <v>64</v>
      </c>
      <c r="E61" s="125">
        <v>5</v>
      </c>
      <c r="F61" s="69" t="s">
        <v>25</v>
      </c>
      <c r="G61" s="270">
        <f t="shared" ref="G61" si="21">(G21/(G9))*100</f>
        <v>4.221174833003615</v>
      </c>
      <c r="H61" s="270">
        <f t="shared" ref="H61:AK61" si="22">(H21/(H9))*100</f>
        <v>4.3938916556560628</v>
      </c>
      <c r="I61" s="270">
        <f t="shared" si="22"/>
        <v>4.2493649281776715</v>
      </c>
      <c r="J61" s="270" t="e">
        <f t="shared" si="22"/>
        <v>#DIV/0!</v>
      </c>
      <c r="K61" s="270" t="e">
        <f t="shared" si="22"/>
        <v>#DIV/0!</v>
      </c>
      <c r="L61" s="270" t="e">
        <f t="shared" si="22"/>
        <v>#DIV/0!</v>
      </c>
      <c r="M61" s="270" t="e">
        <f t="shared" si="22"/>
        <v>#DIV/0!</v>
      </c>
      <c r="N61" s="270" t="e">
        <f t="shared" si="22"/>
        <v>#DIV/0!</v>
      </c>
      <c r="O61" s="270" t="e">
        <f t="shared" si="22"/>
        <v>#DIV/0!</v>
      </c>
      <c r="P61" s="270" t="e">
        <f t="shared" si="22"/>
        <v>#DIV/0!</v>
      </c>
      <c r="Q61" s="270" t="e">
        <f t="shared" si="22"/>
        <v>#DIV/0!</v>
      </c>
      <c r="R61" s="270" t="e">
        <f t="shared" si="22"/>
        <v>#DIV/0!</v>
      </c>
      <c r="S61" s="270" t="e">
        <f t="shared" si="22"/>
        <v>#DIV/0!</v>
      </c>
      <c r="T61" s="270" t="e">
        <f t="shared" si="22"/>
        <v>#DIV/0!</v>
      </c>
      <c r="U61" s="270" t="e">
        <f t="shared" si="22"/>
        <v>#DIV/0!</v>
      </c>
      <c r="V61" s="270">
        <f t="shared" si="22"/>
        <v>4.937504528259633</v>
      </c>
      <c r="W61" s="270">
        <f t="shared" si="22"/>
        <v>4.7202206408047225</v>
      </c>
      <c r="X61" s="270">
        <f t="shared" si="22"/>
        <v>4.0023740841906417</v>
      </c>
      <c r="Y61" s="270">
        <f t="shared" si="22"/>
        <v>4.3276739357701901</v>
      </c>
      <c r="Z61" s="270">
        <f t="shared" si="22"/>
        <v>4.4087706394636141</v>
      </c>
      <c r="AA61" s="270">
        <f t="shared" si="22"/>
        <v>4.421815308749081</v>
      </c>
      <c r="AB61" s="270">
        <f t="shared" si="22"/>
        <v>4.5368830163413056</v>
      </c>
      <c r="AC61" s="270">
        <f t="shared" si="22"/>
        <v>4.1029293627123025</v>
      </c>
      <c r="AD61" s="270">
        <f t="shared" si="22"/>
        <v>4.6111759466031019</v>
      </c>
      <c r="AE61" s="270">
        <f t="shared" si="22"/>
        <v>3.8081749772112117</v>
      </c>
      <c r="AF61" s="270">
        <f t="shared" si="22"/>
        <v>4.4557151543603597</v>
      </c>
      <c r="AG61" s="270">
        <f t="shared" si="22"/>
        <v>4.4705546578934889</v>
      </c>
      <c r="AH61" s="270">
        <f t="shared" si="22"/>
        <v>4.1436058846194914</v>
      </c>
      <c r="AI61" s="270">
        <f t="shared" si="22"/>
        <v>4.7072799128634939</v>
      </c>
      <c r="AJ61" s="270">
        <f t="shared" si="22"/>
        <v>4.136914860224354</v>
      </c>
      <c r="AK61" s="270">
        <f t="shared" si="22"/>
        <v>4.3634337654158228</v>
      </c>
      <c r="AL61" s="62"/>
      <c r="AM61" s="297">
        <f>(AM21/(AM9))*100</f>
        <v>4.3675299772861962</v>
      </c>
      <c r="AP61" s="3"/>
      <c r="AV61" s="27"/>
      <c r="AW61" s="2"/>
      <c r="AX61" s="2"/>
      <c r="AY61" s="2151">
        <f>40913+35000</f>
        <v>75913</v>
      </c>
      <c r="AZ61" s="2" t="s">
        <v>1152</v>
      </c>
    </row>
    <row r="62" spans="1:15026" x14ac:dyDescent="0.25">
      <c r="C62" s="15"/>
      <c r="D62" s="74" t="s">
        <v>63</v>
      </c>
      <c r="E62" s="125">
        <v>82</v>
      </c>
      <c r="F62" s="69" t="s">
        <v>25</v>
      </c>
      <c r="G62" s="270">
        <f>G33/(G33+G34)*100</f>
        <v>85.367620314139842</v>
      </c>
      <c r="H62" s="270">
        <f>H33/(H33+H34)*100</f>
        <v>74.503562475260594</v>
      </c>
      <c r="I62" s="270" t="e">
        <f t="shared" ref="I62:AK62" si="23">I33/(I33+I34)*100</f>
        <v>#DIV/0!</v>
      </c>
      <c r="J62" s="270" t="e">
        <f t="shared" si="23"/>
        <v>#DIV/0!</v>
      </c>
      <c r="K62" s="270" t="e">
        <f t="shared" si="23"/>
        <v>#DIV/0!</v>
      </c>
      <c r="L62" s="270" t="e">
        <f t="shared" si="23"/>
        <v>#DIV/0!</v>
      </c>
      <c r="M62" s="270" t="e">
        <f t="shared" si="23"/>
        <v>#DIV/0!</v>
      </c>
      <c r="N62" s="270" t="e">
        <f t="shared" si="23"/>
        <v>#DIV/0!</v>
      </c>
      <c r="O62" s="270">
        <f t="shared" si="23"/>
        <v>83.631513371427673</v>
      </c>
      <c r="P62" s="270">
        <f t="shared" si="23"/>
        <v>84.036091952503227</v>
      </c>
      <c r="Q62" s="270">
        <f t="shared" si="23"/>
        <v>81.252616898009521</v>
      </c>
      <c r="R62" s="270">
        <f t="shared" si="23"/>
        <v>82.142215436879013</v>
      </c>
      <c r="S62" s="270">
        <f t="shared" si="23"/>
        <v>82.660462376489789</v>
      </c>
      <c r="T62" s="270">
        <f t="shared" si="23"/>
        <v>82.849221365726692</v>
      </c>
      <c r="U62" s="270">
        <f t="shared" si="23"/>
        <v>83.341078567275289</v>
      </c>
      <c r="V62" s="270">
        <f t="shared" si="23"/>
        <v>83.527880164292625</v>
      </c>
      <c r="W62" s="270">
        <f t="shared" si="23"/>
        <v>81.175552399595702</v>
      </c>
      <c r="X62" s="270">
        <f t="shared" si="23"/>
        <v>81.968770163503919</v>
      </c>
      <c r="Y62" s="270">
        <f t="shared" si="23"/>
        <v>82.831868327478858</v>
      </c>
      <c r="Z62" s="270">
        <f t="shared" si="23"/>
        <v>83.068402850644546</v>
      </c>
      <c r="AA62" s="270">
        <f t="shared" si="23"/>
        <v>82.780241557997527</v>
      </c>
      <c r="AB62" s="270">
        <f t="shared" si="23"/>
        <v>83.311194753833703</v>
      </c>
      <c r="AC62" s="270">
        <f t="shared" si="23"/>
        <v>82.006501670725498</v>
      </c>
      <c r="AD62" s="270">
        <f t="shared" si="23"/>
        <v>82.75407369834484</v>
      </c>
      <c r="AE62" s="270">
        <f t="shared" si="23"/>
        <v>83.062059437429923</v>
      </c>
      <c r="AF62" s="270">
        <f t="shared" si="23"/>
        <v>84.080839362254778</v>
      </c>
      <c r="AG62" s="270" t="e">
        <f t="shared" si="23"/>
        <v>#DIV/0!</v>
      </c>
      <c r="AH62" s="270">
        <f t="shared" si="23"/>
        <v>82.070007982472532</v>
      </c>
      <c r="AI62" s="270">
        <f t="shared" si="23"/>
        <v>82.259952540805799</v>
      </c>
      <c r="AJ62" s="270">
        <f t="shared" si="23"/>
        <v>82.392267851908812</v>
      </c>
      <c r="AK62" s="270">
        <f t="shared" si="23"/>
        <v>83.115415239436345</v>
      </c>
      <c r="AL62" s="62"/>
      <c r="AM62" s="297">
        <f>AM33/(AM33+AM34)*100</f>
        <v>82.828482216195397</v>
      </c>
      <c r="AP62" s="3"/>
      <c r="AY62" s="139">
        <f>AY61-AX76</f>
        <v>58529</v>
      </c>
      <c r="BG62" s="3"/>
    </row>
    <row r="63" spans="1:15026" x14ac:dyDescent="0.25">
      <c r="C63" s="15"/>
      <c r="D63" s="74" t="s">
        <v>62</v>
      </c>
      <c r="E63" s="125">
        <v>18</v>
      </c>
      <c r="F63" s="69" t="s">
        <v>25</v>
      </c>
      <c r="G63" s="270">
        <f>(G34/G32)*100</f>
        <v>14.632379685860164</v>
      </c>
      <c r="H63" s="270">
        <f t="shared" ref="H63:AK63" si="24">(H34/H32)*100</f>
        <v>25.496437524739413</v>
      </c>
      <c r="I63" s="270" t="e">
        <f t="shared" si="24"/>
        <v>#DIV/0!</v>
      </c>
      <c r="J63" s="270" t="e">
        <f t="shared" si="24"/>
        <v>#DIV/0!</v>
      </c>
      <c r="K63" s="270" t="e">
        <f t="shared" si="24"/>
        <v>#DIV/0!</v>
      </c>
      <c r="L63" s="270" t="e">
        <f t="shared" si="24"/>
        <v>#DIV/0!</v>
      </c>
      <c r="M63" s="270" t="e">
        <f t="shared" si="24"/>
        <v>#DIV/0!</v>
      </c>
      <c r="N63" s="270" t="e">
        <f t="shared" si="24"/>
        <v>#DIV/0!</v>
      </c>
      <c r="O63" s="270">
        <f t="shared" si="24"/>
        <v>16.36848662857232</v>
      </c>
      <c r="P63" s="270">
        <f t="shared" si="24"/>
        <v>15.963908047496766</v>
      </c>
      <c r="Q63" s="270">
        <f t="shared" si="24"/>
        <v>18.747383101990476</v>
      </c>
      <c r="R63" s="270">
        <f t="shared" si="24"/>
        <v>17.85778456312099</v>
      </c>
      <c r="S63" s="270">
        <f t="shared" si="24"/>
        <v>17.3395376235102</v>
      </c>
      <c r="T63" s="270">
        <f t="shared" si="24"/>
        <v>17.150778634273305</v>
      </c>
      <c r="U63" s="270">
        <f t="shared" si="24"/>
        <v>16.658921432724711</v>
      </c>
      <c r="V63" s="270">
        <f t="shared" si="24"/>
        <v>16.472119835707375</v>
      </c>
      <c r="W63" s="270">
        <f t="shared" si="24"/>
        <v>18.824447600404305</v>
      </c>
      <c r="X63" s="270">
        <f t="shared" si="24"/>
        <v>18.031229836496074</v>
      </c>
      <c r="Y63" s="270">
        <f t="shared" si="24"/>
        <v>17.168131672521149</v>
      </c>
      <c r="Z63" s="270">
        <f t="shared" si="24"/>
        <v>16.931597149355465</v>
      </c>
      <c r="AA63" s="270">
        <f t="shared" si="24"/>
        <v>17.219758442002473</v>
      </c>
      <c r="AB63" s="270">
        <f t="shared" si="24"/>
        <v>16.6888052461663</v>
      </c>
      <c r="AC63" s="270">
        <f t="shared" si="24"/>
        <v>17.993498329274509</v>
      </c>
      <c r="AD63" s="270">
        <f t="shared" si="24"/>
        <v>17.24592630165516</v>
      </c>
      <c r="AE63" s="270">
        <f t="shared" si="24"/>
        <v>16.937940562570077</v>
      </c>
      <c r="AF63" s="270">
        <f t="shared" si="24"/>
        <v>15.919160637745227</v>
      </c>
      <c r="AG63" s="270" t="e">
        <f t="shared" si="24"/>
        <v>#DIV/0!</v>
      </c>
      <c r="AH63" s="270">
        <f t="shared" si="24"/>
        <v>17.929992017527471</v>
      </c>
      <c r="AI63" s="270">
        <f t="shared" si="24"/>
        <v>17.740047459194212</v>
      </c>
      <c r="AJ63" s="270">
        <f t="shared" si="24"/>
        <v>17.607732148091181</v>
      </c>
      <c r="AK63" s="270">
        <f t="shared" si="24"/>
        <v>16.884584760563666</v>
      </c>
      <c r="AL63" s="62"/>
      <c r="AM63" s="1495">
        <f>AM34/(AM33+AM34)*100</f>
        <v>17.171517783804596</v>
      </c>
      <c r="AP63" s="3"/>
    </row>
    <row r="64" spans="1:15026" ht="15" hidden="1" customHeight="1" x14ac:dyDescent="0.25">
      <c r="C64" s="15"/>
      <c r="D64" s="74" t="s">
        <v>105</v>
      </c>
      <c r="E64" s="125">
        <v>75</v>
      </c>
      <c r="F64" s="79"/>
      <c r="G64" s="270" t="e">
        <f>(G37/G36)*100</f>
        <v>#DIV/0!</v>
      </c>
      <c r="H64" s="270" t="e">
        <f t="shared" ref="H64:AK64" si="25">(H37/H36)*100</f>
        <v>#DIV/0!</v>
      </c>
      <c r="I64" s="270" t="e">
        <f t="shared" si="25"/>
        <v>#DIV/0!</v>
      </c>
      <c r="J64" s="270" t="e">
        <f t="shared" si="25"/>
        <v>#DIV/0!</v>
      </c>
      <c r="K64" s="270" t="e">
        <f t="shared" si="25"/>
        <v>#DIV/0!</v>
      </c>
      <c r="L64" s="270" t="e">
        <f t="shared" si="25"/>
        <v>#DIV/0!</v>
      </c>
      <c r="M64" s="270" t="e">
        <f t="shared" si="25"/>
        <v>#DIV/0!</v>
      </c>
      <c r="N64" s="270" t="e">
        <f t="shared" si="25"/>
        <v>#DIV/0!</v>
      </c>
      <c r="O64" s="270" t="e">
        <f t="shared" si="25"/>
        <v>#DIV/0!</v>
      </c>
      <c r="P64" s="270" t="e">
        <f t="shared" si="25"/>
        <v>#DIV/0!</v>
      </c>
      <c r="Q64" s="270" t="e">
        <f t="shared" si="25"/>
        <v>#DIV/0!</v>
      </c>
      <c r="R64" s="270" t="e">
        <f t="shared" si="25"/>
        <v>#DIV/0!</v>
      </c>
      <c r="S64" s="270" t="e">
        <f t="shared" si="25"/>
        <v>#DIV/0!</v>
      </c>
      <c r="T64" s="270" t="e">
        <f t="shared" si="25"/>
        <v>#DIV/0!</v>
      </c>
      <c r="U64" s="270" t="e">
        <f t="shared" si="25"/>
        <v>#DIV/0!</v>
      </c>
      <c r="V64" s="270" t="e">
        <f t="shared" si="25"/>
        <v>#DIV/0!</v>
      </c>
      <c r="W64" s="270" t="e">
        <f t="shared" si="25"/>
        <v>#DIV/0!</v>
      </c>
      <c r="X64" s="270" t="e">
        <f t="shared" si="25"/>
        <v>#DIV/0!</v>
      </c>
      <c r="Y64" s="270" t="e">
        <f t="shared" si="25"/>
        <v>#DIV/0!</v>
      </c>
      <c r="Z64" s="270" t="e">
        <f t="shared" si="25"/>
        <v>#DIV/0!</v>
      </c>
      <c r="AA64" s="270" t="e">
        <f t="shared" si="25"/>
        <v>#DIV/0!</v>
      </c>
      <c r="AB64" s="270" t="e">
        <f t="shared" si="25"/>
        <v>#DIV/0!</v>
      </c>
      <c r="AC64" s="270" t="e">
        <f t="shared" si="25"/>
        <v>#DIV/0!</v>
      </c>
      <c r="AD64" s="270" t="e">
        <f t="shared" si="25"/>
        <v>#DIV/0!</v>
      </c>
      <c r="AE64" s="270" t="e">
        <f t="shared" si="25"/>
        <v>#DIV/0!</v>
      </c>
      <c r="AF64" s="270" t="e">
        <f t="shared" si="25"/>
        <v>#DIV/0!</v>
      </c>
      <c r="AG64" s="270" t="e">
        <f t="shared" si="25"/>
        <v>#DIV/0!</v>
      </c>
      <c r="AH64" s="270" t="e">
        <f t="shared" si="25"/>
        <v>#DIV/0!</v>
      </c>
      <c r="AI64" s="270" t="e">
        <f t="shared" si="25"/>
        <v>#DIV/0!</v>
      </c>
      <c r="AJ64" s="270" t="e">
        <f t="shared" si="25"/>
        <v>#DIV/0!</v>
      </c>
      <c r="AK64" s="270" t="e">
        <f t="shared" si="25"/>
        <v>#DIV/0!</v>
      </c>
      <c r="AL64" s="62"/>
      <c r="AM64" s="297" t="e">
        <f>(AM42/AM41)*100</f>
        <v>#DIV/0!</v>
      </c>
    </row>
    <row r="65" spans="3:58" ht="15" hidden="1" customHeight="1" x14ac:dyDescent="0.25">
      <c r="C65" s="15"/>
      <c r="D65" s="74" t="s">
        <v>62</v>
      </c>
      <c r="E65" s="125">
        <v>25</v>
      </c>
      <c r="F65" s="79"/>
      <c r="G65" s="270" t="e">
        <f>(G38/G36)*100</f>
        <v>#DIV/0!</v>
      </c>
      <c r="H65" s="270" t="e">
        <f t="shared" ref="H65:AK65" si="26">(H38/H36)*100</f>
        <v>#DIV/0!</v>
      </c>
      <c r="I65" s="270" t="e">
        <f t="shared" si="26"/>
        <v>#DIV/0!</v>
      </c>
      <c r="J65" s="270" t="e">
        <f t="shared" si="26"/>
        <v>#DIV/0!</v>
      </c>
      <c r="K65" s="270" t="e">
        <f t="shared" si="26"/>
        <v>#DIV/0!</v>
      </c>
      <c r="L65" s="270" t="e">
        <f t="shared" si="26"/>
        <v>#DIV/0!</v>
      </c>
      <c r="M65" s="270" t="e">
        <f t="shared" si="26"/>
        <v>#DIV/0!</v>
      </c>
      <c r="N65" s="270" t="e">
        <f t="shared" si="26"/>
        <v>#DIV/0!</v>
      </c>
      <c r="O65" s="270" t="e">
        <f t="shared" si="26"/>
        <v>#DIV/0!</v>
      </c>
      <c r="P65" s="270" t="e">
        <f t="shared" si="26"/>
        <v>#DIV/0!</v>
      </c>
      <c r="Q65" s="270" t="e">
        <f t="shared" si="26"/>
        <v>#DIV/0!</v>
      </c>
      <c r="R65" s="270" t="e">
        <f t="shared" si="26"/>
        <v>#DIV/0!</v>
      </c>
      <c r="S65" s="270" t="e">
        <f t="shared" si="26"/>
        <v>#DIV/0!</v>
      </c>
      <c r="T65" s="270" t="e">
        <f t="shared" si="26"/>
        <v>#DIV/0!</v>
      </c>
      <c r="U65" s="270" t="e">
        <f t="shared" si="26"/>
        <v>#DIV/0!</v>
      </c>
      <c r="V65" s="270" t="e">
        <f t="shared" si="26"/>
        <v>#DIV/0!</v>
      </c>
      <c r="W65" s="270" t="e">
        <f t="shared" si="26"/>
        <v>#DIV/0!</v>
      </c>
      <c r="X65" s="270" t="e">
        <f t="shared" si="26"/>
        <v>#DIV/0!</v>
      </c>
      <c r="Y65" s="270" t="e">
        <f t="shared" si="26"/>
        <v>#DIV/0!</v>
      </c>
      <c r="Z65" s="270" t="e">
        <f t="shared" si="26"/>
        <v>#DIV/0!</v>
      </c>
      <c r="AA65" s="270" t="e">
        <f t="shared" si="26"/>
        <v>#DIV/0!</v>
      </c>
      <c r="AB65" s="270" t="e">
        <f t="shared" si="26"/>
        <v>#DIV/0!</v>
      </c>
      <c r="AC65" s="270" t="e">
        <f t="shared" si="26"/>
        <v>#DIV/0!</v>
      </c>
      <c r="AD65" s="270" t="e">
        <f t="shared" si="26"/>
        <v>#DIV/0!</v>
      </c>
      <c r="AE65" s="270" t="e">
        <f t="shared" si="26"/>
        <v>#DIV/0!</v>
      </c>
      <c r="AF65" s="270" t="e">
        <f t="shared" si="26"/>
        <v>#DIV/0!</v>
      </c>
      <c r="AG65" s="270" t="e">
        <f t="shared" si="26"/>
        <v>#DIV/0!</v>
      </c>
      <c r="AH65" s="270" t="e">
        <f t="shared" si="26"/>
        <v>#DIV/0!</v>
      </c>
      <c r="AI65" s="270" t="e">
        <f t="shared" si="26"/>
        <v>#DIV/0!</v>
      </c>
      <c r="AJ65" s="270" t="e">
        <f t="shared" si="26"/>
        <v>#DIV/0!</v>
      </c>
      <c r="AK65" s="270" t="e">
        <f t="shared" si="26"/>
        <v>#DIV/0!</v>
      </c>
      <c r="AL65" s="62"/>
      <c r="AM65" s="297" t="e">
        <f>(AM43/AM41)*100</f>
        <v>#DIV/0!</v>
      </c>
    </row>
    <row r="66" spans="3:58" ht="15" hidden="1" customHeight="1" x14ac:dyDescent="0.25">
      <c r="C66" s="15"/>
      <c r="D66" s="74" t="s">
        <v>107</v>
      </c>
      <c r="E66" s="125">
        <v>75</v>
      </c>
      <c r="F66" s="69" t="s">
        <v>25</v>
      </c>
      <c r="G66" s="270" t="e">
        <f>G42/G41*100</f>
        <v>#DIV/0!</v>
      </c>
      <c r="H66" s="270" t="e">
        <f t="shared" ref="H66:AK66" si="27">H42/H41*100</f>
        <v>#DIV/0!</v>
      </c>
      <c r="I66" s="270" t="e">
        <f t="shared" si="27"/>
        <v>#DIV/0!</v>
      </c>
      <c r="J66" s="270" t="e">
        <f t="shared" si="27"/>
        <v>#DIV/0!</v>
      </c>
      <c r="K66" s="270" t="e">
        <f t="shared" si="27"/>
        <v>#DIV/0!</v>
      </c>
      <c r="L66" s="270" t="e">
        <f t="shared" si="27"/>
        <v>#DIV/0!</v>
      </c>
      <c r="M66" s="270" t="e">
        <f t="shared" si="27"/>
        <v>#DIV/0!</v>
      </c>
      <c r="N66" s="270" t="e">
        <f t="shared" si="27"/>
        <v>#DIV/0!</v>
      </c>
      <c r="O66" s="270" t="e">
        <f t="shared" si="27"/>
        <v>#DIV/0!</v>
      </c>
      <c r="P66" s="270" t="e">
        <f t="shared" si="27"/>
        <v>#DIV/0!</v>
      </c>
      <c r="Q66" s="270" t="e">
        <f t="shared" si="27"/>
        <v>#DIV/0!</v>
      </c>
      <c r="R66" s="270" t="e">
        <f t="shared" si="27"/>
        <v>#DIV/0!</v>
      </c>
      <c r="S66" s="270" t="e">
        <f t="shared" si="27"/>
        <v>#DIV/0!</v>
      </c>
      <c r="T66" s="270" t="e">
        <f t="shared" si="27"/>
        <v>#DIV/0!</v>
      </c>
      <c r="U66" s="270" t="e">
        <f t="shared" si="27"/>
        <v>#DIV/0!</v>
      </c>
      <c r="V66" s="270" t="e">
        <f t="shared" si="27"/>
        <v>#DIV/0!</v>
      </c>
      <c r="W66" s="270" t="e">
        <f t="shared" si="27"/>
        <v>#DIV/0!</v>
      </c>
      <c r="X66" s="270" t="e">
        <f t="shared" si="27"/>
        <v>#DIV/0!</v>
      </c>
      <c r="Y66" s="270" t="e">
        <f t="shared" si="27"/>
        <v>#DIV/0!</v>
      </c>
      <c r="Z66" s="270" t="e">
        <f t="shared" si="27"/>
        <v>#DIV/0!</v>
      </c>
      <c r="AA66" s="270" t="e">
        <f t="shared" si="27"/>
        <v>#DIV/0!</v>
      </c>
      <c r="AB66" s="270" t="e">
        <f t="shared" si="27"/>
        <v>#DIV/0!</v>
      </c>
      <c r="AC66" s="270" t="e">
        <f t="shared" si="27"/>
        <v>#DIV/0!</v>
      </c>
      <c r="AD66" s="270" t="e">
        <f t="shared" si="27"/>
        <v>#DIV/0!</v>
      </c>
      <c r="AE66" s="270" t="e">
        <f t="shared" si="27"/>
        <v>#DIV/0!</v>
      </c>
      <c r="AF66" s="270" t="e">
        <f t="shared" si="27"/>
        <v>#DIV/0!</v>
      </c>
      <c r="AG66" s="270" t="e">
        <f t="shared" si="27"/>
        <v>#DIV/0!</v>
      </c>
      <c r="AH66" s="270" t="e">
        <f t="shared" si="27"/>
        <v>#DIV/0!</v>
      </c>
      <c r="AI66" s="270" t="e">
        <f t="shared" si="27"/>
        <v>#DIV/0!</v>
      </c>
      <c r="AJ66" s="270" t="e">
        <f t="shared" si="27"/>
        <v>#DIV/0!</v>
      </c>
      <c r="AK66" s="270" t="e">
        <f t="shared" si="27"/>
        <v>#DIV/0!</v>
      </c>
      <c r="AL66" s="62"/>
      <c r="AM66" s="297" t="e">
        <f>AM42/AM41*100</f>
        <v>#DIV/0!</v>
      </c>
    </row>
    <row r="67" spans="3:58" ht="15" hidden="1" customHeight="1" x14ac:dyDescent="0.25">
      <c r="C67" s="15"/>
      <c r="D67" s="74" t="s">
        <v>62</v>
      </c>
      <c r="E67" s="125">
        <v>25</v>
      </c>
      <c r="F67" s="69" t="s">
        <v>25</v>
      </c>
      <c r="G67" s="270" t="e">
        <f>G43/G41*100</f>
        <v>#DIV/0!</v>
      </c>
      <c r="H67" s="270" t="e">
        <f t="shared" ref="H67:AK67" si="28">H43/H41*100</f>
        <v>#DIV/0!</v>
      </c>
      <c r="I67" s="270" t="e">
        <f t="shared" si="28"/>
        <v>#DIV/0!</v>
      </c>
      <c r="J67" s="270" t="e">
        <f t="shared" si="28"/>
        <v>#DIV/0!</v>
      </c>
      <c r="K67" s="270" t="e">
        <f t="shared" si="28"/>
        <v>#DIV/0!</v>
      </c>
      <c r="L67" s="270" t="e">
        <f t="shared" si="28"/>
        <v>#DIV/0!</v>
      </c>
      <c r="M67" s="270" t="e">
        <f t="shared" si="28"/>
        <v>#DIV/0!</v>
      </c>
      <c r="N67" s="270" t="e">
        <f t="shared" si="28"/>
        <v>#DIV/0!</v>
      </c>
      <c r="O67" s="270" t="e">
        <f t="shared" si="28"/>
        <v>#DIV/0!</v>
      </c>
      <c r="P67" s="270" t="e">
        <f t="shared" si="28"/>
        <v>#DIV/0!</v>
      </c>
      <c r="Q67" s="270" t="e">
        <f t="shared" si="28"/>
        <v>#DIV/0!</v>
      </c>
      <c r="R67" s="270" t="e">
        <f t="shared" si="28"/>
        <v>#DIV/0!</v>
      </c>
      <c r="S67" s="270" t="e">
        <f t="shared" si="28"/>
        <v>#DIV/0!</v>
      </c>
      <c r="T67" s="270" t="e">
        <f t="shared" si="28"/>
        <v>#DIV/0!</v>
      </c>
      <c r="U67" s="270" t="e">
        <f t="shared" si="28"/>
        <v>#DIV/0!</v>
      </c>
      <c r="V67" s="270" t="e">
        <f t="shared" si="28"/>
        <v>#DIV/0!</v>
      </c>
      <c r="W67" s="270" t="e">
        <f t="shared" si="28"/>
        <v>#DIV/0!</v>
      </c>
      <c r="X67" s="270" t="e">
        <f t="shared" si="28"/>
        <v>#DIV/0!</v>
      </c>
      <c r="Y67" s="270" t="e">
        <f t="shared" si="28"/>
        <v>#DIV/0!</v>
      </c>
      <c r="Z67" s="270" t="e">
        <f t="shared" si="28"/>
        <v>#DIV/0!</v>
      </c>
      <c r="AA67" s="270" t="e">
        <f t="shared" si="28"/>
        <v>#DIV/0!</v>
      </c>
      <c r="AB67" s="270" t="e">
        <f t="shared" si="28"/>
        <v>#DIV/0!</v>
      </c>
      <c r="AC67" s="270" t="e">
        <f t="shared" si="28"/>
        <v>#DIV/0!</v>
      </c>
      <c r="AD67" s="270" t="e">
        <f t="shared" si="28"/>
        <v>#DIV/0!</v>
      </c>
      <c r="AE67" s="270" t="e">
        <f t="shared" si="28"/>
        <v>#DIV/0!</v>
      </c>
      <c r="AF67" s="270" t="e">
        <f t="shared" si="28"/>
        <v>#DIV/0!</v>
      </c>
      <c r="AG67" s="270" t="e">
        <f t="shared" si="28"/>
        <v>#DIV/0!</v>
      </c>
      <c r="AH67" s="270" t="e">
        <f t="shared" si="28"/>
        <v>#DIV/0!</v>
      </c>
      <c r="AI67" s="270" t="e">
        <f t="shared" si="28"/>
        <v>#DIV/0!</v>
      </c>
      <c r="AJ67" s="270" t="e">
        <f t="shared" si="28"/>
        <v>#DIV/0!</v>
      </c>
      <c r="AK67" s="270" t="e">
        <f t="shared" si="28"/>
        <v>#DIV/0!</v>
      </c>
      <c r="AL67" s="18"/>
      <c r="AM67" s="297" t="e">
        <f>AM43/AM41*100</f>
        <v>#DIV/0!</v>
      </c>
    </row>
    <row r="68" spans="3:58" x14ac:dyDescent="0.25">
      <c r="C68" s="15"/>
      <c r="D68" s="74" t="s">
        <v>110</v>
      </c>
      <c r="E68" s="125">
        <v>70</v>
      </c>
      <c r="F68" s="69" t="s">
        <v>25</v>
      </c>
      <c r="G68" s="270" t="e">
        <f>G46/(G46+G47)*100</f>
        <v>#DIV/0!</v>
      </c>
      <c r="H68" s="270">
        <f t="shared" ref="H68:AK68" si="29">H46/(H46+H47)*100</f>
        <v>76.196104589641251</v>
      </c>
      <c r="I68" s="270">
        <f t="shared" si="29"/>
        <v>75.997900164026561</v>
      </c>
      <c r="J68" s="270">
        <f t="shared" si="29"/>
        <v>74.492399073537342</v>
      </c>
      <c r="K68" s="270" t="e">
        <f t="shared" si="29"/>
        <v>#DIV/0!</v>
      </c>
      <c r="L68" s="270" t="e">
        <f t="shared" si="29"/>
        <v>#DIV/0!</v>
      </c>
      <c r="M68" s="270">
        <f t="shared" si="29"/>
        <v>85.088857423282832</v>
      </c>
      <c r="N68" s="270">
        <f t="shared" si="29"/>
        <v>76.332479559450221</v>
      </c>
      <c r="O68" s="270">
        <f t="shared" si="29"/>
        <v>71.564154925744418</v>
      </c>
      <c r="P68" s="270" t="e">
        <f t="shared" si="29"/>
        <v>#DIV/0!</v>
      </c>
      <c r="Q68" s="270" t="e">
        <f t="shared" si="29"/>
        <v>#DIV/0!</v>
      </c>
      <c r="R68" s="270" t="e">
        <f t="shared" si="29"/>
        <v>#DIV/0!</v>
      </c>
      <c r="S68" s="270" t="e">
        <f t="shared" si="29"/>
        <v>#DIV/0!</v>
      </c>
      <c r="T68" s="270" t="e">
        <f t="shared" si="29"/>
        <v>#DIV/0!</v>
      </c>
      <c r="U68" s="270" t="e">
        <f t="shared" si="29"/>
        <v>#DIV/0!</v>
      </c>
      <c r="V68" s="270" t="e">
        <f t="shared" si="29"/>
        <v>#DIV/0!</v>
      </c>
      <c r="W68" s="270" t="e">
        <f t="shared" si="29"/>
        <v>#DIV/0!</v>
      </c>
      <c r="X68" s="270">
        <f t="shared" si="29"/>
        <v>72.27102801382415</v>
      </c>
      <c r="Y68" s="270">
        <f t="shared" si="29"/>
        <v>70.22811941312186</v>
      </c>
      <c r="Z68" s="270" t="e">
        <f t="shared" si="29"/>
        <v>#DIV/0!</v>
      </c>
      <c r="AA68" s="270" t="e">
        <f t="shared" si="29"/>
        <v>#DIV/0!</v>
      </c>
      <c r="AB68" s="270" t="e">
        <f t="shared" si="29"/>
        <v>#DIV/0!</v>
      </c>
      <c r="AC68" s="270" t="e">
        <f t="shared" si="29"/>
        <v>#DIV/0!</v>
      </c>
      <c r="AD68" s="270" t="e">
        <f t="shared" si="29"/>
        <v>#DIV/0!</v>
      </c>
      <c r="AE68" s="270">
        <f t="shared" si="29"/>
        <v>77.277037706028452</v>
      </c>
      <c r="AF68" s="270">
        <f t="shared" si="29"/>
        <v>74.853487912354211</v>
      </c>
      <c r="AG68" s="270">
        <f t="shared" si="29"/>
        <v>76.272197834784421</v>
      </c>
      <c r="AH68" s="270">
        <f t="shared" si="29"/>
        <v>75.724052942971994</v>
      </c>
      <c r="AI68" s="270" t="e">
        <f t="shared" si="29"/>
        <v>#DIV/0!</v>
      </c>
      <c r="AJ68" s="270" t="e">
        <f t="shared" si="29"/>
        <v>#DIV/0!</v>
      </c>
      <c r="AK68" s="270" t="e">
        <f t="shared" si="29"/>
        <v>#DIV/0!</v>
      </c>
      <c r="AL68" s="18"/>
      <c r="AM68" s="1495">
        <f>AM46/(AM46+AM47)*100</f>
        <v>75.866495879241143</v>
      </c>
      <c r="AW68" s="3"/>
    </row>
    <row r="69" spans="3:58" x14ac:dyDescent="0.25">
      <c r="C69" s="15"/>
      <c r="D69" s="74" t="s">
        <v>62</v>
      </c>
      <c r="E69" s="125">
        <v>30</v>
      </c>
      <c r="F69" s="69" t="s">
        <v>25</v>
      </c>
      <c r="G69" s="270" t="e">
        <f>G47/(G47+G46)*100</f>
        <v>#DIV/0!</v>
      </c>
      <c r="H69" s="270">
        <f t="shared" ref="H69:AK69" si="30">H47/(H47+H46)*100</f>
        <v>23.803895410358745</v>
      </c>
      <c r="I69" s="270">
        <f t="shared" si="30"/>
        <v>24.002099835973446</v>
      </c>
      <c r="J69" s="270">
        <f t="shared" si="30"/>
        <v>25.507600926462665</v>
      </c>
      <c r="K69" s="270" t="e">
        <f t="shared" si="30"/>
        <v>#DIV/0!</v>
      </c>
      <c r="L69" s="270" t="e">
        <f t="shared" si="30"/>
        <v>#DIV/0!</v>
      </c>
      <c r="M69" s="270">
        <f t="shared" si="30"/>
        <v>14.911142576717163</v>
      </c>
      <c r="N69" s="270">
        <f t="shared" si="30"/>
        <v>23.667520440549776</v>
      </c>
      <c r="O69" s="270">
        <f t="shared" si="30"/>
        <v>28.435845074255578</v>
      </c>
      <c r="P69" s="270" t="e">
        <f t="shared" si="30"/>
        <v>#DIV/0!</v>
      </c>
      <c r="Q69" s="270" t="e">
        <f t="shared" si="30"/>
        <v>#DIV/0!</v>
      </c>
      <c r="R69" s="270" t="e">
        <f t="shared" si="30"/>
        <v>#DIV/0!</v>
      </c>
      <c r="S69" s="270" t="e">
        <f t="shared" si="30"/>
        <v>#DIV/0!</v>
      </c>
      <c r="T69" s="270" t="e">
        <f t="shared" si="30"/>
        <v>#DIV/0!</v>
      </c>
      <c r="U69" s="270" t="e">
        <f t="shared" si="30"/>
        <v>#DIV/0!</v>
      </c>
      <c r="V69" s="270" t="e">
        <f t="shared" si="30"/>
        <v>#DIV/0!</v>
      </c>
      <c r="W69" s="270" t="e">
        <f t="shared" si="30"/>
        <v>#DIV/0!</v>
      </c>
      <c r="X69" s="270">
        <f t="shared" si="30"/>
        <v>27.72897198617585</v>
      </c>
      <c r="Y69" s="270">
        <f t="shared" si="30"/>
        <v>29.77188058687814</v>
      </c>
      <c r="Z69" s="270" t="e">
        <f t="shared" si="30"/>
        <v>#DIV/0!</v>
      </c>
      <c r="AA69" s="270" t="e">
        <f t="shared" si="30"/>
        <v>#DIV/0!</v>
      </c>
      <c r="AB69" s="270" t="e">
        <f t="shared" si="30"/>
        <v>#DIV/0!</v>
      </c>
      <c r="AC69" s="270" t="e">
        <f t="shared" si="30"/>
        <v>#DIV/0!</v>
      </c>
      <c r="AD69" s="270" t="e">
        <f t="shared" si="30"/>
        <v>#DIV/0!</v>
      </c>
      <c r="AE69" s="270">
        <f t="shared" si="30"/>
        <v>22.722962293971552</v>
      </c>
      <c r="AF69" s="270">
        <f t="shared" si="30"/>
        <v>25.146512087645796</v>
      </c>
      <c r="AG69" s="270">
        <f t="shared" si="30"/>
        <v>23.727802165215572</v>
      </c>
      <c r="AH69" s="270">
        <f t="shared" si="30"/>
        <v>24.275947057027995</v>
      </c>
      <c r="AI69" s="270" t="e">
        <f t="shared" si="30"/>
        <v>#DIV/0!</v>
      </c>
      <c r="AJ69" s="270" t="e">
        <f t="shared" si="30"/>
        <v>#DIV/0!</v>
      </c>
      <c r="AK69" s="270" t="e">
        <f t="shared" si="30"/>
        <v>#DIV/0!</v>
      </c>
      <c r="AL69" s="18"/>
      <c r="AM69" s="297">
        <f>AM47/AM45*100</f>
        <v>24.133504120758847</v>
      </c>
    </row>
    <row r="70" spans="3:58" hidden="1" x14ac:dyDescent="0.25">
      <c r="C70" s="15"/>
      <c r="D70" s="74" t="s">
        <v>835</v>
      </c>
      <c r="E70" s="125">
        <v>70</v>
      </c>
      <c r="F70" s="69" t="s">
        <v>25</v>
      </c>
      <c r="G70" s="270" t="e">
        <f>G51/(G51+G52)*100</f>
        <v>#DIV/0!</v>
      </c>
      <c r="H70" s="270" t="e">
        <f>H51/(H51+H52)*100</f>
        <v>#DIV/0!</v>
      </c>
      <c r="I70" s="270" t="e">
        <f>I51/(I51+I52)*100</f>
        <v>#DIV/0!</v>
      </c>
      <c r="J70" s="270" t="e">
        <f>J51/(J51+J52)*100</f>
        <v>#DIV/0!</v>
      </c>
      <c r="K70" s="270" t="e">
        <f>K51/(K51+K52)*100</f>
        <v>#DIV/0!</v>
      </c>
      <c r="L70" s="270"/>
      <c r="M70" s="270" t="e">
        <v>#DIV/0!</v>
      </c>
      <c r="N70" s="270"/>
      <c r="O70" s="270"/>
      <c r="P70" s="270"/>
      <c r="Q70" s="270"/>
      <c r="R70" s="270" t="e">
        <f t="shared" ref="R70" si="31">R51/(R51+R52)*100</f>
        <v>#DIV/0!</v>
      </c>
      <c r="S70" s="270" t="e">
        <f t="shared" ref="S70:AI70" si="32">S51/(S51+S52)*100</f>
        <v>#DIV/0!</v>
      </c>
      <c r="T70" s="270" t="e">
        <f>T51/(T51+T52)*100</f>
        <v>#DIV/0!</v>
      </c>
      <c r="U70" s="270" t="e">
        <f t="shared" si="32"/>
        <v>#DIV/0!</v>
      </c>
      <c r="V70" s="270" t="e">
        <f t="shared" si="32"/>
        <v>#DIV/0!</v>
      </c>
      <c r="W70" s="270" t="e">
        <v>#DIV/0!</v>
      </c>
      <c r="X70" s="270" t="e">
        <f t="shared" si="32"/>
        <v>#DIV/0!</v>
      </c>
      <c r="Y70" s="270" t="e">
        <f t="shared" si="32"/>
        <v>#DIV/0!</v>
      </c>
      <c r="Z70" s="270" t="e">
        <f t="shared" si="32"/>
        <v>#DIV/0!</v>
      </c>
      <c r="AA70" s="270" t="e">
        <f t="shared" si="32"/>
        <v>#DIV/0!</v>
      </c>
      <c r="AB70" s="270" t="e">
        <f t="shared" si="32"/>
        <v>#DIV/0!</v>
      </c>
      <c r="AC70" s="270" t="e">
        <f t="shared" si="32"/>
        <v>#DIV/0!</v>
      </c>
      <c r="AD70" s="270" t="e">
        <f t="shared" si="32"/>
        <v>#DIV/0!</v>
      </c>
      <c r="AE70" s="270" t="e">
        <f t="shared" si="32"/>
        <v>#DIV/0!</v>
      </c>
      <c r="AF70" s="270" t="e">
        <f t="shared" si="32"/>
        <v>#DIV/0!</v>
      </c>
      <c r="AG70" s="270" t="e">
        <f t="shared" si="32"/>
        <v>#DIV/0!</v>
      </c>
      <c r="AH70" s="270" t="e">
        <f t="shared" si="32"/>
        <v>#DIV/0!</v>
      </c>
      <c r="AI70" s="270" t="e">
        <f t="shared" si="32"/>
        <v>#DIV/0!</v>
      </c>
      <c r="AJ70" s="270" t="e">
        <f t="shared" ref="AJ70:AK70" si="33">AJ51/(AJ51+AJ52)*100</f>
        <v>#DIV/0!</v>
      </c>
      <c r="AK70" s="270" t="e">
        <f t="shared" si="33"/>
        <v>#DIV/0!</v>
      </c>
      <c r="AL70" s="18"/>
      <c r="AM70" s="1495" t="e">
        <f>AM51/(AM51+AM52)*100</f>
        <v>#DIV/0!</v>
      </c>
    </row>
    <row r="71" spans="3:58" hidden="1" x14ac:dyDescent="0.25">
      <c r="C71" s="15"/>
      <c r="D71" s="74" t="s">
        <v>62</v>
      </c>
      <c r="E71" s="125">
        <v>30</v>
      </c>
      <c r="F71" s="69" t="s">
        <v>25</v>
      </c>
      <c r="G71" s="270" t="e">
        <f>G52/(G51+G52)*100</f>
        <v>#DIV/0!</v>
      </c>
      <c r="H71" s="270" t="e">
        <f>H52/(H51+H52)*100</f>
        <v>#DIV/0!</v>
      </c>
      <c r="I71" s="270" t="e">
        <f>I52/(I51+I52)*100</f>
        <v>#DIV/0!</v>
      </c>
      <c r="J71" s="270" t="e">
        <f>J52/(J51+J52)*100</f>
        <v>#DIV/0!</v>
      </c>
      <c r="K71" s="270" t="e">
        <f>K52/(K51+K52)*100</f>
        <v>#DIV/0!</v>
      </c>
      <c r="L71" s="270"/>
      <c r="M71" s="270" t="e">
        <v>#DIV/0!</v>
      </c>
      <c r="N71" s="270"/>
      <c r="O71" s="270"/>
      <c r="P71" s="270"/>
      <c r="Q71" s="270"/>
      <c r="R71" s="270" t="e">
        <f t="shared" ref="R71" si="34">R52/(R51+R52)*100</f>
        <v>#DIV/0!</v>
      </c>
      <c r="S71" s="270" t="e">
        <f t="shared" ref="S71:AI71" si="35">S52/(S51+S52)*100</f>
        <v>#DIV/0!</v>
      </c>
      <c r="T71" s="270" t="e">
        <f>T52/(T51+T52)*100</f>
        <v>#DIV/0!</v>
      </c>
      <c r="U71" s="270" t="e">
        <f t="shared" si="35"/>
        <v>#DIV/0!</v>
      </c>
      <c r="V71" s="270" t="e">
        <f t="shared" si="35"/>
        <v>#DIV/0!</v>
      </c>
      <c r="W71" s="270" t="e">
        <v>#DIV/0!</v>
      </c>
      <c r="X71" s="270" t="e">
        <f t="shared" si="35"/>
        <v>#DIV/0!</v>
      </c>
      <c r="Y71" s="270" t="e">
        <f t="shared" si="35"/>
        <v>#DIV/0!</v>
      </c>
      <c r="Z71" s="270" t="e">
        <f t="shared" si="35"/>
        <v>#DIV/0!</v>
      </c>
      <c r="AA71" s="270" t="e">
        <f t="shared" si="35"/>
        <v>#DIV/0!</v>
      </c>
      <c r="AB71" s="270" t="e">
        <f t="shared" si="35"/>
        <v>#DIV/0!</v>
      </c>
      <c r="AC71" s="270" t="e">
        <f t="shared" si="35"/>
        <v>#DIV/0!</v>
      </c>
      <c r="AD71" s="270" t="e">
        <f t="shared" si="35"/>
        <v>#DIV/0!</v>
      </c>
      <c r="AE71" s="270" t="e">
        <f t="shared" si="35"/>
        <v>#DIV/0!</v>
      </c>
      <c r="AF71" s="270" t="e">
        <f t="shared" si="35"/>
        <v>#DIV/0!</v>
      </c>
      <c r="AG71" s="270" t="e">
        <f t="shared" si="35"/>
        <v>#DIV/0!</v>
      </c>
      <c r="AH71" s="270" t="e">
        <f t="shared" si="35"/>
        <v>#DIV/0!</v>
      </c>
      <c r="AI71" s="270" t="e">
        <f t="shared" si="35"/>
        <v>#DIV/0!</v>
      </c>
      <c r="AJ71" s="270" t="e">
        <f t="shared" ref="AJ71:AK71" si="36">AJ52/(AJ51+AJ52)*100</f>
        <v>#DIV/0!</v>
      </c>
      <c r="AK71" s="270" t="e">
        <f t="shared" si="36"/>
        <v>#DIV/0!</v>
      </c>
      <c r="AL71" s="18"/>
      <c r="AM71" s="1495" t="e">
        <f>AM52/(AM51+AM52)*100</f>
        <v>#DIV/0!</v>
      </c>
    </row>
    <row r="72" spans="3:58" hidden="1" x14ac:dyDescent="0.25">
      <c r="C72" s="15"/>
      <c r="D72" s="74" t="s">
        <v>61</v>
      </c>
      <c r="E72" s="125">
        <v>60</v>
      </c>
      <c r="F72" s="69" t="s">
        <v>25</v>
      </c>
      <c r="G72" s="270" t="e">
        <f>G56/(G56+G57)*100</f>
        <v>#DIV/0!</v>
      </c>
      <c r="H72" s="270" t="e">
        <f t="shared" ref="H72:R72" si="37">H56/(H56+H57)*100</f>
        <v>#DIV/0!</v>
      </c>
      <c r="I72" s="270" t="e">
        <f t="shared" si="37"/>
        <v>#DIV/0!</v>
      </c>
      <c r="J72" s="270" t="e">
        <f t="shared" si="37"/>
        <v>#DIV/0!</v>
      </c>
      <c r="K72" s="270" t="e">
        <f>K56/(K56+K57)*100</f>
        <v>#DIV/0!</v>
      </c>
      <c r="L72" s="270"/>
      <c r="M72" s="270" t="e">
        <v>#DIV/0!</v>
      </c>
      <c r="N72" s="270"/>
      <c r="O72" s="270"/>
      <c r="P72" s="270"/>
      <c r="Q72" s="270"/>
      <c r="R72" s="270" t="e">
        <f t="shared" si="37"/>
        <v>#DIV/0!</v>
      </c>
      <c r="S72" s="270" t="e">
        <f t="shared" ref="S72:AI72" si="38">S56/(S56+S57)*100</f>
        <v>#DIV/0!</v>
      </c>
      <c r="T72" s="270" t="e">
        <f>T56/(T56+T57)*100</f>
        <v>#DIV/0!</v>
      </c>
      <c r="U72" s="270" t="e">
        <f t="shared" si="38"/>
        <v>#DIV/0!</v>
      </c>
      <c r="V72" s="270" t="e">
        <f t="shared" si="38"/>
        <v>#DIV/0!</v>
      </c>
      <c r="W72" s="270" t="e">
        <v>#DIV/0!</v>
      </c>
      <c r="X72" s="270" t="e">
        <f t="shared" si="38"/>
        <v>#DIV/0!</v>
      </c>
      <c r="Y72" s="270" t="e">
        <f t="shared" si="38"/>
        <v>#DIV/0!</v>
      </c>
      <c r="Z72" s="270" t="e">
        <f t="shared" si="38"/>
        <v>#DIV/0!</v>
      </c>
      <c r="AA72" s="270" t="e">
        <f t="shared" si="38"/>
        <v>#DIV/0!</v>
      </c>
      <c r="AB72" s="270" t="e">
        <f t="shared" si="38"/>
        <v>#DIV/0!</v>
      </c>
      <c r="AC72" s="270" t="e">
        <f t="shared" si="38"/>
        <v>#DIV/0!</v>
      </c>
      <c r="AD72" s="270" t="e">
        <f t="shared" si="38"/>
        <v>#DIV/0!</v>
      </c>
      <c r="AE72" s="270" t="e">
        <f t="shared" si="38"/>
        <v>#DIV/0!</v>
      </c>
      <c r="AF72" s="270" t="e">
        <f t="shared" si="38"/>
        <v>#DIV/0!</v>
      </c>
      <c r="AG72" s="270" t="e">
        <f t="shared" si="38"/>
        <v>#DIV/0!</v>
      </c>
      <c r="AH72" s="270" t="e">
        <f t="shared" si="38"/>
        <v>#DIV/0!</v>
      </c>
      <c r="AI72" s="270" t="e">
        <f t="shared" si="38"/>
        <v>#DIV/0!</v>
      </c>
      <c r="AJ72" s="270" t="e">
        <f t="shared" ref="AJ72:AK72" si="39">AJ56/(AJ56+AJ57)*100</f>
        <v>#DIV/0!</v>
      </c>
      <c r="AK72" s="270" t="e">
        <f t="shared" si="39"/>
        <v>#DIV/0!</v>
      </c>
      <c r="AL72" s="62"/>
      <c r="AM72" s="1495" t="e">
        <f>AM56/(AM57+AM56)*100</f>
        <v>#DIV/0!</v>
      </c>
    </row>
    <row r="73" spans="3:58" ht="15.75" hidden="1" thickBot="1" x14ac:dyDescent="0.3">
      <c r="C73" s="19"/>
      <c r="D73" s="74" t="s">
        <v>60</v>
      </c>
      <c r="E73" s="125">
        <v>40</v>
      </c>
      <c r="F73" s="69" t="s">
        <v>25</v>
      </c>
      <c r="G73" s="270" t="e">
        <f>G57/G55*100</f>
        <v>#DIV/0!</v>
      </c>
      <c r="H73" s="270" t="e">
        <f>H57/H55*100</f>
        <v>#DIV/0!</v>
      </c>
      <c r="I73" s="270" t="e">
        <f>I57/I55*100</f>
        <v>#DIV/0!</v>
      </c>
      <c r="J73" s="270" t="e">
        <f>J57/J55*100</f>
        <v>#DIV/0!</v>
      </c>
      <c r="K73" s="270" t="e">
        <f>K57/K55*100</f>
        <v>#DIV/0!</v>
      </c>
      <c r="L73" s="270"/>
      <c r="M73" s="270" t="e">
        <v>#DIV/0!</v>
      </c>
      <c r="N73" s="270"/>
      <c r="O73" s="270"/>
      <c r="P73" s="270"/>
      <c r="Q73" s="270"/>
      <c r="R73" s="270" t="e">
        <f t="shared" ref="R73" si="40">R57/R55*100</f>
        <v>#DIV/0!</v>
      </c>
      <c r="S73" s="270" t="e">
        <f t="shared" ref="S73:AI73" si="41">S57/S55*100</f>
        <v>#DIV/0!</v>
      </c>
      <c r="T73" s="270" t="e">
        <f>T57/T55*100</f>
        <v>#DIV/0!</v>
      </c>
      <c r="U73" s="270" t="e">
        <f t="shared" si="41"/>
        <v>#DIV/0!</v>
      </c>
      <c r="V73" s="270" t="e">
        <f t="shared" si="41"/>
        <v>#DIV/0!</v>
      </c>
      <c r="W73" s="270" t="e">
        <v>#DIV/0!</v>
      </c>
      <c r="X73" s="270" t="e">
        <f t="shared" si="41"/>
        <v>#DIV/0!</v>
      </c>
      <c r="Y73" s="270" t="e">
        <f t="shared" si="41"/>
        <v>#DIV/0!</v>
      </c>
      <c r="Z73" s="270" t="e">
        <f t="shared" si="41"/>
        <v>#DIV/0!</v>
      </c>
      <c r="AA73" s="270" t="e">
        <f t="shared" si="41"/>
        <v>#DIV/0!</v>
      </c>
      <c r="AB73" s="270" t="e">
        <f t="shared" si="41"/>
        <v>#DIV/0!</v>
      </c>
      <c r="AC73" s="270" t="e">
        <f t="shared" si="41"/>
        <v>#DIV/0!</v>
      </c>
      <c r="AD73" s="270" t="e">
        <f t="shared" si="41"/>
        <v>#DIV/0!</v>
      </c>
      <c r="AE73" s="270" t="e">
        <f t="shared" si="41"/>
        <v>#DIV/0!</v>
      </c>
      <c r="AF73" s="270" t="e">
        <f t="shared" si="41"/>
        <v>#DIV/0!</v>
      </c>
      <c r="AG73" s="270" t="e">
        <f t="shared" si="41"/>
        <v>#DIV/0!</v>
      </c>
      <c r="AH73" s="270" t="e">
        <f t="shared" si="41"/>
        <v>#DIV/0!</v>
      </c>
      <c r="AI73" s="270" t="e">
        <f t="shared" si="41"/>
        <v>#DIV/0!</v>
      </c>
      <c r="AJ73" s="270" t="e">
        <f t="shared" ref="AJ73:AK73" si="42">AJ57/AJ55*100</f>
        <v>#DIV/0!</v>
      </c>
      <c r="AK73" s="270" t="e">
        <f t="shared" si="42"/>
        <v>#DIV/0!</v>
      </c>
      <c r="AL73" s="18"/>
      <c r="AM73" s="297" t="e">
        <f>AM57/(AM56+AM57)*100</f>
        <v>#DIV/0!</v>
      </c>
    </row>
    <row r="74" spans="3:58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25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/>
      <c r="AX74" s="3"/>
    </row>
    <row r="75" spans="3:58" x14ac:dyDescent="0.25">
      <c r="C75" s="8"/>
      <c r="D75" s="232" t="s">
        <v>1121</v>
      </c>
      <c r="E75" s="248">
        <v>9</v>
      </c>
      <c r="F75" s="233" t="s">
        <v>56</v>
      </c>
      <c r="G75" s="271">
        <v>11484</v>
      </c>
      <c r="H75" s="271">
        <v>13266</v>
      </c>
      <c r="I75" s="271">
        <v>13024</v>
      </c>
      <c r="J75" s="271">
        <v>275</v>
      </c>
      <c r="K75" s="271">
        <v>0</v>
      </c>
      <c r="L75" s="271"/>
      <c r="M75" s="271"/>
      <c r="N75" s="271"/>
      <c r="O75" s="271"/>
      <c r="P75" s="271"/>
      <c r="Q75" s="271"/>
      <c r="R75" s="271"/>
      <c r="S75" s="2018"/>
      <c r="T75" s="2018"/>
      <c r="U75" s="1977"/>
      <c r="V75" s="271">
        <v>3839</v>
      </c>
      <c r="W75" s="1994">
        <v>14707</v>
      </c>
      <c r="X75" s="271">
        <v>13233</v>
      </c>
      <c r="Y75" s="271">
        <v>11605</v>
      </c>
      <c r="Z75" s="271">
        <v>11506</v>
      </c>
      <c r="AA75" s="271">
        <v>13145</v>
      </c>
      <c r="AB75" s="271">
        <v>12298</v>
      </c>
      <c r="AC75" s="271">
        <v>12507</v>
      </c>
      <c r="AD75" s="271">
        <v>13277</v>
      </c>
      <c r="AE75" s="271">
        <v>12276</v>
      </c>
      <c r="AF75" s="271">
        <v>11858</v>
      </c>
      <c r="AG75" s="271">
        <v>13530</v>
      </c>
      <c r="AH75" s="271">
        <v>11088</v>
      </c>
      <c r="AI75" s="271">
        <f>13396+2000</f>
        <v>15396</v>
      </c>
      <c r="AJ75" s="271">
        <f>14460+2000</f>
        <v>16460</v>
      </c>
      <c r="AK75" s="271">
        <f>45913</f>
        <v>45913</v>
      </c>
      <c r="AM75" s="82">
        <f>SUM(G75:AK75)</f>
        <v>270687</v>
      </c>
      <c r="AN75" s="3">
        <f>AM75-AK75</f>
        <v>224774</v>
      </c>
      <c r="AP75" s="3"/>
      <c r="AV75" s="1" t="s">
        <v>1156</v>
      </c>
      <c r="AW75" s="1">
        <v>7000</v>
      </c>
      <c r="AX75" s="3"/>
      <c r="AY75" s="1" t="s">
        <v>1150</v>
      </c>
      <c r="AZ75" s="3"/>
      <c r="BF75" s="3"/>
    </row>
    <row r="76" spans="3:58" ht="26.25" x14ac:dyDescent="0.25">
      <c r="C76" s="15"/>
      <c r="D76" s="2106" t="s">
        <v>1131</v>
      </c>
      <c r="E76" s="250"/>
      <c r="F76" s="20" t="s">
        <v>25</v>
      </c>
      <c r="G76" s="272">
        <f t="shared" ref="G76:I76" si="43">G75/(G11)*100</f>
        <v>0.61105193090068977</v>
      </c>
      <c r="H76" s="272">
        <f t="shared" si="43"/>
        <v>0.67415387742656774</v>
      </c>
      <c r="I76" s="272">
        <f t="shared" si="43"/>
        <v>0.6619588166469631</v>
      </c>
      <c r="J76" s="272" t="e">
        <f t="shared" ref="J76:Q76" si="44">J75/(J11)*100</f>
        <v>#DIV/0!</v>
      </c>
      <c r="K76" s="272" t="e">
        <f t="shared" si="44"/>
        <v>#DIV/0!</v>
      </c>
      <c r="L76" s="272" t="e">
        <f t="shared" si="44"/>
        <v>#DIV/0!</v>
      </c>
      <c r="M76" s="272" t="e">
        <f t="shared" si="44"/>
        <v>#DIV/0!</v>
      </c>
      <c r="N76" s="272" t="e">
        <f t="shared" si="44"/>
        <v>#DIV/0!</v>
      </c>
      <c r="O76" s="272" t="e">
        <f t="shared" si="44"/>
        <v>#DIV/0!</v>
      </c>
      <c r="P76" s="272" t="e">
        <f t="shared" si="44"/>
        <v>#DIV/0!</v>
      </c>
      <c r="Q76" s="272" t="e">
        <f t="shared" si="44"/>
        <v>#DIV/0!</v>
      </c>
      <c r="R76" s="272" t="e">
        <f>R75/(R11)*1000</f>
        <v>#DIV/0!</v>
      </c>
      <c r="S76" s="272" t="e">
        <f>S75/(S11)*1000</f>
        <v>#DIV/0!</v>
      </c>
      <c r="T76" s="272" t="e">
        <f>T75/(T11)*1000</f>
        <v>#DIV/0!</v>
      </c>
      <c r="U76" s="272" t="e">
        <f>U75/(U11)*1000</f>
        <v>#DIV/0!</v>
      </c>
      <c r="V76" s="272">
        <f>V75/(V11)*100</f>
        <v>0.28095335325401649</v>
      </c>
      <c r="W76" s="272">
        <f t="shared" ref="W76:Y76" si="45">W75/(W11)*100</f>
        <v>0.63151259439732776</v>
      </c>
      <c r="X76" s="272">
        <f t="shared" si="45"/>
        <v>0.56301534219998473</v>
      </c>
      <c r="Y76" s="272">
        <f t="shared" si="45"/>
        <v>0.56745557905895772</v>
      </c>
      <c r="Z76" s="272">
        <f t="shared" ref="Z76:AK76" si="46">Z75/(Z11)*100</f>
        <v>0.5574920320211485</v>
      </c>
      <c r="AA76" s="272">
        <f t="shared" si="46"/>
        <v>0.6363839256537035</v>
      </c>
      <c r="AB76" s="272">
        <f t="shared" si="46"/>
        <v>0.53607920267263687</v>
      </c>
      <c r="AC76" s="272">
        <f t="shared" si="46"/>
        <v>0.52493823885676205</v>
      </c>
      <c r="AD76" s="272">
        <f t="shared" si="46"/>
        <v>0.58781391839936814</v>
      </c>
      <c r="AE76" s="272">
        <f t="shared" si="46"/>
        <v>0.52023275711919204</v>
      </c>
      <c r="AF76" s="272">
        <f t="shared" si="46"/>
        <v>0.57867444609172702</v>
      </c>
      <c r="AG76" s="272">
        <f t="shared" si="46"/>
        <v>0.61686405100503705</v>
      </c>
      <c r="AH76" s="272">
        <f t="shared" si="46"/>
        <v>0.51474172388340322</v>
      </c>
      <c r="AI76" s="272">
        <f t="shared" si="46"/>
        <v>0.72375574512854002</v>
      </c>
      <c r="AJ76" s="272">
        <f t="shared" si="46"/>
        <v>0.77460974210578082</v>
      </c>
      <c r="AK76" s="272">
        <f t="shared" si="46"/>
        <v>2.1388129827853342</v>
      </c>
      <c r="AM76" s="2122">
        <f>AM75/(AM11)*100</f>
        <v>0.67460295703118578</v>
      </c>
      <c r="AW76" s="1">
        <v>10384</v>
      </c>
      <c r="AX76" s="1">
        <f>AW76+AW75</f>
        <v>17384</v>
      </c>
      <c r="AY76" s="1" t="s">
        <v>1149</v>
      </c>
      <c r="BF76" s="3"/>
    </row>
    <row r="77" spans="3:58" hidden="1" x14ac:dyDescent="0.25">
      <c r="C77" s="15"/>
      <c r="D77" s="232" t="s">
        <v>1090</v>
      </c>
      <c r="E77" s="1762">
        <v>40000</v>
      </c>
      <c r="F77" s="233" t="s">
        <v>56</v>
      </c>
      <c r="G77" s="1900"/>
      <c r="H77" s="1899"/>
      <c r="I77" s="1899"/>
      <c r="J77" s="1899"/>
      <c r="K77" s="1899"/>
      <c r="L77" s="1899"/>
      <c r="M77" s="1899"/>
      <c r="N77" s="1899"/>
      <c r="O77" s="1899"/>
      <c r="P77" s="1899"/>
      <c r="Q77" s="1899"/>
      <c r="R77" s="1899"/>
      <c r="S77" s="1933"/>
      <c r="T77" s="1899"/>
      <c r="U77" s="1899"/>
      <c r="V77" s="1900">
        <v>0</v>
      </c>
      <c r="W77" s="1900">
        <v>0</v>
      </c>
      <c r="X77" s="1900">
        <v>0</v>
      </c>
      <c r="Y77" s="1900">
        <v>0</v>
      </c>
      <c r="Z77" s="1900"/>
      <c r="AA77" s="1900">
        <v>0</v>
      </c>
      <c r="AB77" s="1900">
        <v>0</v>
      </c>
      <c r="AC77" s="1900">
        <v>0</v>
      </c>
      <c r="AD77" s="1900">
        <v>0</v>
      </c>
      <c r="AE77" s="1900">
        <v>0</v>
      </c>
      <c r="AF77" s="1900">
        <v>0</v>
      </c>
      <c r="AG77" s="1900">
        <v>0</v>
      </c>
      <c r="AH77" s="1900">
        <v>0</v>
      </c>
      <c r="AI77" s="1900">
        <v>0</v>
      </c>
      <c r="AJ77" s="1900">
        <v>0</v>
      </c>
      <c r="AK77" s="1900">
        <v>0</v>
      </c>
      <c r="AM77" s="82">
        <f>SUM(G77:AK77)</f>
        <v>0</v>
      </c>
    </row>
    <row r="78" spans="3:58" hidden="1" x14ac:dyDescent="0.25">
      <c r="C78" s="15"/>
      <c r="D78" s="21"/>
      <c r="E78" s="250"/>
      <c r="F78" s="20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1930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M78" s="1898"/>
      <c r="AW78" s="16"/>
    </row>
    <row r="79" spans="3:58" hidden="1" x14ac:dyDescent="0.25">
      <c r="C79" s="15"/>
      <c r="D79" s="232" t="s">
        <v>1091</v>
      </c>
      <c r="E79" s="1762">
        <v>40000</v>
      </c>
      <c r="F79" s="233" t="s">
        <v>56</v>
      </c>
      <c r="G79" s="1900"/>
      <c r="H79" s="1899"/>
      <c r="I79" s="1899"/>
      <c r="J79" s="1899"/>
      <c r="K79" s="1899"/>
      <c r="L79" s="1899"/>
      <c r="M79" s="1899"/>
      <c r="N79" s="1899"/>
      <c r="O79" s="1899"/>
      <c r="P79" s="1899"/>
      <c r="Q79" s="1899"/>
      <c r="R79" s="1899"/>
      <c r="S79" s="1933"/>
      <c r="T79" s="1899"/>
      <c r="U79" s="1899"/>
      <c r="V79" s="1899">
        <v>0</v>
      </c>
      <c r="W79" s="1900">
        <v>0</v>
      </c>
      <c r="X79" s="1900">
        <v>0</v>
      </c>
      <c r="Y79" s="1900">
        <v>0</v>
      </c>
      <c r="Z79" s="1900">
        <v>0</v>
      </c>
      <c r="AA79" s="1900">
        <v>0</v>
      </c>
      <c r="AB79" s="1900">
        <v>0</v>
      </c>
      <c r="AC79" s="1900">
        <v>0</v>
      </c>
      <c r="AD79" s="1900">
        <v>0</v>
      </c>
      <c r="AE79" s="1900">
        <v>0</v>
      </c>
      <c r="AF79" s="1900">
        <v>0</v>
      </c>
      <c r="AG79" s="1900">
        <v>0</v>
      </c>
      <c r="AH79" s="1900">
        <v>0</v>
      </c>
      <c r="AI79" s="1900">
        <v>0</v>
      </c>
      <c r="AJ79" s="1900">
        <v>0</v>
      </c>
      <c r="AK79" s="1900">
        <v>0</v>
      </c>
      <c r="AM79" s="82">
        <f>SUM(G79:AK79)</f>
        <v>0</v>
      </c>
    </row>
    <row r="80" spans="3:58" hidden="1" x14ac:dyDescent="0.25">
      <c r="C80" s="15"/>
      <c r="D80" s="21"/>
      <c r="E80" s="250"/>
      <c r="F80" s="20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1930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M80" s="1898"/>
    </row>
    <row r="81" spans="3:61 15027:15040" s="1" customFormat="1" hidden="1" x14ac:dyDescent="0.25">
      <c r="C81" s="8"/>
      <c r="D81" s="234" t="s">
        <v>57</v>
      </c>
      <c r="E81" s="253">
        <v>18</v>
      </c>
      <c r="F81" s="235" t="s">
        <v>56</v>
      </c>
      <c r="G81" s="273">
        <v>0</v>
      </c>
      <c r="H81" s="273">
        <v>0</v>
      </c>
      <c r="I81" s="273">
        <v>0</v>
      </c>
      <c r="J81" s="273">
        <v>0</v>
      </c>
      <c r="K81" s="273">
        <v>0</v>
      </c>
      <c r="L81" s="273">
        <v>0</v>
      </c>
      <c r="M81" s="273">
        <v>0</v>
      </c>
      <c r="N81" s="273">
        <v>0</v>
      </c>
      <c r="O81" s="273">
        <v>0</v>
      </c>
      <c r="P81" s="273">
        <v>0</v>
      </c>
      <c r="Q81" s="273">
        <v>0</v>
      </c>
      <c r="R81" s="273">
        <v>0</v>
      </c>
      <c r="S81" s="1931">
        <v>0</v>
      </c>
      <c r="T81" s="273">
        <v>0</v>
      </c>
      <c r="U81" s="273">
        <v>0</v>
      </c>
      <c r="V81" s="273">
        <v>0</v>
      </c>
      <c r="W81" s="273">
        <v>0</v>
      </c>
      <c r="X81" s="273">
        <v>0</v>
      </c>
      <c r="Y81" s="273">
        <v>0</v>
      </c>
      <c r="Z81" s="273">
        <v>0</v>
      </c>
      <c r="AA81" s="273">
        <v>0</v>
      </c>
      <c r="AB81" s="273">
        <v>0</v>
      </c>
      <c r="AC81" s="273">
        <v>0</v>
      </c>
      <c r="AD81" s="273">
        <v>0</v>
      </c>
      <c r="AE81" s="273">
        <v>0</v>
      </c>
      <c r="AF81" s="273">
        <v>0</v>
      </c>
      <c r="AG81" s="273">
        <v>0</v>
      </c>
      <c r="AH81" s="273">
        <v>0</v>
      </c>
      <c r="AI81" s="273">
        <v>0</v>
      </c>
      <c r="AJ81" s="273">
        <v>0</v>
      </c>
      <c r="AK81" s="273">
        <v>0</v>
      </c>
      <c r="AM81" s="82">
        <f>SUM(G81:AK81)</f>
        <v>0</v>
      </c>
      <c r="BC81" s="511"/>
      <c r="BD81" s="511"/>
      <c r="BI81" s="140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hidden="1" x14ac:dyDescent="0.25">
      <c r="C82" s="15"/>
      <c r="D82" s="232" t="s">
        <v>1122</v>
      </c>
      <c r="E82" s="254"/>
      <c r="F82" s="23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1932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M82" s="298"/>
      <c r="AW82" s="62"/>
      <c r="AX82" s="139"/>
      <c r="BC82" s="511"/>
      <c r="BD82" s="511"/>
      <c r="BI82" s="140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s="1" customFormat="1" hidden="1" x14ac:dyDescent="0.25">
      <c r="C83" s="15"/>
      <c r="D83" s="14"/>
      <c r="E83" s="250"/>
      <c r="F83" s="2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1923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M83" s="1898"/>
      <c r="AW83" s="62"/>
      <c r="AX83" s="139"/>
      <c r="BC83" s="511"/>
      <c r="BD83" s="511"/>
      <c r="BI83" s="140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  <c r="VFL83" s="46"/>
    </row>
    <row r="84" spans="3:61 15027:15040" s="1" customFormat="1" x14ac:dyDescent="0.25">
      <c r="C84" s="15"/>
      <c r="D84" s="232" t="s">
        <v>1123</v>
      </c>
      <c r="E84" s="250"/>
      <c r="F84" s="233" t="s">
        <v>56</v>
      </c>
      <c r="G84" s="2104">
        <v>13000</v>
      </c>
      <c r="H84" s="2104">
        <v>17000</v>
      </c>
      <c r="I84" s="2104">
        <v>14000</v>
      </c>
      <c r="J84" s="2104">
        <v>2000</v>
      </c>
      <c r="K84" s="2104">
        <v>0</v>
      </c>
      <c r="L84" s="2104"/>
      <c r="M84" s="2104"/>
      <c r="N84" s="2104"/>
      <c r="O84" s="2104"/>
      <c r="P84" s="2104"/>
      <c r="Q84" s="2104"/>
      <c r="R84" s="2104"/>
      <c r="S84" s="2104"/>
      <c r="T84" s="2104"/>
      <c r="U84" s="2104">
        <v>6000</v>
      </c>
      <c r="V84" s="2104">
        <v>5000</v>
      </c>
      <c r="W84" s="2104">
        <v>6000</v>
      </c>
      <c r="X84" s="2104">
        <v>15000</v>
      </c>
      <c r="Y84" s="2104">
        <v>19000</v>
      </c>
      <c r="Z84" s="2104">
        <v>14000</v>
      </c>
      <c r="AA84" s="2104">
        <v>16000</v>
      </c>
      <c r="AB84" s="2104">
        <v>14000</v>
      </c>
      <c r="AC84" s="2104">
        <v>14000</v>
      </c>
      <c r="AD84" s="2104">
        <v>14000</v>
      </c>
      <c r="AE84" s="2104">
        <v>14000</v>
      </c>
      <c r="AF84" s="2104">
        <v>14000</v>
      </c>
      <c r="AG84" s="2104">
        <v>1000</v>
      </c>
      <c r="AH84" s="2104">
        <v>14000</v>
      </c>
      <c r="AI84" s="2104">
        <v>14000</v>
      </c>
      <c r="AJ84" s="2104">
        <v>14000</v>
      </c>
      <c r="AK84" s="2104">
        <v>14000</v>
      </c>
      <c r="AM84" s="82">
        <f>SUM(G84:AK84)</f>
        <v>254000</v>
      </c>
      <c r="AW84" s="62"/>
      <c r="AX84" s="139"/>
      <c r="BC84" s="511"/>
      <c r="BD84" s="511"/>
      <c r="BI84" s="140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  <c r="VFL84" s="46"/>
    </row>
    <row r="85" spans="3:61 15027:15040" s="1" customFormat="1" x14ac:dyDescent="0.25">
      <c r="C85" s="15"/>
      <c r="D85" s="14"/>
      <c r="E85" s="250"/>
      <c r="F85" s="20"/>
      <c r="G85" s="270">
        <f t="shared" ref="G85:AK85" si="47">G84/G9*100</f>
        <v>0.6917167451853854</v>
      </c>
      <c r="H85" s="270">
        <f t="shared" si="47"/>
        <v>0.86390893383473921</v>
      </c>
      <c r="I85" s="270">
        <f t="shared" ref="I85:Q85" si="48">I84/I9*100</f>
        <v>0.71156506703451194</v>
      </c>
      <c r="J85" s="270" t="e">
        <f t="shared" si="48"/>
        <v>#DIV/0!</v>
      </c>
      <c r="K85" s="270" t="e">
        <f t="shared" si="48"/>
        <v>#DIV/0!</v>
      </c>
      <c r="L85" s="270" t="e">
        <f t="shared" si="48"/>
        <v>#DIV/0!</v>
      </c>
      <c r="M85" s="270" t="e">
        <f t="shared" si="48"/>
        <v>#DIV/0!</v>
      </c>
      <c r="N85" s="270" t="e">
        <f t="shared" si="48"/>
        <v>#DIV/0!</v>
      </c>
      <c r="O85" s="270" t="e">
        <f t="shared" si="48"/>
        <v>#DIV/0!</v>
      </c>
      <c r="P85" s="270" t="e">
        <f t="shared" si="48"/>
        <v>#DIV/0!</v>
      </c>
      <c r="Q85" s="270" t="e">
        <f t="shared" si="48"/>
        <v>#DIV/0!</v>
      </c>
      <c r="R85" s="270" t="e">
        <f t="shared" si="47"/>
        <v>#DIV/0!</v>
      </c>
      <c r="S85" s="270" t="e">
        <f t="shared" si="47"/>
        <v>#DIV/0!</v>
      </c>
      <c r="T85" s="270" t="e">
        <f t="shared" si="47"/>
        <v>#DIV/0!</v>
      </c>
      <c r="U85" s="270" t="e">
        <f t="shared" si="47"/>
        <v>#DIV/0!</v>
      </c>
      <c r="V85" s="270">
        <f t="shared" si="47"/>
        <v>0.3659199703751192</v>
      </c>
      <c r="W85" s="270">
        <v>0</v>
      </c>
      <c r="X85" s="270">
        <f t="shared" si="47"/>
        <v>0.63819467490363269</v>
      </c>
      <c r="Y85" s="270">
        <f t="shared" si="47"/>
        <v>0.92905264990264502</v>
      </c>
      <c r="Z85" s="270">
        <f t="shared" si="47"/>
        <v>0.6783320396572291</v>
      </c>
      <c r="AA85" s="270">
        <f t="shared" si="47"/>
        <v>0.77460196351915223</v>
      </c>
      <c r="AB85" s="270">
        <f t="shared" si="47"/>
        <v>0.61027068120157069</v>
      </c>
      <c r="AC85" s="270">
        <f t="shared" si="47"/>
        <v>0.58760177052807772</v>
      </c>
      <c r="AD85" s="270">
        <f t="shared" si="47"/>
        <v>0.61982336804934501</v>
      </c>
      <c r="AE85" s="270">
        <f t="shared" si="47"/>
        <v>0.59329248938324286</v>
      </c>
      <c r="AF85" s="270">
        <f t="shared" si="47"/>
        <v>0.68320477696780058</v>
      </c>
      <c r="AG85" s="270">
        <f t="shared" si="47"/>
        <v>4.5592317147452849E-2</v>
      </c>
      <c r="AH85" s="270">
        <f t="shared" si="47"/>
        <v>0.64992641904470094</v>
      </c>
      <c r="AI85" s="270">
        <f t="shared" si="47"/>
        <v>0.65813071134057932</v>
      </c>
      <c r="AJ85" s="270">
        <f t="shared" si="47"/>
        <v>0.65884182196117447</v>
      </c>
      <c r="AK85" s="270">
        <f t="shared" si="47"/>
        <v>0.65217654605437847</v>
      </c>
      <c r="AM85" s="1898">
        <f>AM84/AM9*100</f>
        <v>0.63301581193748202</v>
      </c>
      <c r="AW85" s="62"/>
      <c r="AX85" s="139"/>
      <c r="BC85" s="511"/>
      <c r="BD85" s="511"/>
      <c r="BI85" s="140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  <c r="VFL85" s="46"/>
    </row>
    <row r="86" spans="3:61 15027:15040" x14ac:dyDescent="0.25">
      <c r="C86" s="15"/>
      <c r="D86" s="232" t="s">
        <v>55</v>
      </c>
      <c r="E86" s="248">
        <v>0.6</v>
      </c>
      <c r="F86" s="233" t="s">
        <v>14</v>
      </c>
      <c r="G86" s="1639">
        <v>1005.68</v>
      </c>
      <c r="H86" s="1639">
        <v>1073.28</v>
      </c>
      <c r="I86" s="1639">
        <v>934.96</v>
      </c>
      <c r="J86" s="1639">
        <v>12.48</v>
      </c>
      <c r="K86" s="1639">
        <v>0</v>
      </c>
      <c r="L86" s="1639"/>
      <c r="M86" s="1639"/>
      <c r="N86" s="1639"/>
      <c r="O86" s="1639"/>
      <c r="P86" s="1639"/>
      <c r="Q86" s="1639"/>
      <c r="R86" s="1639"/>
      <c r="S86" s="2145"/>
      <c r="T86" s="2144"/>
      <c r="U86" s="2124"/>
      <c r="V86" s="241">
        <v>263.12</v>
      </c>
      <c r="W86" s="2062">
        <v>1050.4000000000001</v>
      </c>
      <c r="X86" s="241">
        <v>1029.5999999999999</v>
      </c>
      <c r="Y86" s="241">
        <v>899.6</v>
      </c>
      <c r="Z86" s="241">
        <v>920.4</v>
      </c>
      <c r="AA86" s="241">
        <v>946.4</v>
      </c>
      <c r="AB86" s="241">
        <v>1014</v>
      </c>
      <c r="AC86" s="241">
        <v>1021.28</v>
      </c>
      <c r="AD86" s="241">
        <v>999.44</v>
      </c>
      <c r="AE86" s="241">
        <v>974.48</v>
      </c>
      <c r="AF86" s="241">
        <v>945.36</v>
      </c>
      <c r="AG86" s="241">
        <v>960.96</v>
      </c>
      <c r="AH86" s="241">
        <v>939.12</v>
      </c>
      <c r="AI86" s="241">
        <f>983.84+300</f>
        <v>1283.8400000000001</v>
      </c>
      <c r="AJ86" s="241">
        <f>1006.72+300</f>
        <v>1306.72</v>
      </c>
      <c r="AK86" s="241">
        <v>6882.44</v>
      </c>
      <c r="AL86" s="302"/>
      <c r="AM86" s="931">
        <f>SUM(G86:AK86)</f>
        <v>24463.56</v>
      </c>
      <c r="AN86" s="3">
        <f>AM86-AK86</f>
        <v>17581.120000000003</v>
      </c>
      <c r="AO86" s="302"/>
      <c r="AP86" s="302"/>
      <c r="AV86" s="1" t="s">
        <v>1156</v>
      </c>
      <c r="BF86" s="2167"/>
    </row>
    <row r="87" spans="3:61 15027:15040" ht="15.75" thickBot="1" x14ac:dyDescent="0.3">
      <c r="C87" s="19"/>
      <c r="D87" s="24"/>
      <c r="E87" s="250"/>
      <c r="F87" s="25" t="s">
        <v>25</v>
      </c>
      <c r="G87" s="275">
        <f>G86/(G9)*100</f>
        <v>5.3511207407541408E-2</v>
      </c>
      <c r="H87" s="275">
        <f>H86/(H9)*100</f>
        <v>5.4542128265067588E-2</v>
      </c>
      <c r="I87" s="275">
        <f t="shared" ref="I87:Q87" si="49">I86/(I9)*100</f>
        <v>4.752034821961338E-2</v>
      </c>
      <c r="J87" s="275" t="e">
        <f t="shared" si="49"/>
        <v>#DIV/0!</v>
      </c>
      <c r="K87" s="275" t="e">
        <f t="shared" si="49"/>
        <v>#DIV/0!</v>
      </c>
      <c r="L87" s="275" t="e">
        <f t="shared" si="49"/>
        <v>#DIV/0!</v>
      </c>
      <c r="M87" s="275" t="e">
        <f t="shared" si="49"/>
        <v>#DIV/0!</v>
      </c>
      <c r="N87" s="275" t="e">
        <f t="shared" si="49"/>
        <v>#DIV/0!</v>
      </c>
      <c r="O87" s="275" t="e">
        <f t="shared" si="49"/>
        <v>#DIV/0!</v>
      </c>
      <c r="P87" s="275" t="e">
        <f t="shared" si="49"/>
        <v>#DIV/0!</v>
      </c>
      <c r="Q87" s="275" t="e">
        <f t="shared" si="49"/>
        <v>#DIV/0!</v>
      </c>
      <c r="R87" s="34" t="e">
        <f t="shared" ref="R87:AK87" si="50">R86/(R9)*1000</f>
        <v>#DIV/0!</v>
      </c>
      <c r="S87" s="34" t="e">
        <f t="shared" si="50"/>
        <v>#DIV/0!</v>
      </c>
      <c r="T87" s="34" t="e">
        <f t="shared" si="50"/>
        <v>#DIV/0!</v>
      </c>
      <c r="U87" s="34" t="e">
        <f t="shared" si="50"/>
        <v>#DIV/0!</v>
      </c>
      <c r="V87" s="34">
        <f t="shared" si="50"/>
        <v>0.19256172521020273</v>
      </c>
      <c r="W87" s="34">
        <v>0.45041878208351316</v>
      </c>
      <c r="X87" s="34">
        <f t="shared" si="50"/>
        <v>0.43805682485385339</v>
      </c>
      <c r="Y87" s="34">
        <f t="shared" si="50"/>
        <v>0.43988198097495768</v>
      </c>
      <c r="Z87" s="34">
        <f t="shared" si="50"/>
        <v>0.44595486378608123</v>
      </c>
      <c r="AA87" s="34">
        <f t="shared" si="50"/>
        <v>0.4581770614215786</v>
      </c>
      <c r="AB87" s="34">
        <f t="shared" si="50"/>
        <v>0.44201033624170899</v>
      </c>
      <c r="AC87" s="34">
        <f t="shared" si="50"/>
        <v>0.42864709728922512</v>
      </c>
      <c r="AD87" s="34">
        <f t="shared" si="50"/>
        <v>0.44248304783088388</v>
      </c>
      <c r="AE87" s="34">
        <f t="shared" si="50"/>
        <v>0.41296547503870173</v>
      </c>
      <c r="AF87" s="34">
        <f t="shared" si="50"/>
        <v>0.46133890568162855</v>
      </c>
      <c r="AG87" s="34">
        <f t="shared" si="50"/>
        <v>0.43812393086016288</v>
      </c>
      <c r="AH87" s="34">
        <f t="shared" si="50"/>
        <v>0.43597064189518542</v>
      </c>
      <c r="AI87" s="34">
        <f t="shared" si="50"/>
        <v>0.60352466603392108</v>
      </c>
      <c r="AJ87" s="34">
        <f t="shared" si="50"/>
        <v>0.61494413256650415</v>
      </c>
      <c r="AK87" s="34">
        <f t="shared" si="50"/>
        <v>3.206118534018926</v>
      </c>
      <c r="AM87" s="1917">
        <f>AM86/AM9*1000</f>
        <v>0.60967796442052391</v>
      </c>
    </row>
    <row r="88" spans="3:61 15027:15040" s="136" customFormat="1" x14ac:dyDescent="0.25">
      <c r="C88" s="137">
        <v>3</v>
      </c>
      <c r="D88" s="236" t="s">
        <v>167</v>
      </c>
      <c r="E88" s="237">
        <v>0.7</v>
      </c>
      <c r="F88" s="2103" t="s">
        <v>25</v>
      </c>
      <c r="G88" s="276">
        <f>((SUM(G19:G21))-(SUM(G9)))/(SUM(G9))*100</f>
        <v>-0.56029056360016216</v>
      </c>
      <c r="H88" s="276">
        <f t="shared" ref="H88:Q88" si="51">((SUM(H19:H21))-(SUM(H9)))/(SUM(H9))*100</f>
        <v>-0.47454009553816445</v>
      </c>
      <c r="I88" s="276">
        <f t="shared" si="51"/>
        <v>-0.93809688873257047</v>
      </c>
      <c r="J88" s="276" t="e">
        <f t="shared" si="51"/>
        <v>#DIV/0!</v>
      </c>
      <c r="K88" s="276" t="e">
        <f t="shared" si="51"/>
        <v>#DIV/0!</v>
      </c>
      <c r="L88" s="276" t="e">
        <f t="shared" si="51"/>
        <v>#DIV/0!</v>
      </c>
      <c r="M88" s="276" t="e">
        <f t="shared" si="51"/>
        <v>#DIV/0!</v>
      </c>
      <c r="N88" s="276" t="e">
        <f t="shared" si="51"/>
        <v>#DIV/0!</v>
      </c>
      <c r="O88" s="276" t="e">
        <f t="shared" si="51"/>
        <v>#DIV/0!</v>
      </c>
      <c r="P88" s="276" t="e">
        <f t="shared" si="51"/>
        <v>#DIV/0!</v>
      </c>
      <c r="Q88" s="276" t="e">
        <f t="shared" si="51"/>
        <v>#DIV/0!</v>
      </c>
      <c r="R88" s="276" t="e">
        <f t="shared" ref="R88:AK88" si="52">((SUM(R19:R21))-(SUM(R9)))/(SUM(R9))*100</f>
        <v>#DIV/0!</v>
      </c>
      <c r="S88" s="276" t="e">
        <f t="shared" si="52"/>
        <v>#DIV/0!</v>
      </c>
      <c r="T88" s="276" t="e">
        <f t="shared" si="52"/>
        <v>#DIV/0!</v>
      </c>
      <c r="U88" s="276" t="e">
        <f t="shared" si="52"/>
        <v>#DIV/0!</v>
      </c>
      <c r="V88" s="276">
        <f t="shared" si="52"/>
        <v>-0.74867225938749393</v>
      </c>
      <c r="W88" s="276">
        <f t="shared" si="52"/>
        <v>-0.84329066712239886</v>
      </c>
      <c r="X88" s="276">
        <f t="shared" si="52"/>
        <v>-0.50957717475472053</v>
      </c>
      <c r="Y88" s="276">
        <f t="shared" si="52"/>
        <v>-0.53860604940408607</v>
      </c>
      <c r="Z88" s="276">
        <f t="shared" si="52"/>
        <v>-0.60705872320467313</v>
      </c>
      <c r="AA88" s="276">
        <f>((SUM(AA19:AA21))-(SUM(AA9)))/(SUM(AA9))*100</f>
        <v>-0.45260960980878462</v>
      </c>
      <c r="AB88" s="276">
        <f t="shared" si="52"/>
        <v>-0.13613395267089323</v>
      </c>
      <c r="AC88" s="276">
        <f t="shared" si="52"/>
        <v>-0.28351785427979748</v>
      </c>
      <c r="AD88" s="276">
        <f t="shared" si="52"/>
        <v>0.22787363395356991</v>
      </c>
      <c r="AE88" s="276">
        <f t="shared" si="52"/>
        <v>-0.49912849571113099</v>
      </c>
      <c r="AF88" s="276">
        <f t="shared" si="52"/>
        <v>-0.42187894977761681</v>
      </c>
      <c r="AG88" s="276">
        <f t="shared" si="52"/>
        <v>-0.5740984575207263</v>
      </c>
      <c r="AH88" s="276">
        <f t="shared" si="52"/>
        <v>-0.71389774800495798</v>
      </c>
      <c r="AI88" s="276">
        <f t="shared" si="52"/>
        <v>-0.89374150600050672</v>
      </c>
      <c r="AJ88" s="276">
        <f t="shared" si="52"/>
        <v>-0.64787681163853494</v>
      </c>
      <c r="AK88" s="276">
        <f t="shared" si="52"/>
        <v>0.38958231818948341</v>
      </c>
      <c r="AM88" s="300">
        <f>((SUM(AM18:AM21))-(SUM(AM9)))/(SUM(AM9))*100</f>
        <v>-0.25548916919914527</v>
      </c>
      <c r="AW88" s="1"/>
      <c r="AX88" s="2114"/>
      <c r="BC88" s="2119"/>
      <c r="BD88" s="2119"/>
      <c r="BI88" s="146"/>
    </row>
    <row r="89" spans="3:61 15027:15040" s="136" customFormat="1" x14ac:dyDescent="0.25">
      <c r="C89" s="137"/>
      <c r="D89" s="305"/>
      <c r="E89" s="306"/>
      <c r="F89" s="307" t="s">
        <v>14</v>
      </c>
      <c r="G89" s="308">
        <f t="shared" ref="G89" si="53">G88%*G9</f>
        <v>-10529.999999999998</v>
      </c>
      <c r="H89" s="308">
        <f t="shared" ref="H89:AK89" si="54">H88%*H9</f>
        <v>-9338</v>
      </c>
      <c r="I89" s="308">
        <f t="shared" ref="I89:Q89" si="55">I88%*I9</f>
        <v>-18457</v>
      </c>
      <c r="J89" s="308" t="e">
        <f t="shared" si="55"/>
        <v>#DIV/0!</v>
      </c>
      <c r="K89" s="308" t="e">
        <f t="shared" si="55"/>
        <v>#DIV/0!</v>
      </c>
      <c r="L89" s="308" t="e">
        <f t="shared" si="55"/>
        <v>#DIV/0!</v>
      </c>
      <c r="M89" s="308" t="e">
        <f t="shared" si="55"/>
        <v>#DIV/0!</v>
      </c>
      <c r="N89" s="308" t="e">
        <f t="shared" si="55"/>
        <v>#DIV/0!</v>
      </c>
      <c r="O89" s="308" t="e">
        <f t="shared" si="55"/>
        <v>#DIV/0!</v>
      </c>
      <c r="P89" s="308" t="e">
        <f t="shared" si="55"/>
        <v>#DIV/0!</v>
      </c>
      <c r="Q89" s="308" t="e">
        <f t="shared" si="55"/>
        <v>#DIV/0!</v>
      </c>
      <c r="R89" s="308" t="e">
        <f t="shared" si="54"/>
        <v>#DIV/0!</v>
      </c>
      <c r="S89" s="308" t="e">
        <f t="shared" si="54"/>
        <v>#DIV/0!</v>
      </c>
      <c r="T89" s="308" t="e">
        <f t="shared" si="54"/>
        <v>#DIV/0!</v>
      </c>
      <c r="U89" s="308" t="e">
        <f t="shared" si="54"/>
        <v>#DIV/0!</v>
      </c>
      <c r="V89" s="308">
        <f t="shared" si="54"/>
        <v>-10230</v>
      </c>
      <c r="W89" s="308">
        <f t="shared" si="54"/>
        <v>-19639</v>
      </c>
      <c r="X89" s="308">
        <f t="shared" si="54"/>
        <v>-11977</v>
      </c>
      <c r="Y89" s="308">
        <f t="shared" si="54"/>
        <v>-11015</v>
      </c>
      <c r="Z89" s="308">
        <f t="shared" si="54"/>
        <v>-12529</v>
      </c>
      <c r="AA89" s="308">
        <f t="shared" si="54"/>
        <v>-9349</v>
      </c>
      <c r="AB89" s="308">
        <f t="shared" si="54"/>
        <v>-3123</v>
      </c>
      <c r="AC89" s="308">
        <f t="shared" si="54"/>
        <v>-6755</v>
      </c>
      <c r="AD89" s="308">
        <f t="shared" si="54"/>
        <v>5147</v>
      </c>
      <c r="AE89" s="308">
        <f t="shared" si="54"/>
        <v>-11778</v>
      </c>
      <c r="AF89" s="308">
        <f t="shared" si="54"/>
        <v>-8645</v>
      </c>
      <c r="AG89" s="308">
        <f t="shared" si="54"/>
        <v>-12592</v>
      </c>
      <c r="AH89" s="308">
        <f t="shared" si="54"/>
        <v>-15377.999999999998</v>
      </c>
      <c r="AI89" s="308">
        <f t="shared" si="54"/>
        <v>-19012</v>
      </c>
      <c r="AJ89" s="308">
        <f t="shared" si="54"/>
        <v>-13767</v>
      </c>
      <c r="AK89" s="308">
        <f t="shared" si="54"/>
        <v>8363</v>
      </c>
      <c r="AM89" s="309">
        <f>AM88%*AM9</f>
        <v>-102515.99999999999</v>
      </c>
      <c r="AW89" s="62"/>
      <c r="BC89" s="2119"/>
      <c r="BD89" s="2119"/>
      <c r="BI89" s="146"/>
    </row>
    <row r="90" spans="3:61 15027:15040" s="62" customFormat="1" x14ac:dyDescent="0.25">
      <c r="C90" s="68"/>
      <c r="D90" s="232" t="s">
        <v>54</v>
      </c>
      <c r="E90" s="255">
        <v>22</v>
      </c>
      <c r="F90" s="233" t="s">
        <v>25</v>
      </c>
      <c r="G90" s="277">
        <v>17.46</v>
      </c>
      <c r="H90" s="277">
        <v>17.5</v>
      </c>
      <c r="I90" s="277">
        <v>17.600000000000001</v>
      </c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>
        <v>17.100000000000001</v>
      </c>
      <c r="W90" s="277">
        <v>17.5</v>
      </c>
      <c r="X90" s="277">
        <v>17.52</v>
      </c>
      <c r="Y90" s="277">
        <v>17.52</v>
      </c>
      <c r="Z90" s="277">
        <v>17.440000000000001</v>
      </c>
      <c r="AA90" s="277">
        <v>17.54</v>
      </c>
      <c r="AB90" s="277">
        <v>17.48</v>
      </c>
      <c r="AC90" s="277">
        <v>17.420000000000002</v>
      </c>
      <c r="AD90" s="277">
        <v>17.5</v>
      </c>
      <c r="AE90" s="277">
        <v>17.489999999999998</v>
      </c>
      <c r="AF90" s="277">
        <v>17.46</v>
      </c>
      <c r="AG90" s="277">
        <v>17.45</v>
      </c>
      <c r="AH90" s="277">
        <v>17.440000000000001</v>
      </c>
      <c r="AI90" s="277">
        <v>17.43</v>
      </c>
      <c r="AJ90" s="277">
        <v>17.420000000000002</v>
      </c>
      <c r="AK90" s="277">
        <v>17.47</v>
      </c>
      <c r="AM90" s="303">
        <f>AVERAGE(G90:AK90)</f>
        <v>17.46</v>
      </c>
      <c r="AN90" s="782"/>
      <c r="AW90" s="16"/>
      <c r="BC90" s="2118"/>
      <c r="BD90" s="2118"/>
      <c r="BF90" s="777"/>
      <c r="BI90" s="142"/>
    </row>
    <row r="91" spans="3:61 15027:15040" s="62" customFormat="1" ht="15.75" thickBot="1" x14ac:dyDescent="0.3">
      <c r="C91" s="85"/>
      <c r="D91" s="86" t="s">
        <v>53</v>
      </c>
      <c r="E91" s="250"/>
      <c r="F91" s="87" t="s">
        <v>14</v>
      </c>
      <c r="G91" s="272">
        <f t="shared" ref="G91" si="56">SUM(G75,G81)+(G90%*SUM(G75,G81))</f>
        <v>13489.106400000001</v>
      </c>
      <c r="H91" s="272">
        <f t="shared" ref="H91:AK91" si="57">SUM(H75,H81)+(H90%*SUM(H75,H81))</f>
        <v>15587.55</v>
      </c>
      <c r="I91" s="272">
        <f t="shared" ref="I91:Q91" si="58">SUM(I75,I81)+(I90%*SUM(I75,I81))</f>
        <v>15316.224</v>
      </c>
      <c r="J91" s="272">
        <f t="shared" si="58"/>
        <v>275</v>
      </c>
      <c r="K91" s="272">
        <f t="shared" si="58"/>
        <v>0</v>
      </c>
      <c r="L91" s="272">
        <f t="shared" si="58"/>
        <v>0</v>
      </c>
      <c r="M91" s="272">
        <f t="shared" si="58"/>
        <v>0</v>
      </c>
      <c r="N91" s="272">
        <f t="shared" si="58"/>
        <v>0</v>
      </c>
      <c r="O91" s="272">
        <f t="shared" si="58"/>
        <v>0</v>
      </c>
      <c r="P91" s="272">
        <f t="shared" si="58"/>
        <v>0</v>
      </c>
      <c r="Q91" s="272">
        <f t="shared" si="58"/>
        <v>0</v>
      </c>
      <c r="R91" s="272">
        <f t="shared" si="57"/>
        <v>0</v>
      </c>
      <c r="S91" s="272">
        <f t="shared" si="57"/>
        <v>0</v>
      </c>
      <c r="T91" s="272">
        <f t="shared" si="57"/>
        <v>0</v>
      </c>
      <c r="U91" s="272">
        <f t="shared" si="57"/>
        <v>0</v>
      </c>
      <c r="V91" s="272">
        <f t="shared" si="57"/>
        <v>4495.4690000000001</v>
      </c>
      <c r="W91" s="272">
        <f t="shared" si="57"/>
        <v>17280.724999999999</v>
      </c>
      <c r="X91" s="272">
        <f t="shared" si="57"/>
        <v>15551.4216</v>
      </c>
      <c r="Y91" s="272">
        <f t="shared" si="57"/>
        <v>13638.196</v>
      </c>
      <c r="Z91" s="272">
        <f t="shared" si="57"/>
        <v>13512.6464</v>
      </c>
      <c r="AA91" s="272">
        <f t="shared" si="57"/>
        <v>15450.633</v>
      </c>
      <c r="AB91" s="272">
        <f t="shared" si="57"/>
        <v>14447.690399999999</v>
      </c>
      <c r="AC91" s="272">
        <f t="shared" si="57"/>
        <v>14685.7194</v>
      </c>
      <c r="AD91" s="272">
        <f t="shared" si="57"/>
        <v>15600.475</v>
      </c>
      <c r="AE91" s="272">
        <f t="shared" si="57"/>
        <v>14423.072399999999</v>
      </c>
      <c r="AF91" s="272">
        <f t="shared" si="57"/>
        <v>13928.406800000001</v>
      </c>
      <c r="AG91" s="272">
        <f t="shared" si="57"/>
        <v>15890.985000000001</v>
      </c>
      <c r="AH91" s="272">
        <f t="shared" si="57"/>
        <v>13021.7472</v>
      </c>
      <c r="AI91" s="272">
        <f t="shared" si="57"/>
        <v>18079.522799999999</v>
      </c>
      <c r="AJ91" s="272">
        <f t="shared" si="57"/>
        <v>19327.332000000002</v>
      </c>
      <c r="AK91" s="272">
        <f t="shared" si="57"/>
        <v>53934.001100000001</v>
      </c>
      <c r="AM91" s="930">
        <f>SUM(AM75,AM81)+(AM90%*SUM(AM75,AM81))/AM6</f>
        <v>273050.09750999999</v>
      </c>
      <c r="AW91" s="1"/>
      <c r="BC91" s="2118"/>
      <c r="BD91" s="2118"/>
      <c r="BI91" s="142"/>
    </row>
    <row r="92" spans="3:61 15027:15040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25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3"/>
      <c r="AM92" s="78" t="s">
        <v>129</v>
      </c>
    </row>
    <row r="93" spans="3:61 15027:15040" s="2" customFormat="1" ht="15" hidden="1" customHeight="1" x14ac:dyDescent="0.25">
      <c r="C93" s="8"/>
      <c r="D93" s="26" t="s">
        <v>51</v>
      </c>
      <c r="E93" s="88"/>
      <c r="F93" s="12" t="s">
        <v>14</v>
      </c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1934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"/>
      <c r="AM93" s="89">
        <v>0</v>
      </c>
      <c r="AW93" s="1"/>
      <c r="BC93" s="2117"/>
      <c r="BD93" s="2117"/>
      <c r="BI93" s="145"/>
    </row>
    <row r="94" spans="3:61 15027:15040" s="1" customFormat="1" ht="15" hidden="1" customHeight="1" x14ac:dyDescent="0.25">
      <c r="C94" s="15"/>
      <c r="D94" s="28" t="s">
        <v>46</v>
      </c>
      <c r="E94" s="90"/>
      <c r="F94" s="20" t="s">
        <v>14</v>
      </c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1935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"/>
      <c r="AM94" s="89">
        <v>0</v>
      </c>
      <c r="BC94" s="511"/>
      <c r="BD94" s="511"/>
      <c r="BI94" s="141"/>
    </row>
    <row r="95" spans="3:61 15027:15040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1923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/>
      <c r="AJ95" s="34"/>
      <c r="AK95" s="34"/>
      <c r="AM95" s="58">
        <v>0</v>
      </c>
      <c r="AW95" s="16"/>
      <c r="BC95" s="511"/>
      <c r="BD95" s="511"/>
      <c r="BI95" s="141"/>
    </row>
    <row r="96" spans="3:61 15027:15040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1923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/>
      <c r="AK96" s="34"/>
      <c r="AM96" s="58">
        <v>0</v>
      </c>
      <c r="BC96" s="511"/>
      <c r="BD96" s="511"/>
      <c r="BI96" s="141"/>
    </row>
    <row r="97" spans="3:61 15027:15419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1923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/>
      <c r="AK97" s="34"/>
      <c r="AM97" s="58">
        <v>0</v>
      </c>
      <c r="BC97" s="511"/>
      <c r="BD97" s="511"/>
      <c r="BI97" s="141"/>
    </row>
    <row r="98" spans="3:61 15027:15419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2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29</v>
      </c>
      <c r="BC98" s="511"/>
      <c r="BD98" s="511"/>
      <c r="BI98" s="141"/>
    </row>
    <row r="99" spans="3:61 15027:15419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2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4">
        <v>0</v>
      </c>
      <c r="AW99" s="1"/>
      <c r="BC99" s="511"/>
      <c r="BD99" s="511"/>
      <c r="BI99" s="147"/>
    </row>
    <row r="100" spans="3:61 15027:15419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2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54">
        <v>0</v>
      </c>
      <c r="AW100" s="1">
        <v>37542</v>
      </c>
      <c r="BC100" s="511"/>
      <c r="BD100" s="511"/>
      <c r="BI100" s="147"/>
    </row>
    <row r="101" spans="3:61 15027:15419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2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M101" s="63" t="s">
        <v>28</v>
      </c>
      <c r="BC101" s="511"/>
      <c r="BD101" s="511"/>
      <c r="BI101" s="141"/>
    </row>
    <row r="102" spans="3:61 15027:15419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22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/>
      <c r="AK102" s="33"/>
      <c r="AM102" s="54">
        <v>0</v>
      </c>
      <c r="BC102" s="511"/>
      <c r="BD102" s="511"/>
      <c r="BI102" s="141"/>
    </row>
    <row r="103" spans="3:61 15027:15419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1922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/>
      <c r="AK103" s="33"/>
      <c r="AM103" s="54">
        <v>0</v>
      </c>
      <c r="BC103" s="511"/>
      <c r="BD103" s="511"/>
      <c r="BI103" s="141"/>
    </row>
    <row r="104" spans="3:61 15027:15419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0">
        <v>0</v>
      </c>
      <c r="H104" s="280">
        <v>0</v>
      </c>
      <c r="I104" s="280">
        <v>0</v>
      </c>
      <c r="J104" s="280">
        <v>0</v>
      </c>
      <c r="K104" s="280">
        <v>0</v>
      </c>
      <c r="L104" s="280">
        <v>0</v>
      </c>
      <c r="M104" s="280">
        <v>0</v>
      </c>
      <c r="N104" s="280">
        <v>0</v>
      </c>
      <c r="O104" s="280">
        <v>0</v>
      </c>
      <c r="P104" s="280">
        <v>0</v>
      </c>
      <c r="Q104" s="280">
        <v>0</v>
      </c>
      <c r="R104" s="280">
        <v>0</v>
      </c>
      <c r="S104" s="1936">
        <v>0</v>
      </c>
      <c r="T104" s="280">
        <v>0</v>
      </c>
      <c r="U104" s="280">
        <v>0</v>
      </c>
      <c r="V104" s="280">
        <v>0</v>
      </c>
      <c r="W104" s="280">
        <v>0</v>
      </c>
      <c r="X104" s="280">
        <v>0</v>
      </c>
      <c r="Y104" s="280">
        <v>0</v>
      </c>
      <c r="Z104" s="280">
        <v>0</v>
      </c>
      <c r="AA104" s="280">
        <v>0</v>
      </c>
      <c r="AB104" s="280">
        <v>0</v>
      </c>
      <c r="AC104" s="280">
        <v>0</v>
      </c>
      <c r="AD104" s="280">
        <v>0</v>
      </c>
      <c r="AE104" s="280">
        <v>0</v>
      </c>
      <c r="AF104" s="280">
        <v>0</v>
      </c>
      <c r="AG104" s="280">
        <v>0</v>
      </c>
      <c r="AH104" s="280">
        <v>0</v>
      </c>
      <c r="AI104" s="280"/>
      <c r="AJ104" s="280"/>
      <c r="AK104" s="280"/>
      <c r="AM104" s="54">
        <v>0</v>
      </c>
      <c r="BC104" s="511"/>
      <c r="BD104" s="511"/>
      <c r="BI104" s="141"/>
    </row>
    <row r="105" spans="3:61 15027:15419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1922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/>
      <c r="AK105" s="33"/>
      <c r="AM105" s="54">
        <v>0</v>
      </c>
      <c r="BC105" s="511"/>
      <c r="BD105" s="511"/>
      <c r="BI105" s="141"/>
    </row>
    <row r="106" spans="3:61 15027:15419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25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3"/>
      <c r="AM106" s="78" t="s">
        <v>130</v>
      </c>
      <c r="BC106" s="511"/>
      <c r="BD106" s="511"/>
      <c r="BI106" s="140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  <c r="VUA106" s="46"/>
    </row>
    <row r="107" spans="3:61 15027:15419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2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29</v>
      </c>
      <c r="BC107" s="511"/>
      <c r="BD107" s="511"/>
      <c r="BI107" s="141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2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54">
        <v>0</v>
      </c>
      <c r="BC108" s="511"/>
      <c r="BD108" s="511"/>
      <c r="BI108" s="141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2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54">
        <v>0</v>
      </c>
      <c r="BC109" s="511"/>
      <c r="BD109" s="511"/>
      <c r="BI109" s="141"/>
    </row>
    <row r="110" spans="3:61 15027:15419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2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3" t="s">
        <v>28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C110" s="511"/>
      <c r="BD110" s="511"/>
      <c r="BI110" s="141"/>
    </row>
    <row r="111" spans="3:61 15027:15419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1922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/>
      <c r="AJ111" s="33"/>
      <c r="AK111" s="33"/>
      <c r="AM111" s="54">
        <v>0</v>
      </c>
      <c r="AQ111" s="145"/>
      <c r="AR111" s="141"/>
      <c r="AS111" s="141"/>
      <c r="AT111" s="141"/>
      <c r="AU111" s="148"/>
      <c r="AV111" s="141"/>
      <c r="AW111" s="141"/>
      <c r="AX111" s="141"/>
      <c r="AY111" s="141"/>
      <c r="AZ111" s="141"/>
      <c r="BC111" s="511"/>
      <c r="BD111" s="511"/>
      <c r="BI111" s="141"/>
    </row>
    <row r="112" spans="3:61 15027:15419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1922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/>
      <c r="AK112" s="33"/>
      <c r="AM112" s="54">
        <v>0</v>
      </c>
      <c r="AQ112" s="140"/>
      <c r="AR112" s="141"/>
      <c r="AS112" s="141"/>
      <c r="AT112" s="141"/>
      <c r="AU112" s="141"/>
      <c r="AV112" s="141"/>
      <c r="AW112" s="141"/>
      <c r="AX112" s="141"/>
      <c r="AY112" s="141"/>
      <c r="AZ112" s="141"/>
      <c r="BC112" s="511"/>
      <c r="BD112" s="511"/>
      <c r="BI112" s="141"/>
    </row>
    <row r="113" spans="3:61 15027:15419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25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3"/>
      <c r="AM113" s="78" t="s">
        <v>130</v>
      </c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</row>
    <row r="114" spans="3:61 15027:15419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2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M114" s="63" t="s">
        <v>29</v>
      </c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C114" s="511"/>
      <c r="BD114" s="511"/>
      <c r="BI114" s="141"/>
    </row>
    <row r="115" spans="3:61 15027:15419" s="1" customFormat="1" ht="15" hidden="1" customHeight="1" x14ac:dyDescent="0.25">
      <c r="C115" s="15"/>
      <c r="D115" s="14" t="s">
        <v>49</v>
      </c>
      <c r="E115" s="125">
        <v>0.3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23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/>
      <c r="AM115" s="58" t="e">
        <v>#DIV/0!</v>
      </c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C115" s="511"/>
      <c r="BD115" s="511"/>
      <c r="BI115" s="141"/>
    </row>
    <row r="116" spans="3:61 15027:15419" s="1" customFormat="1" ht="15" hidden="1" customHeight="1" x14ac:dyDescent="0.25">
      <c r="C116" s="15"/>
      <c r="D116" s="14" t="s">
        <v>48</v>
      </c>
      <c r="E116" s="125">
        <v>0.3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23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/>
      <c r="AK116" s="34"/>
      <c r="AM116" s="58" t="e">
        <v>#DIV/0!</v>
      </c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C116" s="511"/>
      <c r="BD116" s="511"/>
      <c r="BI116" s="141"/>
    </row>
    <row r="117" spans="3:61 15027:15419" s="1" customFormat="1" ht="15" hidden="1" customHeight="1" x14ac:dyDescent="0.25">
      <c r="C117" s="15"/>
      <c r="D117" s="30" t="s">
        <v>28</v>
      </c>
      <c r="E117" s="125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23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M117" s="63" t="s">
        <v>28</v>
      </c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C117" s="511"/>
      <c r="BD117" s="511"/>
      <c r="BI117" s="141"/>
    </row>
    <row r="118" spans="3:61 15027:15419" s="1" customFormat="1" ht="15" hidden="1" customHeight="1" x14ac:dyDescent="0.25">
      <c r="C118" s="15"/>
      <c r="D118" s="14" t="s">
        <v>49</v>
      </c>
      <c r="E118" s="125">
        <v>0.5</v>
      </c>
      <c r="F118" s="20" t="s">
        <v>25</v>
      </c>
      <c r="G118" s="34" t="e">
        <v>#DIV/0!</v>
      </c>
      <c r="H118" s="34" t="e">
        <v>#DIV/0!</v>
      </c>
      <c r="I118" s="34" t="e">
        <v>#DIV/0!</v>
      </c>
      <c r="J118" s="34" t="e">
        <v>#DIV/0!</v>
      </c>
      <c r="K118" s="34" t="e">
        <v>#DIV/0!</v>
      </c>
      <c r="L118" s="34" t="e">
        <v>#DIV/0!</v>
      </c>
      <c r="M118" s="34" t="e">
        <v>#DIV/0!</v>
      </c>
      <c r="N118" s="34" t="e">
        <v>#DIV/0!</v>
      </c>
      <c r="O118" s="34" t="e">
        <v>#DIV/0!</v>
      </c>
      <c r="P118" s="34" t="e">
        <v>#DIV/0!</v>
      </c>
      <c r="Q118" s="34" t="e">
        <v>#DIV/0!</v>
      </c>
      <c r="R118" s="34" t="e">
        <v>#DIV/0!</v>
      </c>
      <c r="S118" s="1923" t="e">
        <v>#DIV/0!</v>
      </c>
      <c r="T118" s="34" t="e">
        <v>#DIV/0!</v>
      </c>
      <c r="U118" s="34" t="e">
        <v>#DIV/0!</v>
      </c>
      <c r="V118" s="34" t="e">
        <v>#DIV/0!</v>
      </c>
      <c r="W118" s="34" t="e">
        <v>#DIV/0!</v>
      </c>
      <c r="X118" s="34" t="e">
        <v>#DIV/0!</v>
      </c>
      <c r="Y118" s="34" t="e">
        <v>#DIV/0!</v>
      </c>
      <c r="Z118" s="34" t="e">
        <v>#DIV/0!</v>
      </c>
      <c r="AA118" s="34" t="e">
        <v>#DIV/0!</v>
      </c>
      <c r="AB118" s="34" t="e">
        <v>#DIV/0!</v>
      </c>
      <c r="AC118" s="34" t="e">
        <v>#DIV/0!</v>
      </c>
      <c r="AD118" s="34" t="e">
        <v>#DIV/0!</v>
      </c>
      <c r="AE118" s="34" t="e">
        <v>#DIV/0!</v>
      </c>
      <c r="AF118" s="34" t="e">
        <v>#DIV/0!</v>
      </c>
      <c r="AG118" s="34" t="e">
        <v>#DIV/0!</v>
      </c>
      <c r="AH118" s="34" t="e">
        <v>#DIV/0!</v>
      </c>
      <c r="AI118" s="34"/>
      <c r="AJ118" s="34"/>
      <c r="AK118" s="34"/>
      <c r="AM118" s="58" t="e">
        <v>#DIV/0!</v>
      </c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C118" s="511"/>
      <c r="BD118" s="511"/>
      <c r="BI118" s="141"/>
    </row>
    <row r="119" spans="3:61 15027:15419" s="1" customFormat="1" ht="15.75" hidden="1" customHeight="1" x14ac:dyDescent="0.25">
      <c r="C119" s="19"/>
      <c r="D119" s="14" t="s">
        <v>48</v>
      </c>
      <c r="E119" s="125">
        <v>0.5</v>
      </c>
      <c r="F119" s="20" t="s">
        <v>25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1923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/>
      <c r="AK119" s="34"/>
      <c r="AM119" s="58" t="e">
        <v>#DIV/0!</v>
      </c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C119" s="511"/>
      <c r="BD119" s="511"/>
      <c r="BI119" s="141"/>
    </row>
    <row r="120" spans="3:61 15027:15419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25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3"/>
      <c r="AM120" s="78" t="s">
        <v>129</v>
      </c>
      <c r="AQ120" s="140"/>
      <c r="AR120" s="140"/>
      <c r="AS120" s="141"/>
      <c r="AT120" s="141"/>
      <c r="AU120" s="140"/>
      <c r="AV120" s="141"/>
      <c r="AW120" s="140"/>
      <c r="AX120" s="140"/>
      <c r="AY120" s="140"/>
      <c r="AZ120" s="140"/>
      <c r="BC120" s="511"/>
      <c r="BD120" s="511"/>
      <c r="BI120" s="140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  <c r="VUA120" s="46"/>
    </row>
    <row r="121" spans="3:61 15027:15419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23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"/>
      <c r="AM121" s="89">
        <v>0</v>
      </c>
      <c r="AQ121" s="140"/>
      <c r="AR121" s="141"/>
      <c r="AS121" s="141"/>
      <c r="AT121" s="141"/>
      <c r="AU121" s="140"/>
      <c r="AV121" s="141"/>
      <c r="AW121" s="141"/>
      <c r="AX121" s="141"/>
      <c r="AY121" s="141"/>
      <c r="AZ121" s="141"/>
      <c r="BC121" s="511"/>
      <c r="BD121" s="511"/>
      <c r="BI121" s="141"/>
    </row>
    <row r="122" spans="3:61 15027:15419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1923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/>
      <c r="AJ122" s="34"/>
      <c r="AK122" s="34"/>
      <c r="AM122" s="58">
        <v>0</v>
      </c>
      <c r="AQ122" s="149"/>
      <c r="AR122" s="145"/>
      <c r="AS122" s="145"/>
      <c r="AT122" s="145"/>
      <c r="AU122" s="145"/>
      <c r="AV122" s="145"/>
      <c r="AW122" s="141"/>
      <c r="AX122" s="141"/>
      <c r="AY122" s="141"/>
      <c r="AZ122" s="141"/>
      <c r="BC122" s="511"/>
      <c r="BD122" s="511"/>
      <c r="BI122" s="141"/>
    </row>
    <row r="123" spans="3:61 15027:15419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1923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/>
      <c r="AJ123" s="34"/>
      <c r="AK123" s="34"/>
      <c r="AM123" s="58">
        <v>0</v>
      </c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C123" s="511"/>
      <c r="BD123" s="511"/>
      <c r="BI123" s="141"/>
    </row>
    <row r="124" spans="3:61 15027:15419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1923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/>
      <c r="AK124" s="34"/>
      <c r="AM124" s="58">
        <v>0</v>
      </c>
      <c r="BC124" s="511"/>
      <c r="BD124" s="511"/>
      <c r="BI124" s="141"/>
    </row>
    <row r="125" spans="3:61 15027:15419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2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29</v>
      </c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C125" s="511"/>
      <c r="BD125" s="511"/>
      <c r="BI125" s="141"/>
    </row>
    <row r="126" spans="3:61 15027:15419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2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91">
        <v>0</v>
      </c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C126" s="511"/>
      <c r="BD126" s="511"/>
      <c r="BI126" s="147"/>
    </row>
    <row r="127" spans="3:61 15027:15419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2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91">
        <v>0</v>
      </c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C127" s="511"/>
      <c r="BD127" s="511"/>
      <c r="BI127" s="147"/>
    </row>
    <row r="128" spans="3:61 15027:15419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2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M128" s="63" t="s">
        <v>28</v>
      </c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C128" s="511"/>
      <c r="BD128" s="511"/>
      <c r="BI128" s="141"/>
    </row>
    <row r="129" spans="3:61 15027:15419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22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/>
      <c r="AK129" s="33"/>
      <c r="AM129" s="54">
        <v>0</v>
      </c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C129" s="511"/>
      <c r="BD129" s="511"/>
      <c r="BI129" s="141"/>
    </row>
    <row r="130" spans="3:61 15027:15419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1922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/>
      <c r="AK130" s="33"/>
      <c r="AM130" s="54">
        <v>0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C130" s="511"/>
      <c r="BD130" s="511"/>
      <c r="BI130" s="141"/>
    </row>
    <row r="131" spans="3:61 15027:15419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1922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/>
      <c r="AK131" s="33"/>
      <c r="AM131" s="54">
        <v>0</v>
      </c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C131" s="511"/>
      <c r="BD131" s="511"/>
      <c r="BI131" s="141"/>
    </row>
    <row r="132" spans="3:61 15027:15419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1922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/>
      <c r="AK132" s="33"/>
      <c r="AM132" s="54">
        <v>0</v>
      </c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C132" s="511"/>
      <c r="BD132" s="511"/>
      <c r="BI132" s="141"/>
    </row>
    <row r="133" spans="3:61 15027:15419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25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"/>
      <c r="AM133" s="78" t="s">
        <v>130</v>
      </c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C133" s="511"/>
      <c r="BD133" s="511"/>
      <c r="BI133" s="140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  <c r="VUA133" s="46"/>
    </row>
    <row r="134" spans="3:61 15027:15419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2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29</v>
      </c>
      <c r="BC134" s="511"/>
      <c r="BD134" s="511"/>
      <c r="BI134" s="141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2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M135" s="54">
        <v>0</v>
      </c>
      <c r="BC135" s="511"/>
      <c r="BD135" s="511"/>
      <c r="BI135" s="141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2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M136" s="54">
        <v>0</v>
      </c>
      <c r="BC136" s="511"/>
      <c r="BD136" s="511"/>
      <c r="BI136" s="141"/>
    </row>
    <row r="137" spans="3:61 15027:15419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2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3" t="s">
        <v>28</v>
      </c>
      <c r="BC137" s="511"/>
      <c r="BD137" s="511"/>
      <c r="BI137" s="141"/>
    </row>
    <row r="138" spans="3:61 15027:15419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1922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  <c r="AI138" s="33"/>
      <c r="AJ138" s="33"/>
      <c r="AK138" s="33"/>
      <c r="AM138" s="54">
        <v>0</v>
      </c>
      <c r="BC138" s="511"/>
      <c r="BD138" s="511"/>
      <c r="BI138" s="141"/>
    </row>
    <row r="139" spans="3:61 15027:15419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1922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/>
      <c r="AK139" s="33"/>
      <c r="AM139" s="54">
        <v>0</v>
      </c>
      <c r="BC139" s="511"/>
      <c r="BD139" s="511"/>
      <c r="BI139" s="141"/>
    </row>
    <row r="140" spans="3:61 15027:15419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25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3"/>
      <c r="AM140" s="78" t="s">
        <v>130</v>
      </c>
      <c r="BC140" s="511"/>
      <c r="BD140" s="511"/>
      <c r="BI140" s="140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  <c r="VUA140" s="46"/>
    </row>
    <row r="141" spans="3:61 15027:15419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2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M141" s="63" t="s">
        <v>29</v>
      </c>
      <c r="BC141" s="511"/>
      <c r="BD141" s="511"/>
      <c r="BI141" s="141"/>
    </row>
    <row r="142" spans="3:61 15027:15419" s="1" customFormat="1" ht="15" hidden="1" customHeight="1" x14ac:dyDescent="0.25">
      <c r="C142" s="15"/>
      <c r="D142" s="11" t="s">
        <v>45</v>
      </c>
      <c r="E142" s="125">
        <v>0.3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23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/>
      <c r="AM142" s="58" t="e">
        <v>#DIV/0!</v>
      </c>
      <c r="BC142" s="511"/>
      <c r="BD142" s="511"/>
      <c r="BI142" s="141"/>
    </row>
    <row r="143" spans="3:61 15027:15419" s="1" customFormat="1" ht="15" hidden="1" customHeight="1" x14ac:dyDescent="0.25">
      <c r="C143" s="15"/>
      <c r="D143" s="11" t="s">
        <v>44</v>
      </c>
      <c r="E143" s="125">
        <v>0.3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23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/>
      <c r="AK143" s="34"/>
      <c r="AM143" s="58" t="e">
        <v>#DIV/0!</v>
      </c>
      <c r="BC143" s="511"/>
      <c r="BD143" s="511"/>
      <c r="BI143" s="141"/>
    </row>
    <row r="144" spans="3:61 15027:15419" s="1" customFormat="1" ht="15" hidden="1" customHeight="1" x14ac:dyDescent="0.25">
      <c r="C144" s="15"/>
      <c r="D144" s="30" t="s">
        <v>28</v>
      </c>
      <c r="E144" s="125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23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M144" s="63" t="s">
        <v>28</v>
      </c>
      <c r="BC144" s="511"/>
      <c r="BD144" s="511"/>
      <c r="BI144" s="141"/>
    </row>
    <row r="145" spans="3:61" s="1" customFormat="1" ht="15" hidden="1" customHeight="1" x14ac:dyDescent="0.25">
      <c r="C145" s="15"/>
      <c r="D145" s="11" t="s">
        <v>45</v>
      </c>
      <c r="E145" s="125">
        <v>0.5</v>
      </c>
      <c r="F145" s="20" t="s">
        <v>25</v>
      </c>
      <c r="G145" s="34" t="e">
        <v>#DIV/0!</v>
      </c>
      <c r="H145" s="34" t="e">
        <v>#DIV/0!</v>
      </c>
      <c r="I145" s="34" t="e">
        <v>#DIV/0!</v>
      </c>
      <c r="J145" s="34" t="e">
        <v>#DIV/0!</v>
      </c>
      <c r="K145" s="34" t="e">
        <v>#DIV/0!</v>
      </c>
      <c r="L145" s="34" t="e">
        <v>#DIV/0!</v>
      </c>
      <c r="M145" s="34" t="e">
        <v>#DIV/0!</v>
      </c>
      <c r="N145" s="34" t="e">
        <v>#DIV/0!</v>
      </c>
      <c r="O145" s="34" t="e">
        <v>#DIV/0!</v>
      </c>
      <c r="P145" s="34" t="e">
        <v>#DIV/0!</v>
      </c>
      <c r="Q145" s="34" t="e">
        <v>#DIV/0!</v>
      </c>
      <c r="R145" s="34" t="e">
        <v>#DIV/0!</v>
      </c>
      <c r="S145" s="1923" t="e">
        <v>#DIV/0!</v>
      </c>
      <c r="T145" s="34" t="e">
        <v>#DIV/0!</v>
      </c>
      <c r="U145" s="34" t="e">
        <v>#DIV/0!</v>
      </c>
      <c r="V145" s="34" t="e">
        <v>#DIV/0!</v>
      </c>
      <c r="W145" s="34" t="e">
        <v>#DIV/0!</v>
      </c>
      <c r="X145" s="34" t="e">
        <v>#DIV/0!</v>
      </c>
      <c r="Y145" s="34" t="e">
        <v>#DIV/0!</v>
      </c>
      <c r="Z145" s="34" t="e">
        <v>#DIV/0!</v>
      </c>
      <c r="AA145" s="34" t="e">
        <v>#DIV/0!</v>
      </c>
      <c r="AB145" s="34" t="e">
        <v>#DIV/0!</v>
      </c>
      <c r="AC145" s="34" t="e">
        <v>#DIV/0!</v>
      </c>
      <c r="AD145" s="34" t="e">
        <v>#DIV/0!</v>
      </c>
      <c r="AE145" s="34" t="e">
        <v>#DIV/0!</v>
      </c>
      <c r="AF145" s="34" t="e">
        <v>#DIV/0!</v>
      </c>
      <c r="AG145" s="34" t="e">
        <v>#DIV/0!</v>
      </c>
      <c r="AH145" s="34" t="e">
        <v>#DIV/0!</v>
      </c>
      <c r="AI145" s="34"/>
      <c r="AJ145" s="34"/>
      <c r="AK145" s="34"/>
      <c r="AM145" s="58" t="e">
        <v>#DIV/0!</v>
      </c>
      <c r="BC145" s="511"/>
      <c r="BD145" s="511"/>
      <c r="BI145" s="141"/>
    </row>
    <row r="146" spans="3:61" s="1" customFormat="1" ht="15" hidden="1" customHeight="1" x14ac:dyDescent="0.25">
      <c r="C146" s="15"/>
      <c r="D146" s="11" t="s">
        <v>44</v>
      </c>
      <c r="E146" s="125">
        <v>0.5</v>
      </c>
      <c r="F146" s="20" t="s">
        <v>25</v>
      </c>
      <c r="G146" s="34" t="e">
        <v>#DIV/0!</v>
      </c>
      <c r="H146" s="34" t="e">
        <v>#DIV/0!</v>
      </c>
      <c r="I146" s="34" t="e">
        <v>#DIV/0!</v>
      </c>
      <c r="J146" s="34" t="e">
        <v>#DIV/0!</v>
      </c>
      <c r="K146" s="34" t="e">
        <v>#DIV/0!</v>
      </c>
      <c r="L146" s="34" t="e">
        <v>#DIV/0!</v>
      </c>
      <c r="M146" s="34" t="e">
        <v>#DIV/0!</v>
      </c>
      <c r="N146" s="34" t="e">
        <v>#DIV/0!</v>
      </c>
      <c r="O146" s="34" t="e">
        <v>#DIV/0!</v>
      </c>
      <c r="P146" s="34" t="e">
        <v>#DIV/0!</v>
      </c>
      <c r="Q146" s="34" t="e">
        <v>#DIV/0!</v>
      </c>
      <c r="R146" s="34" t="e">
        <v>#DIV/0!</v>
      </c>
      <c r="S146" s="1923" t="e">
        <v>#DIV/0!</v>
      </c>
      <c r="T146" s="34" t="e">
        <v>#DIV/0!</v>
      </c>
      <c r="U146" s="34" t="e">
        <v>#DIV/0!</v>
      </c>
      <c r="V146" s="34" t="e">
        <v>#DIV/0!</v>
      </c>
      <c r="W146" s="34" t="e">
        <v>#DIV/0!</v>
      </c>
      <c r="X146" s="34" t="e">
        <v>#DIV/0!</v>
      </c>
      <c r="Y146" s="34" t="e">
        <v>#DIV/0!</v>
      </c>
      <c r="Z146" s="34" t="e">
        <v>#DIV/0!</v>
      </c>
      <c r="AA146" s="34" t="e">
        <v>#DIV/0!</v>
      </c>
      <c r="AB146" s="34" t="e">
        <v>#DIV/0!</v>
      </c>
      <c r="AC146" s="34" t="e">
        <v>#DIV/0!</v>
      </c>
      <c r="AD146" s="34" t="e">
        <v>#DIV/0!</v>
      </c>
      <c r="AE146" s="34" t="e">
        <v>#DIV/0!</v>
      </c>
      <c r="AF146" s="34" t="e">
        <v>#DIV/0!</v>
      </c>
      <c r="AG146" s="34" t="e">
        <v>#DIV/0!</v>
      </c>
      <c r="AH146" s="34" t="e">
        <v>#DIV/0!</v>
      </c>
      <c r="AI146" s="34"/>
      <c r="AJ146" s="34"/>
      <c r="AK146" s="34"/>
      <c r="AM146" s="58" t="e">
        <v>#DIV/0!</v>
      </c>
      <c r="BC146" s="511"/>
      <c r="BD146" s="511"/>
      <c r="BI146" s="141"/>
    </row>
    <row r="147" spans="3:61" s="1" customFormat="1" ht="15" hidden="1" customHeight="1" x14ac:dyDescent="0.25">
      <c r="C147" s="15"/>
      <c r="D147" s="47" t="s">
        <v>43</v>
      </c>
      <c r="E147" s="126"/>
      <c r="F147" s="92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1937"/>
      <c r="T147" s="281"/>
      <c r="U147" s="281"/>
      <c r="V147" s="281"/>
      <c r="W147" s="281"/>
      <c r="X147" s="281"/>
      <c r="Y147" s="281"/>
      <c r="Z147" s="281"/>
      <c r="AA147" s="281"/>
      <c r="AB147" s="281"/>
      <c r="AC147" s="281"/>
      <c r="AD147" s="281"/>
      <c r="AE147" s="281"/>
      <c r="AF147" s="281"/>
      <c r="AG147" s="281"/>
      <c r="AH147" s="281"/>
      <c r="AI147" s="281"/>
      <c r="AJ147" s="281"/>
      <c r="AK147" s="281"/>
      <c r="AL147" s="18"/>
      <c r="AM147" s="78" t="s">
        <v>129</v>
      </c>
      <c r="BC147" s="511"/>
      <c r="BD147" s="511"/>
    </row>
    <row r="148" spans="3:61" s="1" customFormat="1" ht="15" hidden="1" customHeight="1" x14ac:dyDescent="0.25">
      <c r="C148" s="15"/>
      <c r="D148" s="28" t="s">
        <v>113</v>
      </c>
      <c r="E148" s="125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24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35"/>
      <c r="AM148" s="89">
        <v>0</v>
      </c>
      <c r="BC148" s="511"/>
      <c r="BD148" s="511"/>
    </row>
    <row r="149" spans="3:61" s="1" customFormat="1" ht="15" hidden="1" customHeight="1" x14ac:dyDescent="0.25">
      <c r="C149" s="15"/>
      <c r="D149" s="28" t="s">
        <v>114</v>
      </c>
      <c r="E149" s="125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23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93">
        <v>0</v>
      </c>
      <c r="BC149" s="511"/>
      <c r="BD149" s="511"/>
    </row>
    <row r="150" spans="3:61" s="1" customFormat="1" ht="15" hidden="1" customHeight="1" x14ac:dyDescent="0.25">
      <c r="C150" s="15"/>
      <c r="D150" s="30" t="s">
        <v>39</v>
      </c>
      <c r="E150" s="125"/>
      <c r="F150" s="20" t="s">
        <v>14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1923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/>
      <c r="AK150" s="34"/>
      <c r="AL150" s="18"/>
      <c r="AM150" s="58">
        <v>0</v>
      </c>
      <c r="BC150" s="511"/>
      <c r="BD150" s="511"/>
    </row>
    <row r="151" spans="3:61" s="1" customFormat="1" ht="15" hidden="1" customHeight="1" x14ac:dyDescent="0.25">
      <c r="C151" s="15"/>
      <c r="D151" s="30" t="s">
        <v>38</v>
      </c>
      <c r="E151" s="125"/>
      <c r="F151" s="20" t="s">
        <v>14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1923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/>
      <c r="AK151" s="34"/>
      <c r="AL151" s="18"/>
      <c r="AM151" s="58">
        <v>0</v>
      </c>
      <c r="BC151" s="511"/>
      <c r="BD151" s="511"/>
    </row>
    <row r="152" spans="3:61" s="1" customFormat="1" ht="15" hidden="1" customHeight="1" x14ac:dyDescent="0.25">
      <c r="C152" s="15"/>
      <c r="D152" s="30" t="s">
        <v>29</v>
      </c>
      <c r="E152" s="125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2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29</v>
      </c>
      <c r="BC152" s="511"/>
      <c r="BD152" s="511"/>
    </row>
    <row r="153" spans="3:61" s="1" customFormat="1" ht="15" hidden="1" customHeight="1" x14ac:dyDescent="0.2">
      <c r="C153" s="15"/>
      <c r="D153" s="11" t="s">
        <v>42</v>
      </c>
      <c r="E153" s="125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2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7"/>
      <c r="AM153" s="91">
        <v>0</v>
      </c>
      <c r="BC153" s="511"/>
      <c r="BD153" s="511"/>
    </row>
    <row r="154" spans="3:61" s="1" customFormat="1" ht="15" hidden="1" customHeight="1" x14ac:dyDescent="0.2">
      <c r="C154" s="15"/>
      <c r="D154" s="11" t="s">
        <v>41</v>
      </c>
      <c r="E154" s="125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2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91">
        <v>0</v>
      </c>
      <c r="BC154" s="511"/>
      <c r="BD154" s="511"/>
    </row>
    <row r="155" spans="3:61" s="1" customFormat="1" ht="15" hidden="1" customHeight="1" x14ac:dyDescent="0.25">
      <c r="C155" s="15"/>
      <c r="D155" s="30" t="s">
        <v>28</v>
      </c>
      <c r="E155" s="125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2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6"/>
      <c r="AM155" s="63" t="s">
        <v>28</v>
      </c>
      <c r="BC155" s="511"/>
      <c r="BD155" s="511"/>
    </row>
    <row r="156" spans="3:61" s="1" customFormat="1" ht="15" hidden="1" customHeight="1" x14ac:dyDescent="0.25">
      <c r="C156" s="15"/>
      <c r="D156" s="11" t="s">
        <v>42</v>
      </c>
      <c r="E156" s="125"/>
      <c r="F156" s="20" t="s">
        <v>28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22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/>
      <c r="AK156" s="33"/>
      <c r="AL156" s="6"/>
      <c r="AM156" s="54">
        <v>0</v>
      </c>
      <c r="BC156" s="511"/>
      <c r="BD156" s="511"/>
    </row>
    <row r="157" spans="3:61" s="1" customFormat="1" ht="15" hidden="1" customHeight="1" x14ac:dyDescent="0.25">
      <c r="C157" s="15"/>
      <c r="D157" s="11" t="s">
        <v>41</v>
      </c>
      <c r="E157" s="125"/>
      <c r="F157" s="20" t="s">
        <v>28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1922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  <c r="AI157" s="33"/>
      <c r="AJ157" s="33"/>
      <c r="AK157" s="33"/>
      <c r="AL157" s="6"/>
      <c r="AM157" s="54">
        <v>0</v>
      </c>
      <c r="BC157" s="511"/>
      <c r="BD157" s="511"/>
    </row>
    <row r="158" spans="3:61" s="1" customFormat="1" ht="15" hidden="1" customHeight="1" x14ac:dyDescent="0.25">
      <c r="C158" s="15"/>
      <c r="D158" s="30" t="s">
        <v>36</v>
      </c>
      <c r="E158" s="125"/>
      <c r="F158" s="20" t="s">
        <v>35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1922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/>
      <c r="AK158" s="33"/>
      <c r="AL158" s="6"/>
      <c r="AM158" s="54">
        <v>0</v>
      </c>
      <c r="BC158" s="511"/>
      <c r="BD158" s="511"/>
    </row>
    <row r="159" spans="3:61" s="1" customFormat="1" ht="15" hidden="1" customHeight="1" x14ac:dyDescent="0.25">
      <c r="C159" s="15"/>
      <c r="D159" s="30" t="s">
        <v>34</v>
      </c>
      <c r="E159" s="125"/>
      <c r="F159" s="20" t="s">
        <v>33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1922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/>
      <c r="AK159" s="33"/>
      <c r="AL159" s="6"/>
      <c r="AM159" s="54">
        <v>0</v>
      </c>
      <c r="BC159" s="511"/>
      <c r="BD159" s="511"/>
    </row>
    <row r="160" spans="3:61" s="1" customFormat="1" ht="15" hidden="1" customHeight="1" x14ac:dyDescent="0.25">
      <c r="C160" s="15"/>
      <c r="D160" s="47" t="s">
        <v>32</v>
      </c>
      <c r="E160" s="126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25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18"/>
      <c r="AM160" s="78" t="s">
        <v>130</v>
      </c>
      <c r="BC160" s="511"/>
      <c r="BD160" s="511"/>
    </row>
    <row r="161" spans="3:61 15027:15419" s="1" customFormat="1" ht="15" hidden="1" customHeight="1" x14ac:dyDescent="0.25">
      <c r="C161" s="15"/>
      <c r="D161" s="30" t="s">
        <v>29</v>
      </c>
      <c r="E161" s="125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2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29</v>
      </c>
      <c r="BC161" s="511"/>
      <c r="BD161" s="511"/>
    </row>
    <row r="162" spans="3:61 15027:15419" s="1" customFormat="1" ht="15" hidden="1" customHeight="1" x14ac:dyDescent="0.25">
      <c r="C162" s="15"/>
      <c r="D162" s="11" t="s">
        <v>42</v>
      </c>
      <c r="E162" s="125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2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18"/>
      <c r="AM162" s="54">
        <v>0</v>
      </c>
      <c r="BC162" s="511"/>
      <c r="BD162" s="511"/>
    </row>
    <row r="163" spans="3:61 15027:15419" s="1" customFormat="1" ht="15" hidden="1" customHeight="1" x14ac:dyDescent="0.25">
      <c r="C163" s="15"/>
      <c r="D163" s="11" t="s">
        <v>41</v>
      </c>
      <c r="E163" s="125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2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18"/>
      <c r="AM163" s="54">
        <v>0</v>
      </c>
      <c r="BC163" s="511"/>
      <c r="BD163" s="511"/>
    </row>
    <row r="164" spans="3:61 15027:15419" s="1" customFormat="1" ht="15" hidden="1" customHeight="1" x14ac:dyDescent="0.25">
      <c r="C164" s="15"/>
      <c r="D164" s="30" t="s">
        <v>28</v>
      </c>
      <c r="E164" s="125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2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63" t="s">
        <v>28</v>
      </c>
      <c r="BC164" s="511"/>
      <c r="BD164" s="511"/>
    </row>
    <row r="165" spans="3:61 15027:15419" s="1" customFormat="1" ht="15" hidden="1" customHeight="1" x14ac:dyDescent="0.25">
      <c r="C165" s="15"/>
      <c r="D165" s="11" t="s">
        <v>42</v>
      </c>
      <c r="E165" s="125"/>
      <c r="F165" s="20" t="s">
        <v>28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1922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  <c r="AI165" s="33"/>
      <c r="AJ165" s="33"/>
      <c r="AK165" s="33"/>
      <c r="AL165" s="18"/>
      <c r="AM165" s="54">
        <v>0</v>
      </c>
      <c r="BC165" s="511"/>
      <c r="BD165" s="511"/>
    </row>
    <row r="166" spans="3:61 15027:15419" s="1" customFormat="1" ht="15" hidden="1" customHeight="1" x14ac:dyDescent="0.25">
      <c r="C166" s="15"/>
      <c r="D166" s="11" t="s">
        <v>41</v>
      </c>
      <c r="E166" s="125"/>
      <c r="F166" s="20" t="s">
        <v>28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1922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  <c r="AI166" s="33"/>
      <c r="AJ166" s="33"/>
      <c r="AK166" s="33"/>
      <c r="AL166" s="18"/>
      <c r="AM166" s="54">
        <v>0</v>
      </c>
      <c r="BC166" s="511"/>
      <c r="BD166" s="511"/>
    </row>
    <row r="167" spans="3:61 15027:15419" s="1" customFormat="1" ht="15" hidden="1" customHeight="1" x14ac:dyDescent="0.25">
      <c r="C167" s="15"/>
      <c r="D167" s="47" t="s">
        <v>30</v>
      </c>
      <c r="E167" s="126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25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18"/>
      <c r="AM167" s="95"/>
      <c r="BC167" s="511"/>
      <c r="BD167" s="511"/>
    </row>
    <row r="168" spans="3:61 15027:15419" s="1" customFormat="1" ht="15" hidden="1" customHeight="1" x14ac:dyDescent="0.25">
      <c r="C168" s="15"/>
      <c r="D168" s="30" t="s">
        <v>29</v>
      </c>
      <c r="E168" s="125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2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18"/>
      <c r="AM168" s="54"/>
      <c r="BC168" s="511"/>
      <c r="BD168" s="511"/>
    </row>
    <row r="169" spans="3:61 15027:15419" s="1" customFormat="1" ht="15" hidden="1" customHeight="1" x14ac:dyDescent="0.25">
      <c r="C169" s="15"/>
      <c r="D169" s="11" t="s">
        <v>42</v>
      </c>
      <c r="E169" s="125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22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/>
      <c r="AL169" s="37"/>
      <c r="AM169" s="54" t="e">
        <v>#DIV/0!</v>
      </c>
      <c r="BC169" s="511"/>
      <c r="BD169" s="511"/>
    </row>
    <row r="170" spans="3:61 15027:15419" s="1" customFormat="1" ht="15" hidden="1" customHeight="1" x14ac:dyDescent="0.25">
      <c r="C170" s="15"/>
      <c r="D170" s="11" t="s">
        <v>90</v>
      </c>
      <c r="E170" s="125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22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/>
      <c r="AK170" s="33"/>
      <c r="AL170" s="37"/>
      <c r="AM170" s="54" t="e">
        <v>#DIV/0!</v>
      </c>
      <c r="BC170" s="511"/>
      <c r="BD170" s="511"/>
    </row>
    <row r="171" spans="3:61 15027:15419" s="1" customFormat="1" ht="15" hidden="1" customHeight="1" x14ac:dyDescent="0.25">
      <c r="C171" s="15"/>
      <c r="D171" s="30" t="s">
        <v>28</v>
      </c>
      <c r="E171" s="125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2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7"/>
      <c r="AM171" s="54"/>
      <c r="BC171" s="511"/>
      <c r="BD171" s="511"/>
    </row>
    <row r="172" spans="3:61 15027:15419" s="1" customFormat="1" ht="15" hidden="1" customHeight="1" x14ac:dyDescent="0.25">
      <c r="C172" s="15"/>
      <c r="D172" s="11" t="s">
        <v>42</v>
      </c>
      <c r="E172" s="125"/>
      <c r="F172" s="20" t="s">
        <v>25</v>
      </c>
      <c r="G172" s="33" t="e">
        <v>#DIV/0!</v>
      </c>
      <c r="H172" s="33" t="e">
        <v>#DIV/0!</v>
      </c>
      <c r="I172" s="33" t="e">
        <v>#DIV/0!</v>
      </c>
      <c r="J172" s="33" t="e">
        <v>#DIV/0!</v>
      </c>
      <c r="K172" s="33" t="e">
        <v>#DIV/0!</v>
      </c>
      <c r="L172" s="33" t="e">
        <v>#DIV/0!</v>
      </c>
      <c r="M172" s="33" t="e">
        <v>#DIV/0!</v>
      </c>
      <c r="N172" s="33" t="e">
        <v>#DIV/0!</v>
      </c>
      <c r="O172" s="33" t="e">
        <v>#DIV/0!</v>
      </c>
      <c r="P172" s="33" t="e">
        <v>#DIV/0!</v>
      </c>
      <c r="Q172" s="33" t="e">
        <v>#DIV/0!</v>
      </c>
      <c r="R172" s="33" t="e">
        <v>#DIV/0!</v>
      </c>
      <c r="S172" s="1922" t="e">
        <v>#DIV/0!</v>
      </c>
      <c r="T172" s="33" t="e">
        <v>#DIV/0!</v>
      </c>
      <c r="U172" s="33" t="e">
        <v>#DIV/0!</v>
      </c>
      <c r="V172" s="33" t="e">
        <v>#DIV/0!</v>
      </c>
      <c r="W172" s="33" t="e">
        <v>#DIV/0!</v>
      </c>
      <c r="X172" s="33" t="e">
        <v>#DIV/0!</v>
      </c>
      <c r="Y172" s="33" t="e">
        <v>#DIV/0!</v>
      </c>
      <c r="Z172" s="33" t="e">
        <v>#DIV/0!</v>
      </c>
      <c r="AA172" s="33" t="e">
        <v>#DIV/0!</v>
      </c>
      <c r="AB172" s="33" t="e">
        <v>#DIV/0!</v>
      </c>
      <c r="AC172" s="33" t="e">
        <v>#DIV/0!</v>
      </c>
      <c r="AD172" s="33" t="e">
        <v>#DIV/0!</v>
      </c>
      <c r="AE172" s="33" t="e">
        <v>#DIV/0!</v>
      </c>
      <c r="AF172" s="33" t="e">
        <v>#DIV/0!</v>
      </c>
      <c r="AG172" s="33" t="e">
        <v>#DIV/0!</v>
      </c>
      <c r="AH172" s="33" t="e">
        <v>#DIV/0!</v>
      </c>
      <c r="AI172" s="33"/>
      <c r="AJ172" s="33"/>
      <c r="AK172" s="33"/>
      <c r="AL172" s="37"/>
      <c r="AM172" s="54" t="e">
        <v>#DIV/0!</v>
      </c>
      <c r="BC172" s="511"/>
      <c r="BD172" s="511"/>
    </row>
    <row r="173" spans="3:61 15027:15419" s="1" customFormat="1" ht="15.75" hidden="1" customHeight="1" x14ac:dyDescent="0.25">
      <c r="C173" s="19"/>
      <c r="D173" s="11" t="s">
        <v>90</v>
      </c>
      <c r="E173" s="125"/>
      <c r="F173" s="20" t="s">
        <v>25</v>
      </c>
      <c r="G173" s="33" t="e">
        <v>#DIV/0!</v>
      </c>
      <c r="H173" s="33" t="e">
        <v>#DIV/0!</v>
      </c>
      <c r="I173" s="33" t="e">
        <v>#DIV/0!</v>
      </c>
      <c r="J173" s="33" t="e">
        <v>#DIV/0!</v>
      </c>
      <c r="K173" s="33" t="e">
        <v>#DIV/0!</v>
      </c>
      <c r="L173" s="33" t="e">
        <v>#DIV/0!</v>
      </c>
      <c r="M173" s="33" t="e">
        <v>#DIV/0!</v>
      </c>
      <c r="N173" s="33" t="e">
        <v>#DIV/0!</v>
      </c>
      <c r="O173" s="33" t="e">
        <v>#DIV/0!</v>
      </c>
      <c r="P173" s="33" t="e">
        <v>#DIV/0!</v>
      </c>
      <c r="Q173" s="33" t="e">
        <v>#DIV/0!</v>
      </c>
      <c r="R173" s="33" t="e">
        <v>#DIV/0!</v>
      </c>
      <c r="S173" s="1922" t="e">
        <v>#DIV/0!</v>
      </c>
      <c r="T173" s="33" t="e">
        <v>#DIV/0!</v>
      </c>
      <c r="U173" s="33" t="e">
        <v>#DIV/0!</v>
      </c>
      <c r="V173" s="33" t="e">
        <v>#DIV/0!</v>
      </c>
      <c r="W173" s="33" t="e">
        <v>#DIV/0!</v>
      </c>
      <c r="X173" s="33" t="e">
        <v>#DIV/0!</v>
      </c>
      <c r="Y173" s="33" t="e">
        <v>#DIV/0!</v>
      </c>
      <c r="Z173" s="33" t="e">
        <v>#DIV/0!</v>
      </c>
      <c r="AA173" s="33" t="e">
        <v>#DIV/0!</v>
      </c>
      <c r="AB173" s="33" t="e">
        <v>#DIV/0!</v>
      </c>
      <c r="AC173" s="33" t="e">
        <v>#DIV/0!</v>
      </c>
      <c r="AD173" s="33" t="e">
        <v>#DIV/0!</v>
      </c>
      <c r="AE173" s="33" t="e">
        <v>#DIV/0!</v>
      </c>
      <c r="AF173" s="33" t="e">
        <v>#DIV/0!</v>
      </c>
      <c r="AG173" s="33" t="e">
        <v>#DIV/0!</v>
      </c>
      <c r="AH173" s="33" t="e">
        <v>#DIV/0!</v>
      </c>
      <c r="AI173" s="33"/>
      <c r="AJ173" s="33"/>
      <c r="AK173" s="33"/>
      <c r="AL173" s="37"/>
      <c r="AM173" s="54" t="e">
        <v>#DIV/0!</v>
      </c>
      <c r="BC173" s="511"/>
      <c r="BD173" s="511"/>
    </row>
    <row r="174" spans="3:61 15027:15419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25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3"/>
      <c r="AM174" s="78" t="s">
        <v>129</v>
      </c>
      <c r="BC174" s="511"/>
      <c r="BD174" s="511"/>
      <c r="BI174" s="140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  <c r="VUA174" s="46"/>
    </row>
    <row r="175" spans="3:61 15027:15419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24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2"/>
      <c r="AM175" s="89">
        <v>0</v>
      </c>
      <c r="BC175" s="511"/>
      <c r="BD175" s="511"/>
      <c r="BI175" s="141"/>
    </row>
    <row r="176" spans="3:61 15027:15419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1923">
        <v>0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/>
      <c r="AJ176" s="34"/>
      <c r="AK176" s="34"/>
      <c r="AM176" s="58">
        <v>0</v>
      </c>
      <c r="BC176" s="511"/>
      <c r="BD176" s="511"/>
      <c r="BI176" s="141"/>
    </row>
    <row r="177" spans="3:61 15027:15419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1923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/>
      <c r="AJ177" s="34"/>
      <c r="AK177" s="34"/>
      <c r="AM177" s="58">
        <v>0</v>
      </c>
      <c r="BC177" s="511"/>
      <c r="BD177" s="511"/>
      <c r="BI177" s="141"/>
    </row>
    <row r="178" spans="3:61 15027:15419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2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3" t="s">
        <v>29</v>
      </c>
      <c r="BC178" s="511"/>
      <c r="BD178" s="511"/>
      <c r="BI178" s="141"/>
    </row>
    <row r="179" spans="3:61 15027:15419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2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C179" s="511"/>
      <c r="BD179" s="511"/>
      <c r="BI179" s="141"/>
    </row>
    <row r="180" spans="3:61 15027:15419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2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91">
        <v>0</v>
      </c>
      <c r="BC180" s="511"/>
      <c r="BD180" s="511"/>
      <c r="BI180" s="147"/>
    </row>
    <row r="181" spans="3:61 15027:15419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2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91">
        <v>0</v>
      </c>
      <c r="BC181" s="511"/>
      <c r="BD181" s="511"/>
      <c r="BI181" s="147"/>
    </row>
    <row r="182" spans="3:61 15027:15419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2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M182" s="91">
        <v>0</v>
      </c>
      <c r="BC182" s="511"/>
      <c r="BD182" s="511"/>
      <c r="BI182" s="147"/>
    </row>
    <row r="183" spans="3:61 15027:15419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2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3" t="s">
        <v>28</v>
      </c>
      <c r="BC183" s="511"/>
      <c r="BD183" s="511"/>
      <c r="BI183" s="141"/>
    </row>
    <row r="184" spans="3:61 15027:15419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22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/>
      <c r="AM184" s="63"/>
      <c r="BC184" s="511"/>
      <c r="BD184" s="511"/>
      <c r="BI184" s="141"/>
    </row>
    <row r="185" spans="3:61 15027:15419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22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/>
      <c r="AM185" s="54">
        <v>0</v>
      </c>
      <c r="BC185" s="511"/>
      <c r="BD185" s="511"/>
      <c r="BI185" s="141"/>
    </row>
    <row r="186" spans="3:61 15027:15419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22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/>
      <c r="AK186" s="33"/>
      <c r="AM186" s="54">
        <v>0</v>
      </c>
      <c r="BC186" s="511"/>
      <c r="BD186" s="511"/>
      <c r="BI186" s="141"/>
    </row>
    <row r="187" spans="3:61 15027:15419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1922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/>
      <c r="AJ187" s="33"/>
      <c r="AK187" s="33"/>
      <c r="AM187" s="54">
        <v>0</v>
      </c>
      <c r="BC187" s="511"/>
      <c r="BD187" s="511"/>
      <c r="BI187" s="141"/>
    </row>
    <row r="188" spans="3:61 15027:15419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22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/>
      <c r="AM188" s="54">
        <v>0</v>
      </c>
      <c r="BC188" s="511"/>
      <c r="BD188" s="511"/>
      <c r="BI188" s="141"/>
    </row>
    <row r="189" spans="3:61 15027:15419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22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/>
      <c r="AM189" s="54">
        <v>0</v>
      </c>
      <c r="BC189" s="511"/>
      <c r="BD189" s="511"/>
      <c r="BI189" s="141"/>
    </row>
    <row r="190" spans="3:61 15027:15419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25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3"/>
      <c r="AM190" s="78" t="s">
        <v>130</v>
      </c>
      <c r="BC190" s="511"/>
      <c r="BD190" s="511"/>
      <c r="BI190" s="140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  <c r="VUA190" s="46"/>
    </row>
    <row r="191" spans="3:61 15027:15419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2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3" t="s">
        <v>29</v>
      </c>
      <c r="BC191" s="511"/>
      <c r="BD191" s="511"/>
      <c r="BI191" s="141"/>
    </row>
    <row r="192" spans="3:61 15027:15419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22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/>
      <c r="AM192" s="63"/>
      <c r="BC192" s="511"/>
      <c r="BD192" s="511"/>
      <c r="BI192" s="141"/>
    </row>
    <row r="193" spans="3:61 15027:15419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22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/>
      <c r="AM193" s="54">
        <v>0</v>
      </c>
      <c r="BC193" s="511"/>
      <c r="BD193" s="511"/>
      <c r="BI193" s="141"/>
    </row>
    <row r="194" spans="3:61 15027:15419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22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/>
      <c r="AM194" s="54">
        <v>0</v>
      </c>
      <c r="BC194" s="511"/>
      <c r="BD194" s="511"/>
      <c r="BI194" s="141"/>
    </row>
    <row r="195" spans="3:61 15027:15419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2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M195" s="63" t="s">
        <v>28</v>
      </c>
      <c r="BC195" s="511"/>
      <c r="BD195" s="511"/>
      <c r="BI195" s="141"/>
    </row>
    <row r="196" spans="3:61 15027:15419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1922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  <c r="AI196" s="33"/>
      <c r="AJ196" s="33"/>
      <c r="AK196" s="33"/>
      <c r="AM196" s="63"/>
      <c r="BC196" s="511"/>
      <c r="BD196" s="511"/>
      <c r="BI196" s="141"/>
    </row>
    <row r="197" spans="3:61 15027:15419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1922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  <c r="AI197" s="33"/>
      <c r="AJ197" s="33"/>
      <c r="AK197" s="33"/>
      <c r="AM197" s="54">
        <v>0</v>
      </c>
      <c r="BC197" s="511"/>
      <c r="BD197" s="511"/>
      <c r="BI197" s="141"/>
    </row>
    <row r="198" spans="3:61 15027:15419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1922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0</v>
      </c>
      <c r="AG198" s="33">
        <v>0</v>
      </c>
      <c r="AH198" s="33">
        <v>0</v>
      </c>
      <c r="AI198" s="33"/>
      <c r="AJ198" s="33"/>
      <c r="AK198" s="33"/>
      <c r="AM198" s="54">
        <v>0</v>
      </c>
      <c r="BC198" s="511"/>
      <c r="BD198" s="511"/>
      <c r="BI198" s="141"/>
    </row>
    <row r="199" spans="3:61 15027:15419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25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3"/>
      <c r="AM199" s="78" t="s">
        <v>130</v>
      </c>
      <c r="BC199" s="511"/>
      <c r="BD199" s="511"/>
      <c r="BI199" s="140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  <c r="VUA199" s="46"/>
    </row>
    <row r="200" spans="3:61 15027:15419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2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M200" s="63" t="s">
        <v>29</v>
      </c>
      <c r="BC200" s="511"/>
      <c r="BD200" s="511"/>
      <c r="BI200" s="141"/>
    </row>
    <row r="201" spans="3:61 15027:15419" s="1" customFormat="1" ht="15" hidden="1" customHeight="1" x14ac:dyDescent="0.25">
      <c r="C201" s="15"/>
      <c r="D201" s="11" t="s">
        <v>115</v>
      </c>
      <c r="E201" s="125">
        <v>0.3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23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/>
      <c r="AM201" s="63"/>
      <c r="BC201" s="511"/>
      <c r="BD201" s="511"/>
      <c r="BI201" s="141"/>
    </row>
    <row r="202" spans="3:61 15027:15419" s="1" customFormat="1" ht="15" hidden="1" customHeight="1" x14ac:dyDescent="0.25">
      <c r="C202" s="15"/>
      <c r="D202" s="11" t="s">
        <v>27</v>
      </c>
      <c r="E202" s="125">
        <v>0.3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23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/>
      <c r="AM202" s="58" t="e">
        <v>#DIV/0!</v>
      </c>
      <c r="BC202" s="511"/>
      <c r="BD202" s="511"/>
      <c r="BI202" s="141"/>
    </row>
    <row r="203" spans="3:61 15027:15419" s="1" customFormat="1" ht="15" hidden="1" customHeight="1" x14ac:dyDescent="0.25">
      <c r="C203" s="15"/>
      <c r="D203" s="11" t="s">
        <v>26</v>
      </c>
      <c r="E203" s="125">
        <v>0.3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23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/>
      <c r="AM203" s="58" t="e">
        <v>#DIV/0!</v>
      </c>
      <c r="BC203" s="511"/>
      <c r="BD203" s="511"/>
      <c r="BI203" s="141"/>
    </row>
    <row r="204" spans="3:61 15027:15419" s="1" customFormat="1" ht="15" hidden="1" customHeight="1" x14ac:dyDescent="0.25">
      <c r="C204" s="15"/>
      <c r="D204" s="30" t="s">
        <v>28</v>
      </c>
      <c r="E204" s="125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23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M204" s="63" t="s">
        <v>28</v>
      </c>
      <c r="BC204" s="511"/>
      <c r="BD204" s="511"/>
      <c r="BI204" s="141"/>
    </row>
    <row r="205" spans="3:61 15027:15419" s="1" customFormat="1" ht="15" hidden="1" customHeight="1" x14ac:dyDescent="0.25">
      <c r="C205" s="15"/>
      <c r="D205" s="11" t="s">
        <v>115</v>
      </c>
      <c r="E205" s="125">
        <v>0.5</v>
      </c>
      <c r="F205" s="20" t="s">
        <v>25</v>
      </c>
      <c r="G205" s="34" t="e">
        <v>#DIV/0!</v>
      </c>
      <c r="H205" s="34" t="e">
        <v>#DIV/0!</v>
      </c>
      <c r="I205" s="34" t="e">
        <v>#DIV/0!</v>
      </c>
      <c r="J205" s="34" t="e">
        <v>#DIV/0!</v>
      </c>
      <c r="K205" s="34" t="e">
        <v>#DIV/0!</v>
      </c>
      <c r="L205" s="34" t="e">
        <v>#DIV/0!</v>
      </c>
      <c r="M205" s="34" t="e">
        <v>#DIV/0!</v>
      </c>
      <c r="N205" s="34" t="e">
        <v>#DIV/0!</v>
      </c>
      <c r="O205" s="34" t="e">
        <v>#DIV/0!</v>
      </c>
      <c r="P205" s="34" t="e">
        <v>#DIV/0!</v>
      </c>
      <c r="Q205" s="34" t="e">
        <v>#DIV/0!</v>
      </c>
      <c r="R205" s="34" t="e">
        <v>#DIV/0!</v>
      </c>
      <c r="S205" s="1923" t="e">
        <v>#DIV/0!</v>
      </c>
      <c r="T205" s="34" t="e">
        <v>#DIV/0!</v>
      </c>
      <c r="U205" s="34" t="e">
        <v>#DIV/0!</v>
      </c>
      <c r="V205" s="34" t="e">
        <v>#DIV/0!</v>
      </c>
      <c r="W205" s="34" t="e">
        <v>#DIV/0!</v>
      </c>
      <c r="X205" s="34" t="e">
        <v>#DIV/0!</v>
      </c>
      <c r="Y205" s="34" t="e">
        <v>#DIV/0!</v>
      </c>
      <c r="Z205" s="34" t="e">
        <v>#DIV/0!</v>
      </c>
      <c r="AA205" s="34" t="e">
        <v>#DIV/0!</v>
      </c>
      <c r="AB205" s="34" t="e">
        <v>#DIV/0!</v>
      </c>
      <c r="AC205" s="34" t="e">
        <v>#DIV/0!</v>
      </c>
      <c r="AD205" s="34" t="e">
        <v>#DIV/0!</v>
      </c>
      <c r="AE205" s="34" t="e">
        <v>#DIV/0!</v>
      </c>
      <c r="AF205" s="34" t="e">
        <v>#DIV/0!</v>
      </c>
      <c r="AG205" s="34" t="e">
        <v>#DIV/0!</v>
      </c>
      <c r="AH205" s="34" t="e">
        <v>#DIV/0!</v>
      </c>
      <c r="AI205" s="34"/>
      <c r="AJ205" s="34"/>
      <c r="AK205" s="34"/>
      <c r="AM205" s="63"/>
      <c r="BC205" s="511"/>
      <c r="BD205" s="511"/>
      <c r="BI205" s="141"/>
    </row>
    <row r="206" spans="3:61 15027:15419" s="1" customFormat="1" ht="15" hidden="1" customHeight="1" x14ac:dyDescent="0.25">
      <c r="C206" s="15"/>
      <c r="D206" s="11" t="s">
        <v>27</v>
      </c>
      <c r="E206" s="125">
        <v>0.5</v>
      </c>
      <c r="F206" s="20" t="s">
        <v>25</v>
      </c>
      <c r="G206" s="34" t="e">
        <v>#DIV/0!</v>
      </c>
      <c r="H206" s="34" t="e">
        <v>#DIV/0!</v>
      </c>
      <c r="I206" s="34" t="e">
        <v>#DIV/0!</v>
      </c>
      <c r="J206" s="34" t="e">
        <v>#DIV/0!</v>
      </c>
      <c r="K206" s="34" t="e">
        <v>#DIV/0!</v>
      </c>
      <c r="L206" s="34" t="e">
        <v>#DIV/0!</v>
      </c>
      <c r="M206" s="34" t="e">
        <v>#DIV/0!</v>
      </c>
      <c r="N206" s="34" t="e">
        <v>#DIV/0!</v>
      </c>
      <c r="O206" s="34" t="e">
        <v>#DIV/0!</v>
      </c>
      <c r="P206" s="34" t="e">
        <v>#DIV/0!</v>
      </c>
      <c r="Q206" s="34" t="e">
        <v>#DIV/0!</v>
      </c>
      <c r="R206" s="34" t="e">
        <v>#DIV/0!</v>
      </c>
      <c r="S206" s="1923" t="e">
        <v>#DIV/0!</v>
      </c>
      <c r="T206" s="34" t="e">
        <v>#DIV/0!</v>
      </c>
      <c r="U206" s="34" t="e">
        <v>#DIV/0!</v>
      </c>
      <c r="V206" s="34" t="e">
        <v>#DIV/0!</v>
      </c>
      <c r="W206" s="34" t="e">
        <v>#DIV/0!</v>
      </c>
      <c r="X206" s="34" t="e">
        <v>#DIV/0!</v>
      </c>
      <c r="Y206" s="34" t="e">
        <v>#DIV/0!</v>
      </c>
      <c r="Z206" s="34" t="e">
        <v>#DIV/0!</v>
      </c>
      <c r="AA206" s="34" t="e">
        <v>#DIV/0!</v>
      </c>
      <c r="AB206" s="34" t="e">
        <v>#DIV/0!</v>
      </c>
      <c r="AC206" s="34" t="e">
        <v>#DIV/0!</v>
      </c>
      <c r="AD206" s="34" t="e">
        <v>#DIV/0!</v>
      </c>
      <c r="AE206" s="34" t="e">
        <v>#DIV/0!</v>
      </c>
      <c r="AF206" s="34" t="e">
        <v>#DIV/0!</v>
      </c>
      <c r="AG206" s="34" t="e">
        <v>#DIV/0!</v>
      </c>
      <c r="AH206" s="34" t="e">
        <v>#DIV/0!</v>
      </c>
      <c r="AI206" s="34"/>
      <c r="AJ206" s="34"/>
      <c r="AK206" s="34"/>
      <c r="AM206" s="58" t="e">
        <v>#DIV/0!</v>
      </c>
      <c r="BC206" s="511"/>
      <c r="BD206" s="511"/>
      <c r="BI206" s="141"/>
    </row>
    <row r="207" spans="3:61 15027:15419" s="1" customFormat="1" ht="15.75" hidden="1" customHeight="1" x14ac:dyDescent="0.25">
      <c r="C207" s="19"/>
      <c r="D207" s="11" t="s">
        <v>26</v>
      </c>
      <c r="E207" s="125">
        <v>0.5</v>
      </c>
      <c r="F207" s="20" t="s">
        <v>25</v>
      </c>
      <c r="G207" s="34" t="e">
        <v>#DIV/0!</v>
      </c>
      <c r="H207" s="34" t="e">
        <v>#DIV/0!</v>
      </c>
      <c r="I207" s="34" t="e">
        <v>#DIV/0!</v>
      </c>
      <c r="J207" s="34" t="e">
        <v>#DIV/0!</v>
      </c>
      <c r="K207" s="34" t="e">
        <v>#DIV/0!</v>
      </c>
      <c r="L207" s="34" t="e">
        <v>#DIV/0!</v>
      </c>
      <c r="M207" s="34" t="e">
        <v>#DIV/0!</v>
      </c>
      <c r="N207" s="34" t="e">
        <v>#DIV/0!</v>
      </c>
      <c r="O207" s="34" t="e">
        <v>#DIV/0!</v>
      </c>
      <c r="P207" s="34" t="e">
        <v>#DIV/0!</v>
      </c>
      <c r="Q207" s="34" t="e">
        <v>#DIV/0!</v>
      </c>
      <c r="R207" s="34" t="e">
        <v>#DIV/0!</v>
      </c>
      <c r="S207" s="1923" t="e">
        <v>#DIV/0!</v>
      </c>
      <c r="T207" s="34" t="e">
        <v>#DIV/0!</v>
      </c>
      <c r="U207" s="34" t="e">
        <v>#DIV/0!</v>
      </c>
      <c r="V207" s="34" t="e">
        <v>#DIV/0!</v>
      </c>
      <c r="W207" s="34" t="e">
        <v>#DIV/0!</v>
      </c>
      <c r="X207" s="34" t="e">
        <v>#DIV/0!</v>
      </c>
      <c r="Y207" s="34" t="e">
        <v>#DIV/0!</v>
      </c>
      <c r="Z207" s="34" t="e">
        <v>#DIV/0!</v>
      </c>
      <c r="AA207" s="34" t="e">
        <v>#DIV/0!</v>
      </c>
      <c r="AB207" s="34" t="e">
        <v>#DIV/0!</v>
      </c>
      <c r="AC207" s="34" t="e">
        <v>#DIV/0!</v>
      </c>
      <c r="AD207" s="34" t="e">
        <v>#DIV/0!</v>
      </c>
      <c r="AE207" s="34" t="e">
        <v>#DIV/0!</v>
      </c>
      <c r="AF207" s="34" t="e">
        <v>#DIV/0!</v>
      </c>
      <c r="AG207" s="34" t="e">
        <v>#DIV/0!</v>
      </c>
      <c r="AH207" s="34" t="e">
        <v>#DIV/0!</v>
      </c>
      <c r="AI207" s="34"/>
      <c r="AJ207" s="34"/>
      <c r="AK207" s="34"/>
      <c r="AM207" s="58" t="e">
        <v>#DIV/0!</v>
      </c>
      <c r="BC207" s="511"/>
      <c r="BD207" s="511"/>
      <c r="BI207" s="141"/>
    </row>
    <row r="208" spans="3:61 15027:15419" s="1" customFormat="1" ht="15" hidden="1" customHeight="1" x14ac:dyDescent="0.25">
      <c r="C208" s="8">
        <v>7</v>
      </c>
      <c r="D208" s="47" t="s">
        <v>86</v>
      </c>
      <c r="E208" s="126"/>
      <c r="F208" s="127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1938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128"/>
      <c r="AM208" s="78" t="s">
        <v>129</v>
      </c>
      <c r="BC208" s="511"/>
      <c r="BD208" s="511"/>
    </row>
    <row r="209" spans="3:56" s="1" customFormat="1" ht="15" hidden="1" customHeight="1" x14ac:dyDescent="0.25">
      <c r="C209" s="15"/>
      <c r="D209" s="26" t="s">
        <v>91</v>
      </c>
      <c r="E209" s="125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24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18"/>
      <c r="AM209" s="89">
        <v>0</v>
      </c>
      <c r="BC209" s="511"/>
      <c r="BD209" s="511"/>
    </row>
    <row r="210" spans="3:56" s="1" customFormat="1" ht="15" hidden="1" customHeight="1" x14ac:dyDescent="0.25">
      <c r="C210" s="15"/>
      <c r="D210" s="11" t="s">
        <v>92</v>
      </c>
      <c r="E210" s="125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23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89">
        <v>0</v>
      </c>
      <c r="BC210" s="511"/>
      <c r="BD210" s="511"/>
    </row>
    <row r="211" spans="3:56" s="1" customFormat="1" ht="15" hidden="1" customHeight="1" x14ac:dyDescent="0.25">
      <c r="C211" s="15"/>
      <c r="D211" s="11" t="s">
        <v>39</v>
      </c>
      <c r="E211" s="125"/>
      <c r="F211" s="20" t="s">
        <v>14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1923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/>
      <c r="AJ211" s="34"/>
      <c r="AK211" s="34"/>
      <c r="AL211" s="18"/>
      <c r="AM211" s="89">
        <v>0</v>
      </c>
      <c r="BC211" s="511"/>
      <c r="BD211" s="511"/>
    </row>
    <row r="212" spans="3:56" s="1" customFormat="1" ht="15" hidden="1" customHeight="1" x14ac:dyDescent="0.25">
      <c r="C212" s="15"/>
      <c r="D212" s="11" t="s">
        <v>38</v>
      </c>
      <c r="E212" s="125"/>
      <c r="F212" s="20" t="s">
        <v>14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1923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/>
      <c r="AJ212" s="34"/>
      <c r="AK212" s="34"/>
      <c r="AL212" s="18"/>
      <c r="AM212" s="89">
        <v>0</v>
      </c>
      <c r="BC212" s="511"/>
      <c r="BD212" s="511"/>
    </row>
    <row r="213" spans="3:56" s="1" customFormat="1" ht="15" hidden="1" customHeight="1" x14ac:dyDescent="0.25">
      <c r="C213" s="15"/>
      <c r="D213" s="30" t="s">
        <v>50</v>
      </c>
      <c r="E213" s="125"/>
      <c r="F213" s="13" t="s">
        <v>14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1923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/>
      <c r="AJ213" s="34"/>
      <c r="AK213" s="34"/>
      <c r="AL213" s="18"/>
      <c r="AM213" s="58">
        <v>0</v>
      </c>
      <c r="BC213" s="511"/>
      <c r="BD213" s="511"/>
    </row>
    <row r="214" spans="3:56" s="1" customFormat="1" ht="15" hidden="1" customHeight="1" x14ac:dyDescent="0.25">
      <c r="C214" s="15"/>
      <c r="D214" s="11" t="s">
        <v>29</v>
      </c>
      <c r="E214" s="125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23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29</v>
      </c>
      <c r="BC214" s="511"/>
      <c r="BD214" s="511"/>
    </row>
    <row r="215" spans="3:56" s="1" customFormat="1" ht="15" hidden="1" customHeight="1" x14ac:dyDescent="0.25">
      <c r="C215" s="15"/>
      <c r="D215" s="11" t="s">
        <v>87</v>
      </c>
      <c r="E215" s="125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2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1">
        <v>0</v>
      </c>
      <c r="BC215" s="511"/>
      <c r="BD215" s="511"/>
    </row>
    <row r="216" spans="3:56" s="1" customFormat="1" ht="15" hidden="1" customHeight="1" x14ac:dyDescent="0.25">
      <c r="C216" s="15"/>
      <c r="D216" s="11" t="s">
        <v>116</v>
      </c>
      <c r="E216" s="125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2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1">
        <v>0</v>
      </c>
      <c r="BC216" s="511"/>
      <c r="BD216" s="511"/>
    </row>
    <row r="217" spans="3:56" s="1" customFormat="1" ht="15" hidden="1" customHeight="1" x14ac:dyDescent="0.25">
      <c r="C217" s="15"/>
      <c r="D217" s="38" t="s">
        <v>28</v>
      </c>
      <c r="E217" s="125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23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18"/>
      <c r="AM217" s="58" t="s">
        <v>28</v>
      </c>
      <c r="BC217" s="511"/>
      <c r="BD217" s="511"/>
    </row>
    <row r="218" spans="3:56" s="1" customFormat="1" ht="15" hidden="1" customHeight="1" x14ac:dyDescent="0.25">
      <c r="C218" s="15"/>
      <c r="D218" s="11" t="s">
        <v>87</v>
      </c>
      <c r="E218" s="125"/>
      <c r="F218" s="20" t="s">
        <v>28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22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/>
      <c r="AK218" s="33"/>
      <c r="AL218" s="6"/>
      <c r="AM218" s="54">
        <v>0</v>
      </c>
      <c r="BC218" s="511"/>
      <c r="BD218" s="511"/>
    </row>
    <row r="219" spans="3:56" s="1" customFormat="1" ht="15" hidden="1" customHeight="1" x14ac:dyDescent="0.25">
      <c r="C219" s="15"/>
      <c r="D219" s="11" t="s">
        <v>116</v>
      </c>
      <c r="E219" s="125"/>
      <c r="F219" s="20" t="s">
        <v>28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1922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  <c r="AH219" s="33">
        <v>0</v>
      </c>
      <c r="AI219" s="33"/>
      <c r="AJ219" s="33"/>
      <c r="AK219" s="33"/>
      <c r="AL219" s="6"/>
      <c r="AM219" s="54"/>
      <c r="BC219" s="511"/>
      <c r="BD219" s="511"/>
    </row>
    <row r="220" spans="3:56" s="1" customFormat="1" ht="15" hidden="1" customHeight="1" x14ac:dyDescent="0.25">
      <c r="C220" s="15"/>
      <c r="D220" s="11" t="s">
        <v>36</v>
      </c>
      <c r="E220" s="125"/>
      <c r="F220" s="20" t="s">
        <v>35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1922">
        <v>0</v>
      </c>
      <c r="T220" s="33">
        <v>0</v>
      </c>
      <c r="U220" s="33">
        <v>0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0</v>
      </c>
      <c r="AF220" s="33">
        <v>0</v>
      </c>
      <c r="AG220" s="33">
        <v>0</v>
      </c>
      <c r="AH220" s="33">
        <v>0</v>
      </c>
      <c r="AI220" s="33"/>
      <c r="AJ220" s="33"/>
      <c r="AK220" s="33"/>
      <c r="AL220" s="6"/>
      <c r="AM220" s="54">
        <v>0</v>
      </c>
      <c r="BC220" s="511"/>
      <c r="BD220" s="511"/>
    </row>
    <row r="221" spans="3:56" s="1" customFormat="1" ht="15" hidden="1" customHeight="1" x14ac:dyDescent="0.25">
      <c r="C221" s="15"/>
      <c r="D221" s="11" t="s">
        <v>34</v>
      </c>
      <c r="E221" s="125"/>
      <c r="F221" s="20" t="s">
        <v>33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1922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3">
        <v>0</v>
      </c>
      <c r="AH221" s="33">
        <v>0</v>
      </c>
      <c r="AI221" s="33"/>
      <c r="AJ221" s="33"/>
      <c r="AK221" s="33"/>
      <c r="AL221" s="6"/>
      <c r="AM221" s="96">
        <v>0</v>
      </c>
      <c r="BC221" s="511"/>
      <c r="BD221" s="511"/>
    </row>
    <row r="222" spans="3:56" s="1" customFormat="1" ht="15" hidden="1" customHeight="1" x14ac:dyDescent="0.25">
      <c r="C222" s="15"/>
      <c r="D222" s="47" t="s">
        <v>32</v>
      </c>
      <c r="E222" s="126"/>
      <c r="F222" s="92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97"/>
      <c r="AM222" s="98" t="s">
        <v>130</v>
      </c>
      <c r="BC222" s="511"/>
      <c r="BD222" s="511"/>
    </row>
    <row r="223" spans="3:56" s="1" customFormat="1" ht="15" hidden="1" customHeight="1" x14ac:dyDescent="0.25">
      <c r="C223" s="15"/>
      <c r="D223" s="11" t="s">
        <v>29</v>
      </c>
      <c r="E223" s="125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23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  <c r="BC223" s="511"/>
      <c r="BD223" s="511"/>
    </row>
    <row r="224" spans="3:56" s="1" customFormat="1" ht="15" hidden="1" customHeight="1" x14ac:dyDescent="0.25">
      <c r="C224" s="15"/>
      <c r="D224" s="11" t="s">
        <v>87</v>
      </c>
      <c r="E224" s="125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22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18"/>
      <c r="AM224" s="91">
        <v>0</v>
      </c>
      <c r="BC224" s="511"/>
      <c r="BD224" s="511"/>
    </row>
    <row r="225" spans="3:56" s="1" customFormat="1" ht="15" hidden="1" customHeight="1" x14ac:dyDescent="0.25">
      <c r="C225" s="15"/>
      <c r="D225" s="11" t="s">
        <v>116</v>
      </c>
      <c r="E225" s="125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22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18"/>
      <c r="AM225" s="91">
        <v>0</v>
      </c>
      <c r="BC225" s="511"/>
      <c r="BD225" s="511"/>
    </row>
    <row r="226" spans="3:56" s="1" customFormat="1" ht="15" hidden="1" customHeight="1" x14ac:dyDescent="0.25">
      <c r="C226" s="15"/>
      <c r="D226" s="11" t="s">
        <v>28</v>
      </c>
      <c r="E226" s="125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23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18"/>
      <c r="AM226" s="58"/>
      <c r="BC226" s="511"/>
      <c r="BD226" s="511"/>
    </row>
    <row r="227" spans="3:56" s="1" customFormat="1" ht="15" hidden="1" customHeight="1" x14ac:dyDescent="0.25">
      <c r="C227" s="15"/>
      <c r="D227" s="11" t="s">
        <v>87</v>
      </c>
      <c r="E227" s="125"/>
      <c r="F227" s="20" t="s">
        <v>28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0</v>
      </c>
      <c r="P227" s="33">
        <v>0</v>
      </c>
      <c r="Q227" s="33">
        <v>0</v>
      </c>
      <c r="R227" s="33">
        <v>0</v>
      </c>
      <c r="S227" s="1922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>
        <v>0</v>
      </c>
      <c r="AD227" s="33">
        <v>0</v>
      </c>
      <c r="AE227" s="33">
        <v>0</v>
      </c>
      <c r="AF227" s="33">
        <v>0</v>
      </c>
      <c r="AG227" s="33">
        <v>0</v>
      </c>
      <c r="AH227" s="33">
        <v>0</v>
      </c>
      <c r="AI227" s="33"/>
      <c r="AJ227" s="33"/>
      <c r="AK227" s="33"/>
      <c r="AL227" s="18"/>
      <c r="AM227" s="91">
        <v>0</v>
      </c>
      <c r="BC227" s="511"/>
      <c r="BD227" s="511"/>
    </row>
    <row r="228" spans="3:56" s="1" customFormat="1" ht="15" hidden="1" customHeight="1" x14ac:dyDescent="0.25">
      <c r="C228" s="15"/>
      <c r="D228" s="11" t="s">
        <v>116</v>
      </c>
      <c r="E228" s="125"/>
      <c r="F228" s="20" t="s">
        <v>28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1922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3">
        <v>0</v>
      </c>
      <c r="AH228" s="33">
        <v>0</v>
      </c>
      <c r="AI228" s="33"/>
      <c r="AJ228" s="33"/>
      <c r="AK228" s="33"/>
      <c r="AL228" s="18"/>
      <c r="AM228" s="91">
        <v>0</v>
      </c>
      <c r="BC228" s="511"/>
      <c r="BD228" s="511"/>
    </row>
    <row r="229" spans="3:56" s="1" customFormat="1" ht="15" hidden="1" customHeight="1" x14ac:dyDescent="0.25">
      <c r="C229" s="15"/>
      <c r="D229" s="47" t="s">
        <v>30</v>
      </c>
      <c r="E229" s="129"/>
      <c r="F229" s="99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192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  <c r="AI229" s="268"/>
      <c r="AJ229" s="268"/>
      <c r="AK229" s="268"/>
      <c r="AL229" s="18"/>
      <c r="AM229" s="78" t="s">
        <v>130</v>
      </c>
      <c r="BC229" s="511"/>
      <c r="BD229" s="511"/>
    </row>
    <row r="230" spans="3:56" s="1" customFormat="1" ht="15" hidden="1" customHeight="1" x14ac:dyDescent="0.25">
      <c r="C230" s="15"/>
      <c r="D230" s="30" t="s">
        <v>29</v>
      </c>
      <c r="E230" s="125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22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  <c r="BC230" s="511"/>
      <c r="BD230" s="511"/>
    </row>
    <row r="231" spans="3:56" s="1" customFormat="1" ht="15" hidden="1" customHeight="1" x14ac:dyDescent="0.25">
      <c r="C231" s="15"/>
      <c r="D231" s="11" t="s">
        <v>87</v>
      </c>
      <c r="E231" s="125">
        <v>0.3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22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/>
      <c r="AL231" s="18"/>
      <c r="AM231" s="100" t="e">
        <v>#DIV/0!</v>
      </c>
      <c r="BC231" s="511"/>
      <c r="BD231" s="511"/>
    </row>
    <row r="232" spans="3:56" s="1" customFormat="1" ht="15" hidden="1" customHeight="1" x14ac:dyDescent="0.25">
      <c r="C232" s="15"/>
      <c r="D232" s="11" t="s">
        <v>116</v>
      </c>
      <c r="E232" s="125">
        <v>0.3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22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/>
      <c r="AK232" s="33"/>
      <c r="AL232" s="18"/>
      <c r="AM232" s="100" t="e">
        <v>#DIV/0!</v>
      </c>
      <c r="BC232" s="511"/>
      <c r="BD232" s="511"/>
    </row>
    <row r="233" spans="3:56" s="1" customFormat="1" ht="15" hidden="1" customHeight="1" x14ac:dyDescent="0.25">
      <c r="C233" s="15"/>
      <c r="D233" s="30" t="s">
        <v>28</v>
      </c>
      <c r="E233" s="125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22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18"/>
      <c r="AM233" s="91"/>
      <c r="BC233" s="511"/>
      <c r="BD233" s="511"/>
    </row>
    <row r="234" spans="3:56" s="1" customFormat="1" ht="15" hidden="1" customHeight="1" x14ac:dyDescent="0.25">
      <c r="C234" s="15"/>
      <c r="D234" s="11" t="s">
        <v>87</v>
      </c>
      <c r="E234" s="125">
        <v>0.5</v>
      </c>
      <c r="F234" s="20" t="s">
        <v>25</v>
      </c>
      <c r="G234" s="33" t="e">
        <v>#DIV/0!</v>
      </c>
      <c r="H234" s="33" t="e">
        <v>#DIV/0!</v>
      </c>
      <c r="I234" s="33" t="e">
        <v>#DIV/0!</v>
      </c>
      <c r="J234" s="33" t="e">
        <v>#DIV/0!</v>
      </c>
      <c r="K234" s="33" t="e">
        <v>#DIV/0!</v>
      </c>
      <c r="L234" s="33" t="e">
        <v>#DIV/0!</v>
      </c>
      <c r="M234" s="33" t="e">
        <v>#DIV/0!</v>
      </c>
      <c r="N234" s="33" t="e">
        <v>#DIV/0!</v>
      </c>
      <c r="O234" s="33" t="e">
        <v>#DIV/0!</v>
      </c>
      <c r="P234" s="33" t="e">
        <v>#DIV/0!</v>
      </c>
      <c r="Q234" s="33" t="e">
        <v>#DIV/0!</v>
      </c>
      <c r="R234" s="33" t="e">
        <v>#DIV/0!</v>
      </c>
      <c r="S234" s="1922" t="e">
        <v>#DIV/0!</v>
      </c>
      <c r="T234" s="33" t="e">
        <v>#DIV/0!</v>
      </c>
      <c r="U234" s="33" t="e">
        <v>#DIV/0!</v>
      </c>
      <c r="V234" s="33" t="e">
        <v>#DIV/0!</v>
      </c>
      <c r="W234" s="33" t="e">
        <v>#DIV/0!</v>
      </c>
      <c r="X234" s="33" t="e">
        <v>#DIV/0!</v>
      </c>
      <c r="Y234" s="33" t="e">
        <v>#DIV/0!</v>
      </c>
      <c r="Z234" s="33" t="e">
        <v>#DIV/0!</v>
      </c>
      <c r="AA234" s="33" t="e">
        <v>#DIV/0!</v>
      </c>
      <c r="AB234" s="33" t="e">
        <v>#DIV/0!</v>
      </c>
      <c r="AC234" s="33" t="e">
        <v>#DIV/0!</v>
      </c>
      <c r="AD234" s="33" t="e">
        <v>#DIV/0!</v>
      </c>
      <c r="AE234" s="33" t="e">
        <v>#DIV/0!</v>
      </c>
      <c r="AF234" s="33" t="e">
        <v>#DIV/0!</v>
      </c>
      <c r="AG234" s="33" t="e">
        <v>#DIV/0!</v>
      </c>
      <c r="AH234" s="33" t="e">
        <v>#DIV/0!</v>
      </c>
      <c r="AI234" s="33"/>
      <c r="AJ234" s="33"/>
      <c r="AK234" s="33"/>
      <c r="AL234" s="18"/>
      <c r="AM234" s="58" t="e">
        <v>#DIV/0!</v>
      </c>
      <c r="BC234" s="511"/>
      <c r="BD234" s="511"/>
    </row>
    <row r="235" spans="3:56" s="1" customFormat="1" ht="15" hidden="1" customHeight="1" x14ac:dyDescent="0.25">
      <c r="C235" s="15"/>
      <c r="D235" s="11" t="s">
        <v>116</v>
      </c>
      <c r="E235" s="125">
        <v>0.5</v>
      </c>
      <c r="F235" s="20" t="s">
        <v>25</v>
      </c>
      <c r="G235" s="33" t="e">
        <v>#DIV/0!</v>
      </c>
      <c r="H235" s="33" t="e">
        <v>#DIV/0!</v>
      </c>
      <c r="I235" s="33" t="e">
        <v>#DIV/0!</v>
      </c>
      <c r="J235" s="33" t="e">
        <v>#DIV/0!</v>
      </c>
      <c r="K235" s="33" t="e">
        <v>#DIV/0!</v>
      </c>
      <c r="L235" s="33" t="e">
        <v>#DIV/0!</v>
      </c>
      <c r="M235" s="33" t="e">
        <v>#DIV/0!</v>
      </c>
      <c r="N235" s="33" t="e">
        <v>#DIV/0!</v>
      </c>
      <c r="O235" s="33" t="e">
        <v>#DIV/0!</v>
      </c>
      <c r="P235" s="33" t="e">
        <v>#DIV/0!</v>
      </c>
      <c r="Q235" s="33" t="e">
        <v>#DIV/0!</v>
      </c>
      <c r="R235" s="33" t="e">
        <v>#DIV/0!</v>
      </c>
      <c r="S235" s="1922" t="e">
        <v>#DIV/0!</v>
      </c>
      <c r="T235" s="33" t="e">
        <v>#DIV/0!</v>
      </c>
      <c r="U235" s="33" t="e">
        <v>#DIV/0!</v>
      </c>
      <c r="V235" s="33" t="e">
        <v>#DIV/0!</v>
      </c>
      <c r="W235" s="33" t="e">
        <v>#DIV/0!</v>
      </c>
      <c r="X235" s="33" t="e">
        <v>#DIV/0!</v>
      </c>
      <c r="Y235" s="33" t="e">
        <v>#DIV/0!</v>
      </c>
      <c r="Z235" s="33" t="e">
        <v>#DIV/0!</v>
      </c>
      <c r="AA235" s="33" t="e">
        <v>#DIV/0!</v>
      </c>
      <c r="AB235" s="33" t="e">
        <v>#DIV/0!</v>
      </c>
      <c r="AC235" s="33" t="e">
        <v>#DIV/0!</v>
      </c>
      <c r="AD235" s="33" t="e">
        <v>#DIV/0!</v>
      </c>
      <c r="AE235" s="33" t="e">
        <v>#DIV/0!</v>
      </c>
      <c r="AF235" s="33" t="e">
        <v>#DIV/0!</v>
      </c>
      <c r="AG235" s="33" t="e">
        <v>#DIV/0!</v>
      </c>
      <c r="AH235" s="33" t="e">
        <v>#DIV/0!</v>
      </c>
      <c r="AI235" s="33"/>
      <c r="AJ235" s="33"/>
      <c r="AK235" s="33"/>
      <c r="AL235" s="18"/>
      <c r="AM235" s="58" t="e">
        <v>#DIV/0!</v>
      </c>
      <c r="BC235" s="511"/>
      <c r="BD235" s="511"/>
    </row>
    <row r="236" spans="3:56" s="1" customFormat="1" ht="15" hidden="1" customHeight="1" x14ac:dyDescent="0.25">
      <c r="C236" s="15"/>
      <c r="D236" s="101" t="s">
        <v>93</v>
      </c>
      <c r="E236" s="130"/>
      <c r="F236" s="102" t="s">
        <v>14</v>
      </c>
      <c r="G236" s="284">
        <v>0</v>
      </c>
      <c r="H236" s="284">
        <v>0</v>
      </c>
      <c r="I236" s="284">
        <v>0</v>
      </c>
      <c r="J236" s="284">
        <v>0</v>
      </c>
      <c r="K236" s="284">
        <v>0</v>
      </c>
      <c r="L236" s="284">
        <v>0</v>
      </c>
      <c r="M236" s="284">
        <v>0</v>
      </c>
      <c r="N236" s="284">
        <v>0</v>
      </c>
      <c r="O236" s="284">
        <v>0</v>
      </c>
      <c r="P236" s="284">
        <v>0</v>
      </c>
      <c r="Q236" s="284">
        <v>0</v>
      </c>
      <c r="R236" s="284">
        <v>0</v>
      </c>
      <c r="S236" s="1939">
        <v>0</v>
      </c>
      <c r="T236" s="284">
        <v>0</v>
      </c>
      <c r="U236" s="284">
        <v>0</v>
      </c>
      <c r="V236" s="284">
        <v>0</v>
      </c>
      <c r="W236" s="284">
        <v>0</v>
      </c>
      <c r="X236" s="284">
        <v>0</v>
      </c>
      <c r="Y236" s="284">
        <v>0</v>
      </c>
      <c r="Z236" s="284">
        <v>0</v>
      </c>
      <c r="AA236" s="284">
        <v>0</v>
      </c>
      <c r="AB236" s="284">
        <v>0</v>
      </c>
      <c r="AC236" s="284">
        <v>0</v>
      </c>
      <c r="AD236" s="284">
        <v>0</v>
      </c>
      <c r="AE236" s="284">
        <v>0</v>
      </c>
      <c r="AF236" s="284">
        <v>0</v>
      </c>
      <c r="AG236" s="284">
        <v>0</v>
      </c>
      <c r="AH236" s="284">
        <v>0</v>
      </c>
      <c r="AI236" s="284"/>
      <c r="AJ236" s="284"/>
      <c r="AK236" s="284"/>
      <c r="AL236" s="131"/>
      <c r="AM236" s="103">
        <v>0</v>
      </c>
      <c r="BC236" s="511"/>
      <c r="BD236" s="511"/>
    </row>
    <row r="237" spans="3:56" s="1" customFormat="1" ht="15" hidden="1" customHeight="1" x14ac:dyDescent="0.25">
      <c r="C237" s="15"/>
      <c r="D237" s="71" t="s">
        <v>117</v>
      </c>
      <c r="E237" s="132"/>
      <c r="F237" s="65" t="s">
        <v>14</v>
      </c>
      <c r="G237" s="285">
        <v>0</v>
      </c>
      <c r="H237" s="285">
        <v>0</v>
      </c>
      <c r="I237" s="285">
        <v>0</v>
      </c>
      <c r="J237" s="285">
        <v>0</v>
      </c>
      <c r="K237" s="285">
        <v>0</v>
      </c>
      <c r="L237" s="285">
        <v>0</v>
      </c>
      <c r="M237" s="285">
        <v>0</v>
      </c>
      <c r="N237" s="285">
        <v>0</v>
      </c>
      <c r="O237" s="285">
        <v>0</v>
      </c>
      <c r="P237" s="285">
        <v>0</v>
      </c>
      <c r="Q237" s="285">
        <v>0</v>
      </c>
      <c r="R237" s="285">
        <v>0</v>
      </c>
      <c r="S237" s="1940">
        <v>0</v>
      </c>
      <c r="T237" s="285">
        <v>0</v>
      </c>
      <c r="U237" s="285">
        <v>0</v>
      </c>
      <c r="V237" s="285">
        <v>0</v>
      </c>
      <c r="W237" s="285">
        <v>0</v>
      </c>
      <c r="X237" s="285">
        <v>0</v>
      </c>
      <c r="Y237" s="285">
        <v>0</v>
      </c>
      <c r="Z237" s="285">
        <v>0</v>
      </c>
      <c r="AA237" s="285">
        <v>0</v>
      </c>
      <c r="AB237" s="285">
        <v>0</v>
      </c>
      <c r="AC237" s="285">
        <v>0</v>
      </c>
      <c r="AD237" s="285">
        <v>0</v>
      </c>
      <c r="AE237" s="285">
        <v>0</v>
      </c>
      <c r="AF237" s="285">
        <v>0</v>
      </c>
      <c r="AG237" s="285">
        <v>0</v>
      </c>
      <c r="AH237" s="285">
        <v>0</v>
      </c>
      <c r="AI237" s="285"/>
      <c r="AJ237" s="285"/>
      <c r="AK237" s="285"/>
      <c r="AL237" s="131"/>
      <c r="AM237" s="57">
        <v>0</v>
      </c>
      <c r="BC237" s="511"/>
      <c r="BD237" s="511"/>
    </row>
    <row r="238" spans="3:56" s="1" customFormat="1" ht="15" hidden="1" customHeight="1" x14ac:dyDescent="0.25">
      <c r="C238" s="15"/>
      <c r="D238" s="104" t="s">
        <v>88</v>
      </c>
      <c r="E238" s="133"/>
      <c r="F238" s="105" t="s">
        <v>14</v>
      </c>
      <c r="G238" s="286">
        <v>0</v>
      </c>
      <c r="H238" s="286">
        <v>0</v>
      </c>
      <c r="I238" s="286">
        <v>0</v>
      </c>
      <c r="J238" s="286">
        <v>0</v>
      </c>
      <c r="K238" s="286">
        <v>0</v>
      </c>
      <c r="L238" s="286">
        <v>0</v>
      </c>
      <c r="M238" s="286">
        <v>0</v>
      </c>
      <c r="N238" s="286">
        <v>0</v>
      </c>
      <c r="O238" s="286">
        <v>0</v>
      </c>
      <c r="P238" s="286">
        <v>0</v>
      </c>
      <c r="Q238" s="286">
        <v>0</v>
      </c>
      <c r="R238" s="286">
        <v>0</v>
      </c>
      <c r="S238" s="1941">
        <v>0</v>
      </c>
      <c r="T238" s="286">
        <v>0</v>
      </c>
      <c r="U238" s="286">
        <v>0</v>
      </c>
      <c r="V238" s="286">
        <v>0</v>
      </c>
      <c r="W238" s="286">
        <v>0</v>
      </c>
      <c r="X238" s="286">
        <v>0</v>
      </c>
      <c r="Y238" s="286">
        <v>0</v>
      </c>
      <c r="Z238" s="286">
        <v>0</v>
      </c>
      <c r="AA238" s="286">
        <v>0</v>
      </c>
      <c r="AB238" s="286">
        <v>0</v>
      </c>
      <c r="AC238" s="286">
        <v>0</v>
      </c>
      <c r="AD238" s="286">
        <v>0</v>
      </c>
      <c r="AE238" s="286">
        <v>0</v>
      </c>
      <c r="AF238" s="286">
        <v>0</v>
      </c>
      <c r="AG238" s="286">
        <v>0</v>
      </c>
      <c r="AH238" s="286">
        <v>0</v>
      </c>
      <c r="AI238" s="286"/>
      <c r="AJ238" s="286"/>
      <c r="AK238" s="286"/>
      <c r="AL238" s="131"/>
      <c r="AM238" s="106">
        <v>0</v>
      </c>
      <c r="BC238" s="511"/>
      <c r="BD238" s="511"/>
    </row>
    <row r="239" spans="3:56" s="1" customFormat="1" ht="15" hidden="1" customHeight="1" x14ac:dyDescent="0.25">
      <c r="C239" s="15"/>
      <c r="D239" s="107" t="s">
        <v>89</v>
      </c>
      <c r="E239" s="134"/>
      <c r="F239" s="108" t="s">
        <v>85</v>
      </c>
      <c r="G239" s="287">
        <v>0</v>
      </c>
      <c r="H239" s="287">
        <v>0</v>
      </c>
      <c r="I239" s="287">
        <v>0</v>
      </c>
      <c r="J239" s="287">
        <v>0</v>
      </c>
      <c r="K239" s="287">
        <v>0</v>
      </c>
      <c r="L239" s="287">
        <v>0</v>
      </c>
      <c r="M239" s="287">
        <v>0</v>
      </c>
      <c r="N239" s="287">
        <v>0</v>
      </c>
      <c r="O239" s="287">
        <v>0</v>
      </c>
      <c r="P239" s="287">
        <v>0</v>
      </c>
      <c r="Q239" s="287">
        <v>0</v>
      </c>
      <c r="R239" s="287">
        <v>0</v>
      </c>
      <c r="S239" s="1942">
        <v>0</v>
      </c>
      <c r="T239" s="287">
        <v>0</v>
      </c>
      <c r="U239" s="287">
        <v>0</v>
      </c>
      <c r="V239" s="287">
        <v>0</v>
      </c>
      <c r="W239" s="287">
        <v>0</v>
      </c>
      <c r="X239" s="287">
        <v>0</v>
      </c>
      <c r="Y239" s="287">
        <v>0</v>
      </c>
      <c r="Z239" s="287">
        <v>0</v>
      </c>
      <c r="AA239" s="287">
        <v>0</v>
      </c>
      <c r="AB239" s="287">
        <v>0</v>
      </c>
      <c r="AC239" s="287">
        <v>0</v>
      </c>
      <c r="AD239" s="287">
        <v>0</v>
      </c>
      <c r="AE239" s="287">
        <v>0</v>
      </c>
      <c r="AF239" s="287">
        <v>0</v>
      </c>
      <c r="AG239" s="287">
        <v>0</v>
      </c>
      <c r="AH239" s="287">
        <v>0</v>
      </c>
      <c r="AI239" s="287"/>
      <c r="AJ239" s="287"/>
      <c r="AK239" s="287"/>
      <c r="AL239" s="131"/>
      <c r="AM239" s="109">
        <v>0</v>
      </c>
      <c r="BC239" s="511"/>
      <c r="BD239" s="511"/>
    </row>
    <row r="240" spans="3:56" s="1" customFormat="1" ht="15" hidden="1" customHeight="1" x14ac:dyDescent="0.25">
      <c r="C240" s="15"/>
      <c r="D240" s="110" t="s">
        <v>94</v>
      </c>
      <c r="E240" s="134"/>
      <c r="F240" s="111" t="s">
        <v>14</v>
      </c>
      <c r="G240" s="288">
        <v>0</v>
      </c>
      <c r="H240" s="288">
        <v>0</v>
      </c>
      <c r="I240" s="288">
        <v>0</v>
      </c>
      <c r="J240" s="288">
        <v>0</v>
      </c>
      <c r="K240" s="288">
        <v>0</v>
      </c>
      <c r="L240" s="288">
        <v>0</v>
      </c>
      <c r="M240" s="288">
        <v>0</v>
      </c>
      <c r="N240" s="288">
        <v>0</v>
      </c>
      <c r="O240" s="288">
        <v>0</v>
      </c>
      <c r="P240" s="288">
        <v>0</v>
      </c>
      <c r="Q240" s="288">
        <v>0</v>
      </c>
      <c r="R240" s="288">
        <v>0</v>
      </c>
      <c r="S240" s="1943">
        <v>0</v>
      </c>
      <c r="T240" s="288">
        <v>0</v>
      </c>
      <c r="U240" s="288">
        <v>0</v>
      </c>
      <c r="V240" s="288">
        <v>0</v>
      </c>
      <c r="W240" s="288">
        <v>0</v>
      </c>
      <c r="X240" s="288">
        <v>0</v>
      </c>
      <c r="Y240" s="288">
        <v>0</v>
      </c>
      <c r="Z240" s="288">
        <v>0</v>
      </c>
      <c r="AA240" s="288">
        <v>0</v>
      </c>
      <c r="AB240" s="288">
        <v>0</v>
      </c>
      <c r="AC240" s="288">
        <v>0</v>
      </c>
      <c r="AD240" s="288">
        <v>0</v>
      </c>
      <c r="AE240" s="288">
        <v>0</v>
      </c>
      <c r="AF240" s="288">
        <v>0</v>
      </c>
      <c r="AG240" s="288">
        <v>0</v>
      </c>
      <c r="AH240" s="288">
        <v>0</v>
      </c>
      <c r="AI240" s="288"/>
      <c r="AJ240" s="288"/>
      <c r="AK240" s="288"/>
      <c r="AL240" s="113"/>
      <c r="AM240" s="114">
        <v>0</v>
      </c>
      <c r="BC240" s="511"/>
      <c r="BD240" s="511"/>
    </row>
    <row r="241" spans="3:61 15027:15419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25"/>
      <c r="T241" s="1925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M241" s="81" t="s">
        <v>131</v>
      </c>
      <c r="BC241" s="511"/>
      <c r="BD241" s="511"/>
      <c r="BI241" s="140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62" customFormat="1" x14ac:dyDescent="0.25">
      <c r="C242" s="68"/>
      <c r="D242" s="232" t="s">
        <v>22</v>
      </c>
      <c r="E242" s="256">
        <v>1460.001</v>
      </c>
      <c r="F242" s="233" t="s">
        <v>19</v>
      </c>
      <c r="G242" s="289">
        <v>815.14959999999996</v>
      </c>
      <c r="H242" s="289">
        <v>882.96789999999999</v>
      </c>
      <c r="I242" s="289">
        <v>905.66869999999994</v>
      </c>
      <c r="J242" s="289">
        <v>570.61429999999996</v>
      </c>
      <c r="K242" s="289">
        <v>330.27730000000003</v>
      </c>
      <c r="L242" s="289"/>
      <c r="M242" s="289"/>
      <c r="N242" s="289"/>
      <c r="O242" s="289"/>
      <c r="P242" s="289"/>
      <c r="Q242" s="289"/>
      <c r="R242" s="1971"/>
      <c r="S242" s="1971"/>
      <c r="T242" s="1971"/>
      <c r="U242" s="289"/>
      <c r="V242" s="289">
        <v>1447.0995</v>
      </c>
      <c r="W242" s="1995">
        <v>1350.0052000000001</v>
      </c>
      <c r="X242" s="1995">
        <v>1046.4897000000001</v>
      </c>
      <c r="Y242" s="1995">
        <v>1049.7285999999999</v>
      </c>
      <c r="Z242" s="1995">
        <v>1023.9142000000001</v>
      </c>
      <c r="AA242" s="1956">
        <v>1036.5034000000001</v>
      </c>
      <c r="AB242" s="289">
        <v>1100.4471000000001</v>
      </c>
      <c r="AC242" s="289">
        <v>1052.0224000000001</v>
      </c>
      <c r="AD242" s="289">
        <v>957.22760000000005</v>
      </c>
      <c r="AE242" s="289">
        <v>994.8809</v>
      </c>
      <c r="AF242" s="289">
        <v>1098.7648999999999</v>
      </c>
      <c r="AG242" s="289">
        <v>1192.0387000000001</v>
      </c>
      <c r="AH242" s="289">
        <v>1252.6309000000001</v>
      </c>
      <c r="AI242" s="289">
        <v>1093.9866999999999</v>
      </c>
      <c r="AJ242" s="289">
        <v>941.50890000000004</v>
      </c>
      <c r="AK242" s="289">
        <v>913.72439999999995</v>
      </c>
      <c r="AM242" s="2113">
        <v>26890.591961393569</v>
      </c>
      <c r="BC242" s="2118"/>
      <c r="BD242" s="2118"/>
      <c r="BI242" s="142"/>
    </row>
    <row r="243" spans="3:61 15027:15419" s="62" customFormat="1" x14ac:dyDescent="0.25">
      <c r="C243" s="68"/>
      <c r="D243" s="232"/>
      <c r="E243" s="256"/>
      <c r="F243" s="233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1971"/>
      <c r="S243" s="1971"/>
      <c r="T243" s="1971"/>
      <c r="U243" s="289"/>
      <c r="V243" s="289"/>
      <c r="W243" s="1995"/>
      <c r="X243" s="289"/>
      <c r="Y243" s="289"/>
      <c r="Z243" s="289"/>
      <c r="AA243" s="1956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M243" s="54">
        <f>AM242/AM6</f>
        <v>1344.5295980696785</v>
      </c>
      <c r="BC243" s="2118"/>
      <c r="BD243" s="2118"/>
      <c r="BI243" s="142"/>
    </row>
    <row r="244" spans="3:61 15027:15419" s="1" customFormat="1" x14ac:dyDescent="0.25">
      <c r="C244" s="8"/>
      <c r="D244" s="232" t="s">
        <v>23</v>
      </c>
      <c r="E244" s="250"/>
      <c r="F244" s="233" t="s">
        <v>19</v>
      </c>
      <c r="G244" s="289">
        <v>857.90740000000005</v>
      </c>
      <c r="H244" s="289">
        <v>857.02020000000005</v>
      </c>
      <c r="I244" s="289">
        <v>913.30579999999998</v>
      </c>
      <c r="J244" s="289">
        <v>928.38419999999996</v>
      </c>
      <c r="K244" s="289">
        <v>582.25130000000001</v>
      </c>
      <c r="L244" s="289"/>
      <c r="M244" s="289"/>
      <c r="N244" s="289"/>
      <c r="O244" s="289"/>
      <c r="P244" s="289"/>
      <c r="Q244" s="289"/>
      <c r="R244" s="1971"/>
      <c r="S244" s="1971"/>
      <c r="T244" s="1971"/>
      <c r="U244" s="289"/>
      <c r="V244" s="289">
        <v>1326.0374999999999</v>
      </c>
      <c r="W244" s="1995">
        <v>1474.5342000000001</v>
      </c>
      <c r="X244" s="1995">
        <v>1368.0571</v>
      </c>
      <c r="Y244" s="289">
        <v>1065.6320000000001</v>
      </c>
      <c r="Z244" s="289">
        <v>1076.3119999999999</v>
      </c>
      <c r="AA244" s="1956">
        <v>1050.4601</v>
      </c>
      <c r="AB244" s="289">
        <v>1057.0672</v>
      </c>
      <c r="AC244" s="289">
        <v>1133.9228000000001</v>
      </c>
      <c r="AD244" s="289">
        <v>1061.4844000000001</v>
      </c>
      <c r="AE244" s="289">
        <v>986.1336</v>
      </c>
      <c r="AF244" s="289">
        <v>1017.769</v>
      </c>
      <c r="AG244" s="289">
        <v>1125.3991000000001</v>
      </c>
      <c r="AH244" s="289">
        <v>1238.0564999999999</v>
      </c>
      <c r="AI244" s="289">
        <v>5479.1050999999998</v>
      </c>
      <c r="AJ244" s="289">
        <v>996.64880000000005</v>
      </c>
      <c r="AK244" s="289">
        <v>950.42909999999995</v>
      </c>
      <c r="AM244" s="2113">
        <f>SUM(G244:AK244)</f>
        <v>26545.917399999995</v>
      </c>
      <c r="BC244" s="511"/>
      <c r="BD244" s="511"/>
      <c r="BI244" s="141"/>
    </row>
    <row r="245" spans="3:61 15027:15419" s="1" customFormat="1" x14ac:dyDescent="0.25">
      <c r="C245" s="15"/>
      <c r="D245" s="28" t="s">
        <v>11</v>
      </c>
      <c r="E245" s="250"/>
      <c r="F245" s="13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1982"/>
      <c r="T245" s="1982"/>
      <c r="U245" s="1981"/>
      <c r="V245" s="291"/>
      <c r="W245" s="1996"/>
      <c r="X245" s="291"/>
      <c r="Y245" s="291"/>
      <c r="Z245" s="291"/>
      <c r="AA245" s="291"/>
      <c r="AB245" s="291"/>
      <c r="AC245" s="291"/>
      <c r="AD245" s="291"/>
      <c r="AE245" s="291"/>
      <c r="AF245" s="291"/>
      <c r="AG245" s="291"/>
      <c r="AH245" s="291"/>
      <c r="AI245" s="291"/>
      <c r="AJ245" s="291"/>
      <c r="AK245" s="291"/>
      <c r="AM245" s="115" t="s">
        <v>11</v>
      </c>
      <c r="BC245" s="511"/>
      <c r="BD245" s="511"/>
      <c r="BI245" s="140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3:61 15027:15419" s="1" customFormat="1" x14ac:dyDescent="0.25">
      <c r="C246" s="15"/>
      <c r="D246" s="232" t="s">
        <v>21</v>
      </c>
      <c r="E246" s="248">
        <f>298</f>
        <v>298</v>
      </c>
      <c r="F246" s="233" t="s">
        <v>1019</v>
      </c>
      <c r="G246" s="271">
        <v>5430</v>
      </c>
      <c r="H246" s="271">
        <f>5479</f>
        <v>5479</v>
      </c>
      <c r="I246" s="271">
        <v>5420</v>
      </c>
      <c r="J246" s="271">
        <v>199</v>
      </c>
      <c r="K246" s="271">
        <v>0</v>
      </c>
      <c r="L246" s="271"/>
      <c r="M246" s="271"/>
      <c r="N246" s="271"/>
      <c r="O246" s="271"/>
      <c r="P246" s="271"/>
      <c r="Q246" s="271"/>
      <c r="R246" s="271"/>
      <c r="S246" s="2146"/>
      <c r="T246" s="2146"/>
      <c r="U246" s="1980"/>
      <c r="V246" s="1980">
        <v>5381</v>
      </c>
      <c r="W246" s="1980">
        <v>6289</v>
      </c>
      <c r="X246" s="1980">
        <v>6380</v>
      </c>
      <c r="Y246" s="271">
        <v>5369</v>
      </c>
      <c r="Z246" s="271">
        <v>5466</v>
      </c>
      <c r="AA246" s="271">
        <v>5559</v>
      </c>
      <c r="AB246" s="271">
        <v>6083</v>
      </c>
      <c r="AC246" s="271">
        <v>6300</v>
      </c>
      <c r="AD246" s="271">
        <v>6186</v>
      </c>
      <c r="AE246" s="271">
        <v>6034</v>
      </c>
      <c r="AF246" s="271">
        <v>5875</v>
      </c>
      <c r="AG246" s="271">
        <v>5907</v>
      </c>
      <c r="AH246" s="271">
        <v>5790</v>
      </c>
      <c r="AI246" s="271">
        <v>5625</v>
      </c>
      <c r="AJ246" s="271">
        <v>5512</v>
      </c>
      <c r="AK246" s="271">
        <v>5618</v>
      </c>
      <c r="AM246" s="54">
        <f>SUM(G246:AK246)</f>
        <v>109902</v>
      </c>
      <c r="BC246" s="511"/>
      <c r="BD246" s="511"/>
      <c r="BH246" s="39"/>
      <c r="BI246" s="140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3:61 15027:15419" s="1" customFormat="1" hidden="1" x14ac:dyDescent="0.25">
      <c r="C247" s="15"/>
      <c r="D247" s="232" t="s">
        <v>21</v>
      </c>
      <c r="E247" s="248"/>
      <c r="F247" s="233" t="s">
        <v>1019</v>
      </c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019"/>
      <c r="S247" s="2020"/>
      <c r="T247" s="2020"/>
      <c r="U247" s="1980"/>
      <c r="V247" s="1980"/>
      <c r="W247" s="1980"/>
      <c r="X247" s="1980"/>
      <c r="Y247" s="271"/>
      <c r="Z247" s="271"/>
      <c r="AA247" s="1639"/>
      <c r="AB247" s="271"/>
      <c r="AC247" s="271"/>
      <c r="AD247" s="1639"/>
      <c r="AE247" s="1639"/>
      <c r="AF247" s="1639"/>
      <c r="AG247" s="271"/>
      <c r="AH247" s="271"/>
      <c r="AI247" s="271"/>
      <c r="AJ247" s="271"/>
      <c r="AK247" s="271"/>
      <c r="AM247" s="54"/>
      <c r="BC247" s="511"/>
      <c r="BD247" s="511"/>
      <c r="BH247" s="39"/>
      <c r="BI247" s="140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</row>
    <row r="248" spans="3:61 15027:15419" s="1" customFormat="1" x14ac:dyDescent="0.25">
      <c r="C248" s="15"/>
      <c r="D248" s="232"/>
      <c r="E248" s="248"/>
      <c r="F248" s="233" t="s">
        <v>19</v>
      </c>
      <c r="G248" s="290">
        <v>214.446</v>
      </c>
      <c r="H248" s="290">
        <v>216.3811</v>
      </c>
      <c r="I248" s="290">
        <v>214.05099999999999</v>
      </c>
      <c r="J248" s="290">
        <v>7.8590999999999998</v>
      </c>
      <c r="K248" s="290"/>
      <c r="L248" s="290"/>
      <c r="M248" s="290">
        <v>0.27639999999999998</v>
      </c>
      <c r="N248" s="290"/>
      <c r="O248" s="290"/>
      <c r="P248" s="290"/>
      <c r="Q248" s="290"/>
      <c r="R248" s="2061"/>
      <c r="S248" s="2061"/>
      <c r="T248" s="2061"/>
      <c r="U248" s="290"/>
      <c r="V248" s="290">
        <f t="shared" ref="V248:AE248" si="59">V246/25.3</f>
        <v>212.68774703557312</v>
      </c>
      <c r="W248" s="290">
        <f t="shared" si="59"/>
        <v>248.57707509881422</v>
      </c>
      <c r="X248" s="290">
        <f t="shared" si="59"/>
        <v>252.17391304347825</v>
      </c>
      <c r="Y248" s="290">
        <f t="shared" si="59"/>
        <v>212.21343873517785</v>
      </c>
      <c r="Z248" s="290">
        <f t="shared" si="59"/>
        <v>216.04743083003953</v>
      </c>
      <c r="AA248" s="290">
        <f t="shared" si="59"/>
        <v>219.72332015810275</v>
      </c>
      <c r="AB248" s="290">
        <f t="shared" si="59"/>
        <v>240.43478260869566</v>
      </c>
      <c r="AC248" s="290">
        <f t="shared" si="59"/>
        <v>249.01185770750988</v>
      </c>
      <c r="AD248" s="290">
        <f t="shared" si="59"/>
        <v>244.50592885375494</v>
      </c>
      <c r="AE248" s="290">
        <f t="shared" si="59"/>
        <v>238.498023715415</v>
      </c>
      <c r="AF248" s="290">
        <f t="shared" ref="AF248:AK248" si="60">AF246/25.3</f>
        <v>232.21343873517785</v>
      </c>
      <c r="AG248" s="290">
        <f t="shared" si="60"/>
        <v>233.47826086956522</v>
      </c>
      <c r="AH248" s="290">
        <f t="shared" si="60"/>
        <v>228.85375494071147</v>
      </c>
      <c r="AI248" s="290">
        <f t="shared" si="60"/>
        <v>222.33201581027669</v>
      </c>
      <c r="AJ248" s="290">
        <f t="shared" si="60"/>
        <v>217.86561264822134</v>
      </c>
      <c r="AK248" s="290">
        <f t="shared" si="60"/>
        <v>222.05533596837944</v>
      </c>
      <c r="AM248" s="1154">
        <f>SUM(G248:AK248)</f>
        <v>4343.6855367588923</v>
      </c>
      <c r="BC248" s="511"/>
      <c r="BD248" s="511"/>
      <c r="BH248" s="39"/>
      <c r="BI248" s="140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</row>
    <row r="249" spans="3:61 15027:15419" s="1" customFormat="1" x14ac:dyDescent="0.25">
      <c r="C249" s="15"/>
      <c r="D249" s="74" t="s">
        <v>375</v>
      </c>
      <c r="E249" s="918"/>
      <c r="F249" s="69"/>
      <c r="G249" s="269">
        <f t="shared" ref="G249:AK249" si="61">G248/G9*1000</f>
        <v>0.11410453010617319</v>
      </c>
      <c r="H249" s="269">
        <f t="shared" si="61"/>
        <v>0.10996092082528712</v>
      </c>
      <c r="I249" s="269">
        <f t="shared" ref="I249:Q249" si="62">I248/I9*1000</f>
        <v>0.10879372440271737</v>
      </c>
      <c r="J249" s="269" t="e">
        <f t="shared" si="62"/>
        <v>#DIV/0!</v>
      </c>
      <c r="K249" s="269" t="e">
        <f t="shared" si="62"/>
        <v>#DIV/0!</v>
      </c>
      <c r="L249" s="269" t="e">
        <f t="shared" si="62"/>
        <v>#DIV/0!</v>
      </c>
      <c r="M249" s="269" t="e">
        <f t="shared" si="62"/>
        <v>#DIV/0!</v>
      </c>
      <c r="N249" s="269" t="e">
        <f t="shared" si="62"/>
        <v>#DIV/0!</v>
      </c>
      <c r="O249" s="269" t="e">
        <f t="shared" si="62"/>
        <v>#DIV/0!</v>
      </c>
      <c r="P249" s="269" t="e">
        <f t="shared" si="62"/>
        <v>#DIV/0!</v>
      </c>
      <c r="Q249" s="269" t="e">
        <f t="shared" si="62"/>
        <v>#DIV/0!</v>
      </c>
      <c r="R249" s="269" t="e">
        <f t="shared" si="61"/>
        <v>#DIV/0!</v>
      </c>
      <c r="S249" s="269" t="e">
        <f t="shared" si="61"/>
        <v>#DIV/0!</v>
      </c>
      <c r="T249" s="269" t="e">
        <f t="shared" si="61"/>
        <v>#DIV/0!</v>
      </c>
      <c r="U249" s="269" t="e">
        <f t="shared" si="61"/>
        <v>#DIV/0!</v>
      </c>
      <c r="V249" s="269">
        <f t="shared" si="61"/>
        <v>0.15565338818881552</v>
      </c>
      <c r="W249" s="269">
        <f t="shared" ref="W249" si="63">W248/W9*1000</f>
        <v>0.10673798436346744</v>
      </c>
      <c r="X249" s="269">
        <f t="shared" si="61"/>
        <v>0.10729069896930635</v>
      </c>
      <c r="Y249" s="269">
        <f t="shared" si="61"/>
        <v>0.10376708294835242</v>
      </c>
      <c r="Z249" s="269">
        <f t="shared" si="61"/>
        <v>0.10467992458403204</v>
      </c>
      <c r="AA249" s="269">
        <f t="shared" si="61"/>
        <v>0.10637382201588358</v>
      </c>
      <c r="AB249" s="269">
        <f t="shared" si="61"/>
        <v>0.10480735611940017</v>
      </c>
      <c r="AC249" s="269">
        <f t="shared" si="61"/>
        <v>0.10451414890815611</v>
      </c>
      <c r="AD249" s="269">
        <f t="shared" si="61"/>
        <v>0.10825034880726279</v>
      </c>
      <c r="AE249" s="269">
        <f t="shared" si="61"/>
        <v>0.10107077585935874</v>
      </c>
      <c r="AF249" s="269">
        <f t="shared" si="61"/>
        <v>0.11332095044285229</v>
      </c>
      <c r="AG249" s="269">
        <f t="shared" si="61"/>
        <v>0.10644814916600948</v>
      </c>
      <c r="AH249" s="269">
        <f t="shared" si="61"/>
        <v>0.1062415010239644</v>
      </c>
      <c r="AI249" s="269">
        <f t="shared" si="61"/>
        <v>0.10451680551357309</v>
      </c>
      <c r="AJ249" s="269">
        <f t="shared" si="61"/>
        <v>0.10252784084274402</v>
      </c>
      <c r="AK249" s="269">
        <f t="shared" si="61"/>
        <v>0.10344234431771593</v>
      </c>
      <c r="AL249" s="62"/>
      <c r="AM249" s="84">
        <f>(AM248/AM9)*1000</f>
        <v>0.1082528199548239</v>
      </c>
      <c r="AO249" s="39"/>
      <c r="BC249" s="511"/>
      <c r="BD249" s="511"/>
      <c r="BH249" s="39"/>
      <c r="BI249" s="140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 ht="15" customHeight="1" x14ac:dyDescent="0.25">
      <c r="C250" s="15"/>
      <c r="D250" s="14" t="s">
        <v>1135</v>
      </c>
      <c r="E250" s="248">
        <v>1168.001</v>
      </c>
      <c r="F250" s="20" t="s">
        <v>19</v>
      </c>
      <c r="G250" s="33">
        <f t="shared" ref="G250:AK250" si="64">G242-G248</f>
        <v>600.70359999999994</v>
      </c>
      <c r="H250" s="2015">
        <f t="shared" si="64"/>
        <v>666.58680000000004</v>
      </c>
      <c r="I250" s="2015">
        <f t="shared" ref="I250:Q250" si="65">I242-I248</f>
        <v>691.61770000000001</v>
      </c>
      <c r="J250" s="2015">
        <f t="shared" si="65"/>
        <v>562.75519999999995</v>
      </c>
      <c r="K250" s="2015">
        <f t="shared" si="65"/>
        <v>330.27730000000003</v>
      </c>
      <c r="L250" s="2015">
        <f t="shared" si="65"/>
        <v>0</v>
      </c>
      <c r="M250" s="2015">
        <f t="shared" si="65"/>
        <v>-0.27639999999999998</v>
      </c>
      <c r="N250" s="2015">
        <f t="shared" si="65"/>
        <v>0</v>
      </c>
      <c r="O250" s="2015">
        <f t="shared" si="65"/>
        <v>0</v>
      </c>
      <c r="P250" s="2015">
        <f t="shared" si="65"/>
        <v>0</v>
      </c>
      <c r="Q250" s="2015">
        <f t="shared" si="65"/>
        <v>0</v>
      </c>
      <c r="R250" s="33">
        <f t="shared" si="64"/>
        <v>0</v>
      </c>
      <c r="S250" s="33">
        <f t="shared" si="64"/>
        <v>0</v>
      </c>
      <c r="T250" s="33">
        <f t="shared" si="64"/>
        <v>0</v>
      </c>
      <c r="U250" s="33">
        <f t="shared" si="64"/>
        <v>0</v>
      </c>
      <c r="V250" s="33">
        <f t="shared" si="64"/>
        <v>1234.4117529644268</v>
      </c>
      <c r="W250" s="33">
        <f t="shared" ref="W250" si="66">W242-W248</f>
        <v>1101.4281249011858</v>
      </c>
      <c r="X250" s="33">
        <f t="shared" si="64"/>
        <v>794.31578695652183</v>
      </c>
      <c r="Y250" s="33">
        <f t="shared" si="64"/>
        <v>837.51516126482204</v>
      </c>
      <c r="Z250" s="33">
        <f t="shared" si="64"/>
        <v>807.86676916996055</v>
      </c>
      <c r="AA250" s="33">
        <f t="shared" si="64"/>
        <v>816.7800798418973</v>
      </c>
      <c r="AB250" s="33">
        <f t="shared" si="64"/>
        <v>860.01231739130446</v>
      </c>
      <c r="AC250" s="33">
        <f t="shared" si="64"/>
        <v>803.01054229249019</v>
      </c>
      <c r="AD250" s="33">
        <f t="shared" si="64"/>
        <v>712.72167114624517</v>
      </c>
      <c r="AE250" s="33">
        <f t="shared" si="64"/>
        <v>756.382876284585</v>
      </c>
      <c r="AF250" s="33">
        <f t="shared" si="64"/>
        <v>866.55146126482202</v>
      </c>
      <c r="AG250" s="33">
        <f t="shared" si="64"/>
        <v>958.56043913043482</v>
      </c>
      <c r="AH250" s="33">
        <f t="shared" si="64"/>
        <v>1023.7771450592886</v>
      </c>
      <c r="AI250" s="33">
        <f t="shared" si="64"/>
        <v>871.65468418972318</v>
      </c>
      <c r="AJ250" s="33">
        <f t="shared" si="64"/>
        <v>723.64328735177867</v>
      </c>
      <c r="AK250" s="33">
        <f t="shared" si="64"/>
        <v>691.66906403162056</v>
      </c>
      <c r="AM250" s="571">
        <f>SUM(G250:AK250)</f>
        <v>16711.965363241106</v>
      </c>
      <c r="BC250" s="511"/>
      <c r="BD250" s="511"/>
      <c r="BI250" s="140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2" customFormat="1" ht="15.75" thickBot="1" x14ac:dyDescent="0.3">
      <c r="C251" s="40"/>
      <c r="D251" s="41" t="s">
        <v>1</v>
      </c>
      <c r="E251" s="257">
        <v>1460.001</v>
      </c>
      <c r="F251" s="25" t="s">
        <v>19</v>
      </c>
      <c r="G251" s="292">
        <f t="shared" ref="G251:S251" si="67">G248+G250</f>
        <v>815.14959999999996</v>
      </c>
      <c r="H251" s="292">
        <f t="shared" si="67"/>
        <v>882.9679000000001</v>
      </c>
      <c r="I251" s="292">
        <f t="shared" ref="I251:Q251" si="68">I248+I250</f>
        <v>905.66869999999994</v>
      </c>
      <c r="J251" s="292">
        <f t="shared" si="68"/>
        <v>570.61429999999996</v>
      </c>
      <c r="K251" s="292">
        <f t="shared" si="68"/>
        <v>330.27730000000003</v>
      </c>
      <c r="L251" s="292">
        <f t="shared" si="68"/>
        <v>0</v>
      </c>
      <c r="M251" s="292">
        <f t="shared" si="68"/>
        <v>0</v>
      </c>
      <c r="N251" s="292">
        <f t="shared" si="68"/>
        <v>0</v>
      </c>
      <c r="O251" s="292">
        <f t="shared" si="68"/>
        <v>0</v>
      </c>
      <c r="P251" s="292">
        <f t="shared" si="68"/>
        <v>0</v>
      </c>
      <c r="Q251" s="292">
        <f t="shared" si="68"/>
        <v>0</v>
      </c>
      <c r="R251" s="292">
        <f t="shared" si="67"/>
        <v>0</v>
      </c>
      <c r="S251" s="292">
        <f t="shared" si="67"/>
        <v>0</v>
      </c>
      <c r="T251" s="292">
        <f t="shared" ref="T251" si="69">T248+T250</f>
        <v>0</v>
      </c>
      <c r="U251" s="292">
        <f t="shared" ref="U251:AI251" si="70">U248+U250</f>
        <v>0</v>
      </c>
      <c r="V251" s="292">
        <f>V248+V250</f>
        <v>1447.0994999999998</v>
      </c>
      <c r="W251" s="292">
        <f>W248+W250</f>
        <v>1350.0052000000001</v>
      </c>
      <c r="X251" s="292">
        <f t="shared" si="70"/>
        <v>1046.4897000000001</v>
      </c>
      <c r="Y251" s="292">
        <f t="shared" si="70"/>
        <v>1049.7285999999999</v>
      </c>
      <c r="Z251" s="292">
        <f t="shared" si="70"/>
        <v>1023.9142000000001</v>
      </c>
      <c r="AA251" s="292">
        <f t="shared" si="70"/>
        <v>1036.5034000000001</v>
      </c>
      <c r="AB251" s="292">
        <f t="shared" si="70"/>
        <v>1100.4471000000001</v>
      </c>
      <c r="AC251" s="292">
        <f t="shared" si="70"/>
        <v>1052.0224000000001</v>
      </c>
      <c r="AD251" s="292">
        <f t="shared" ref="AD251" si="71">AD248+AD250</f>
        <v>957.22760000000017</v>
      </c>
      <c r="AE251" s="292">
        <f t="shared" si="70"/>
        <v>994.8809</v>
      </c>
      <c r="AF251" s="292">
        <f t="shared" si="70"/>
        <v>1098.7648999999999</v>
      </c>
      <c r="AG251" s="292">
        <f t="shared" si="70"/>
        <v>1192.0387000000001</v>
      </c>
      <c r="AH251" s="292">
        <f t="shared" ref="AH251" si="72">AH248+AH250</f>
        <v>1252.6309000000001</v>
      </c>
      <c r="AI251" s="292">
        <f t="shared" si="70"/>
        <v>1093.9866999999999</v>
      </c>
      <c r="AJ251" s="292">
        <f t="shared" ref="AJ251:AK251" si="73">AJ248+AJ250</f>
        <v>941.50890000000004</v>
      </c>
      <c r="AK251" s="292">
        <f t="shared" si="73"/>
        <v>913.72440000000006</v>
      </c>
      <c r="AM251" s="116">
        <f>SUM(G251:AK251)</f>
        <v>21055.650900000001</v>
      </c>
      <c r="BC251" s="2117"/>
      <c r="BD251" s="2117"/>
      <c r="BI251" s="150"/>
    </row>
    <row r="252" spans="3:61 15027:15419" s="2" customFormat="1" x14ac:dyDescent="0.25">
      <c r="C252" s="8">
        <v>5</v>
      </c>
      <c r="D252" s="117" t="s">
        <v>18</v>
      </c>
      <c r="E252" s="118"/>
      <c r="F252" s="118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1944"/>
      <c r="T252" s="1944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  <c r="AE252" s="293"/>
      <c r="AF252" s="293"/>
      <c r="AG252" s="293"/>
      <c r="AH252" s="293"/>
      <c r="AI252" s="293"/>
      <c r="AJ252" s="293"/>
      <c r="AK252" s="293"/>
      <c r="AM252" s="135" t="s">
        <v>132</v>
      </c>
      <c r="BC252" s="2117"/>
      <c r="BD252" s="2117"/>
      <c r="BI252" s="150"/>
    </row>
    <row r="253" spans="3:61 15027:15419" s="2" customFormat="1" x14ac:dyDescent="0.25">
      <c r="C253" s="8"/>
      <c r="D253" s="232" t="s">
        <v>4</v>
      </c>
      <c r="E253" s="1707">
        <v>408000</v>
      </c>
      <c r="F253" s="233" t="s">
        <v>14</v>
      </c>
      <c r="G253" s="1640">
        <f>156.386*1000</f>
        <v>156386</v>
      </c>
      <c r="H253" s="1640">
        <f>133.258*1000</f>
        <v>133258</v>
      </c>
      <c r="I253" s="1640">
        <f>172.904*1000</f>
        <v>172904</v>
      </c>
      <c r="J253" s="1640">
        <f>84.715*1000</f>
        <v>84715</v>
      </c>
      <c r="K253" s="1640">
        <f>71.661*1000</f>
        <v>71661</v>
      </c>
      <c r="L253" s="1640"/>
      <c r="M253" s="1640"/>
      <c r="N253" s="1640"/>
      <c r="O253" s="1640"/>
      <c r="P253" s="1640"/>
      <c r="Q253" s="1640"/>
      <c r="R253" s="2039"/>
      <c r="S253" s="2039"/>
      <c r="T253" s="2039"/>
      <c r="U253" s="1984"/>
      <c r="V253" s="1640">
        <f>475.023*1000</f>
        <v>475023</v>
      </c>
      <c r="W253" s="1640">
        <f>342.267*1000</f>
        <v>342267</v>
      </c>
      <c r="X253" s="1640">
        <f>794.5255*1000</f>
        <v>794525.5</v>
      </c>
      <c r="Y253" s="1640">
        <f>280.133*1000</f>
        <v>280133</v>
      </c>
      <c r="Z253" s="1640">
        <f>271.779*1000</f>
        <v>271779</v>
      </c>
      <c r="AA253" s="1640">
        <f>266.346*1000</f>
        <v>266346</v>
      </c>
      <c r="AB253" s="1640">
        <f>354.258*1000</f>
        <v>354258</v>
      </c>
      <c r="AC253" s="1640">
        <f>152.568*1000</f>
        <v>152568</v>
      </c>
      <c r="AD253" s="1640">
        <f>171.416*1000</f>
        <v>171416</v>
      </c>
      <c r="AE253" s="1640">
        <f>224.019*1000</f>
        <v>224019</v>
      </c>
      <c r="AF253" s="1640">
        <f>313.5*1000</f>
        <v>313500</v>
      </c>
      <c r="AG253" s="1640">
        <f>386.943*1000</f>
        <v>386943</v>
      </c>
      <c r="AH253" s="1640">
        <f>385.41*1000</f>
        <v>385410</v>
      </c>
      <c r="AI253" s="1640">
        <f>239.25*1000</f>
        <v>239250</v>
      </c>
      <c r="AJ253" s="1640">
        <f>153.175*1000</f>
        <v>153175</v>
      </c>
      <c r="AK253" s="1640">
        <f>172.963*1000</f>
        <v>172963</v>
      </c>
      <c r="AM253" s="2014">
        <f>SUM(G253:AK253)</f>
        <v>5602499.5</v>
      </c>
      <c r="BC253" s="2117"/>
      <c r="BD253" s="2117"/>
      <c r="BI253" s="150"/>
    </row>
    <row r="254" spans="3:61 15027:15419" s="2" customFormat="1" x14ac:dyDescent="0.25">
      <c r="C254" s="8"/>
      <c r="D254" s="2095" t="s">
        <v>1127</v>
      </c>
      <c r="E254" s="118"/>
      <c r="F254" s="118"/>
      <c r="G254" s="2094"/>
      <c r="H254" s="2094"/>
      <c r="I254" s="2094"/>
      <c r="J254" s="2094"/>
      <c r="K254" s="2094"/>
      <c r="L254" s="2094"/>
      <c r="M254" s="2094"/>
      <c r="N254" s="2094"/>
      <c r="O254" s="2094"/>
      <c r="P254" s="2094"/>
      <c r="Q254" s="2094"/>
      <c r="R254" s="2094"/>
      <c r="S254" s="2094"/>
      <c r="T254" s="2094"/>
      <c r="U254" s="2094"/>
      <c r="V254" s="2094"/>
      <c r="W254" s="2094"/>
      <c r="X254" s="2094"/>
      <c r="Y254" s="2094"/>
      <c r="Z254" s="2094"/>
      <c r="AA254" s="2094"/>
      <c r="AB254" s="2094"/>
      <c r="AC254" s="2094"/>
      <c r="AD254" s="2094"/>
      <c r="AE254" s="2094"/>
      <c r="AF254" s="2094"/>
      <c r="AG254" s="2094"/>
      <c r="AH254" s="2094"/>
      <c r="AI254" s="2094"/>
      <c r="AJ254" s="2094"/>
      <c r="AK254" s="2094"/>
      <c r="AM254" s="63">
        <f>(AM256+AM258+AM260)</f>
        <v>133588.68353148282</v>
      </c>
      <c r="AO254" s="27"/>
      <c r="BC254" s="2117"/>
      <c r="BD254" s="2117"/>
      <c r="BI254" s="150"/>
    </row>
    <row r="255" spans="3:61 15027:15419" s="1" customFormat="1" x14ac:dyDescent="0.25">
      <c r="C255" s="15"/>
      <c r="D255" s="232" t="s">
        <v>16</v>
      </c>
      <c r="E255" s="1897">
        <v>70000</v>
      </c>
      <c r="F255" s="233" t="s">
        <v>1029</v>
      </c>
      <c r="G255" s="1497">
        <f>84.85*1000</f>
        <v>84850</v>
      </c>
      <c r="H255" s="1497">
        <f>85.93*1000</f>
        <v>85930</v>
      </c>
      <c r="I255" s="1497">
        <f>84.71*1000</f>
        <v>84710</v>
      </c>
      <c r="J255" s="1497">
        <f>31.4*1000</f>
        <v>31400</v>
      </c>
      <c r="K255" s="1497">
        <f>29.9*1000</f>
        <v>29900</v>
      </c>
      <c r="L255" s="241"/>
      <c r="M255" s="1497"/>
      <c r="N255" s="241"/>
      <c r="O255" s="241"/>
      <c r="P255" s="241"/>
      <c r="Q255" s="241"/>
      <c r="R255" s="2021"/>
      <c r="S255" s="2021"/>
      <c r="T255" s="2021"/>
      <c r="U255" s="1983"/>
      <c r="V255" s="241">
        <f>66.4*1000</f>
        <v>66400</v>
      </c>
      <c r="W255" s="241">
        <f>92.55*1000</f>
        <v>92550</v>
      </c>
      <c r="X255" s="241">
        <f>93.25*1000</f>
        <v>93250</v>
      </c>
      <c r="Y255" s="241">
        <f>90.47*1000</f>
        <v>90470</v>
      </c>
      <c r="Z255" s="241">
        <f>87.12*1000</f>
        <v>87120</v>
      </c>
      <c r="AA255" s="241">
        <f>90.48*1000</f>
        <v>90480</v>
      </c>
      <c r="AB255" s="241">
        <f>88.3*1000</f>
        <v>88300</v>
      </c>
      <c r="AC255" s="241">
        <f>88.9*1000</f>
        <v>88900</v>
      </c>
      <c r="AD255" s="241">
        <f>91.2*1000</f>
        <v>91200</v>
      </c>
      <c r="AE255" s="241">
        <f>91.2*1000</f>
        <v>91200</v>
      </c>
      <c r="AF255" s="241">
        <f>94.7*1000</f>
        <v>94700</v>
      </c>
      <c r="AG255" s="241">
        <f>91.4*1000</f>
        <v>91400</v>
      </c>
      <c r="AH255" s="241">
        <f>80.8*1000</f>
        <v>80800</v>
      </c>
      <c r="AI255" s="241">
        <f>90.2*1000</f>
        <v>90200</v>
      </c>
      <c r="AJ255" s="241">
        <f>85.9*1000</f>
        <v>85900</v>
      </c>
      <c r="AK255" s="241">
        <f>91*1000</f>
        <v>91000</v>
      </c>
      <c r="AM255" s="2014">
        <f>SUM(G255:AK255)</f>
        <v>1730660</v>
      </c>
      <c r="BC255" s="511"/>
      <c r="BD255" s="511"/>
      <c r="BI255" s="140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3:61 15027:15419" s="1" customFormat="1" x14ac:dyDescent="0.25">
      <c r="C256" s="15"/>
      <c r="D256" s="14"/>
      <c r="E256" s="231">
        <f>E255/2500</f>
        <v>28</v>
      </c>
      <c r="F256" s="20" t="s">
        <v>353</v>
      </c>
      <c r="G256" s="33">
        <f t="shared" ref="G256:AK256" si="74">G255/G9*1000000</f>
        <v>45147.819868446117</v>
      </c>
      <c r="H256" s="33">
        <f t="shared" si="74"/>
        <v>43668.055696717143</v>
      </c>
      <c r="I256" s="33">
        <f t="shared" ref="I256:Q256" si="75">I255/I9*1000000</f>
        <v>43054.769163209647</v>
      </c>
      <c r="J256" s="33" t="e">
        <f t="shared" si="75"/>
        <v>#DIV/0!</v>
      </c>
      <c r="K256" s="33" t="e">
        <f t="shared" si="75"/>
        <v>#DIV/0!</v>
      </c>
      <c r="L256" s="33" t="e">
        <f t="shared" si="75"/>
        <v>#DIV/0!</v>
      </c>
      <c r="M256" s="33" t="e">
        <f t="shared" si="75"/>
        <v>#DIV/0!</v>
      </c>
      <c r="N256" s="33" t="e">
        <f t="shared" si="75"/>
        <v>#DIV/0!</v>
      </c>
      <c r="O256" s="33" t="e">
        <f t="shared" si="75"/>
        <v>#DIV/0!</v>
      </c>
      <c r="P256" s="33" t="e">
        <f t="shared" si="75"/>
        <v>#DIV/0!</v>
      </c>
      <c r="Q256" s="33" t="e">
        <f t="shared" si="75"/>
        <v>#DIV/0!</v>
      </c>
      <c r="R256" s="33" t="e">
        <f t="shared" si="74"/>
        <v>#DIV/0!</v>
      </c>
      <c r="S256" s="33" t="e">
        <f t="shared" si="74"/>
        <v>#DIV/0!</v>
      </c>
      <c r="T256" s="33" t="e">
        <f t="shared" si="74"/>
        <v>#DIV/0!</v>
      </c>
      <c r="U256" s="33" t="e">
        <f t="shared" si="74"/>
        <v>#DIV/0!</v>
      </c>
      <c r="V256" s="33">
        <f t="shared" si="74"/>
        <v>48594.17206581583</v>
      </c>
      <c r="W256" s="33">
        <f t="shared" ref="W256" si="76">W255/W9*1000000</f>
        <v>39740.593330708289</v>
      </c>
      <c r="X256" s="33">
        <f t="shared" si="74"/>
        <v>39674.435623175821</v>
      </c>
      <c r="Y256" s="33">
        <f t="shared" si="74"/>
        <v>44237.575387732788</v>
      </c>
      <c r="Z256" s="33">
        <f t="shared" si="74"/>
        <v>42211.633782098434</v>
      </c>
      <c r="AA256" s="33">
        <f t="shared" si="74"/>
        <v>43803.741037008062</v>
      </c>
      <c r="AB256" s="33">
        <f t="shared" si="74"/>
        <v>38490.643678641922</v>
      </c>
      <c r="AC256" s="33">
        <f t="shared" si="74"/>
        <v>37312.712428532934</v>
      </c>
      <c r="AD256" s="33">
        <f t="shared" si="74"/>
        <v>40377.065118643048</v>
      </c>
      <c r="AE256" s="33">
        <f t="shared" ref="AE256" si="77">AE255/AE9*1000000</f>
        <v>38648.767879822677</v>
      </c>
      <c r="AF256" s="33">
        <f t="shared" si="74"/>
        <v>46213.92312775051</v>
      </c>
      <c r="AG256" s="33">
        <f t="shared" si="74"/>
        <v>41671.377872771904</v>
      </c>
      <c r="AH256" s="33">
        <f t="shared" si="74"/>
        <v>37510.039042008459</v>
      </c>
      <c r="AI256" s="33">
        <f t="shared" si="74"/>
        <v>42402.421544943041</v>
      </c>
      <c r="AJ256" s="33">
        <f t="shared" si="74"/>
        <v>40424.651790332064</v>
      </c>
      <c r="AK256" s="33">
        <f t="shared" si="74"/>
        <v>42391.475493534599</v>
      </c>
      <c r="AM256" s="1496">
        <f>AM255/AM9*1000000</f>
        <v>43131.304924713491</v>
      </c>
      <c r="BC256" s="511"/>
      <c r="BD256" s="511"/>
      <c r="BI256" s="140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1:61 15027:15419" s="1" customFormat="1" x14ac:dyDescent="0.25">
      <c r="A257" s="1993"/>
      <c r="C257" s="15"/>
      <c r="D257" s="232" t="s">
        <v>15</v>
      </c>
      <c r="E257" s="1772">
        <v>112.8</v>
      </c>
      <c r="F257" s="233" t="s">
        <v>1029</v>
      </c>
      <c r="G257" s="1497">
        <f>46.615*1000</f>
        <v>46615</v>
      </c>
      <c r="H257" s="1497">
        <f>45.718*1000</f>
        <v>45718</v>
      </c>
      <c r="I257" s="1497">
        <f>40.48*1000</f>
        <v>40480</v>
      </c>
      <c r="J257" s="1497">
        <f>28.196*1000</f>
        <v>28196</v>
      </c>
      <c r="K257" s="1497">
        <f>26.1*1000</f>
        <v>26100</v>
      </c>
      <c r="L257" s="1497"/>
      <c r="M257" s="1497">
        <f>20.997*1000</f>
        <v>20997</v>
      </c>
      <c r="N257" s="1497">
        <f>42.456*1000</f>
        <v>42456</v>
      </c>
      <c r="O257" s="1497"/>
      <c r="P257" s="1497">
        <f>32.165*1000</f>
        <v>32165</v>
      </c>
      <c r="Q257" s="1497">
        <f>37.904*1000</f>
        <v>37904</v>
      </c>
      <c r="R257" s="1497">
        <f>38.057*1000</f>
        <v>38057</v>
      </c>
      <c r="S257" s="1497">
        <f>39.702*1000</f>
        <v>39702</v>
      </c>
      <c r="T257" s="1497">
        <f>33.916*1000</f>
        <v>33916</v>
      </c>
      <c r="U257" s="1497">
        <f>36.459*1000</f>
        <v>36459</v>
      </c>
      <c r="V257" s="1497">
        <f>20.231*1000</f>
        <v>20231</v>
      </c>
      <c r="W257" s="1497">
        <f>34.675*1000</f>
        <v>34675</v>
      </c>
      <c r="X257" s="1497">
        <f>52.467*1000</f>
        <v>52467</v>
      </c>
      <c r="Y257" s="1497">
        <f>43.406*1000</f>
        <v>43406</v>
      </c>
      <c r="Z257" s="1497">
        <f>49.865*1000</f>
        <v>49865</v>
      </c>
      <c r="AA257" s="1497">
        <f>46.518*1000</f>
        <v>46518</v>
      </c>
      <c r="AB257" s="1497">
        <f>40.595*1000</f>
        <v>40595</v>
      </c>
      <c r="AC257" s="1497">
        <f>41.267*1000</f>
        <v>41267</v>
      </c>
      <c r="AD257" s="1497">
        <f>38.643*1000</f>
        <v>38643</v>
      </c>
      <c r="AE257" s="1497">
        <f>31.209*1000</f>
        <v>31209</v>
      </c>
      <c r="AF257" s="1497">
        <f>37.662*1000</f>
        <v>37662</v>
      </c>
      <c r="AG257" s="1497">
        <f>41.526*1000</f>
        <v>41526</v>
      </c>
      <c r="AH257" s="1497">
        <f>38.455*1000</f>
        <v>38455</v>
      </c>
      <c r="AI257" s="1497">
        <f>39.156*1000</f>
        <v>39156</v>
      </c>
      <c r="AJ257" s="1497">
        <f>34.583*1000</f>
        <v>34583</v>
      </c>
      <c r="AK257" s="1497">
        <f>38.291*1000</f>
        <v>38291</v>
      </c>
      <c r="AM257" s="2014">
        <f>SUM(G257:AK257)</f>
        <v>1097314</v>
      </c>
      <c r="BC257" s="511"/>
      <c r="BD257" s="511"/>
      <c r="BI257" s="140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  <c r="VUA257" s="46"/>
    </row>
    <row r="258" spans="1:61 15027:15419" s="1" customFormat="1" x14ac:dyDescent="0.25">
      <c r="C258" s="15"/>
      <c r="D258" s="14"/>
      <c r="E258" s="231">
        <f>E257/2.5</f>
        <v>45.12</v>
      </c>
      <c r="F258" s="20" t="s">
        <v>353</v>
      </c>
      <c r="G258" s="33">
        <f t="shared" ref="G258:AK258" si="78">G257/G29*1000000</f>
        <v>24291.069703358695</v>
      </c>
      <c r="H258" s="33">
        <f t="shared" si="78"/>
        <v>28948.433189323561</v>
      </c>
      <c r="I258" s="33">
        <f t="shared" ref="I258:Q258" si="79">I257/I29*1000000</f>
        <v>24971.022386941044</v>
      </c>
      <c r="J258" s="33">
        <f t="shared" si="79"/>
        <v>24000.864834681233</v>
      </c>
      <c r="K258" s="33" t="e">
        <f>K257/K29*1000000</f>
        <v>#DIV/0!</v>
      </c>
      <c r="L258" s="33" t="e">
        <f t="shared" si="79"/>
        <v>#DIV/0!</v>
      </c>
      <c r="M258" s="33">
        <f t="shared" si="79"/>
        <v>41465.480979436106</v>
      </c>
      <c r="N258" s="33">
        <f t="shared" si="79"/>
        <v>26058.823854356364</v>
      </c>
      <c r="O258" s="33">
        <f t="shared" si="79"/>
        <v>0</v>
      </c>
      <c r="P258" s="33">
        <f t="shared" si="79"/>
        <v>15188.633717114117</v>
      </c>
      <c r="Q258" s="33">
        <f t="shared" si="79"/>
        <v>18759.508681419949</v>
      </c>
      <c r="R258" s="33">
        <f t="shared" si="78"/>
        <v>21236.003834611722</v>
      </c>
      <c r="S258" s="33">
        <f t="shared" si="78"/>
        <v>20806.627598994208</v>
      </c>
      <c r="T258" s="33">
        <f t="shared" si="78"/>
        <v>18935.331454837091</v>
      </c>
      <c r="U258" s="33">
        <f t="shared" si="78"/>
        <v>20662.20616754868</v>
      </c>
      <c r="V258" s="33">
        <f t="shared" si="78"/>
        <v>18139.074908076287</v>
      </c>
      <c r="W258" s="33">
        <f t="shared" ref="W258" si="80">W257/W29*1000000</f>
        <v>22182.346242915082</v>
      </c>
      <c r="X258" s="33">
        <f t="shared" si="78"/>
        <v>30390.089264045142</v>
      </c>
      <c r="Y258" s="33">
        <f t="shared" si="78"/>
        <v>23799.902291328657</v>
      </c>
      <c r="Z258" s="33">
        <f t="shared" si="78"/>
        <v>22312.329659580922</v>
      </c>
      <c r="AA258" s="33">
        <f t="shared" si="78"/>
        <v>21037.959501543544</v>
      </c>
      <c r="AB258" s="33">
        <f t="shared" si="78"/>
        <v>17731.975694591561</v>
      </c>
      <c r="AC258" s="33">
        <f t="shared" si="78"/>
        <v>18697.173925355382</v>
      </c>
      <c r="AD258" s="33">
        <f t="shared" si="78"/>
        <v>17595.207772616897</v>
      </c>
      <c r="AE258" s="33">
        <f t="shared" ref="AE258" si="81">AE257/AE29*1000000</f>
        <v>18419.409403229783</v>
      </c>
      <c r="AF258" s="33">
        <f t="shared" si="78"/>
        <v>23593.900742986731</v>
      </c>
      <c r="AG258" s="33">
        <f t="shared" si="78"/>
        <v>25233.706193761031</v>
      </c>
      <c r="AH258" s="33">
        <f t="shared" si="78"/>
        <v>22582.755477881761</v>
      </c>
      <c r="AI258" s="33">
        <f t="shared" si="78"/>
        <v>20758.626100860329</v>
      </c>
      <c r="AJ258" s="33">
        <f t="shared" si="78"/>
        <v>18068.603535141119</v>
      </c>
      <c r="AK258" s="33">
        <f t="shared" si="78"/>
        <v>18377.495283360713</v>
      </c>
      <c r="AM258" s="1496">
        <f>AM257/AM29*1000000</f>
        <v>21310.980491661139</v>
      </c>
      <c r="BC258" s="511"/>
      <c r="BD258" s="511"/>
      <c r="BI258" s="140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1:61 15027:15419" s="1" customFormat="1" x14ac:dyDescent="0.25">
      <c r="C259" s="15"/>
      <c r="D259" s="14" t="s">
        <v>7</v>
      </c>
      <c r="E259" s="231">
        <v>106000</v>
      </c>
      <c r="F259" s="20" t="s">
        <v>14</v>
      </c>
      <c r="G259" s="268">
        <f>G253-G255-G257</f>
        <v>24921</v>
      </c>
      <c r="H259" s="268">
        <f t="shared" ref="H259:AK259" si="82">H253-H255-H257</f>
        <v>1610</v>
      </c>
      <c r="I259" s="268">
        <f t="shared" ref="I259:Q259" si="83">I253-I255-I257</f>
        <v>47714</v>
      </c>
      <c r="J259" s="268">
        <f t="shared" si="83"/>
        <v>25119</v>
      </c>
      <c r="K259" s="268">
        <f t="shared" si="83"/>
        <v>15661</v>
      </c>
      <c r="L259" s="268">
        <f t="shared" si="83"/>
        <v>0</v>
      </c>
      <c r="M259" s="268">
        <f t="shared" si="83"/>
        <v>-20997</v>
      </c>
      <c r="N259" s="268">
        <f t="shared" si="83"/>
        <v>-42456</v>
      </c>
      <c r="O259" s="268">
        <f t="shared" si="83"/>
        <v>0</v>
      </c>
      <c r="P259" s="268">
        <f t="shared" si="83"/>
        <v>-32165</v>
      </c>
      <c r="Q259" s="268">
        <f t="shared" si="83"/>
        <v>-37904</v>
      </c>
      <c r="R259" s="268">
        <f t="shared" si="82"/>
        <v>-38057</v>
      </c>
      <c r="S259" s="268">
        <f t="shared" si="82"/>
        <v>-39702</v>
      </c>
      <c r="T259" s="268">
        <f>T253-T255-T257</f>
        <v>-33916</v>
      </c>
      <c r="U259" s="268">
        <f t="shared" si="82"/>
        <v>-36459</v>
      </c>
      <c r="V259" s="268">
        <f t="shared" si="82"/>
        <v>388392</v>
      </c>
      <c r="W259" s="268">
        <f t="shared" si="82"/>
        <v>215042</v>
      </c>
      <c r="X259" s="268">
        <f t="shared" si="82"/>
        <v>648808.5</v>
      </c>
      <c r="Y259" s="268">
        <f t="shared" si="82"/>
        <v>146257</v>
      </c>
      <c r="Z259" s="268">
        <f t="shared" si="82"/>
        <v>134794</v>
      </c>
      <c r="AA259" s="268">
        <f t="shared" si="82"/>
        <v>129348</v>
      </c>
      <c r="AB259" s="268">
        <f t="shared" si="82"/>
        <v>225363</v>
      </c>
      <c r="AC259" s="268">
        <f t="shared" si="82"/>
        <v>22401</v>
      </c>
      <c r="AD259" s="268">
        <f t="shared" si="82"/>
        <v>41573</v>
      </c>
      <c r="AE259" s="268">
        <f t="shared" ref="AE259" si="84">AE253-AE255-AE257</f>
        <v>101610</v>
      </c>
      <c r="AF259" s="268">
        <f t="shared" si="82"/>
        <v>181138</v>
      </c>
      <c r="AG259" s="268">
        <f t="shared" si="82"/>
        <v>254017</v>
      </c>
      <c r="AH259" s="268">
        <f t="shared" si="82"/>
        <v>266155</v>
      </c>
      <c r="AI259" s="268">
        <f t="shared" si="82"/>
        <v>109894</v>
      </c>
      <c r="AJ259" s="268">
        <f t="shared" si="82"/>
        <v>32692</v>
      </c>
      <c r="AK259" s="268">
        <f t="shared" si="82"/>
        <v>43672</v>
      </c>
      <c r="AM259" s="571">
        <f>AM253-AM255-AM257</f>
        <v>2774525.5</v>
      </c>
      <c r="AO259" s="3"/>
      <c r="BC259" s="511"/>
      <c r="BD259" s="511"/>
      <c r="BI259" s="140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  <c r="VUA259" s="46"/>
    </row>
    <row r="260" spans="1:61 15027:15419" s="1" customFormat="1" x14ac:dyDescent="0.25">
      <c r="C260" s="15"/>
      <c r="D260" s="14"/>
      <c r="E260" s="231"/>
      <c r="F260" s="20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1922"/>
      <c r="T260" s="1922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M260" s="1154">
        <f>AM259/AM9*1000000</f>
        <v>69146.398115108197</v>
      </c>
      <c r="AO260" s="3"/>
      <c r="BC260" s="511"/>
      <c r="BD260" s="511"/>
      <c r="BI260" s="140"/>
      <c r="VEY260" s="46"/>
      <c r="VEZ260" s="46"/>
      <c r="VFA260" s="46"/>
      <c r="VFB260" s="46"/>
      <c r="VFC260" s="46"/>
      <c r="VFD260" s="46"/>
      <c r="VFE260" s="46"/>
      <c r="VFF260" s="46"/>
      <c r="VFG260" s="46"/>
      <c r="VFH260" s="46"/>
      <c r="VFI260" s="46"/>
      <c r="VFJ260" s="46"/>
      <c r="VFK260" s="46"/>
      <c r="VFL260" s="46"/>
      <c r="VFM260" s="46"/>
      <c r="VFN260" s="46"/>
      <c r="VFO260" s="46"/>
      <c r="VFP260" s="46"/>
      <c r="VFQ260" s="46"/>
      <c r="VFR260" s="46"/>
      <c r="VFS260" s="46"/>
      <c r="VFT260" s="46"/>
      <c r="VFU260" s="46"/>
      <c r="VFV260" s="46"/>
      <c r="VFW260" s="46"/>
      <c r="VFX260" s="46"/>
      <c r="VFY260" s="46"/>
      <c r="VFZ260" s="46"/>
      <c r="VGA260" s="46"/>
      <c r="VGB260" s="46"/>
      <c r="VGC260" s="46"/>
      <c r="VGD260" s="46"/>
      <c r="VGE260" s="46"/>
      <c r="VGF260" s="46"/>
      <c r="VGG260" s="46"/>
      <c r="VGH260" s="46"/>
      <c r="VGI260" s="46"/>
      <c r="VGJ260" s="46"/>
      <c r="VGK260" s="46"/>
      <c r="VGL260" s="46"/>
      <c r="VGM260" s="46"/>
      <c r="VGN260" s="46"/>
      <c r="VGO260" s="46"/>
      <c r="VGP260" s="46"/>
      <c r="VGQ260" s="46"/>
      <c r="VGR260" s="46"/>
      <c r="VGS260" s="46"/>
      <c r="VGT260" s="46"/>
      <c r="VGU260" s="46"/>
      <c r="VGV260" s="46"/>
      <c r="VGW260" s="46"/>
      <c r="VGX260" s="46"/>
      <c r="VGY260" s="46"/>
      <c r="VGZ260" s="46"/>
      <c r="VHA260" s="46"/>
      <c r="VHB260" s="46"/>
      <c r="VHC260" s="46"/>
      <c r="VHD260" s="46"/>
      <c r="VHE260" s="46"/>
      <c r="VHF260" s="46"/>
      <c r="VHG260" s="46"/>
      <c r="VHH260" s="46"/>
      <c r="VHI260" s="46"/>
      <c r="VHJ260" s="46"/>
      <c r="VHK260" s="46"/>
      <c r="VHL260" s="46"/>
      <c r="VHM260" s="46"/>
      <c r="VHN260" s="46"/>
      <c r="VHO260" s="46"/>
      <c r="VHP260" s="46"/>
      <c r="VHQ260" s="46"/>
      <c r="VHR260" s="46"/>
      <c r="VHS260" s="46"/>
      <c r="VHT260" s="46"/>
      <c r="VHU260" s="46"/>
      <c r="VHV260" s="46"/>
      <c r="VHW260" s="46"/>
      <c r="VHX260" s="46"/>
      <c r="VHY260" s="46"/>
      <c r="VHZ260" s="46"/>
      <c r="VIA260" s="46"/>
      <c r="VIB260" s="46"/>
      <c r="VIC260" s="46"/>
      <c r="VID260" s="46"/>
      <c r="VIE260" s="46"/>
      <c r="VIF260" s="46"/>
      <c r="VIG260" s="46"/>
      <c r="VIH260" s="46"/>
      <c r="VII260" s="46"/>
      <c r="VIJ260" s="46"/>
      <c r="VIK260" s="46"/>
      <c r="VIL260" s="46"/>
      <c r="VIM260" s="46"/>
      <c r="VIN260" s="46"/>
      <c r="VIO260" s="46"/>
      <c r="VIP260" s="46"/>
      <c r="VIQ260" s="46"/>
      <c r="VIR260" s="46"/>
      <c r="VIS260" s="46"/>
      <c r="VIT260" s="46"/>
      <c r="VIU260" s="46"/>
      <c r="VIV260" s="46"/>
      <c r="VIW260" s="46"/>
      <c r="VIX260" s="46"/>
      <c r="VIY260" s="46"/>
      <c r="VIZ260" s="46"/>
      <c r="VJA260" s="46"/>
      <c r="VJB260" s="46"/>
      <c r="VJC260" s="46"/>
      <c r="VJD260" s="46"/>
      <c r="VJE260" s="46"/>
      <c r="VJF260" s="46"/>
      <c r="VJG260" s="46"/>
      <c r="VJH260" s="46"/>
      <c r="VJI260" s="46"/>
      <c r="VJJ260" s="46"/>
      <c r="VJK260" s="46"/>
      <c r="VJL260" s="46"/>
      <c r="VJM260" s="46"/>
      <c r="VJN260" s="46"/>
      <c r="VJO260" s="46"/>
      <c r="VJP260" s="46"/>
      <c r="VJQ260" s="46"/>
      <c r="VJR260" s="46"/>
      <c r="VJS260" s="46"/>
      <c r="VJT260" s="46"/>
      <c r="VJU260" s="46"/>
      <c r="VJV260" s="46"/>
      <c r="VJW260" s="46"/>
      <c r="VJX260" s="46"/>
      <c r="VJY260" s="46"/>
      <c r="VJZ260" s="46"/>
      <c r="VKA260" s="46"/>
      <c r="VKB260" s="46"/>
      <c r="VKC260" s="46"/>
      <c r="VKD260" s="46"/>
      <c r="VKE260" s="46"/>
      <c r="VKF260" s="46"/>
      <c r="VKG260" s="46"/>
      <c r="VKH260" s="46"/>
      <c r="VKI260" s="46"/>
      <c r="VKJ260" s="46"/>
      <c r="VKK260" s="46"/>
      <c r="VKL260" s="46"/>
      <c r="VKM260" s="46"/>
      <c r="VKN260" s="46"/>
      <c r="VKO260" s="46"/>
      <c r="VKP260" s="46"/>
      <c r="VKQ260" s="46"/>
      <c r="VKR260" s="46"/>
      <c r="VKS260" s="46"/>
      <c r="VKT260" s="46"/>
      <c r="VKU260" s="46"/>
      <c r="VKV260" s="46"/>
      <c r="VKW260" s="46"/>
      <c r="VKX260" s="46"/>
      <c r="VKY260" s="46"/>
      <c r="VKZ260" s="46"/>
      <c r="VLA260" s="46"/>
      <c r="VLB260" s="46"/>
      <c r="VLC260" s="46"/>
      <c r="VLD260" s="46"/>
      <c r="VLE260" s="46"/>
      <c r="VLF260" s="46"/>
      <c r="VLG260" s="46"/>
      <c r="VLH260" s="46"/>
      <c r="VLI260" s="46"/>
      <c r="VLJ260" s="46"/>
      <c r="VLK260" s="46"/>
      <c r="VLL260" s="46"/>
      <c r="VLM260" s="46"/>
      <c r="VLN260" s="46"/>
      <c r="VLO260" s="46"/>
      <c r="VLP260" s="46"/>
      <c r="VLQ260" s="46"/>
      <c r="VLR260" s="46"/>
      <c r="VLS260" s="46"/>
      <c r="VLT260" s="46"/>
      <c r="VLU260" s="46"/>
      <c r="VLV260" s="46"/>
      <c r="VLW260" s="46"/>
      <c r="VLX260" s="46"/>
      <c r="VLY260" s="46"/>
      <c r="VLZ260" s="46"/>
      <c r="VMA260" s="46"/>
      <c r="VMB260" s="46"/>
      <c r="VMC260" s="46"/>
      <c r="VMD260" s="46"/>
      <c r="VME260" s="46"/>
      <c r="VMF260" s="46"/>
      <c r="VMG260" s="46"/>
      <c r="VMH260" s="46"/>
      <c r="VMI260" s="46"/>
      <c r="VMJ260" s="46"/>
      <c r="VMK260" s="46"/>
      <c r="VML260" s="46"/>
      <c r="VMM260" s="46"/>
      <c r="VMN260" s="46"/>
      <c r="VMO260" s="46"/>
      <c r="VMP260" s="46"/>
      <c r="VMQ260" s="46"/>
      <c r="VMR260" s="46"/>
      <c r="VMS260" s="46"/>
      <c r="VMT260" s="46"/>
      <c r="VMU260" s="46"/>
      <c r="VMV260" s="46"/>
      <c r="VMW260" s="46"/>
      <c r="VMX260" s="46"/>
      <c r="VMY260" s="46"/>
      <c r="VMZ260" s="46"/>
      <c r="VNA260" s="46"/>
      <c r="VNB260" s="46"/>
      <c r="VNC260" s="46"/>
      <c r="VND260" s="46"/>
      <c r="VNE260" s="46"/>
      <c r="VNF260" s="46"/>
      <c r="VNG260" s="46"/>
      <c r="VNH260" s="46"/>
      <c r="VNI260" s="46"/>
      <c r="VNJ260" s="46"/>
      <c r="VNK260" s="46"/>
      <c r="VNL260" s="46"/>
      <c r="VNM260" s="46"/>
      <c r="VNN260" s="46"/>
      <c r="VNO260" s="46"/>
      <c r="VNP260" s="46"/>
      <c r="VNQ260" s="46"/>
      <c r="VNR260" s="46"/>
      <c r="VNS260" s="46"/>
      <c r="VNT260" s="46"/>
      <c r="VNU260" s="46"/>
      <c r="VNV260" s="46"/>
      <c r="VNW260" s="46"/>
      <c r="VNX260" s="46"/>
      <c r="VNY260" s="46"/>
      <c r="VNZ260" s="46"/>
      <c r="VOA260" s="46"/>
      <c r="VOB260" s="46"/>
      <c r="VOC260" s="46"/>
      <c r="VOD260" s="46"/>
      <c r="VOE260" s="46"/>
      <c r="VOF260" s="46"/>
      <c r="VOG260" s="46"/>
      <c r="VOH260" s="46"/>
      <c r="VOI260" s="46"/>
      <c r="VOJ260" s="46"/>
      <c r="VOK260" s="46"/>
      <c r="VOL260" s="46"/>
      <c r="VOM260" s="46"/>
      <c r="VON260" s="46"/>
      <c r="VOO260" s="46"/>
      <c r="VOP260" s="46"/>
      <c r="VOQ260" s="46"/>
      <c r="VOR260" s="46"/>
      <c r="VOS260" s="46"/>
      <c r="VOT260" s="46"/>
      <c r="VOU260" s="46"/>
      <c r="VOV260" s="46"/>
      <c r="VOW260" s="46"/>
      <c r="VOX260" s="46"/>
      <c r="VOY260" s="46"/>
      <c r="VOZ260" s="46"/>
      <c r="VPA260" s="46"/>
      <c r="VPB260" s="46"/>
      <c r="VPC260" s="46"/>
      <c r="VPD260" s="46"/>
      <c r="VPE260" s="46"/>
      <c r="VPF260" s="46"/>
      <c r="VPG260" s="46"/>
      <c r="VPH260" s="46"/>
      <c r="VPI260" s="46"/>
      <c r="VPJ260" s="46"/>
      <c r="VPK260" s="46"/>
      <c r="VPL260" s="46"/>
      <c r="VPM260" s="46"/>
      <c r="VPN260" s="46"/>
      <c r="VPO260" s="46"/>
      <c r="VPP260" s="46"/>
      <c r="VPQ260" s="46"/>
      <c r="VPR260" s="46"/>
      <c r="VPS260" s="46"/>
      <c r="VPT260" s="46"/>
      <c r="VPU260" s="46"/>
      <c r="VPV260" s="46"/>
      <c r="VPW260" s="46"/>
      <c r="VPX260" s="46"/>
      <c r="VPY260" s="46"/>
      <c r="VPZ260" s="46"/>
      <c r="VQA260" s="46"/>
      <c r="VQB260" s="46"/>
      <c r="VQC260" s="46"/>
      <c r="VQD260" s="46"/>
      <c r="VQE260" s="46"/>
      <c r="VQF260" s="46"/>
      <c r="VQG260" s="46"/>
      <c r="VQH260" s="46"/>
      <c r="VQI260" s="46"/>
      <c r="VQJ260" s="46"/>
      <c r="VQK260" s="46"/>
      <c r="VQL260" s="46"/>
      <c r="VQM260" s="46"/>
      <c r="VQN260" s="46"/>
      <c r="VQO260" s="46"/>
      <c r="VQP260" s="46"/>
      <c r="VQQ260" s="46"/>
      <c r="VQR260" s="46"/>
      <c r="VQS260" s="46"/>
      <c r="VQT260" s="46"/>
      <c r="VQU260" s="46"/>
      <c r="VQV260" s="46"/>
      <c r="VQW260" s="46"/>
      <c r="VQX260" s="46"/>
      <c r="VQY260" s="46"/>
      <c r="VQZ260" s="46"/>
      <c r="VRA260" s="46"/>
      <c r="VRB260" s="46"/>
      <c r="VRC260" s="46"/>
      <c r="VRD260" s="46"/>
      <c r="VRE260" s="46"/>
      <c r="VRF260" s="46"/>
      <c r="VRG260" s="46"/>
      <c r="VRH260" s="46"/>
      <c r="VRI260" s="46"/>
      <c r="VRJ260" s="46"/>
      <c r="VRK260" s="46"/>
      <c r="VRL260" s="46"/>
      <c r="VRM260" s="46"/>
      <c r="VRN260" s="46"/>
      <c r="VRO260" s="46"/>
      <c r="VRP260" s="46"/>
      <c r="VRQ260" s="46"/>
      <c r="VRR260" s="46"/>
      <c r="VRS260" s="46"/>
      <c r="VRT260" s="46"/>
      <c r="VRU260" s="46"/>
      <c r="VRV260" s="46"/>
      <c r="VRW260" s="46"/>
      <c r="VRX260" s="46"/>
      <c r="VRY260" s="46"/>
      <c r="VRZ260" s="46"/>
      <c r="VSA260" s="46"/>
      <c r="VSB260" s="46"/>
      <c r="VSC260" s="46"/>
      <c r="VSD260" s="46"/>
      <c r="VSE260" s="46"/>
      <c r="VSF260" s="46"/>
      <c r="VSG260" s="46"/>
      <c r="VSH260" s="46"/>
      <c r="VSI260" s="46"/>
      <c r="VSJ260" s="46"/>
      <c r="VSK260" s="46"/>
      <c r="VSL260" s="46"/>
      <c r="VSM260" s="46"/>
      <c r="VSN260" s="46"/>
      <c r="VSO260" s="46"/>
      <c r="VSP260" s="46"/>
      <c r="VSQ260" s="46"/>
      <c r="VSR260" s="46"/>
      <c r="VSS260" s="46"/>
      <c r="VST260" s="46"/>
      <c r="VSU260" s="46"/>
      <c r="VSV260" s="46"/>
      <c r="VSW260" s="46"/>
      <c r="VSX260" s="46"/>
      <c r="VSY260" s="46"/>
      <c r="VSZ260" s="46"/>
      <c r="VTA260" s="46"/>
      <c r="VTB260" s="46"/>
      <c r="VTC260" s="46"/>
      <c r="VTD260" s="46"/>
      <c r="VTE260" s="46"/>
      <c r="VTF260" s="46"/>
      <c r="VTG260" s="46"/>
      <c r="VTH260" s="46"/>
      <c r="VTI260" s="46"/>
      <c r="VTJ260" s="46"/>
      <c r="VTK260" s="46"/>
      <c r="VTL260" s="46"/>
      <c r="VTM260" s="46"/>
      <c r="VTN260" s="46"/>
      <c r="VTO260" s="46"/>
      <c r="VTP260" s="46"/>
      <c r="VTQ260" s="46"/>
      <c r="VTR260" s="46"/>
      <c r="VTS260" s="46"/>
      <c r="VTT260" s="46"/>
      <c r="VTU260" s="46"/>
      <c r="VTV260" s="46"/>
      <c r="VTW260" s="46"/>
      <c r="VTX260" s="46"/>
      <c r="VTY260" s="46"/>
      <c r="VTZ260" s="46"/>
      <c r="VUA260" s="46"/>
    </row>
    <row r="261" spans="1:61 15027:15419" s="2" customFormat="1" ht="15.75" thickBot="1" x14ac:dyDescent="0.3">
      <c r="C261" s="2100"/>
      <c r="D261" s="41" t="s">
        <v>1</v>
      </c>
      <c r="E261" s="2101">
        <v>408000</v>
      </c>
      <c r="F261" s="25" t="s">
        <v>14</v>
      </c>
      <c r="G261" s="2102">
        <f>SUM(G255,G257,G259)</f>
        <v>156386</v>
      </c>
      <c r="H261" s="2102">
        <f t="shared" ref="H261" si="85">SUM(H255,H257,H259)</f>
        <v>133258</v>
      </c>
      <c r="I261" s="2102">
        <f t="shared" ref="I261:T261" si="86">SUM(I255,I257,I259)</f>
        <v>172904</v>
      </c>
      <c r="J261" s="2102">
        <f t="shared" si="86"/>
        <v>84715</v>
      </c>
      <c r="K261" s="2102">
        <f t="shared" si="86"/>
        <v>71661</v>
      </c>
      <c r="L261" s="2102">
        <f t="shared" si="86"/>
        <v>0</v>
      </c>
      <c r="M261" s="2102">
        <f t="shared" si="86"/>
        <v>0</v>
      </c>
      <c r="N261" s="2102">
        <f t="shared" si="86"/>
        <v>0</v>
      </c>
      <c r="O261" s="2102">
        <f t="shared" si="86"/>
        <v>0</v>
      </c>
      <c r="P261" s="2102">
        <f t="shared" si="86"/>
        <v>0</v>
      </c>
      <c r="Q261" s="2102">
        <f t="shared" si="86"/>
        <v>0</v>
      </c>
      <c r="R261" s="2102">
        <f t="shared" si="86"/>
        <v>0</v>
      </c>
      <c r="S261" s="2102">
        <f t="shared" si="86"/>
        <v>0</v>
      </c>
      <c r="T261" s="2102">
        <f t="shared" si="86"/>
        <v>0</v>
      </c>
      <c r="U261" s="2102">
        <f t="shared" ref="U261:AB261" si="87">SUM(U255,U257,U259)</f>
        <v>0</v>
      </c>
      <c r="V261" s="2102">
        <f t="shared" si="87"/>
        <v>475023</v>
      </c>
      <c r="W261" s="2102">
        <f t="shared" si="87"/>
        <v>342267</v>
      </c>
      <c r="X261" s="2102">
        <f t="shared" si="87"/>
        <v>794525.5</v>
      </c>
      <c r="Y261" s="2102">
        <f t="shared" si="87"/>
        <v>280133</v>
      </c>
      <c r="Z261" s="2102">
        <f t="shared" si="87"/>
        <v>271779</v>
      </c>
      <c r="AA261" s="2102">
        <f t="shared" si="87"/>
        <v>266346</v>
      </c>
      <c r="AB261" s="2102">
        <f t="shared" si="87"/>
        <v>354258</v>
      </c>
      <c r="AC261" s="2102">
        <f>SUM(AC255,AC257,AC259)</f>
        <v>152568</v>
      </c>
      <c r="AD261" s="2102">
        <f>SUM(AD255,AD257,AD259)</f>
        <v>171416</v>
      </c>
      <c r="AE261" s="2102">
        <f t="shared" ref="AE261" si="88">SUM(AE255,AE257,AE259)</f>
        <v>224019</v>
      </c>
      <c r="AF261" s="2102">
        <f t="shared" ref="AF261:AG261" si="89">SUM(AF255,AF257,AF259)</f>
        <v>313500</v>
      </c>
      <c r="AG261" s="2102">
        <f t="shared" si="89"/>
        <v>386943</v>
      </c>
      <c r="AH261" s="2102">
        <f t="shared" ref="AH261:AI261" si="90">SUM(AH255,AH257,AH259)</f>
        <v>385410</v>
      </c>
      <c r="AI261" s="2102">
        <f t="shared" si="90"/>
        <v>239250</v>
      </c>
      <c r="AJ261" s="2102">
        <f t="shared" ref="AJ261:AK261" si="91">SUM(AJ255,AJ257,AJ259)</f>
        <v>153175</v>
      </c>
      <c r="AK261" s="2102">
        <f t="shared" si="91"/>
        <v>172963</v>
      </c>
      <c r="AM261" s="2096">
        <f>AM255+AM257+AM259</f>
        <v>5602499.5</v>
      </c>
      <c r="BC261" s="2117"/>
      <c r="BD261" s="2117"/>
      <c r="BI261" s="150"/>
    </row>
    <row r="262" spans="1:61 15027:15419" s="2" customFormat="1" hidden="1" x14ac:dyDescent="0.25">
      <c r="C262" s="8"/>
      <c r="D262" s="2099" t="s">
        <v>1128</v>
      </c>
      <c r="E262" s="118"/>
      <c r="F262" s="118"/>
      <c r="G262" s="2094"/>
      <c r="H262" s="2094"/>
      <c r="I262" s="2094"/>
      <c r="J262" s="2094"/>
      <c r="K262" s="2094"/>
      <c r="L262" s="2094"/>
      <c r="M262" s="2094"/>
      <c r="N262" s="2094"/>
      <c r="O262" s="2094"/>
      <c r="P262" s="2094"/>
      <c r="Q262" s="2094"/>
      <c r="R262" s="2094"/>
      <c r="S262" s="2094"/>
      <c r="T262" s="2094"/>
      <c r="U262" s="2094"/>
      <c r="V262" s="2094"/>
      <c r="W262" s="2094"/>
      <c r="X262" s="2094"/>
      <c r="Y262" s="2094"/>
      <c r="Z262" s="2094"/>
      <c r="AA262" s="2094"/>
      <c r="AB262" s="2094"/>
      <c r="AC262" s="2094"/>
      <c r="AD262" s="2094"/>
      <c r="AE262" s="2094"/>
      <c r="AF262" s="2094"/>
      <c r="AG262" s="2094"/>
      <c r="AH262" s="2094"/>
      <c r="AI262" s="2094"/>
      <c r="AJ262" s="2094"/>
      <c r="AK262" s="2094"/>
      <c r="AM262" s="63"/>
      <c r="BC262" s="2117"/>
      <c r="BD262" s="2117"/>
      <c r="BI262" s="150"/>
    </row>
    <row r="263" spans="1:61 15027:15419" s="2" customFormat="1" hidden="1" x14ac:dyDescent="0.25">
      <c r="C263" s="15"/>
      <c r="D263" s="232" t="s">
        <v>16</v>
      </c>
      <c r="E263" s="1897">
        <v>70000</v>
      </c>
      <c r="F263" s="233" t="s">
        <v>1029</v>
      </c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>
        <v>145.9</v>
      </c>
      <c r="S263" s="241">
        <v>144.1</v>
      </c>
      <c r="T263" s="241">
        <v>52.6</v>
      </c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1639"/>
      <c r="AF263" s="1639"/>
      <c r="AG263" s="1639"/>
      <c r="AH263" s="1639"/>
      <c r="AI263" s="1639"/>
      <c r="AJ263" s="1639"/>
      <c r="AK263" s="1639"/>
      <c r="AM263" s="2014">
        <f>SUM(G263:AK263)</f>
        <v>342.6</v>
      </c>
      <c r="BC263" s="2117"/>
      <c r="BD263" s="2117"/>
      <c r="BI263" s="150"/>
    </row>
    <row r="264" spans="1:61 15027:15419" s="2" customFormat="1" hidden="1" x14ac:dyDescent="0.25">
      <c r="C264" s="15"/>
      <c r="D264" s="14"/>
      <c r="E264" s="231">
        <f>E263/2500</f>
        <v>28</v>
      </c>
      <c r="F264" s="20" t="s">
        <v>353</v>
      </c>
      <c r="G264" s="33" t="e">
        <f t="shared" ref="G264:AB264" si="92">G263/G17*1000000</f>
        <v>#DIV/0!</v>
      </c>
      <c r="H264" s="33" t="e">
        <f t="shared" si="92"/>
        <v>#DIV/0!</v>
      </c>
      <c r="I264" s="33" t="e">
        <f t="shared" ref="I264:Q264" si="93">I263/I17*1000000</f>
        <v>#DIV/0!</v>
      </c>
      <c r="J264" s="33" t="e">
        <f t="shared" si="93"/>
        <v>#DIV/0!</v>
      </c>
      <c r="K264" s="33" t="e">
        <f t="shared" si="93"/>
        <v>#DIV/0!</v>
      </c>
      <c r="L264" s="33" t="e">
        <f t="shared" si="93"/>
        <v>#DIV/0!</v>
      </c>
      <c r="M264" s="33" t="e">
        <f t="shared" si="93"/>
        <v>#DIV/0!</v>
      </c>
      <c r="N264" s="33" t="e">
        <f t="shared" si="93"/>
        <v>#DIV/0!</v>
      </c>
      <c r="O264" s="33" t="e">
        <f t="shared" si="93"/>
        <v>#DIV/0!</v>
      </c>
      <c r="P264" s="33" t="e">
        <f t="shared" si="93"/>
        <v>#DIV/0!</v>
      </c>
      <c r="Q264" s="33" t="e">
        <f t="shared" si="93"/>
        <v>#DIV/0!</v>
      </c>
      <c r="R264" s="33" t="e">
        <f t="shared" si="92"/>
        <v>#DIV/0!</v>
      </c>
      <c r="S264" s="33" t="e">
        <f t="shared" si="92"/>
        <v>#DIV/0!</v>
      </c>
      <c r="T264" s="33" t="e">
        <f t="shared" si="92"/>
        <v>#DIV/0!</v>
      </c>
      <c r="U264" s="33" t="e">
        <f t="shared" si="92"/>
        <v>#DIV/0!</v>
      </c>
      <c r="V264" s="33" t="e">
        <f t="shared" si="92"/>
        <v>#DIV/0!</v>
      </c>
      <c r="W264" s="33" t="e">
        <v>#DIV/0!</v>
      </c>
      <c r="X264" s="33" t="e">
        <f t="shared" si="92"/>
        <v>#DIV/0!</v>
      </c>
      <c r="Y264" s="33" t="e">
        <f t="shared" si="92"/>
        <v>#DIV/0!</v>
      </c>
      <c r="Z264" s="33" t="e">
        <f t="shared" si="92"/>
        <v>#DIV/0!</v>
      </c>
      <c r="AA264" s="33" t="e">
        <f t="shared" si="92"/>
        <v>#DIV/0!</v>
      </c>
      <c r="AB264" s="33" t="e">
        <f t="shared" si="92"/>
        <v>#DIV/0!</v>
      </c>
      <c r="AC264" s="33">
        <f>AC263/AC9*1000000</f>
        <v>0</v>
      </c>
      <c r="AD264" s="33">
        <f>AD263/AD9*1000000</f>
        <v>0</v>
      </c>
      <c r="AE264" s="33">
        <f>AE263/AE9*1000000</f>
        <v>0</v>
      </c>
      <c r="AF264" s="33">
        <f>AF263/AF9*1000000</f>
        <v>0</v>
      </c>
      <c r="AG264" s="33">
        <f>AG263/AG9*1000000</f>
        <v>0</v>
      </c>
      <c r="AH264" s="33" t="e">
        <f>AH263/AH17*1000000</f>
        <v>#DIV/0!</v>
      </c>
      <c r="AI264" s="33" t="e">
        <f>AI263/AI17*1000000</f>
        <v>#DIV/0!</v>
      </c>
      <c r="AJ264" s="33" t="e">
        <f>AJ263/AJ17*1000000</f>
        <v>#DIV/0!</v>
      </c>
      <c r="AK264" s="33" t="e">
        <f>AK263/AK17*1000000</f>
        <v>#DIV/0!</v>
      </c>
      <c r="AM264" s="1496">
        <f>AM263/3193725*1000000</f>
        <v>107.27285536481695</v>
      </c>
      <c r="BC264" s="2117"/>
      <c r="BD264" s="2117"/>
      <c r="BI264" s="150"/>
    </row>
    <row r="265" spans="1:61 15027:15419" s="2" customFormat="1" hidden="1" x14ac:dyDescent="0.25">
      <c r="C265" s="15"/>
      <c r="D265" s="232" t="s">
        <v>15</v>
      </c>
      <c r="E265" s="1772">
        <v>112.8</v>
      </c>
      <c r="F265" s="233" t="s">
        <v>1029</v>
      </c>
      <c r="G265" s="1497"/>
      <c r="H265" s="1497"/>
      <c r="I265" s="1497"/>
      <c r="J265" s="1497"/>
      <c r="K265" s="1497"/>
      <c r="L265" s="1497"/>
      <c r="M265" s="1497"/>
      <c r="N265" s="1497"/>
      <c r="O265" s="1497"/>
      <c r="P265" s="1497"/>
      <c r="Q265" s="1497"/>
      <c r="R265" s="1497"/>
      <c r="S265" s="1497"/>
      <c r="T265" s="1497"/>
      <c r="U265" s="1497">
        <v>47.7</v>
      </c>
      <c r="V265" s="1497"/>
      <c r="W265" s="1497"/>
      <c r="X265" s="1497"/>
      <c r="Y265" s="1497"/>
      <c r="Z265" s="1497"/>
      <c r="AA265" s="1497"/>
      <c r="AB265" s="1497"/>
      <c r="AC265" s="1497"/>
      <c r="AD265" s="1497"/>
      <c r="AE265" s="1497"/>
      <c r="AF265" s="1497"/>
      <c r="AG265" s="1497"/>
      <c r="AH265" s="1497"/>
      <c r="AI265" s="1497"/>
      <c r="AJ265" s="1497"/>
      <c r="AK265" s="1497"/>
      <c r="AM265" s="2014">
        <f>SUM(G265:AK265)</f>
        <v>47.7</v>
      </c>
      <c r="BC265" s="2117"/>
      <c r="BD265" s="2117"/>
      <c r="BI265" s="150"/>
    </row>
    <row r="266" spans="1:61 15027:15419" s="2" customFormat="1" hidden="1" x14ac:dyDescent="0.25">
      <c r="C266" s="15"/>
      <c r="D266" s="14"/>
      <c r="E266" s="231">
        <f>E265/2.5</f>
        <v>45.12</v>
      </c>
      <c r="F266" s="20" t="s">
        <v>353</v>
      </c>
      <c r="G266" s="33" t="e">
        <f t="shared" ref="G266:AK266" si="94">G265/G37*1000000</f>
        <v>#DIV/0!</v>
      </c>
      <c r="H266" s="33" t="e">
        <f t="shared" si="94"/>
        <v>#DIV/0!</v>
      </c>
      <c r="I266" s="33" t="e">
        <f t="shared" ref="I266:Q266" si="95">I265/I37*1000000</f>
        <v>#DIV/0!</v>
      </c>
      <c r="J266" s="33" t="e">
        <f t="shared" si="95"/>
        <v>#DIV/0!</v>
      </c>
      <c r="K266" s="33" t="e">
        <f t="shared" si="95"/>
        <v>#DIV/0!</v>
      </c>
      <c r="L266" s="33" t="e">
        <f t="shared" si="95"/>
        <v>#DIV/0!</v>
      </c>
      <c r="M266" s="33" t="e">
        <f t="shared" si="95"/>
        <v>#DIV/0!</v>
      </c>
      <c r="N266" s="33" t="e">
        <f t="shared" si="95"/>
        <v>#DIV/0!</v>
      </c>
      <c r="O266" s="33" t="e">
        <f t="shared" si="95"/>
        <v>#DIV/0!</v>
      </c>
      <c r="P266" s="33" t="e">
        <f t="shared" si="95"/>
        <v>#DIV/0!</v>
      </c>
      <c r="Q266" s="33" t="e">
        <f t="shared" si="95"/>
        <v>#DIV/0!</v>
      </c>
      <c r="R266" s="33" t="e">
        <f t="shared" si="94"/>
        <v>#DIV/0!</v>
      </c>
      <c r="S266" s="33" t="e">
        <f t="shared" si="94"/>
        <v>#DIV/0!</v>
      </c>
      <c r="T266" s="33" t="e">
        <f t="shared" si="94"/>
        <v>#DIV/0!</v>
      </c>
      <c r="U266" s="33" t="e">
        <f t="shared" si="94"/>
        <v>#DIV/0!</v>
      </c>
      <c r="V266" s="33" t="e">
        <f t="shared" si="94"/>
        <v>#DIV/0!</v>
      </c>
      <c r="W266" s="33" t="e">
        <v>#DIV/0!</v>
      </c>
      <c r="X266" s="33" t="e">
        <f t="shared" si="94"/>
        <v>#DIV/0!</v>
      </c>
      <c r="Y266" s="33" t="e">
        <f t="shared" si="94"/>
        <v>#DIV/0!</v>
      </c>
      <c r="Z266" s="33" t="e">
        <f t="shared" si="94"/>
        <v>#DIV/0!</v>
      </c>
      <c r="AA266" s="33" t="e">
        <f t="shared" si="94"/>
        <v>#DIV/0!</v>
      </c>
      <c r="AB266" s="33" t="e">
        <f t="shared" si="94"/>
        <v>#DIV/0!</v>
      </c>
      <c r="AC266" s="33" t="e">
        <f t="shared" si="94"/>
        <v>#DIV/0!</v>
      </c>
      <c r="AD266" s="33" t="e">
        <f t="shared" si="94"/>
        <v>#DIV/0!</v>
      </c>
      <c r="AE266" s="33" t="e">
        <f t="shared" si="94"/>
        <v>#DIV/0!</v>
      </c>
      <c r="AF266" s="33" t="e">
        <f t="shared" si="94"/>
        <v>#DIV/0!</v>
      </c>
      <c r="AG266" s="33" t="e">
        <f t="shared" si="94"/>
        <v>#DIV/0!</v>
      </c>
      <c r="AH266" s="33" t="e">
        <f t="shared" si="94"/>
        <v>#DIV/0!</v>
      </c>
      <c r="AI266" s="33" t="e">
        <f t="shared" si="94"/>
        <v>#DIV/0!</v>
      </c>
      <c r="AJ266" s="33" t="e">
        <f t="shared" si="94"/>
        <v>#DIV/0!</v>
      </c>
      <c r="AK266" s="33" t="e">
        <f t="shared" si="94"/>
        <v>#DIV/0!</v>
      </c>
      <c r="AM266" s="1496" t="e">
        <f>AM265/AM37*1000000</f>
        <v>#DIV/0!</v>
      </c>
      <c r="BC266" s="2117"/>
      <c r="BD266" s="2117"/>
      <c r="BI266" s="150"/>
    </row>
    <row r="267" spans="1:61 15027:15419" s="2" customFormat="1" hidden="1" x14ac:dyDescent="0.25">
      <c r="C267" s="15"/>
      <c r="D267" s="14" t="s">
        <v>7</v>
      </c>
      <c r="E267" s="231">
        <v>106000</v>
      </c>
      <c r="F267" s="20" t="s">
        <v>14</v>
      </c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>
        <f>AD253-AD263-AD265</f>
        <v>171416</v>
      </c>
      <c r="AE267" s="268">
        <f>AE253-AE263-AE265</f>
        <v>224019</v>
      </c>
      <c r="AF267" s="268">
        <f>AF253-AF263-AF265</f>
        <v>313500</v>
      </c>
      <c r="AG267" s="268">
        <f>AG253-AG263-AG265</f>
        <v>386943</v>
      </c>
      <c r="AH267" s="268"/>
      <c r="AI267" s="268"/>
      <c r="AJ267" s="268"/>
      <c r="AK267" s="268"/>
      <c r="AM267" s="571">
        <f>AM253-AM263-AM265</f>
        <v>5602109.2000000002</v>
      </c>
      <c r="BC267" s="2117"/>
      <c r="BD267" s="2117"/>
      <c r="BI267" s="150"/>
    </row>
    <row r="268" spans="1:61 15027:15419" s="2" customFormat="1" hidden="1" x14ac:dyDescent="0.25">
      <c r="C268" s="15"/>
      <c r="D268" s="14"/>
      <c r="E268" s="231"/>
      <c r="F268" s="20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1651"/>
      <c r="S268" s="1651"/>
      <c r="T268" s="1651"/>
      <c r="U268" s="1651"/>
      <c r="V268" s="1651"/>
      <c r="W268" s="1651"/>
      <c r="X268" s="1651"/>
      <c r="Y268" s="1651"/>
      <c r="Z268" s="1651"/>
      <c r="AA268" s="1651"/>
      <c r="AB268" s="1651"/>
      <c r="AC268" s="1651"/>
      <c r="AD268" s="1651"/>
      <c r="AE268" s="1651"/>
      <c r="AF268" s="1651"/>
      <c r="AG268" s="1651"/>
      <c r="AH268" s="1651"/>
      <c r="AI268" s="1651"/>
      <c r="AJ268" s="1651"/>
      <c r="AK268" s="1651"/>
      <c r="AM268" s="1154"/>
      <c r="BC268" s="2117"/>
      <c r="BD268" s="2117"/>
      <c r="BI268" s="150"/>
    </row>
    <row r="269" spans="1:61 15027:15419" s="2" customFormat="1" ht="15.75" hidden="1" thickBot="1" x14ac:dyDescent="0.3">
      <c r="C269" s="40"/>
      <c r="D269" s="28" t="s">
        <v>1</v>
      </c>
      <c r="E269" s="259">
        <v>408000</v>
      </c>
      <c r="F269" s="20" t="s">
        <v>14</v>
      </c>
      <c r="G269" s="1651">
        <f>SUM(G263,G265,G267)</f>
        <v>0</v>
      </c>
      <c r="H269" s="1651">
        <f t="shared" ref="H269" si="96">SUM(H263,H265,H267)</f>
        <v>0</v>
      </c>
      <c r="I269" s="1651">
        <f t="shared" ref="I269:Q269" si="97">SUM(I263,I265,I267)</f>
        <v>0</v>
      </c>
      <c r="J269" s="1651">
        <f t="shared" si="97"/>
        <v>0</v>
      </c>
      <c r="K269" s="1651">
        <f t="shared" si="97"/>
        <v>0</v>
      </c>
      <c r="L269" s="1651">
        <f t="shared" si="97"/>
        <v>0</v>
      </c>
      <c r="M269" s="1651">
        <f t="shared" si="97"/>
        <v>0</v>
      </c>
      <c r="N269" s="1651">
        <f t="shared" si="97"/>
        <v>0</v>
      </c>
      <c r="O269" s="1651">
        <f t="shared" si="97"/>
        <v>0</v>
      </c>
      <c r="P269" s="1651">
        <f t="shared" si="97"/>
        <v>0</v>
      </c>
      <c r="Q269" s="1651">
        <f t="shared" si="97"/>
        <v>0</v>
      </c>
      <c r="R269" s="1651">
        <f t="shared" ref="R269:AB269" si="98">SUM(R263,R265,R267)</f>
        <v>145.9</v>
      </c>
      <c r="S269" s="1651">
        <f t="shared" si="98"/>
        <v>144.1</v>
      </c>
      <c r="T269" s="1651">
        <f t="shared" si="98"/>
        <v>52.6</v>
      </c>
      <c r="U269" s="1651">
        <f t="shared" si="98"/>
        <v>47.7</v>
      </c>
      <c r="V269" s="1651">
        <f t="shared" si="98"/>
        <v>0</v>
      </c>
      <c r="W269" s="1651">
        <v>0</v>
      </c>
      <c r="X269" s="1651">
        <f t="shared" si="98"/>
        <v>0</v>
      </c>
      <c r="Y269" s="1651">
        <f t="shared" si="98"/>
        <v>0</v>
      </c>
      <c r="Z269" s="1651">
        <f t="shared" si="98"/>
        <v>0</v>
      </c>
      <c r="AA269" s="1651">
        <f t="shared" si="98"/>
        <v>0</v>
      </c>
      <c r="AB269" s="1651">
        <f t="shared" si="98"/>
        <v>0</v>
      </c>
      <c r="AC269" s="1651"/>
      <c r="AD269" s="1651"/>
      <c r="AE269" s="1651"/>
      <c r="AF269" s="1651"/>
      <c r="AG269" s="1651">
        <f>SUM(AG263,AG265,AG267)</f>
        <v>386943</v>
      </c>
      <c r="AH269" s="1651"/>
      <c r="AI269" s="1651"/>
      <c r="AJ269" s="1651"/>
      <c r="AK269" s="1651"/>
      <c r="AM269" s="2096">
        <f>AM263+AM265+AM267</f>
        <v>5602499.5</v>
      </c>
      <c r="BC269" s="2117"/>
      <c r="BD269" s="2117"/>
      <c r="BI269" s="150"/>
    </row>
    <row r="270" spans="1:61 15027:15419" s="1" customFormat="1" x14ac:dyDescent="0.25">
      <c r="C270" s="8">
        <v>6</v>
      </c>
      <c r="D270" s="75" t="s">
        <v>13</v>
      </c>
      <c r="E270" s="76"/>
      <c r="F270" s="77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1925"/>
      <c r="T270" s="1925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M270" s="135" t="s">
        <v>133</v>
      </c>
      <c r="BC270" s="511"/>
      <c r="BD270" s="511"/>
      <c r="BI270" s="140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1:61 15027:15419" s="16" customFormat="1" x14ac:dyDescent="0.2">
      <c r="C271" s="17"/>
      <c r="D271" s="238" t="s">
        <v>12</v>
      </c>
      <c r="E271" s="260">
        <v>1100</v>
      </c>
      <c r="F271" s="239" t="s">
        <v>123</v>
      </c>
      <c r="G271" s="240">
        <v>609</v>
      </c>
      <c r="H271" s="240">
        <v>791</v>
      </c>
      <c r="I271" s="240">
        <v>824</v>
      </c>
      <c r="J271" s="240">
        <v>424</v>
      </c>
      <c r="K271" s="240">
        <v>438</v>
      </c>
      <c r="L271" s="240"/>
      <c r="M271" s="240"/>
      <c r="N271" s="240"/>
      <c r="O271" s="240"/>
      <c r="P271" s="240"/>
      <c r="Q271" s="240"/>
      <c r="R271" s="1972"/>
      <c r="S271" s="1987"/>
      <c r="T271" s="1987"/>
      <c r="U271" s="1986"/>
      <c r="V271" s="240">
        <v>982</v>
      </c>
      <c r="W271" s="1998">
        <v>925</v>
      </c>
      <c r="X271" s="240">
        <v>643</v>
      </c>
      <c r="Y271" s="240">
        <v>775</v>
      </c>
      <c r="Z271" s="240">
        <v>1003</v>
      </c>
      <c r="AA271" s="1959">
        <v>773</v>
      </c>
      <c r="AB271" s="240">
        <v>775</v>
      </c>
      <c r="AC271" s="240">
        <v>694</v>
      </c>
      <c r="AD271" s="240">
        <v>934</v>
      </c>
      <c r="AE271" s="240">
        <v>870</v>
      </c>
      <c r="AF271" s="240">
        <v>770</v>
      </c>
      <c r="AG271" s="240">
        <v>1076</v>
      </c>
      <c r="AH271" s="1959">
        <v>1038</v>
      </c>
      <c r="AI271" s="1959">
        <v>921</v>
      </c>
      <c r="AJ271" s="1959">
        <v>749</v>
      </c>
      <c r="AK271" s="1959">
        <v>683</v>
      </c>
      <c r="AL271" s="728"/>
      <c r="AM271" s="794">
        <f>SUM(G271:AK271)/AM6</f>
        <v>834.85</v>
      </c>
      <c r="AP271" s="1566"/>
      <c r="BC271" s="511"/>
      <c r="BD271" s="511"/>
      <c r="BI271" s="143"/>
    </row>
    <row r="272" spans="1:61 15027:15419" s="16" customFormat="1" x14ac:dyDescent="0.25">
      <c r="C272" s="17"/>
      <c r="D272" s="2097" t="s">
        <v>1129</v>
      </c>
      <c r="E272" s="1779"/>
      <c r="F272" s="2098"/>
      <c r="G272" s="1702"/>
      <c r="H272" s="1702"/>
      <c r="I272" s="1702"/>
      <c r="J272" s="1702"/>
      <c r="K272" s="1702"/>
      <c r="L272" s="1702"/>
      <c r="M272" s="1702"/>
      <c r="N272" s="1702"/>
      <c r="O272" s="1702"/>
      <c r="P272" s="1702"/>
      <c r="Q272" s="1702"/>
      <c r="R272" s="1702"/>
      <c r="S272" s="1702"/>
      <c r="T272" s="1702"/>
      <c r="U272" s="1702"/>
      <c r="V272" s="1702"/>
      <c r="W272" s="1702"/>
      <c r="X272" s="1702"/>
      <c r="Y272" s="1702"/>
      <c r="Z272" s="1702"/>
      <c r="AA272" s="1702"/>
      <c r="AB272" s="1702"/>
      <c r="AC272" s="1702"/>
      <c r="AD272" s="1702"/>
      <c r="AE272" s="1702"/>
      <c r="AF272" s="1702"/>
      <c r="AG272" s="1702"/>
      <c r="AH272" s="1702"/>
      <c r="AI272" s="1702"/>
      <c r="AJ272" s="1702"/>
      <c r="AK272" s="1702"/>
      <c r="AM272" s="119">
        <f>AM273+AM275+AM277</f>
        <v>11517.9</v>
      </c>
      <c r="AO272" s="138"/>
      <c r="BC272" s="511"/>
      <c r="BD272" s="511"/>
      <c r="BI272" s="143"/>
    </row>
    <row r="273" spans="3:61" s="16" customFormat="1" x14ac:dyDescent="0.2">
      <c r="C273" s="17"/>
      <c r="D273" s="238" t="s">
        <v>10</v>
      </c>
      <c r="E273" s="261">
        <v>93.6</v>
      </c>
      <c r="F273" s="239" t="s">
        <v>1025</v>
      </c>
      <c r="G273" s="241">
        <v>187</v>
      </c>
      <c r="H273" s="241">
        <v>190</v>
      </c>
      <c r="I273" s="241">
        <v>246</v>
      </c>
      <c r="J273" s="241">
        <v>200</v>
      </c>
      <c r="K273" s="241">
        <v>93</v>
      </c>
      <c r="L273" s="241"/>
      <c r="M273" s="241"/>
      <c r="N273" s="241"/>
      <c r="O273" s="241">
        <v>103</v>
      </c>
      <c r="P273" s="241">
        <v>0</v>
      </c>
      <c r="Q273" s="241"/>
      <c r="R273" s="2042"/>
      <c r="S273" s="2042"/>
      <c r="T273" s="2042"/>
      <c r="U273" s="2043"/>
      <c r="V273" s="2043">
        <v>161</v>
      </c>
      <c r="W273" s="2043">
        <v>186</v>
      </c>
      <c r="X273" s="2043">
        <v>180</v>
      </c>
      <c r="Y273" s="2043">
        <v>171</v>
      </c>
      <c r="Z273" s="2043">
        <v>182</v>
      </c>
      <c r="AA273" s="1960">
        <v>142</v>
      </c>
      <c r="AB273" s="241">
        <v>296</v>
      </c>
      <c r="AC273" s="241">
        <v>193</v>
      </c>
      <c r="AD273" s="241">
        <v>275</v>
      </c>
      <c r="AE273" s="241">
        <v>199</v>
      </c>
      <c r="AF273" s="241">
        <v>193</v>
      </c>
      <c r="AG273" s="241">
        <v>208</v>
      </c>
      <c r="AH273" s="1960">
        <v>220</v>
      </c>
      <c r="AI273" s="1960">
        <v>200</v>
      </c>
      <c r="AJ273" s="1960">
        <v>207</v>
      </c>
      <c r="AK273" s="1960">
        <v>235</v>
      </c>
      <c r="AM273" s="794">
        <f>SUM(G273:AK273)</f>
        <v>4267</v>
      </c>
      <c r="BC273" s="511"/>
      <c r="BD273" s="511"/>
      <c r="BI273" s="143"/>
    </row>
    <row r="274" spans="3:61" s="16" customFormat="1" x14ac:dyDescent="0.25">
      <c r="C274" s="17"/>
      <c r="D274" s="31"/>
      <c r="E274" s="261">
        <f>E273/2500</f>
        <v>3.7440000000000001E-2</v>
      </c>
      <c r="F274" s="32" t="s">
        <v>354</v>
      </c>
      <c r="G274" s="34">
        <f t="shared" ref="G274:AH274" si="99">G273/(G9/1000)</f>
        <v>9.9500793345897745E-2</v>
      </c>
      <c r="H274" s="34">
        <f t="shared" si="99"/>
        <v>9.6554527899176748E-2</v>
      </c>
      <c r="I274" s="34">
        <f t="shared" ref="I274:Q274" si="100">I273/(I9/1000)</f>
        <v>0.1250321474932071</v>
      </c>
      <c r="J274" s="34" t="e">
        <f t="shared" si="100"/>
        <v>#DIV/0!</v>
      </c>
      <c r="K274" s="34" t="e">
        <f t="shared" si="100"/>
        <v>#DIV/0!</v>
      </c>
      <c r="L274" s="34" t="e">
        <f t="shared" si="100"/>
        <v>#DIV/0!</v>
      </c>
      <c r="M274" s="34" t="e">
        <f t="shared" si="100"/>
        <v>#DIV/0!</v>
      </c>
      <c r="N274" s="34" t="e">
        <f t="shared" si="100"/>
        <v>#DIV/0!</v>
      </c>
      <c r="O274" s="34" t="e">
        <f t="shared" si="100"/>
        <v>#DIV/0!</v>
      </c>
      <c r="P274" s="34" t="e">
        <f t="shared" si="100"/>
        <v>#DIV/0!</v>
      </c>
      <c r="Q274" s="34" t="e">
        <f t="shared" si="100"/>
        <v>#DIV/0!</v>
      </c>
      <c r="R274" s="34" t="e">
        <f t="shared" si="99"/>
        <v>#DIV/0!</v>
      </c>
      <c r="S274" s="34" t="e">
        <f t="shared" si="99"/>
        <v>#DIV/0!</v>
      </c>
      <c r="T274" s="34" t="e">
        <f t="shared" si="99"/>
        <v>#DIV/0!</v>
      </c>
      <c r="U274" s="34" t="e">
        <f t="shared" si="99"/>
        <v>#DIV/0!</v>
      </c>
      <c r="V274" s="34">
        <f t="shared" si="99"/>
        <v>0.11782623046078837</v>
      </c>
      <c r="W274" s="34">
        <f t="shared" ref="W274" si="101">W273/(W9/1000)</f>
        <v>7.9867642998506128E-2</v>
      </c>
      <c r="X274" s="34">
        <f t="shared" si="99"/>
        <v>7.6583360988435906E-2</v>
      </c>
      <c r="Y274" s="34">
        <f t="shared" si="99"/>
        <v>8.3614738491238058E-2</v>
      </c>
      <c r="Z274" s="34">
        <f t="shared" si="99"/>
        <v>8.8183165155439794E-2</v>
      </c>
      <c r="AA274" s="34">
        <f t="shared" si="99"/>
        <v>6.8745924262324759E-2</v>
      </c>
      <c r="AB274" s="34">
        <f t="shared" si="99"/>
        <v>0.12902865831118923</v>
      </c>
      <c r="AC274" s="34">
        <f t="shared" si="99"/>
        <v>8.1005101222799289E-2</v>
      </c>
      <c r="AD274" s="34">
        <f t="shared" si="99"/>
        <v>0.12175101872397848</v>
      </c>
      <c r="AE274" s="34">
        <f>AE273/(AE9/1000)</f>
        <v>8.4332289562332366E-2</v>
      </c>
      <c r="AF274" s="34">
        <f t="shared" si="99"/>
        <v>9.4184658539132493E-2</v>
      </c>
      <c r="AG274" s="34">
        <f t="shared" si="99"/>
        <v>9.4832019666701933E-2</v>
      </c>
      <c r="AH274" s="34">
        <f t="shared" si="99"/>
        <v>0.10213129442131015</v>
      </c>
      <c r="AI274" s="33" t="e">
        <f t="shared" ref="AI274:AK274" si="102">AI273/AI20*1000000</f>
        <v>#DIV/0!</v>
      </c>
      <c r="AJ274" s="33" t="e">
        <f t="shared" si="102"/>
        <v>#DIV/0!</v>
      </c>
      <c r="AK274" s="33" t="e">
        <f t="shared" si="102"/>
        <v>#DIV/0!</v>
      </c>
      <c r="AM274" s="2123">
        <f>AM273/AM9*1000</f>
        <v>0.10634167202902502</v>
      </c>
      <c r="BC274" s="511"/>
      <c r="BD274" s="511"/>
      <c r="BI274" s="143"/>
    </row>
    <row r="275" spans="3:61" s="16" customFormat="1" x14ac:dyDescent="0.2">
      <c r="C275" s="17"/>
      <c r="D275" s="238" t="s">
        <v>9</v>
      </c>
      <c r="E275" s="1773">
        <v>326</v>
      </c>
      <c r="F275" s="239" t="s">
        <v>1025</v>
      </c>
      <c r="G275" s="241">
        <v>84</v>
      </c>
      <c r="H275" s="241">
        <v>85</v>
      </c>
      <c r="I275" s="241">
        <v>87</v>
      </c>
      <c r="J275" s="241">
        <v>57</v>
      </c>
      <c r="K275" s="241">
        <v>0</v>
      </c>
      <c r="L275" s="241"/>
      <c r="M275" s="241">
        <v>45</v>
      </c>
      <c r="N275" s="241">
        <v>86</v>
      </c>
      <c r="O275" s="241">
        <v>87</v>
      </c>
      <c r="P275" s="241">
        <v>86</v>
      </c>
      <c r="Q275" s="241">
        <v>83</v>
      </c>
      <c r="R275" s="2022">
        <v>89</v>
      </c>
      <c r="S275" s="2022">
        <v>94</v>
      </c>
      <c r="T275" s="2022">
        <v>75</v>
      </c>
      <c r="U275" s="2026">
        <v>85</v>
      </c>
      <c r="V275" s="2026">
        <v>50</v>
      </c>
      <c r="W275" s="2026">
        <v>87</v>
      </c>
      <c r="X275" s="241">
        <v>94</v>
      </c>
      <c r="Y275" s="241">
        <v>79</v>
      </c>
      <c r="Z275" s="241">
        <v>101</v>
      </c>
      <c r="AA275" s="241">
        <v>99</v>
      </c>
      <c r="AB275" s="241">
        <v>96</v>
      </c>
      <c r="AC275" s="241">
        <v>91</v>
      </c>
      <c r="AD275" s="241">
        <v>95</v>
      </c>
      <c r="AE275" s="241">
        <v>88</v>
      </c>
      <c r="AF275" s="241">
        <v>87</v>
      </c>
      <c r="AG275" s="241">
        <v>90</v>
      </c>
      <c r="AH275" s="241">
        <v>80</v>
      </c>
      <c r="AI275" s="241">
        <v>86</v>
      </c>
      <c r="AJ275" s="241">
        <v>81</v>
      </c>
      <c r="AK275" s="241">
        <v>89</v>
      </c>
      <c r="AM275" s="794">
        <f>SUM(G275:AK275)</f>
        <v>2436</v>
      </c>
      <c r="BC275" s="511"/>
      <c r="BD275" s="511"/>
      <c r="BI275" s="143"/>
    </row>
    <row r="276" spans="3:61" s="16" customFormat="1" x14ac:dyDescent="0.25">
      <c r="C276" s="17"/>
      <c r="D276" s="31"/>
      <c r="E276" s="261">
        <f>E275/2500</f>
        <v>0.13039999999999999</v>
      </c>
      <c r="F276" s="32" t="s">
        <v>354</v>
      </c>
      <c r="G276" s="34">
        <f t="shared" ref="G276:AH276" si="103">G275/G29*1000</f>
        <v>4.377238775248591E-2</v>
      </c>
      <c r="H276" s="34">
        <f t="shared" si="103"/>
        <v>5.3821619954777175E-2</v>
      </c>
      <c r="I276" s="34">
        <f t="shared" ref="I276:Q276" si="104">I275/I29*1000</f>
        <v>5.3667958193277444E-2</v>
      </c>
      <c r="J276" s="34">
        <f t="shared" si="104"/>
        <v>4.8519268533722168E-2</v>
      </c>
      <c r="K276" s="34" t="e">
        <f t="shared" si="104"/>
        <v>#DIV/0!</v>
      </c>
      <c r="L276" s="34" t="e">
        <f t="shared" si="104"/>
        <v>#DIV/0!</v>
      </c>
      <c r="M276" s="34">
        <f t="shared" si="104"/>
        <v>8.8867297426995506E-2</v>
      </c>
      <c r="N276" s="34">
        <f t="shared" si="104"/>
        <v>5.2785444965956461E-2</v>
      </c>
      <c r="O276" s="34">
        <f t="shared" si="104"/>
        <v>4.8980639698414381E-2</v>
      </c>
      <c r="P276" s="34">
        <f t="shared" si="104"/>
        <v>4.0610057505730268E-2</v>
      </c>
      <c r="Q276" s="34">
        <f t="shared" si="104"/>
        <v>4.1078493577402272E-2</v>
      </c>
      <c r="R276" s="34">
        <f t="shared" si="103"/>
        <v>4.9662462655502101E-2</v>
      </c>
      <c r="S276" s="34">
        <f t="shared" si="103"/>
        <v>4.9262581086732544E-2</v>
      </c>
      <c r="T276" s="34">
        <f t="shared" si="103"/>
        <v>4.187256336575014E-2</v>
      </c>
      <c r="U276" s="34">
        <f t="shared" si="103"/>
        <v>4.8171576956077725E-2</v>
      </c>
      <c r="V276" s="34">
        <f t="shared" si="103"/>
        <v>4.4829901903208659E-2</v>
      </c>
      <c r="W276" s="34">
        <f t="shared" ref="W276" si="105">W275/W29*1000</f>
        <v>5.5655778605151036E-2</v>
      </c>
      <c r="X276" s="34">
        <f t="shared" si="103"/>
        <v>5.4446955054038598E-2</v>
      </c>
      <c r="Y276" s="34">
        <f t="shared" si="103"/>
        <v>4.3316414343983874E-2</v>
      </c>
      <c r="Z276" s="34">
        <f t="shared" si="103"/>
        <v>4.5192926814753301E-2</v>
      </c>
      <c r="AA276" s="34">
        <f t="shared" si="103"/>
        <v>4.4773162875721459E-2</v>
      </c>
      <c r="AB276" s="34">
        <f t="shared" si="103"/>
        <v>4.1932988463623345E-2</v>
      </c>
      <c r="AC276" s="34">
        <f t="shared" si="103"/>
        <v>4.1230107039700967E-2</v>
      </c>
      <c r="AD276" s="34">
        <f t="shared" si="103"/>
        <v>4.3256081008167205E-2</v>
      </c>
      <c r="AE276" s="34">
        <f t="shared" si="103"/>
        <v>5.1937198483905961E-2</v>
      </c>
      <c r="AF276" s="34">
        <f t="shared" si="103"/>
        <v>5.4502399358500493E-2</v>
      </c>
      <c r="AG276" s="34">
        <f t="shared" si="103"/>
        <v>5.4689436917557496E-2</v>
      </c>
      <c r="AH276" s="34">
        <f t="shared" si="103"/>
        <v>4.6980118014056452E-2</v>
      </c>
      <c r="AI276" s="33">
        <f>AI275/AI29*1000000</f>
        <v>45.593059676013596</v>
      </c>
      <c r="AJ276" s="33">
        <f>AJ275/AJ29*1000000</f>
        <v>42.320125100379684</v>
      </c>
      <c r="AK276" s="33">
        <f>AK275/AK29*1000000</f>
        <v>42.71492205006669</v>
      </c>
      <c r="AL276" s="1494"/>
      <c r="AM276" s="2123">
        <f>(AM275/AM29)*1000</f>
        <v>4.7309656559277047E-2</v>
      </c>
      <c r="BC276" s="511"/>
      <c r="BD276" s="511"/>
      <c r="BI276" s="143"/>
    </row>
    <row r="277" spans="3:61" s="16" customFormat="1" x14ac:dyDescent="0.2">
      <c r="C277" s="17"/>
      <c r="D277" s="238" t="s">
        <v>8</v>
      </c>
      <c r="E277" s="260">
        <v>491.59</v>
      </c>
      <c r="F277" s="239" t="s">
        <v>123</v>
      </c>
      <c r="G277" s="241">
        <v>203</v>
      </c>
      <c r="H277" s="241">
        <v>180</v>
      </c>
      <c r="I277" s="241">
        <v>146</v>
      </c>
      <c r="J277" s="241">
        <v>137</v>
      </c>
      <c r="K277" s="241">
        <v>134</v>
      </c>
      <c r="L277" s="241"/>
      <c r="M277" s="241"/>
      <c r="N277" s="241"/>
      <c r="O277" s="241"/>
      <c r="P277" s="241"/>
      <c r="Q277" s="241"/>
      <c r="R277" s="1973"/>
      <c r="S277" s="1979"/>
      <c r="T277" s="1979"/>
      <c r="U277" s="1988"/>
      <c r="V277" s="241">
        <v>322</v>
      </c>
      <c r="W277" s="241">
        <v>323</v>
      </c>
      <c r="X277" s="241">
        <v>192</v>
      </c>
      <c r="Y277" s="241">
        <v>259</v>
      </c>
      <c r="Z277" s="241">
        <v>225</v>
      </c>
      <c r="AA277" s="1961">
        <v>266</v>
      </c>
      <c r="AB277" s="241">
        <v>263</v>
      </c>
      <c r="AC277" s="241">
        <v>213</v>
      </c>
      <c r="AD277" s="241">
        <v>225</v>
      </c>
      <c r="AE277" s="241">
        <v>227</v>
      </c>
      <c r="AF277" s="241">
        <v>294</v>
      </c>
      <c r="AG277" s="241">
        <v>258</v>
      </c>
      <c r="AH277" s="1961">
        <v>302</v>
      </c>
      <c r="AI277" s="1961">
        <v>268</v>
      </c>
      <c r="AJ277" s="1961">
        <v>189</v>
      </c>
      <c r="AK277" s="1961">
        <v>188.9</v>
      </c>
      <c r="AM277" s="794">
        <f>SUM(G277:AK277)</f>
        <v>4814.8999999999996</v>
      </c>
      <c r="BC277" s="511"/>
      <c r="BD277" s="511"/>
      <c r="BI277" s="143"/>
    </row>
    <row r="278" spans="3:61" s="16" customFormat="1" x14ac:dyDescent="0.2">
      <c r="C278" s="17"/>
      <c r="D278" s="31" t="s">
        <v>7</v>
      </c>
      <c r="E278" s="260">
        <v>337.28</v>
      </c>
      <c r="F278" s="32" t="s">
        <v>123</v>
      </c>
      <c r="G278" s="34">
        <f t="shared" ref="G278:H278" si="106">G271-G273-G275-G277</f>
        <v>135</v>
      </c>
      <c r="H278" s="34">
        <f t="shared" si="106"/>
        <v>336</v>
      </c>
      <c r="I278" s="34">
        <f t="shared" ref="I278:Q278" si="107">I271-I273-I275-I277</f>
        <v>345</v>
      </c>
      <c r="J278" s="34">
        <f t="shared" si="107"/>
        <v>30</v>
      </c>
      <c r="K278" s="34">
        <f t="shared" si="107"/>
        <v>211</v>
      </c>
      <c r="L278" s="34">
        <f t="shared" si="107"/>
        <v>0</v>
      </c>
      <c r="M278" s="34">
        <f t="shared" si="107"/>
        <v>-45</v>
      </c>
      <c r="N278" s="34">
        <f t="shared" si="107"/>
        <v>-86</v>
      </c>
      <c r="O278" s="34">
        <f t="shared" si="107"/>
        <v>-190</v>
      </c>
      <c r="P278" s="34">
        <f t="shared" si="107"/>
        <v>-86</v>
      </c>
      <c r="Q278" s="34">
        <f t="shared" si="107"/>
        <v>-83</v>
      </c>
      <c r="R278" s="34">
        <f t="shared" ref="R278:Y278" si="108">R271-R273-R275-R277</f>
        <v>-89</v>
      </c>
      <c r="S278" s="34">
        <f t="shared" si="108"/>
        <v>-94</v>
      </c>
      <c r="T278" s="34">
        <f t="shared" si="108"/>
        <v>-75</v>
      </c>
      <c r="U278" s="34">
        <f t="shared" si="108"/>
        <v>-85</v>
      </c>
      <c r="V278" s="34">
        <f t="shared" si="108"/>
        <v>449</v>
      </c>
      <c r="W278" s="34">
        <f t="shared" ref="W278" si="109">W271-W273-W275-W277</f>
        <v>329</v>
      </c>
      <c r="X278" s="34">
        <f t="shared" si="108"/>
        <v>177</v>
      </c>
      <c r="Y278" s="34">
        <f t="shared" si="108"/>
        <v>266</v>
      </c>
      <c r="Z278" s="34">
        <f t="shared" ref="Z278:AB278" si="110">Z271-Z273-Z275-Z277</f>
        <v>495</v>
      </c>
      <c r="AA278" s="34">
        <f t="shared" si="110"/>
        <v>266</v>
      </c>
      <c r="AB278" s="34">
        <f t="shared" si="110"/>
        <v>120</v>
      </c>
      <c r="AC278" s="34">
        <f t="shared" ref="AC278:AK278" si="111">AC271-AC273-AC275-AC277</f>
        <v>197</v>
      </c>
      <c r="AD278" s="34">
        <f t="shared" si="111"/>
        <v>339</v>
      </c>
      <c r="AE278" s="34">
        <f t="shared" si="111"/>
        <v>356</v>
      </c>
      <c r="AF278" s="34">
        <f t="shared" si="111"/>
        <v>196</v>
      </c>
      <c r="AG278" s="34">
        <f t="shared" si="111"/>
        <v>520</v>
      </c>
      <c r="AH278" s="34">
        <f t="shared" si="111"/>
        <v>436</v>
      </c>
      <c r="AI278" s="34">
        <f t="shared" si="111"/>
        <v>367</v>
      </c>
      <c r="AJ278" s="34">
        <f t="shared" si="111"/>
        <v>272</v>
      </c>
      <c r="AK278" s="34">
        <f t="shared" si="111"/>
        <v>170.1</v>
      </c>
      <c r="AM278" s="54">
        <f>SUM(G278:AK278)</f>
        <v>5179.1000000000004</v>
      </c>
      <c r="BC278" s="511"/>
      <c r="BD278" s="511"/>
      <c r="BI278" s="143"/>
    </row>
    <row r="279" spans="3:61" s="16" customFormat="1" x14ac:dyDescent="0.2">
      <c r="C279" s="17"/>
      <c r="D279" s="238" t="s">
        <v>6</v>
      </c>
      <c r="E279" s="260">
        <v>330</v>
      </c>
      <c r="F279" s="239" t="s">
        <v>123</v>
      </c>
      <c r="G279" s="241">
        <v>236</v>
      </c>
      <c r="H279" s="241">
        <v>183</v>
      </c>
      <c r="I279" s="241">
        <v>111</v>
      </c>
      <c r="J279" s="241">
        <v>176</v>
      </c>
      <c r="K279" s="241">
        <v>93</v>
      </c>
      <c r="L279" s="241"/>
      <c r="M279" s="241"/>
      <c r="N279" s="241"/>
      <c r="O279" s="241"/>
      <c r="P279" s="241"/>
      <c r="Q279" s="241"/>
      <c r="R279" s="1974"/>
      <c r="S279" s="1974"/>
      <c r="T279" s="1974"/>
      <c r="U279" s="1989"/>
      <c r="V279" s="241">
        <v>221</v>
      </c>
      <c r="W279" s="241">
        <v>308</v>
      </c>
      <c r="X279" s="241">
        <v>245</v>
      </c>
      <c r="Y279" s="241">
        <v>80</v>
      </c>
      <c r="Z279" s="241">
        <v>246</v>
      </c>
      <c r="AA279" s="1961">
        <v>227</v>
      </c>
      <c r="AB279" s="241">
        <v>120</v>
      </c>
      <c r="AC279" s="241">
        <v>223</v>
      </c>
      <c r="AD279" s="241">
        <v>292</v>
      </c>
      <c r="AE279" s="241">
        <v>220</v>
      </c>
      <c r="AF279" s="241">
        <v>179</v>
      </c>
      <c r="AG279" s="241">
        <v>206</v>
      </c>
      <c r="AH279" s="1961">
        <v>264</v>
      </c>
      <c r="AI279" s="1961">
        <v>264</v>
      </c>
      <c r="AJ279" s="1961">
        <v>277</v>
      </c>
      <c r="AK279" s="1961">
        <v>178</v>
      </c>
      <c r="AM279" s="928">
        <f>SUM(G279:AK279)</f>
        <v>4349</v>
      </c>
      <c r="BC279" s="511"/>
      <c r="BD279" s="511"/>
      <c r="BI279" s="143"/>
    </row>
    <row r="280" spans="3:61" s="16" customFormat="1" x14ac:dyDescent="0.2">
      <c r="C280" s="923"/>
      <c r="D280" s="924"/>
      <c r="E280" s="925"/>
      <c r="F280" s="926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1929"/>
      <c r="T280" s="1929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112"/>
      <c r="AE280" s="2112"/>
      <c r="AF280" s="2112"/>
      <c r="AG280" s="2112"/>
      <c r="AH280" s="2112"/>
      <c r="AI280" s="2112"/>
      <c r="AJ280" s="2112"/>
      <c r="AK280" s="2112"/>
      <c r="AL280" s="779"/>
      <c r="AM280" s="927" t="s">
        <v>346</v>
      </c>
      <c r="BC280" s="511"/>
      <c r="BD280" s="511"/>
      <c r="BI280" s="143"/>
    </row>
    <row r="281" spans="3:61" s="16" customFormat="1" hidden="1" x14ac:dyDescent="0.25">
      <c r="C281" s="17"/>
      <c r="D281" s="2111" t="s">
        <v>1130</v>
      </c>
      <c r="E281" s="48"/>
      <c r="F281" s="49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  <c r="AC281" s="281"/>
      <c r="AD281" s="281"/>
      <c r="AE281" s="281"/>
      <c r="AF281" s="281"/>
      <c r="AG281" s="281"/>
      <c r="AH281" s="281"/>
      <c r="AI281" s="281"/>
      <c r="AJ281" s="281"/>
      <c r="AK281" s="281"/>
      <c r="AL281" s="779"/>
      <c r="AM281" s="2139">
        <f>AM282+AM284+AM286</f>
        <v>475</v>
      </c>
      <c r="BC281" s="511"/>
      <c r="BD281" s="511"/>
      <c r="BI281" s="143"/>
    </row>
    <row r="282" spans="3:61" s="16" customFormat="1" hidden="1" x14ac:dyDescent="0.2">
      <c r="C282" s="17"/>
      <c r="D282" s="238" t="s">
        <v>10</v>
      </c>
      <c r="E282" s="261">
        <v>93.6</v>
      </c>
      <c r="F282" s="239" t="s">
        <v>1025</v>
      </c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>
        <v>109</v>
      </c>
      <c r="S282" s="241">
        <v>98</v>
      </c>
      <c r="T282" s="241">
        <v>104</v>
      </c>
      <c r="U282" s="241">
        <v>0</v>
      </c>
      <c r="V282" s="241">
        <v>0</v>
      </c>
      <c r="W282" s="241">
        <v>0</v>
      </c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779"/>
      <c r="AM282" s="794">
        <f>SUM(G282:AK282)</f>
        <v>311</v>
      </c>
      <c r="AX282" s="2140"/>
      <c r="BC282" s="511"/>
      <c r="BD282" s="511"/>
      <c r="BI282" s="143"/>
    </row>
    <row r="283" spans="3:61" s="16" customFormat="1" hidden="1" x14ac:dyDescent="0.25">
      <c r="C283" s="17"/>
      <c r="D283" s="31"/>
      <c r="E283" s="261">
        <f>E282/2500</f>
        <v>3.7440000000000001E-2</v>
      </c>
      <c r="F283" s="32" t="s">
        <v>354</v>
      </c>
      <c r="G283" s="33">
        <f>G282/G29*1000000</f>
        <v>0</v>
      </c>
      <c r="H283" s="33" t="e">
        <f t="shared" ref="H283:AB283" si="112">H282/(H18/100000)</f>
        <v>#DIV/0!</v>
      </c>
      <c r="I283" s="33" t="e">
        <f t="shared" ref="I283:Q283" si="113">I282/(I18/100000)</f>
        <v>#DIV/0!</v>
      </c>
      <c r="J283" s="33" t="e">
        <f t="shared" si="113"/>
        <v>#DIV/0!</v>
      </c>
      <c r="K283" s="33" t="e">
        <f t="shared" si="113"/>
        <v>#DIV/0!</v>
      </c>
      <c r="L283" s="33" t="e">
        <f t="shared" si="113"/>
        <v>#DIV/0!</v>
      </c>
      <c r="M283" s="33" t="e">
        <f t="shared" si="113"/>
        <v>#DIV/0!</v>
      </c>
      <c r="N283" s="33" t="e">
        <f t="shared" si="113"/>
        <v>#DIV/0!</v>
      </c>
      <c r="O283" s="33" t="e">
        <f t="shared" si="113"/>
        <v>#DIV/0!</v>
      </c>
      <c r="P283" s="33" t="e">
        <f t="shared" si="113"/>
        <v>#DIV/0!</v>
      </c>
      <c r="Q283" s="33" t="e">
        <f t="shared" si="113"/>
        <v>#DIV/0!</v>
      </c>
      <c r="R283" s="33" t="e">
        <f t="shared" si="112"/>
        <v>#DIV/0!</v>
      </c>
      <c r="S283" s="33" t="e">
        <f t="shared" si="112"/>
        <v>#DIV/0!</v>
      </c>
      <c r="T283" s="33" t="e">
        <f t="shared" si="112"/>
        <v>#DIV/0!</v>
      </c>
      <c r="U283" s="33" t="e">
        <f t="shared" si="112"/>
        <v>#DIV/0!</v>
      </c>
      <c r="V283" s="33" t="e">
        <f t="shared" si="112"/>
        <v>#DIV/0!</v>
      </c>
      <c r="W283" s="33" t="e">
        <v>#DIV/0!</v>
      </c>
      <c r="X283" s="33" t="e">
        <f t="shared" si="112"/>
        <v>#DIV/0!</v>
      </c>
      <c r="Y283" s="33" t="e">
        <f t="shared" si="112"/>
        <v>#DIV/0!</v>
      </c>
      <c r="Z283" s="33" t="e">
        <f t="shared" si="112"/>
        <v>#DIV/0!</v>
      </c>
      <c r="AA283" s="33" t="e">
        <f t="shared" si="112"/>
        <v>#DIV/0!</v>
      </c>
      <c r="AB283" s="33" t="e">
        <f t="shared" si="112"/>
        <v>#DIV/0!</v>
      </c>
      <c r="AC283" s="34">
        <f>AC282/(AC9/1000)</f>
        <v>0</v>
      </c>
      <c r="AD283" s="34">
        <f>AD282/(AD9/1000)</f>
        <v>0</v>
      </c>
      <c r="AE283" s="33" t="e">
        <f t="shared" ref="AE283:AK283" si="114">AE282/(AE18/100000)</f>
        <v>#DIV/0!</v>
      </c>
      <c r="AF283" s="33" t="e">
        <f t="shared" si="114"/>
        <v>#DIV/0!</v>
      </c>
      <c r="AG283" s="33" t="e">
        <f t="shared" si="114"/>
        <v>#DIV/0!</v>
      </c>
      <c r="AH283" s="33" t="e">
        <f t="shared" si="114"/>
        <v>#DIV/0!</v>
      </c>
      <c r="AI283" s="33" t="e">
        <f t="shared" si="114"/>
        <v>#DIV/0!</v>
      </c>
      <c r="AJ283" s="33" t="e">
        <f t="shared" si="114"/>
        <v>#DIV/0!</v>
      </c>
      <c r="AK283" s="33" t="e">
        <f t="shared" si="114"/>
        <v>#DIV/0!</v>
      </c>
      <c r="AL283" s="779"/>
      <c r="AM283" s="2123">
        <f>AM282/AM9*1000</f>
        <v>7.7507054138801924E-3</v>
      </c>
      <c r="BC283" s="511"/>
      <c r="BD283" s="511"/>
      <c r="BI283" s="143"/>
    </row>
    <row r="284" spans="3:61" s="16" customFormat="1" hidden="1" x14ac:dyDescent="0.2">
      <c r="C284" s="17"/>
      <c r="D284" s="238" t="s">
        <v>9</v>
      </c>
      <c r="E284" s="1773">
        <v>326</v>
      </c>
      <c r="F284" s="239" t="s">
        <v>1025</v>
      </c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>
        <v>0</v>
      </c>
      <c r="S284" s="241">
        <v>0</v>
      </c>
      <c r="T284" s="241">
        <v>0</v>
      </c>
      <c r="U284" s="241">
        <v>139</v>
      </c>
      <c r="V284" s="241">
        <v>25</v>
      </c>
      <c r="W284" s="241">
        <v>0</v>
      </c>
      <c r="X284" s="241"/>
      <c r="Y284" s="241">
        <v>0</v>
      </c>
      <c r="Z284" s="241">
        <v>0</v>
      </c>
      <c r="AA284" s="241">
        <v>0</v>
      </c>
      <c r="AB284" s="241">
        <v>0</v>
      </c>
      <c r="AC284" s="241">
        <v>0</v>
      </c>
      <c r="AD284" s="241">
        <v>0</v>
      </c>
      <c r="AE284" s="241">
        <v>0</v>
      </c>
      <c r="AF284" s="241">
        <v>0</v>
      </c>
      <c r="AG284" s="241">
        <v>0</v>
      </c>
      <c r="AH284" s="241"/>
      <c r="AI284" s="241"/>
      <c r="AJ284" s="241"/>
      <c r="AK284" s="241"/>
      <c r="AL284" s="779"/>
      <c r="AM284" s="794">
        <f>SUM(G284:AK284)</f>
        <v>164</v>
      </c>
      <c r="BC284" s="511"/>
      <c r="BD284" s="511"/>
      <c r="BI284" s="143"/>
    </row>
    <row r="285" spans="3:61" s="16" customFormat="1" hidden="1" x14ac:dyDescent="0.25">
      <c r="C285" s="17"/>
      <c r="D285" s="31"/>
      <c r="E285" s="261">
        <f>E284/2500</f>
        <v>0.13039999999999999</v>
      </c>
      <c r="F285" s="32" t="s">
        <v>354</v>
      </c>
      <c r="G285" s="33" t="e">
        <f>G284/G38*1000000</f>
        <v>#DIV/0!</v>
      </c>
      <c r="H285" s="34">
        <f t="shared" ref="H285:AK285" si="115">H284/(H34/1000)</f>
        <v>0</v>
      </c>
      <c r="I285" s="34" t="e">
        <f t="shared" ref="I285:Q285" si="116">I284/(I34/1000)</f>
        <v>#DIV/0!</v>
      </c>
      <c r="J285" s="34" t="e">
        <f t="shared" si="116"/>
        <v>#DIV/0!</v>
      </c>
      <c r="K285" s="34" t="e">
        <f t="shared" si="116"/>
        <v>#DIV/0!</v>
      </c>
      <c r="L285" s="34" t="e">
        <f t="shared" si="116"/>
        <v>#DIV/0!</v>
      </c>
      <c r="M285" s="34" t="e">
        <f t="shared" si="116"/>
        <v>#DIV/0!</v>
      </c>
      <c r="N285" s="34" t="e">
        <f t="shared" si="116"/>
        <v>#DIV/0!</v>
      </c>
      <c r="O285" s="34">
        <f t="shared" si="116"/>
        <v>0</v>
      </c>
      <c r="P285" s="34">
        <f t="shared" si="116"/>
        <v>0</v>
      </c>
      <c r="Q285" s="34">
        <f t="shared" si="116"/>
        <v>0</v>
      </c>
      <c r="R285" s="34">
        <f t="shared" si="115"/>
        <v>0</v>
      </c>
      <c r="S285" s="34">
        <f t="shared" si="115"/>
        <v>0</v>
      </c>
      <c r="T285" s="34">
        <f t="shared" si="115"/>
        <v>0</v>
      </c>
      <c r="U285" s="34">
        <f t="shared" si="115"/>
        <v>0.47286792696741969</v>
      </c>
      <c r="V285" s="34">
        <f t="shared" si="115"/>
        <v>0.13607811972697287</v>
      </c>
      <c r="W285" s="34">
        <v>0</v>
      </c>
      <c r="X285" s="34">
        <f t="shared" si="115"/>
        <v>0</v>
      </c>
      <c r="Y285" s="34">
        <f t="shared" si="115"/>
        <v>0</v>
      </c>
      <c r="Z285" s="34">
        <f t="shared" si="115"/>
        <v>0</v>
      </c>
      <c r="AA285" s="34">
        <f t="shared" si="115"/>
        <v>0</v>
      </c>
      <c r="AB285" s="34">
        <f t="shared" si="115"/>
        <v>0</v>
      </c>
      <c r="AC285" s="34">
        <f t="shared" si="115"/>
        <v>0</v>
      </c>
      <c r="AD285" s="34">
        <f t="shared" si="115"/>
        <v>0</v>
      </c>
      <c r="AE285" s="34">
        <f t="shared" si="115"/>
        <v>0</v>
      </c>
      <c r="AF285" s="34">
        <f t="shared" si="115"/>
        <v>0</v>
      </c>
      <c r="AG285" s="34" t="e">
        <f t="shared" si="115"/>
        <v>#DIV/0!</v>
      </c>
      <c r="AH285" s="34">
        <f t="shared" si="115"/>
        <v>0</v>
      </c>
      <c r="AI285" s="34">
        <f t="shared" si="115"/>
        <v>0</v>
      </c>
      <c r="AJ285" s="34">
        <f t="shared" si="115"/>
        <v>0</v>
      </c>
      <c r="AK285" s="34">
        <f t="shared" si="115"/>
        <v>0</v>
      </c>
      <c r="AL285" s="779"/>
      <c r="AM285" s="1496" t="e">
        <f>(AM284/AM38)*1000000</f>
        <v>#DIV/0!</v>
      </c>
      <c r="BC285" s="511"/>
      <c r="BD285" s="511"/>
      <c r="BI285" s="143"/>
    </row>
    <row r="286" spans="3:61" s="16" customFormat="1" hidden="1" x14ac:dyDescent="0.2">
      <c r="C286" s="17"/>
      <c r="D286" s="238" t="s">
        <v>8</v>
      </c>
      <c r="E286" s="260">
        <v>491.59</v>
      </c>
      <c r="F286" s="239" t="s">
        <v>123</v>
      </c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779"/>
      <c r="AM286" s="794">
        <f>SUM(G286:AK286)</f>
        <v>0</v>
      </c>
      <c r="BC286" s="511"/>
      <c r="BD286" s="511"/>
      <c r="BI286" s="143"/>
    </row>
    <row r="287" spans="3:61" s="16" customFormat="1" hidden="1" x14ac:dyDescent="0.2">
      <c r="C287" s="17"/>
      <c r="D287" s="31" t="s">
        <v>7</v>
      </c>
      <c r="E287" s="260">
        <v>337.28</v>
      </c>
      <c r="F287" s="32" t="s">
        <v>123</v>
      </c>
      <c r="G287" s="34">
        <f t="shared" ref="G287:H287" si="117">G280-G282-G284-G286</f>
        <v>0</v>
      </c>
      <c r="H287" s="34">
        <f t="shared" si="117"/>
        <v>0</v>
      </c>
      <c r="I287" s="34">
        <f t="shared" ref="I287:Q287" si="118">I280-I282-I284-I286</f>
        <v>0</v>
      </c>
      <c r="J287" s="34">
        <f t="shared" si="118"/>
        <v>0</v>
      </c>
      <c r="K287" s="34">
        <f t="shared" si="118"/>
        <v>0</v>
      </c>
      <c r="L287" s="34">
        <f t="shared" si="118"/>
        <v>0</v>
      </c>
      <c r="M287" s="34">
        <f t="shared" si="118"/>
        <v>0</v>
      </c>
      <c r="N287" s="34">
        <f t="shared" si="118"/>
        <v>0</v>
      </c>
      <c r="O287" s="34">
        <f t="shared" si="118"/>
        <v>0</v>
      </c>
      <c r="P287" s="34">
        <f t="shared" si="118"/>
        <v>0</v>
      </c>
      <c r="Q287" s="34">
        <f t="shared" si="118"/>
        <v>0</v>
      </c>
      <c r="R287" s="34">
        <f t="shared" ref="R287:AB287" si="119">R280-R282-R284-R286</f>
        <v>-109</v>
      </c>
      <c r="S287" s="34">
        <f t="shared" si="119"/>
        <v>-98</v>
      </c>
      <c r="T287" s="34">
        <f t="shared" si="119"/>
        <v>-104</v>
      </c>
      <c r="U287" s="34">
        <f t="shared" si="119"/>
        <v>-139</v>
      </c>
      <c r="V287" s="34">
        <f t="shared" si="119"/>
        <v>-25</v>
      </c>
      <c r="W287" s="34">
        <v>0</v>
      </c>
      <c r="X287" s="34">
        <f t="shared" si="119"/>
        <v>0</v>
      </c>
      <c r="Y287" s="34">
        <f t="shared" si="119"/>
        <v>0</v>
      </c>
      <c r="Z287" s="34">
        <f t="shared" si="119"/>
        <v>0</v>
      </c>
      <c r="AA287" s="34">
        <f t="shared" si="119"/>
        <v>0</v>
      </c>
      <c r="AB287" s="34">
        <f t="shared" si="119"/>
        <v>0</v>
      </c>
      <c r="AC287" s="34">
        <f>AC271-AC282-AC284-AC286</f>
        <v>694</v>
      </c>
      <c r="AD287" s="34">
        <f>AD271-AD282-AD284-AD286</f>
        <v>934</v>
      </c>
      <c r="AE287" s="34">
        <f>AE271-AE282-AE284-AE286</f>
        <v>870</v>
      </c>
      <c r="AF287" s="34">
        <f>AF271-AF282-AF284-AF286</f>
        <v>770</v>
      </c>
      <c r="AG287" s="34">
        <f>AG271-AG282-AG284-AG286-AG275</f>
        <v>986</v>
      </c>
      <c r="AH287" s="34"/>
      <c r="AI287" s="34"/>
      <c r="AJ287" s="34"/>
      <c r="AK287" s="34"/>
      <c r="AL287" s="779"/>
      <c r="AM287" s="54">
        <f>SUM(G287:AK287)</f>
        <v>3779</v>
      </c>
      <c r="BC287" s="511"/>
      <c r="BD287" s="511"/>
      <c r="BI287" s="143"/>
    </row>
    <row r="288" spans="3:61" s="16" customFormat="1" hidden="1" x14ac:dyDescent="0.2">
      <c r="C288" s="17"/>
      <c r="D288" s="238" t="s">
        <v>6</v>
      </c>
      <c r="E288" s="260">
        <v>330</v>
      </c>
      <c r="F288" s="239" t="s">
        <v>123</v>
      </c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>
        <v>0</v>
      </c>
      <c r="AI288" s="241">
        <v>0</v>
      </c>
      <c r="AJ288" s="241">
        <v>0</v>
      </c>
      <c r="AK288" s="241">
        <v>0</v>
      </c>
      <c r="AL288" s="779"/>
      <c r="AM288" s="928"/>
      <c r="BC288" s="511"/>
      <c r="BD288" s="511"/>
      <c r="BI288" s="143"/>
    </row>
    <row r="289" spans="3:61 15027:15419" s="16" customFormat="1" hidden="1" x14ac:dyDescent="0.2">
      <c r="C289" s="17"/>
      <c r="D289" s="924"/>
      <c r="E289" s="925"/>
      <c r="F289" s="926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779"/>
      <c r="AM289" s="927"/>
      <c r="BC289" s="511"/>
      <c r="BD289" s="511"/>
      <c r="BI289" s="143"/>
    </row>
    <row r="290" spans="3:61 15027:15419" s="1" customFormat="1" x14ac:dyDescent="0.25">
      <c r="C290" s="83">
        <v>7</v>
      </c>
      <c r="D290" s="75" t="s">
        <v>5</v>
      </c>
      <c r="E290" s="76"/>
      <c r="F290" s="77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1925"/>
      <c r="T290" s="1925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M290" s="120" t="s">
        <v>134</v>
      </c>
      <c r="BC290" s="511"/>
      <c r="BD290" s="511"/>
      <c r="BI290" s="140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  <c r="VUA290" s="46"/>
    </row>
    <row r="291" spans="3:61 15027:15419" s="1" customFormat="1" x14ac:dyDescent="0.25">
      <c r="C291" s="83"/>
      <c r="D291" s="121" t="s">
        <v>4</v>
      </c>
      <c r="E291" s="1034"/>
      <c r="F291" s="12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22"/>
      <c r="T291" s="1922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M291" s="52" t="s">
        <v>4</v>
      </c>
      <c r="BC291" s="511"/>
      <c r="BD291" s="511"/>
      <c r="BI291" s="140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  <c r="VUA291" s="46"/>
    </row>
    <row r="292" spans="3:61 15027:15419" s="1" customFormat="1" x14ac:dyDescent="0.25">
      <c r="C292" s="83"/>
      <c r="D292" s="232" t="s">
        <v>3</v>
      </c>
      <c r="E292" s="231">
        <v>50</v>
      </c>
      <c r="F292" s="242" t="s">
        <v>943</v>
      </c>
      <c r="G292" s="241">
        <v>39</v>
      </c>
      <c r="H292" s="241">
        <v>38.4</v>
      </c>
      <c r="I292" s="241">
        <v>39.4</v>
      </c>
      <c r="J292" s="241">
        <v>18.7</v>
      </c>
      <c r="K292" s="241">
        <v>11.2</v>
      </c>
      <c r="L292" s="241">
        <v>11.7</v>
      </c>
      <c r="M292" s="241">
        <v>20.6</v>
      </c>
      <c r="N292" s="241">
        <v>26.8</v>
      </c>
      <c r="O292" s="241">
        <v>19.8</v>
      </c>
      <c r="P292" s="241">
        <v>17.3</v>
      </c>
      <c r="Q292" s="241">
        <v>16.600000000000001</v>
      </c>
      <c r="R292" s="2067">
        <v>16.899999999999999</v>
      </c>
      <c r="S292" s="2068">
        <v>17.2</v>
      </c>
      <c r="T292" s="2068">
        <v>16.100000000000001</v>
      </c>
      <c r="U292" s="2069">
        <v>24.3</v>
      </c>
      <c r="V292" s="2069">
        <v>33.6</v>
      </c>
      <c r="W292" s="2070">
        <v>40.200000000000003</v>
      </c>
      <c r="X292" s="2064">
        <v>40.4</v>
      </c>
      <c r="Y292" s="2064">
        <v>40.5</v>
      </c>
      <c r="Z292" s="2064">
        <v>40.6</v>
      </c>
      <c r="AA292" s="2078">
        <v>42.2</v>
      </c>
      <c r="AB292" s="2078">
        <v>42.5</v>
      </c>
      <c r="AC292" s="241">
        <v>41.9</v>
      </c>
      <c r="AD292" s="241">
        <v>42</v>
      </c>
      <c r="AE292" s="241">
        <v>42</v>
      </c>
      <c r="AF292" s="241">
        <v>43</v>
      </c>
      <c r="AG292" s="241">
        <v>44</v>
      </c>
      <c r="AH292" s="2078">
        <v>43</v>
      </c>
      <c r="AI292" s="2078">
        <v>43</v>
      </c>
      <c r="AJ292" s="2078">
        <v>43</v>
      </c>
      <c r="AK292" s="2078">
        <v>42</v>
      </c>
      <c r="AL292" s="302"/>
      <c r="AM292" s="931">
        <f>SUM(G292:AK292)/AM6</f>
        <v>49.894999999999996</v>
      </c>
      <c r="AO292" s="2000">
        <f>AM292/AM9*100000</f>
        <v>0.1243477320339396</v>
      </c>
      <c r="AX292" s="3"/>
      <c r="BC292" s="511"/>
      <c r="BD292" s="511"/>
      <c r="BI292" s="140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  <c r="VUA292" s="46"/>
    </row>
    <row r="293" spans="3:61 15027:15419" s="1" customFormat="1" x14ac:dyDescent="0.25">
      <c r="C293" s="83"/>
      <c r="D293" s="121" t="s">
        <v>1</v>
      </c>
      <c r="E293" s="13"/>
      <c r="F293" s="69" t="s">
        <v>0</v>
      </c>
      <c r="G293" s="278">
        <f>G292*1000</f>
        <v>39000</v>
      </c>
      <c r="H293" s="278">
        <f>H292*1000</f>
        <v>38400</v>
      </c>
      <c r="I293" s="278">
        <f t="shared" ref="I293:Q293" si="120">I292*1000</f>
        <v>39400</v>
      </c>
      <c r="J293" s="278">
        <f t="shared" si="120"/>
        <v>18700</v>
      </c>
      <c r="K293" s="278">
        <f t="shared" si="120"/>
        <v>11200</v>
      </c>
      <c r="L293" s="278">
        <f t="shared" si="120"/>
        <v>11700</v>
      </c>
      <c r="M293" s="278">
        <f t="shared" si="120"/>
        <v>20600</v>
      </c>
      <c r="N293" s="278">
        <f t="shared" si="120"/>
        <v>26800</v>
      </c>
      <c r="O293" s="278">
        <f t="shared" si="120"/>
        <v>19800</v>
      </c>
      <c r="P293" s="278">
        <f t="shared" si="120"/>
        <v>17300</v>
      </c>
      <c r="Q293" s="278">
        <f t="shared" si="120"/>
        <v>16600</v>
      </c>
      <c r="R293" s="278">
        <f t="shared" ref="R293" si="121">R292*1000</f>
        <v>16900</v>
      </c>
      <c r="S293" s="278">
        <f t="shared" ref="S293:Y293" si="122">S292*1000</f>
        <v>17200</v>
      </c>
      <c r="T293" s="278">
        <f t="shared" si="122"/>
        <v>16100.000000000002</v>
      </c>
      <c r="U293" s="278">
        <f t="shared" si="122"/>
        <v>24300</v>
      </c>
      <c r="V293" s="278">
        <f t="shared" si="122"/>
        <v>33600</v>
      </c>
      <c r="W293" s="278">
        <f t="shared" ref="W293" si="123">W292*1000</f>
        <v>40200</v>
      </c>
      <c r="X293" s="278">
        <f t="shared" si="122"/>
        <v>40400</v>
      </c>
      <c r="Y293" s="278">
        <f t="shared" si="122"/>
        <v>40500</v>
      </c>
      <c r="Z293" s="278">
        <f t="shared" ref="Z293" si="124">Z292*1000</f>
        <v>40600</v>
      </c>
      <c r="AA293" s="278">
        <f t="shared" ref="AA293:AE293" si="125">AA292*1000</f>
        <v>42200</v>
      </c>
      <c r="AB293" s="278">
        <f t="shared" si="125"/>
        <v>42500</v>
      </c>
      <c r="AC293" s="278">
        <f t="shared" si="125"/>
        <v>41900</v>
      </c>
      <c r="AD293" s="278">
        <f>AD292*1000</f>
        <v>42000</v>
      </c>
      <c r="AE293" s="278">
        <f t="shared" si="125"/>
        <v>42000</v>
      </c>
      <c r="AF293" s="278">
        <f t="shared" ref="AF293" si="126">AF292*1000</f>
        <v>43000</v>
      </c>
      <c r="AG293" s="278">
        <f t="shared" ref="AG293:AH293" si="127">AG292*1000</f>
        <v>44000</v>
      </c>
      <c r="AH293" s="278">
        <f t="shared" si="127"/>
        <v>43000</v>
      </c>
      <c r="AI293" s="278">
        <f t="shared" ref="AI293:AK293" si="128">AI292*1000</f>
        <v>43000</v>
      </c>
      <c r="AJ293" s="278">
        <f t="shared" ref="AJ293" si="129">AJ292*1000</f>
        <v>43000</v>
      </c>
      <c r="AK293" s="278">
        <f t="shared" si="128"/>
        <v>42000</v>
      </c>
      <c r="AL293" s="62"/>
      <c r="AM293" s="82">
        <f>SUM(G293:AK293)</f>
        <v>997900</v>
      </c>
      <c r="BC293" s="511"/>
      <c r="BD293" s="511"/>
      <c r="BI293" s="140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  <c r="VUA293" s="46"/>
    </row>
    <row r="294" spans="3:61 15027:15419" s="1" customFormat="1" x14ac:dyDescent="0.25">
      <c r="C294" s="83"/>
      <c r="D294" s="117" t="s">
        <v>1125</v>
      </c>
      <c r="E294" s="118"/>
      <c r="F294" s="99"/>
      <c r="G294" s="2094"/>
      <c r="H294" s="2094"/>
      <c r="I294" s="2094"/>
      <c r="J294" s="2094"/>
      <c r="K294" s="2094"/>
      <c r="L294" s="2094"/>
      <c r="M294" s="2094"/>
      <c r="N294" s="2094"/>
      <c r="O294" s="2094"/>
      <c r="P294" s="2094"/>
      <c r="Q294" s="2094"/>
      <c r="R294" s="2094"/>
      <c r="S294" s="2094"/>
      <c r="T294" s="2094"/>
      <c r="U294" s="2094"/>
      <c r="V294" s="2094"/>
      <c r="W294" s="2094"/>
      <c r="X294" s="2094"/>
      <c r="Y294" s="2094"/>
      <c r="Z294" s="2094"/>
      <c r="AA294" s="2094"/>
      <c r="AB294" s="2094"/>
      <c r="AC294" s="2094"/>
      <c r="AD294" s="2094"/>
      <c r="AE294" s="2094"/>
      <c r="AF294" s="2094"/>
      <c r="AG294" s="2094"/>
      <c r="AH294" s="2094"/>
      <c r="AI294" s="2094"/>
      <c r="AJ294" s="2094"/>
      <c r="AK294" s="2094"/>
      <c r="AL294" s="62"/>
      <c r="AM294" s="82"/>
      <c r="BC294" s="511"/>
      <c r="BD294" s="511"/>
      <c r="BI294" s="140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  <c r="VUA294" s="46"/>
    </row>
    <row r="295" spans="3:61 15027:15419" s="1" customFormat="1" x14ac:dyDescent="0.25">
      <c r="C295" s="83"/>
      <c r="D295" s="121" t="s">
        <v>16</v>
      </c>
      <c r="E295" s="13"/>
      <c r="F295" s="69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1985"/>
      <c r="T295" s="1985"/>
      <c r="U295" s="1990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  <c r="AL295" s="62"/>
      <c r="AM295" s="123" t="s">
        <v>16</v>
      </c>
      <c r="BC295" s="511"/>
      <c r="BD295" s="511"/>
      <c r="BI295" s="140"/>
      <c r="VEY295" s="46"/>
      <c r="VEZ295" s="46"/>
      <c r="VFA295" s="46"/>
      <c r="VFB295" s="46"/>
      <c r="VFC295" s="46"/>
      <c r="VFD295" s="46"/>
      <c r="VFE295" s="46"/>
      <c r="VFF295" s="46"/>
      <c r="VFG295" s="46"/>
      <c r="VFH295" s="46"/>
      <c r="VFI295" s="46"/>
      <c r="VFJ295" s="46"/>
      <c r="VFK295" s="46"/>
      <c r="VFL295" s="46"/>
      <c r="VFM295" s="46"/>
      <c r="VFN295" s="46"/>
      <c r="VFO295" s="46"/>
      <c r="VFP295" s="46"/>
      <c r="VFQ295" s="46"/>
      <c r="VFR295" s="46"/>
      <c r="VFS295" s="46"/>
      <c r="VFT295" s="46"/>
      <c r="VFU295" s="46"/>
      <c r="VFV295" s="46"/>
      <c r="VFW295" s="46"/>
      <c r="VFX295" s="46"/>
      <c r="VFY295" s="46"/>
      <c r="VFZ295" s="46"/>
      <c r="VGA295" s="46"/>
      <c r="VGB295" s="46"/>
      <c r="VGC295" s="46"/>
      <c r="VGD295" s="46"/>
      <c r="VGE295" s="46"/>
      <c r="VGF295" s="46"/>
      <c r="VGG295" s="46"/>
      <c r="VGH295" s="46"/>
      <c r="VGI295" s="46"/>
      <c r="VGJ295" s="46"/>
      <c r="VGK295" s="46"/>
      <c r="VGL295" s="46"/>
      <c r="VGM295" s="46"/>
      <c r="VGN295" s="46"/>
      <c r="VGO295" s="46"/>
      <c r="VGP295" s="46"/>
      <c r="VGQ295" s="46"/>
      <c r="VGR295" s="46"/>
      <c r="VGS295" s="46"/>
      <c r="VGT295" s="46"/>
      <c r="VGU295" s="46"/>
      <c r="VGV295" s="46"/>
      <c r="VGW295" s="46"/>
      <c r="VGX295" s="46"/>
      <c r="VGY295" s="46"/>
      <c r="VGZ295" s="46"/>
      <c r="VHA295" s="46"/>
      <c r="VHB295" s="46"/>
      <c r="VHC295" s="46"/>
      <c r="VHD295" s="46"/>
      <c r="VHE295" s="46"/>
      <c r="VHF295" s="46"/>
      <c r="VHG295" s="46"/>
      <c r="VHH295" s="46"/>
      <c r="VHI295" s="46"/>
      <c r="VHJ295" s="46"/>
      <c r="VHK295" s="46"/>
      <c r="VHL295" s="46"/>
      <c r="VHM295" s="46"/>
      <c r="VHN295" s="46"/>
      <c r="VHO295" s="46"/>
      <c r="VHP295" s="46"/>
      <c r="VHQ295" s="46"/>
      <c r="VHR295" s="46"/>
      <c r="VHS295" s="46"/>
      <c r="VHT295" s="46"/>
      <c r="VHU295" s="46"/>
      <c r="VHV295" s="46"/>
      <c r="VHW295" s="46"/>
      <c r="VHX295" s="46"/>
      <c r="VHY295" s="46"/>
      <c r="VHZ295" s="46"/>
      <c r="VIA295" s="46"/>
      <c r="VIB295" s="46"/>
      <c r="VIC295" s="46"/>
      <c r="VID295" s="46"/>
      <c r="VIE295" s="46"/>
      <c r="VIF295" s="46"/>
      <c r="VIG295" s="46"/>
      <c r="VIH295" s="46"/>
      <c r="VII295" s="46"/>
      <c r="VIJ295" s="46"/>
      <c r="VIK295" s="46"/>
      <c r="VIL295" s="46"/>
      <c r="VIM295" s="46"/>
      <c r="VIN295" s="46"/>
      <c r="VIO295" s="46"/>
      <c r="VIP295" s="46"/>
      <c r="VIQ295" s="46"/>
      <c r="VIR295" s="46"/>
      <c r="VIS295" s="46"/>
      <c r="VIT295" s="46"/>
      <c r="VIU295" s="46"/>
      <c r="VIV295" s="46"/>
      <c r="VIW295" s="46"/>
      <c r="VIX295" s="46"/>
      <c r="VIY295" s="46"/>
      <c r="VIZ295" s="46"/>
      <c r="VJA295" s="46"/>
      <c r="VJB295" s="46"/>
      <c r="VJC295" s="46"/>
      <c r="VJD295" s="46"/>
      <c r="VJE295" s="46"/>
      <c r="VJF295" s="46"/>
      <c r="VJG295" s="46"/>
      <c r="VJH295" s="46"/>
      <c r="VJI295" s="46"/>
      <c r="VJJ295" s="46"/>
      <c r="VJK295" s="46"/>
      <c r="VJL295" s="46"/>
      <c r="VJM295" s="46"/>
      <c r="VJN295" s="46"/>
      <c r="VJO295" s="46"/>
      <c r="VJP295" s="46"/>
      <c r="VJQ295" s="46"/>
      <c r="VJR295" s="46"/>
      <c r="VJS295" s="46"/>
      <c r="VJT295" s="46"/>
      <c r="VJU295" s="46"/>
      <c r="VJV295" s="46"/>
      <c r="VJW295" s="46"/>
      <c r="VJX295" s="46"/>
      <c r="VJY295" s="46"/>
      <c r="VJZ295" s="46"/>
      <c r="VKA295" s="46"/>
      <c r="VKB295" s="46"/>
      <c r="VKC295" s="46"/>
      <c r="VKD295" s="46"/>
      <c r="VKE295" s="46"/>
      <c r="VKF295" s="46"/>
      <c r="VKG295" s="46"/>
      <c r="VKH295" s="46"/>
      <c r="VKI295" s="46"/>
      <c r="VKJ295" s="46"/>
      <c r="VKK295" s="46"/>
      <c r="VKL295" s="46"/>
      <c r="VKM295" s="46"/>
      <c r="VKN295" s="46"/>
      <c r="VKO295" s="46"/>
      <c r="VKP295" s="46"/>
      <c r="VKQ295" s="46"/>
      <c r="VKR295" s="46"/>
      <c r="VKS295" s="46"/>
      <c r="VKT295" s="46"/>
      <c r="VKU295" s="46"/>
      <c r="VKV295" s="46"/>
      <c r="VKW295" s="46"/>
      <c r="VKX295" s="46"/>
      <c r="VKY295" s="46"/>
      <c r="VKZ295" s="46"/>
      <c r="VLA295" s="46"/>
      <c r="VLB295" s="46"/>
      <c r="VLC295" s="46"/>
      <c r="VLD295" s="46"/>
      <c r="VLE295" s="46"/>
      <c r="VLF295" s="46"/>
      <c r="VLG295" s="46"/>
      <c r="VLH295" s="46"/>
      <c r="VLI295" s="46"/>
      <c r="VLJ295" s="46"/>
      <c r="VLK295" s="46"/>
      <c r="VLL295" s="46"/>
      <c r="VLM295" s="46"/>
      <c r="VLN295" s="46"/>
      <c r="VLO295" s="46"/>
      <c r="VLP295" s="46"/>
      <c r="VLQ295" s="46"/>
      <c r="VLR295" s="46"/>
      <c r="VLS295" s="46"/>
      <c r="VLT295" s="46"/>
      <c r="VLU295" s="46"/>
      <c r="VLV295" s="46"/>
      <c r="VLW295" s="46"/>
      <c r="VLX295" s="46"/>
      <c r="VLY295" s="46"/>
      <c r="VLZ295" s="46"/>
      <c r="VMA295" s="46"/>
      <c r="VMB295" s="46"/>
      <c r="VMC295" s="46"/>
      <c r="VMD295" s="46"/>
      <c r="VME295" s="46"/>
      <c r="VMF295" s="46"/>
      <c r="VMG295" s="46"/>
      <c r="VMH295" s="46"/>
      <c r="VMI295" s="46"/>
      <c r="VMJ295" s="46"/>
      <c r="VMK295" s="46"/>
      <c r="VML295" s="46"/>
      <c r="VMM295" s="46"/>
      <c r="VMN295" s="46"/>
      <c r="VMO295" s="46"/>
      <c r="VMP295" s="46"/>
      <c r="VMQ295" s="46"/>
      <c r="VMR295" s="46"/>
      <c r="VMS295" s="46"/>
      <c r="VMT295" s="46"/>
      <c r="VMU295" s="46"/>
      <c r="VMV295" s="46"/>
      <c r="VMW295" s="46"/>
      <c r="VMX295" s="46"/>
      <c r="VMY295" s="46"/>
      <c r="VMZ295" s="46"/>
      <c r="VNA295" s="46"/>
      <c r="VNB295" s="46"/>
      <c r="VNC295" s="46"/>
      <c r="VND295" s="46"/>
      <c r="VNE295" s="46"/>
      <c r="VNF295" s="46"/>
      <c r="VNG295" s="46"/>
      <c r="VNH295" s="46"/>
      <c r="VNI295" s="46"/>
      <c r="VNJ295" s="46"/>
      <c r="VNK295" s="46"/>
      <c r="VNL295" s="46"/>
      <c r="VNM295" s="46"/>
      <c r="VNN295" s="46"/>
      <c r="VNO295" s="46"/>
      <c r="VNP295" s="46"/>
      <c r="VNQ295" s="46"/>
      <c r="VNR295" s="46"/>
      <c r="VNS295" s="46"/>
      <c r="VNT295" s="46"/>
      <c r="VNU295" s="46"/>
      <c r="VNV295" s="46"/>
      <c r="VNW295" s="46"/>
      <c r="VNX295" s="46"/>
      <c r="VNY295" s="46"/>
      <c r="VNZ295" s="46"/>
      <c r="VOA295" s="46"/>
      <c r="VOB295" s="46"/>
      <c r="VOC295" s="46"/>
      <c r="VOD295" s="46"/>
      <c r="VOE295" s="46"/>
      <c r="VOF295" s="46"/>
      <c r="VOG295" s="46"/>
      <c r="VOH295" s="46"/>
      <c r="VOI295" s="46"/>
      <c r="VOJ295" s="46"/>
      <c r="VOK295" s="46"/>
      <c r="VOL295" s="46"/>
      <c r="VOM295" s="46"/>
      <c r="VON295" s="46"/>
      <c r="VOO295" s="46"/>
      <c r="VOP295" s="46"/>
      <c r="VOQ295" s="46"/>
      <c r="VOR295" s="46"/>
      <c r="VOS295" s="46"/>
      <c r="VOT295" s="46"/>
      <c r="VOU295" s="46"/>
      <c r="VOV295" s="46"/>
      <c r="VOW295" s="46"/>
      <c r="VOX295" s="46"/>
      <c r="VOY295" s="46"/>
      <c r="VOZ295" s="46"/>
      <c r="VPA295" s="46"/>
      <c r="VPB295" s="46"/>
      <c r="VPC295" s="46"/>
      <c r="VPD295" s="46"/>
      <c r="VPE295" s="46"/>
      <c r="VPF295" s="46"/>
      <c r="VPG295" s="46"/>
      <c r="VPH295" s="46"/>
      <c r="VPI295" s="46"/>
      <c r="VPJ295" s="46"/>
      <c r="VPK295" s="46"/>
      <c r="VPL295" s="46"/>
      <c r="VPM295" s="46"/>
      <c r="VPN295" s="46"/>
      <c r="VPO295" s="46"/>
      <c r="VPP295" s="46"/>
      <c r="VPQ295" s="46"/>
      <c r="VPR295" s="46"/>
      <c r="VPS295" s="46"/>
      <c r="VPT295" s="46"/>
      <c r="VPU295" s="46"/>
      <c r="VPV295" s="46"/>
      <c r="VPW295" s="46"/>
      <c r="VPX295" s="46"/>
      <c r="VPY295" s="46"/>
      <c r="VPZ295" s="46"/>
      <c r="VQA295" s="46"/>
      <c r="VQB295" s="46"/>
      <c r="VQC295" s="46"/>
      <c r="VQD295" s="46"/>
      <c r="VQE295" s="46"/>
      <c r="VQF295" s="46"/>
      <c r="VQG295" s="46"/>
      <c r="VQH295" s="46"/>
      <c r="VQI295" s="46"/>
      <c r="VQJ295" s="46"/>
      <c r="VQK295" s="46"/>
      <c r="VQL295" s="46"/>
      <c r="VQM295" s="46"/>
      <c r="VQN295" s="46"/>
      <c r="VQO295" s="46"/>
      <c r="VQP295" s="46"/>
      <c r="VQQ295" s="46"/>
      <c r="VQR295" s="46"/>
      <c r="VQS295" s="46"/>
      <c r="VQT295" s="46"/>
      <c r="VQU295" s="46"/>
      <c r="VQV295" s="46"/>
      <c r="VQW295" s="46"/>
      <c r="VQX295" s="46"/>
      <c r="VQY295" s="46"/>
      <c r="VQZ295" s="46"/>
      <c r="VRA295" s="46"/>
      <c r="VRB295" s="46"/>
      <c r="VRC295" s="46"/>
      <c r="VRD295" s="46"/>
      <c r="VRE295" s="46"/>
      <c r="VRF295" s="46"/>
      <c r="VRG295" s="46"/>
      <c r="VRH295" s="46"/>
      <c r="VRI295" s="46"/>
      <c r="VRJ295" s="46"/>
      <c r="VRK295" s="46"/>
      <c r="VRL295" s="46"/>
      <c r="VRM295" s="46"/>
      <c r="VRN295" s="46"/>
      <c r="VRO295" s="46"/>
      <c r="VRP295" s="46"/>
      <c r="VRQ295" s="46"/>
      <c r="VRR295" s="46"/>
      <c r="VRS295" s="46"/>
      <c r="VRT295" s="46"/>
      <c r="VRU295" s="46"/>
      <c r="VRV295" s="46"/>
      <c r="VRW295" s="46"/>
      <c r="VRX295" s="46"/>
      <c r="VRY295" s="46"/>
      <c r="VRZ295" s="46"/>
      <c r="VSA295" s="46"/>
      <c r="VSB295" s="46"/>
      <c r="VSC295" s="46"/>
      <c r="VSD295" s="46"/>
      <c r="VSE295" s="46"/>
      <c r="VSF295" s="46"/>
      <c r="VSG295" s="46"/>
      <c r="VSH295" s="46"/>
      <c r="VSI295" s="46"/>
      <c r="VSJ295" s="46"/>
      <c r="VSK295" s="46"/>
      <c r="VSL295" s="46"/>
      <c r="VSM295" s="46"/>
      <c r="VSN295" s="46"/>
      <c r="VSO295" s="46"/>
      <c r="VSP295" s="46"/>
      <c r="VSQ295" s="46"/>
      <c r="VSR295" s="46"/>
      <c r="VSS295" s="46"/>
      <c r="VST295" s="46"/>
      <c r="VSU295" s="46"/>
      <c r="VSV295" s="46"/>
      <c r="VSW295" s="46"/>
      <c r="VSX295" s="46"/>
      <c r="VSY295" s="46"/>
      <c r="VSZ295" s="46"/>
      <c r="VTA295" s="46"/>
      <c r="VTB295" s="46"/>
      <c r="VTC295" s="46"/>
      <c r="VTD295" s="46"/>
      <c r="VTE295" s="46"/>
      <c r="VTF295" s="46"/>
      <c r="VTG295" s="46"/>
      <c r="VTH295" s="46"/>
      <c r="VTI295" s="46"/>
      <c r="VTJ295" s="46"/>
      <c r="VTK295" s="46"/>
      <c r="VTL295" s="46"/>
      <c r="VTM295" s="46"/>
      <c r="VTN295" s="46"/>
      <c r="VTO295" s="46"/>
      <c r="VTP295" s="46"/>
      <c r="VTQ295" s="46"/>
      <c r="VTR295" s="46"/>
      <c r="VTS295" s="46"/>
      <c r="VTT295" s="46"/>
      <c r="VTU295" s="46"/>
      <c r="VTV295" s="46"/>
      <c r="VTW295" s="46"/>
      <c r="VTX295" s="46"/>
      <c r="VTY295" s="46"/>
      <c r="VTZ295" s="46"/>
      <c r="VUA295" s="46"/>
    </row>
    <row r="296" spans="3:61 15027:15419" x14ac:dyDescent="0.25">
      <c r="C296" s="15"/>
      <c r="D296" s="243" t="s">
        <v>941</v>
      </c>
      <c r="E296" s="262">
        <v>18374.400000000001</v>
      </c>
      <c r="F296" s="242" t="s">
        <v>1026</v>
      </c>
      <c r="G296" s="271">
        <v>12148</v>
      </c>
      <c r="H296" s="271">
        <v>11414</v>
      </c>
      <c r="I296" s="271">
        <v>11371</v>
      </c>
      <c r="J296" s="271">
        <v>3735</v>
      </c>
      <c r="K296" s="271">
        <v>4214</v>
      </c>
      <c r="L296" s="271"/>
      <c r="M296" s="271"/>
      <c r="N296" s="271"/>
      <c r="O296" s="271"/>
      <c r="P296" s="271"/>
      <c r="Q296" s="271"/>
      <c r="R296" s="2024"/>
      <c r="S296" s="2018"/>
      <c r="T296" s="2018"/>
      <c r="U296" s="2027"/>
      <c r="V296" s="2027">
        <v>12200</v>
      </c>
      <c r="W296" s="2027">
        <v>12407</v>
      </c>
      <c r="X296" s="2027">
        <v>12484</v>
      </c>
      <c r="Y296" s="2028">
        <v>12767</v>
      </c>
      <c r="Z296" s="2027">
        <v>13364</v>
      </c>
      <c r="AA296" s="1963">
        <v>13388</v>
      </c>
      <c r="AB296" s="271">
        <v>13542</v>
      </c>
      <c r="AC296" s="271">
        <v>13631</v>
      </c>
      <c r="AD296" s="271">
        <v>13470</v>
      </c>
      <c r="AE296" s="271">
        <v>14449</v>
      </c>
      <c r="AF296" s="271">
        <v>14307</v>
      </c>
      <c r="AG296" s="271">
        <v>14151</v>
      </c>
      <c r="AH296" s="1962">
        <v>14066</v>
      </c>
      <c r="AI296" s="1962">
        <v>14168</v>
      </c>
      <c r="AJ296" s="1962">
        <v>13610</v>
      </c>
      <c r="AK296" s="1962">
        <v>13671</v>
      </c>
      <c r="AM296" s="82">
        <f>SUM(G296:AK296)</f>
        <v>258557</v>
      </c>
      <c r="AO296" s="3"/>
    </row>
    <row r="297" spans="3:61 15027:15419" x14ac:dyDescent="0.25">
      <c r="C297" s="15"/>
      <c r="D297" s="921"/>
      <c r="E297" s="1704">
        <f>E296/2500</f>
        <v>7.3497600000000007</v>
      </c>
      <c r="F297" s="61" t="s">
        <v>1017</v>
      </c>
      <c r="G297" s="1770">
        <f t="shared" ref="G297:H297" si="130">(G296/G9)*1000</f>
        <v>6.4638269388554326</v>
      </c>
      <c r="H297" s="1770">
        <f t="shared" si="130"/>
        <v>5.8003862181115968</v>
      </c>
      <c r="I297" s="1770">
        <f t="shared" ref="I297:Q297" si="131">(I296/I9)*1000</f>
        <v>5.7794331266067394</v>
      </c>
      <c r="J297" s="1770" t="e">
        <f t="shared" si="131"/>
        <v>#DIV/0!</v>
      </c>
      <c r="K297" s="1770" t="e">
        <f t="shared" si="131"/>
        <v>#DIV/0!</v>
      </c>
      <c r="L297" s="1770" t="e">
        <f t="shared" si="131"/>
        <v>#DIV/0!</v>
      </c>
      <c r="M297" s="1770" t="e">
        <f t="shared" si="131"/>
        <v>#DIV/0!</v>
      </c>
      <c r="N297" s="1770" t="e">
        <f t="shared" si="131"/>
        <v>#DIV/0!</v>
      </c>
      <c r="O297" s="1770" t="e">
        <f t="shared" si="131"/>
        <v>#DIV/0!</v>
      </c>
      <c r="P297" s="1770" t="e">
        <f t="shared" si="131"/>
        <v>#DIV/0!</v>
      </c>
      <c r="Q297" s="1770" t="e">
        <f t="shared" si="131"/>
        <v>#DIV/0!</v>
      </c>
      <c r="R297" s="1770" t="e">
        <f t="shared" ref="R297:AK297" si="132">(R296/R9)*1000</f>
        <v>#DIV/0!</v>
      </c>
      <c r="S297" s="269" t="e">
        <f t="shared" si="132"/>
        <v>#DIV/0!</v>
      </c>
      <c r="T297" s="269" t="e">
        <f t="shared" si="132"/>
        <v>#DIV/0!</v>
      </c>
      <c r="U297" s="1770" t="e">
        <f t="shared" si="132"/>
        <v>#DIV/0!</v>
      </c>
      <c r="V297" s="1770">
        <f t="shared" si="132"/>
        <v>8.9284472771529089</v>
      </c>
      <c r="W297" s="1770">
        <f t="shared" ref="W297" si="133">(W296/W9)*1000</f>
        <v>5.3275153047444386</v>
      </c>
      <c r="X297" s="1770">
        <f t="shared" si="132"/>
        <v>5.3114815476646333</v>
      </c>
      <c r="Y297" s="1770">
        <f t="shared" si="132"/>
        <v>6.2427448322668786</v>
      </c>
      <c r="Z297" s="1770">
        <f t="shared" si="132"/>
        <v>6.475163841413722</v>
      </c>
      <c r="AA297" s="1770">
        <f t="shared" si="132"/>
        <v>6.4814819297465069</v>
      </c>
      <c r="AB297" s="1770">
        <f t="shared" si="132"/>
        <v>5.9030611177369074</v>
      </c>
      <c r="AC297" s="1770">
        <f t="shared" si="132"/>
        <v>5.7211426671915913</v>
      </c>
      <c r="AD297" s="1770">
        <f t="shared" si="132"/>
        <v>5.9635862625890557</v>
      </c>
      <c r="AE297" s="1770">
        <f t="shared" si="132"/>
        <v>6.123202270784625</v>
      </c>
      <c r="AF297" s="1770">
        <f t="shared" si="132"/>
        <v>6.9818648171988018</v>
      </c>
      <c r="AG297" s="1770">
        <f t="shared" si="132"/>
        <v>6.4517687995360529</v>
      </c>
      <c r="AH297" s="1770">
        <f t="shared" si="132"/>
        <v>6.5299035787734034</v>
      </c>
      <c r="AI297" s="1770">
        <f t="shared" si="132"/>
        <v>6.6602827987666631</v>
      </c>
      <c r="AJ297" s="1770">
        <f t="shared" si="132"/>
        <v>6.4048837120654172</v>
      </c>
      <c r="AK297" s="1770">
        <f t="shared" si="132"/>
        <v>6.3685039722210064</v>
      </c>
      <c r="AL297" s="62"/>
      <c r="AM297" s="1949">
        <f>(AM296/AM9)*1000</f>
        <v>6.4437271372881701</v>
      </c>
      <c r="AO297" s="1991"/>
      <c r="AU297" s="1991"/>
    </row>
    <row r="298" spans="3:61 15027:15419" x14ac:dyDescent="0.25">
      <c r="C298" s="15"/>
      <c r="D298" s="243" t="s">
        <v>118</v>
      </c>
      <c r="E298" s="262">
        <v>10946.28</v>
      </c>
      <c r="F298" s="242" t="s">
        <v>1026</v>
      </c>
      <c r="G298" s="271">
        <v>8923</v>
      </c>
      <c r="H298" s="271">
        <v>9940</v>
      </c>
      <c r="I298" s="271">
        <v>9918</v>
      </c>
      <c r="J298" s="271">
        <v>5066</v>
      </c>
      <c r="K298" s="271">
        <v>4696</v>
      </c>
      <c r="L298" s="271"/>
      <c r="M298" s="271"/>
      <c r="N298" s="271"/>
      <c r="O298" s="271"/>
      <c r="P298" s="271"/>
      <c r="Q298" s="271"/>
      <c r="R298" s="1975"/>
      <c r="S298" s="1978"/>
      <c r="T298" s="1978"/>
      <c r="U298" s="2028"/>
      <c r="V298" s="2028">
        <v>7839</v>
      </c>
      <c r="W298" s="2028">
        <v>1066</v>
      </c>
      <c r="X298" s="2028">
        <v>10920</v>
      </c>
      <c r="Y298" s="2028">
        <v>10157</v>
      </c>
      <c r="Z298" s="2028">
        <v>10170</v>
      </c>
      <c r="AA298" s="1963">
        <v>10253</v>
      </c>
      <c r="AB298" s="271">
        <v>10915</v>
      </c>
      <c r="AC298" s="271">
        <v>10979</v>
      </c>
      <c r="AD298" s="271">
        <v>10760</v>
      </c>
      <c r="AE298" s="271">
        <v>10782</v>
      </c>
      <c r="AF298" s="271">
        <v>10467</v>
      </c>
      <c r="AG298" s="271">
        <v>10649</v>
      </c>
      <c r="AH298" s="1963">
        <v>10686</v>
      </c>
      <c r="AI298" s="1963">
        <v>10619</v>
      </c>
      <c r="AJ298" s="1963">
        <v>10578</v>
      </c>
      <c r="AK298" s="1963">
        <v>10634</v>
      </c>
      <c r="AM298" s="82">
        <f>SUM(G298:AK298)</f>
        <v>196017</v>
      </c>
      <c r="AO298" s="3">
        <f>AM296+AM298</f>
        <v>454574</v>
      </c>
    </row>
    <row r="299" spans="3:61 15027:15419" x14ac:dyDescent="0.25">
      <c r="C299" s="15"/>
      <c r="D299" s="921"/>
      <c r="E299" s="1704">
        <f>E298/2500</f>
        <v>4.3785120000000006</v>
      </c>
      <c r="F299" s="61" t="s">
        <v>1017</v>
      </c>
      <c r="G299" s="1770">
        <f t="shared" ref="G299:H299" si="134">(G298/G9)*1000</f>
        <v>4.747837320991688</v>
      </c>
      <c r="H299" s="1770">
        <f t="shared" si="134"/>
        <v>5.0513263543042992</v>
      </c>
      <c r="I299" s="1770">
        <f t="shared" ref="I299:Q299" si="135">(I298/I9)*1000</f>
        <v>5.0409302391773494</v>
      </c>
      <c r="J299" s="1770" t="e">
        <f t="shared" si="135"/>
        <v>#DIV/0!</v>
      </c>
      <c r="K299" s="1770" t="e">
        <f t="shared" si="135"/>
        <v>#DIV/0!</v>
      </c>
      <c r="L299" s="1770" t="e">
        <f t="shared" si="135"/>
        <v>#DIV/0!</v>
      </c>
      <c r="M299" s="1770" t="e">
        <f t="shared" si="135"/>
        <v>#DIV/0!</v>
      </c>
      <c r="N299" s="1770" t="e">
        <f t="shared" si="135"/>
        <v>#DIV/0!</v>
      </c>
      <c r="O299" s="1770" t="e">
        <f t="shared" si="135"/>
        <v>#DIV/0!</v>
      </c>
      <c r="P299" s="1770" t="e">
        <f t="shared" si="135"/>
        <v>#DIV/0!</v>
      </c>
      <c r="Q299" s="1770" t="e">
        <f t="shared" si="135"/>
        <v>#DIV/0!</v>
      </c>
      <c r="R299" s="1770" t="e">
        <f t="shared" ref="R299:AK299" si="136">(R298/R9)*1000</f>
        <v>#DIV/0!</v>
      </c>
      <c r="S299" s="1770" t="e">
        <f t="shared" si="136"/>
        <v>#DIV/0!</v>
      </c>
      <c r="T299" s="1770" t="e">
        <f t="shared" si="136"/>
        <v>#DIV/0!</v>
      </c>
      <c r="U299" s="1770" t="e">
        <f t="shared" si="136"/>
        <v>#DIV/0!</v>
      </c>
      <c r="V299" s="1770">
        <f t="shared" si="136"/>
        <v>5.7368932955411189</v>
      </c>
      <c r="W299" s="1770">
        <f t="shared" ref="W299" si="137">(W298/W9)*1000</f>
        <v>0.45773606148606205</v>
      </c>
      <c r="X299" s="1770">
        <f t="shared" si="136"/>
        <v>4.6460572332984453</v>
      </c>
      <c r="Y299" s="1770">
        <f t="shared" si="136"/>
        <v>4.9665198763479816</v>
      </c>
      <c r="Z299" s="1770">
        <f t="shared" si="136"/>
        <v>4.9275977452243005</v>
      </c>
      <c r="AA299" s="1770">
        <f t="shared" si="136"/>
        <v>4.9637462074761682</v>
      </c>
      <c r="AB299" s="1770">
        <f t="shared" si="136"/>
        <v>4.7579317752251029</v>
      </c>
      <c r="AC299" s="1770">
        <f t="shared" si="136"/>
        <v>4.6080570275912605</v>
      </c>
      <c r="AD299" s="1770">
        <f t="shared" si="136"/>
        <v>4.7637853144363946</v>
      </c>
      <c r="AE299" s="1770">
        <f t="shared" si="136"/>
        <v>4.5691997289500881</v>
      </c>
      <c r="AF299" s="1770">
        <f t="shared" si="136"/>
        <v>5.107931714658549</v>
      </c>
      <c r="AG299" s="1770">
        <f t="shared" si="136"/>
        <v>4.855125853032253</v>
      </c>
      <c r="AH299" s="1770">
        <f t="shared" si="136"/>
        <v>4.9607955099369105</v>
      </c>
      <c r="AI299" s="1770">
        <f t="shared" si="136"/>
        <v>4.9919214455182939</v>
      </c>
      <c r="AJ299" s="1770">
        <f t="shared" si="136"/>
        <v>4.9780205662180741</v>
      </c>
      <c r="AK299" s="1770">
        <f t="shared" si="136"/>
        <v>4.9537467076730435</v>
      </c>
      <c r="AL299" s="62"/>
      <c r="AM299" s="1949">
        <f>AM298/AM9*1000</f>
        <v>4.8851126145098194</v>
      </c>
    </row>
    <row r="300" spans="3:61 15027:15419" x14ac:dyDescent="0.25">
      <c r="C300" s="15"/>
      <c r="D300" s="44" t="s">
        <v>15</v>
      </c>
      <c r="E300" s="527"/>
      <c r="F300" s="4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1945"/>
      <c r="T300" s="194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M300" s="124" t="s">
        <v>15</v>
      </c>
    </row>
    <row r="301" spans="3:61 15027:15419" x14ac:dyDescent="0.25">
      <c r="C301" s="15"/>
      <c r="D301" s="243" t="s">
        <v>951</v>
      </c>
      <c r="E301" s="262">
        <v>10272</v>
      </c>
      <c r="F301" s="242" t="s">
        <v>1026</v>
      </c>
      <c r="G301" s="271">
        <v>7512</v>
      </c>
      <c r="H301" s="271">
        <v>7512</v>
      </c>
      <c r="I301" s="271">
        <v>7512</v>
      </c>
      <c r="J301" s="271">
        <v>7512</v>
      </c>
      <c r="K301" s="271">
        <v>7512</v>
      </c>
      <c r="L301" s="271"/>
      <c r="M301" s="271">
        <v>7512</v>
      </c>
      <c r="N301" s="271">
        <v>7512</v>
      </c>
      <c r="O301" s="271">
        <v>7512</v>
      </c>
      <c r="P301" s="271">
        <v>7512</v>
      </c>
      <c r="Q301" s="271">
        <v>7512</v>
      </c>
      <c r="R301" s="271">
        <v>7512</v>
      </c>
      <c r="S301" s="271">
        <v>7512</v>
      </c>
      <c r="T301" s="271">
        <v>7512</v>
      </c>
      <c r="U301" s="271">
        <v>7512</v>
      </c>
      <c r="V301" s="271">
        <v>7512</v>
      </c>
      <c r="W301" s="271">
        <v>7512</v>
      </c>
      <c r="X301" s="271">
        <v>7512</v>
      </c>
      <c r="Y301" s="271">
        <v>7512</v>
      </c>
      <c r="Z301" s="271">
        <v>7512</v>
      </c>
      <c r="AA301" s="271">
        <v>7512</v>
      </c>
      <c r="AB301" s="271">
        <v>7512</v>
      </c>
      <c r="AC301" s="271">
        <v>7512</v>
      </c>
      <c r="AD301" s="271">
        <v>7512</v>
      </c>
      <c r="AE301" s="271">
        <v>7512</v>
      </c>
      <c r="AF301" s="271">
        <v>7512</v>
      </c>
      <c r="AG301" s="271">
        <v>7512</v>
      </c>
      <c r="AH301" s="271">
        <v>7512</v>
      </c>
      <c r="AI301" s="271">
        <v>7512</v>
      </c>
      <c r="AJ301" s="271">
        <v>7512</v>
      </c>
      <c r="AK301" s="271">
        <v>7512</v>
      </c>
      <c r="AM301" s="82">
        <f>SUM(G301:AK301)</f>
        <v>225360</v>
      </c>
      <c r="AU301" s="3"/>
      <c r="AX301" s="3"/>
    </row>
    <row r="302" spans="3:61 15027:15419" x14ac:dyDescent="0.25">
      <c r="C302" s="15"/>
      <c r="D302" s="921"/>
      <c r="E302" s="1704">
        <f>E301/2500</f>
        <v>4.1087999999999996</v>
      </c>
      <c r="F302" s="61" t="s">
        <v>1017</v>
      </c>
      <c r="G302" s="34">
        <f t="shared" ref="G302:H302" si="138">(G301/G29)*1000</f>
        <v>3.914502104722311</v>
      </c>
      <c r="H302" s="34">
        <f t="shared" si="138"/>
        <v>4.7565648129445428</v>
      </c>
      <c r="I302" s="34">
        <f t="shared" ref="I302:Q302" si="139">(I301/I29)*1000</f>
        <v>4.6339505971023005</v>
      </c>
      <c r="J302" s="34">
        <f t="shared" si="139"/>
        <v>6.3943288636021212</v>
      </c>
      <c r="K302" s="34" t="e">
        <f t="shared" si="139"/>
        <v>#DIV/0!</v>
      </c>
      <c r="L302" s="34" t="e">
        <f t="shared" si="139"/>
        <v>#DIV/0!</v>
      </c>
      <c r="M302" s="34">
        <f t="shared" si="139"/>
        <v>14.834914183813119</v>
      </c>
      <c r="N302" s="34">
        <f t="shared" si="139"/>
        <v>4.6107472393519178</v>
      </c>
      <c r="O302" s="34">
        <f t="shared" si="139"/>
        <v>4.2292248898217109</v>
      </c>
      <c r="P302" s="34">
        <f t="shared" si="139"/>
        <v>3.5472413021284392</v>
      </c>
      <c r="Q302" s="34">
        <f t="shared" si="139"/>
        <v>3.7178511295595889</v>
      </c>
      <c r="R302" s="1713">
        <f t="shared" ref="R302:AK302" si="140">(R301/R29)*1000</f>
        <v>4.1917350502037278</v>
      </c>
      <c r="S302" s="1713">
        <f t="shared" si="140"/>
        <v>3.9368139268461153</v>
      </c>
      <c r="T302" s="1713">
        <f t="shared" si="140"/>
        <v>4.1939559467135341</v>
      </c>
      <c r="U302" s="1713">
        <f t="shared" si="140"/>
        <v>4.2572339540477158</v>
      </c>
      <c r="V302" s="34">
        <f t="shared" si="140"/>
        <v>6.735244461938068</v>
      </c>
      <c r="W302" s="34">
        <f t="shared" ref="W302" si="141">(W301/W29)*1000</f>
        <v>4.8055886078378691</v>
      </c>
      <c r="X302" s="34">
        <f t="shared" si="140"/>
        <v>4.351122620914234</v>
      </c>
      <c r="Y302" s="34">
        <f t="shared" si="140"/>
        <v>4.1188975259747709</v>
      </c>
      <c r="Z302" s="34">
        <f t="shared" si="140"/>
        <v>3.3612798636873937</v>
      </c>
      <c r="AA302" s="34">
        <f t="shared" si="140"/>
        <v>3.3973333285092888</v>
      </c>
      <c r="AB302" s="34">
        <f t="shared" si="140"/>
        <v>3.2812563472785272</v>
      </c>
      <c r="AC302" s="34">
        <f t="shared" si="140"/>
        <v>3.4035226822223481</v>
      </c>
      <c r="AD302" s="34">
        <f t="shared" si="140"/>
        <v>3.4204176898247582</v>
      </c>
      <c r="AE302" s="34">
        <f t="shared" si="140"/>
        <v>4.4335481251261539</v>
      </c>
      <c r="AF302" s="34">
        <f t="shared" si="140"/>
        <v>4.7060002756443184</v>
      </c>
      <c r="AG302" s="34">
        <f t="shared" si="140"/>
        <v>4.5647450013854654</v>
      </c>
      <c r="AH302" s="34">
        <f t="shared" si="140"/>
        <v>4.4114330815199008</v>
      </c>
      <c r="AI302" s="34">
        <f t="shared" si="140"/>
        <v>3.9825007475141181</v>
      </c>
      <c r="AJ302" s="34">
        <f t="shared" si="140"/>
        <v>3.9247997500500271</v>
      </c>
      <c r="AK302" s="34">
        <f t="shared" si="140"/>
        <v>3.6053313982033814</v>
      </c>
      <c r="AM302" s="1948">
        <f>(AM301/AM32)*1000</f>
        <v>5.7170954090780146</v>
      </c>
      <c r="AO302" s="139"/>
    </row>
    <row r="303" spans="3:61 15027:15419" x14ac:dyDescent="0.25">
      <c r="C303" s="15"/>
      <c r="D303" s="243" t="s">
        <v>120</v>
      </c>
      <c r="E303" s="262">
        <v>11201.3</v>
      </c>
      <c r="F303" s="242" t="s">
        <v>1026</v>
      </c>
      <c r="G303" s="271">
        <v>6609</v>
      </c>
      <c r="H303" s="271">
        <v>6442</v>
      </c>
      <c r="I303" s="271">
        <v>6479</v>
      </c>
      <c r="J303" s="271">
        <v>3942</v>
      </c>
      <c r="K303" s="271">
        <v>12</v>
      </c>
      <c r="L303" s="271"/>
      <c r="M303" s="271">
        <v>3557</v>
      </c>
      <c r="N303" s="1639">
        <v>645.20000000000005</v>
      </c>
      <c r="O303" s="271"/>
      <c r="P303" s="271">
        <v>6334</v>
      </c>
      <c r="Q303" s="271">
        <v>6327</v>
      </c>
      <c r="R303" s="1976">
        <v>6373</v>
      </c>
      <c r="S303" s="1978">
        <v>6511</v>
      </c>
      <c r="T303" s="1978">
        <v>6181</v>
      </c>
      <c r="U303" s="2029">
        <v>6110</v>
      </c>
      <c r="V303" s="2029">
        <v>4896</v>
      </c>
      <c r="W303" s="2029">
        <v>6419</v>
      </c>
      <c r="X303" s="271">
        <v>6400</v>
      </c>
      <c r="Y303" s="271">
        <v>6381</v>
      </c>
      <c r="Z303" s="271">
        <v>7195</v>
      </c>
      <c r="AA303" s="271">
        <v>7166</v>
      </c>
      <c r="AB303" s="271">
        <v>6738</v>
      </c>
      <c r="AC303" s="271">
        <v>6743</v>
      </c>
      <c r="AD303" s="271">
        <v>6796</v>
      </c>
      <c r="AE303" s="271">
        <v>6459</v>
      </c>
      <c r="AF303" s="271">
        <v>6455</v>
      </c>
      <c r="AG303" s="271">
        <v>6830</v>
      </c>
      <c r="AH303" s="271">
        <v>6400</v>
      </c>
      <c r="AI303" s="271">
        <v>6469</v>
      </c>
      <c r="AJ303" s="271">
        <v>6538</v>
      </c>
      <c r="AK303" s="271">
        <v>6641</v>
      </c>
      <c r="AM303" s="82">
        <f>SUM(G303:AK303)</f>
        <v>170048.2</v>
      </c>
      <c r="AO303" s="1992"/>
      <c r="AU303" s="139"/>
    </row>
    <row r="304" spans="3:61 15027:15419" ht="15.75" thickBot="1" x14ac:dyDescent="0.3">
      <c r="C304" s="19"/>
      <c r="D304" s="2071"/>
      <c r="E304" s="2072">
        <f>E303/2500</f>
        <v>4.4805199999999994</v>
      </c>
      <c r="F304" s="2073" t="s">
        <v>1017</v>
      </c>
      <c r="G304" s="2074">
        <f t="shared" ref="G304:H304" si="142">(G303/G29)*1000</f>
        <v>3.4439489363830873</v>
      </c>
      <c r="H304" s="2074">
        <f t="shared" si="142"/>
        <v>4.0790455970432298</v>
      </c>
      <c r="I304" s="2074">
        <f t="shared" ref="I304:Q304" si="143">(I303/I29)*1000</f>
        <v>3.9967207026924663</v>
      </c>
      <c r="J304" s="2074">
        <f t="shared" si="143"/>
        <v>3.355490465963733</v>
      </c>
      <c r="K304" s="2074" t="e">
        <f t="shared" si="143"/>
        <v>#DIV/0!</v>
      </c>
      <c r="L304" s="2074" t="e">
        <f t="shared" si="143"/>
        <v>#DIV/0!</v>
      </c>
      <c r="M304" s="2074">
        <f t="shared" si="143"/>
        <v>7.0244661543960678</v>
      </c>
      <c r="N304" s="2074">
        <f t="shared" si="143"/>
        <v>0.39601359409343145</v>
      </c>
      <c r="O304" s="2074">
        <f t="shared" si="143"/>
        <v>0</v>
      </c>
      <c r="P304" s="2074">
        <f t="shared" si="143"/>
        <v>2.9909779562941337</v>
      </c>
      <c r="Q304" s="2074">
        <f t="shared" si="143"/>
        <v>3.1313690224605324</v>
      </c>
      <c r="R304" s="2074">
        <f t="shared" ref="R304:AK304" si="144">(R303/R29)*1000</f>
        <v>3.5561671292529762</v>
      </c>
      <c r="S304" s="2074">
        <f t="shared" si="144"/>
        <v>3.4122198452735697</v>
      </c>
      <c r="T304" s="2074">
        <f t="shared" si="144"/>
        <v>3.4508575221826883</v>
      </c>
      <c r="U304" s="2074">
        <f t="shared" si="144"/>
        <v>3.4626862964898222</v>
      </c>
      <c r="V304" s="2074">
        <f t="shared" si="144"/>
        <v>4.389743994362191</v>
      </c>
      <c r="W304" s="2074">
        <f t="shared" ref="W304" si="145">(W303/W29)*1000</f>
        <v>4.1063729065110861</v>
      </c>
      <c r="X304" s="2074">
        <f t="shared" si="144"/>
        <v>3.7070267270834791</v>
      </c>
      <c r="Y304" s="2074">
        <f t="shared" si="144"/>
        <v>3.4987599991007734</v>
      </c>
      <c r="Z304" s="2074">
        <f t="shared" si="144"/>
        <v>3.2194367171499998</v>
      </c>
      <c r="AA304" s="2074">
        <f t="shared" si="144"/>
        <v>3.2408533855294945</v>
      </c>
      <c r="AB304" s="2074">
        <f t="shared" si="144"/>
        <v>2.943171627790564</v>
      </c>
      <c r="AC304" s="2074">
        <f t="shared" si="144"/>
        <v>3.0551056238319081</v>
      </c>
      <c r="AD304" s="2074">
        <f t="shared" si="144"/>
        <v>3.0944034371737295</v>
      </c>
      <c r="AE304" s="2074">
        <f t="shared" si="144"/>
        <v>3.812072329631234</v>
      </c>
      <c r="AF304" s="2074">
        <f t="shared" si="144"/>
        <v>4.04382744665656</v>
      </c>
      <c r="AG304" s="2074">
        <f t="shared" si="144"/>
        <v>4.1503206016324192</v>
      </c>
      <c r="AH304" s="2074">
        <f t="shared" si="144"/>
        <v>3.7584094411245159</v>
      </c>
      <c r="AI304" s="2074">
        <f t="shared" si="144"/>
        <v>3.4295523609782785</v>
      </c>
      <c r="AJ304" s="2074">
        <f t="shared" si="144"/>
        <v>3.415913307484967</v>
      </c>
      <c r="AK304" s="2074">
        <f t="shared" si="144"/>
        <v>3.1873010936459871</v>
      </c>
      <c r="AL304" s="2077"/>
      <c r="AM304" s="2076">
        <f>(AM303/AM32)*1000</f>
        <v>4.3139056777688145</v>
      </c>
      <c r="AO304" s="3"/>
    </row>
    <row r="305" spans="3:61 15027:15419" hidden="1" x14ac:dyDescent="0.25">
      <c r="C305" s="15"/>
      <c r="D305" s="121" t="s">
        <v>4</v>
      </c>
      <c r="E305" s="1034"/>
      <c r="F305" s="12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22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62"/>
      <c r="AM305" s="52" t="s">
        <v>4</v>
      </c>
      <c r="AO305" s="3"/>
    </row>
    <row r="306" spans="3:61 15027:15419" hidden="1" x14ac:dyDescent="0.25">
      <c r="C306" s="15"/>
      <c r="D306" s="232" t="s">
        <v>3</v>
      </c>
      <c r="E306" s="231">
        <v>50</v>
      </c>
      <c r="F306" s="242" t="s">
        <v>943</v>
      </c>
      <c r="G306" s="241"/>
      <c r="H306" s="241"/>
      <c r="I306" s="241"/>
      <c r="J306" s="241"/>
      <c r="K306" s="241">
        <v>24.8</v>
      </c>
      <c r="L306" s="241"/>
      <c r="M306" s="241">
        <v>22.6</v>
      </c>
      <c r="N306" s="2065"/>
      <c r="O306" s="2065"/>
      <c r="P306" s="2065"/>
      <c r="Q306" s="2066"/>
      <c r="R306" s="2067">
        <v>19.600000000000001</v>
      </c>
      <c r="S306" s="2068">
        <v>19.2</v>
      </c>
      <c r="T306" s="2069">
        <v>15.2</v>
      </c>
      <c r="U306" s="2069">
        <v>15.5</v>
      </c>
      <c r="V306" s="2069">
        <v>10.7</v>
      </c>
      <c r="W306" s="2070">
        <v>9.1999999999999993</v>
      </c>
      <c r="X306" s="2064"/>
      <c r="Y306" s="2064"/>
      <c r="Z306" s="2064"/>
      <c r="AA306" s="2078"/>
      <c r="AB306" s="2078"/>
      <c r="AC306" s="241"/>
      <c r="AD306" s="241"/>
      <c r="AE306" s="241"/>
      <c r="AF306" s="1639"/>
      <c r="AG306" s="241"/>
      <c r="AH306" s="241"/>
      <c r="AI306" s="241"/>
      <c r="AJ306" s="241"/>
      <c r="AK306" s="241"/>
      <c r="AL306" s="62"/>
      <c r="AM306" s="931">
        <f>SUM(G306:AK306)/3</f>
        <v>45.6</v>
      </c>
      <c r="AO306" s="3"/>
    </row>
    <row r="307" spans="3:61 15027:15419" hidden="1" x14ac:dyDescent="0.25">
      <c r="C307" s="15"/>
      <c r="D307" s="121" t="s">
        <v>1</v>
      </c>
      <c r="E307" s="13"/>
      <c r="F307" s="69" t="s">
        <v>0</v>
      </c>
      <c r="G307" s="278">
        <f>G306*1000</f>
        <v>0</v>
      </c>
      <c r="H307" s="278">
        <f>H306*1000</f>
        <v>0</v>
      </c>
      <c r="I307" s="278">
        <f t="shared" ref="I307:J307" si="146">I306*1000</f>
        <v>0</v>
      </c>
      <c r="J307" s="278">
        <f t="shared" si="146"/>
        <v>0</v>
      </c>
      <c r="K307" s="278">
        <f>K306*1000</f>
        <v>24800</v>
      </c>
      <c r="L307" s="278"/>
      <c r="M307" s="278">
        <v>22600</v>
      </c>
      <c r="N307" s="278"/>
      <c r="O307" s="278"/>
      <c r="P307" s="278"/>
      <c r="Q307" s="278"/>
      <c r="R307" s="278">
        <f t="shared" ref="R307" si="147">R306*1000</f>
        <v>19600</v>
      </c>
      <c r="S307" s="278">
        <f>S306*1000</f>
        <v>19200</v>
      </c>
      <c r="T307" s="278">
        <f t="shared" ref="T307" si="148">T306*1000</f>
        <v>15200</v>
      </c>
      <c r="U307" s="278">
        <f>U306*1000</f>
        <v>15500</v>
      </c>
      <c r="V307" s="278">
        <f>V306*1000</f>
        <v>10700</v>
      </c>
      <c r="W307" s="278">
        <v>9200</v>
      </c>
      <c r="X307" s="278">
        <f>X306*1000</f>
        <v>0</v>
      </c>
      <c r="Y307" s="278">
        <f t="shared" ref="Y307:AC307" si="149">Y306*1000</f>
        <v>0</v>
      </c>
      <c r="Z307" s="278">
        <f t="shared" si="149"/>
        <v>0</v>
      </c>
      <c r="AA307" s="278">
        <f t="shared" si="149"/>
        <v>0</v>
      </c>
      <c r="AB307" s="278">
        <f t="shared" si="149"/>
        <v>0</v>
      </c>
      <c r="AC307" s="278">
        <f t="shared" si="149"/>
        <v>0</v>
      </c>
      <c r="AD307" s="278">
        <f t="shared" ref="AD307" si="150">AD306*1000</f>
        <v>0</v>
      </c>
      <c r="AE307" s="278">
        <f t="shared" ref="AE307:AF307" si="151">AE306*1000</f>
        <v>0</v>
      </c>
      <c r="AF307" s="278">
        <f t="shared" si="151"/>
        <v>0</v>
      </c>
      <c r="AG307" s="278">
        <f t="shared" ref="AG307:AH307" si="152">AG306*1000</f>
        <v>0</v>
      </c>
      <c r="AH307" s="278">
        <f t="shared" si="152"/>
        <v>0</v>
      </c>
      <c r="AI307" s="278">
        <f t="shared" ref="AI307:AK307" si="153">AI306*1000</f>
        <v>0</v>
      </c>
      <c r="AJ307" s="278">
        <f t="shared" ref="AJ307" si="154">AJ306*1000</f>
        <v>0</v>
      </c>
      <c r="AK307" s="278">
        <f t="shared" si="153"/>
        <v>0</v>
      </c>
      <c r="AL307" s="62"/>
      <c r="AM307" s="82">
        <f>SUM(G307:AK307)</f>
        <v>136800</v>
      </c>
      <c r="AO307" s="3"/>
    </row>
    <row r="308" spans="3:61 15027:15419" hidden="1" x14ac:dyDescent="0.25">
      <c r="C308" s="15"/>
      <c r="D308" s="117" t="s">
        <v>1126</v>
      </c>
      <c r="E308" s="2092"/>
      <c r="F308" s="118"/>
      <c r="G308" s="2093"/>
      <c r="H308" s="2093"/>
      <c r="I308" s="2093"/>
      <c r="J308" s="2093"/>
      <c r="K308" s="2093"/>
      <c r="L308" s="2093"/>
      <c r="M308" s="2093"/>
      <c r="N308" s="2093"/>
      <c r="O308" s="2093"/>
      <c r="P308" s="2093"/>
      <c r="Q308" s="2093"/>
      <c r="R308" s="2093"/>
      <c r="S308" s="2093"/>
      <c r="T308" s="2093"/>
      <c r="U308" s="2093"/>
      <c r="V308" s="2093"/>
      <c r="W308" s="2093"/>
      <c r="X308" s="2093"/>
      <c r="Y308" s="2093"/>
      <c r="Z308" s="2093"/>
      <c r="AA308" s="2093"/>
      <c r="AB308" s="2093"/>
      <c r="AC308" s="2093"/>
      <c r="AD308" s="2093"/>
      <c r="AE308" s="2093"/>
      <c r="AF308" s="2093"/>
      <c r="AG308" s="2093"/>
      <c r="AH308" s="2093"/>
      <c r="AI308" s="2093"/>
      <c r="AJ308" s="2093"/>
      <c r="AK308" s="2093"/>
      <c r="AL308" s="62"/>
      <c r="AM308" s="1948"/>
      <c r="AO308" s="3"/>
    </row>
    <row r="309" spans="3:61 15027:15419" s="1" customFormat="1" hidden="1" x14ac:dyDescent="0.25">
      <c r="C309" s="83"/>
      <c r="D309" s="121" t="s">
        <v>16</v>
      </c>
      <c r="E309" s="13"/>
      <c r="F309" s="69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1985"/>
      <c r="T309" s="1990"/>
      <c r="U309" s="1990"/>
      <c r="V309" s="278"/>
      <c r="W309" s="1999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  <c r="AL309" s="62"/>
      <c r="AM309" s="123" t="s">
        <v>16</v>
      </c>
      <c r="BC309" s="511"/>
      <c r="BD309" s="511"/>
      <c r="BI309" s="140"/>
      <c r="VEY309" s="46"/>
      <c r="VEZ309" s="46"/>
      <c r="VFA309" s="46"/>
      <c r="VFB309" s="46"/>
      <c r="VFC309" s="46"/>
      <c r="VFD309" s="46"/>
      <c r="VFE309" s="46"/>
      <c r="VFF309" s="46"/>
      <c r="VFG309" s="46"/>
      <c r="VFH309" s="46"/>
      <c r="VFI309" s="46"/>
      <c r="VFJ309" s="46"/>
      <c r="VFK309" s="46"/>
      <c r="VFL309" s="46"/>
      <c r="VFM309" s="46"/>
      <c r="VFN309" s="46"/>
      <c r="VFO309" s="46"/>
      <c r="VFP309" s="46"/>
      <c r="VFQ309" s="46"/>
      <c r="VFR309" s="46"/>
      <c r="VFS309" s="46"/>
      <c r="VFT309" s="46"/>
      <c r="VFU309" s="46"/>
      <c r="VFV309" s="46"/>
      <c r="VFW309" s="46"/>
      <c r="VFX309" s="46"/>
      <c r="VFY309" s="46"/>
      <c r="VFZ309" s="46"/>
      <c r="VGA309" s="46"/>
      <c r="VGB309" s="46"/>
      <c r="VGC309" s="46"/>
      <c r="VGD309" s="46"/>
      <c r="VGE309" s="46"/>
      <c r="VGF309" s="46"/>
      <c r="VGG309" s="46"/>
      <c r="VGH309" s="46"/>
      <c r="VGI309" s="46"/>
      <c r="VGJ309" s="46"/>
      <c r="VGK309" s="46"/>
      <c r="VGL309" s="46"/>
      <c r="VGM309" s="46"/>
      <c r="VGN309" s="46"/>
      <c r="VGO309" s="46"/>
      <c r="VGP309" s="46"/>
      <c r="VGQ309" s="46"/>
      <c r="VGR309" s="46"/>
      <c r="VGS309" s="46"/>
      <c r="VGT309" s="46"/>
      <c r="VGU309" s="46"/>
      <c r="VGV309" s="46"/>
      <c r="VGW309" s="46"/>
      <c r="VGX309" s="46"/>
      <c r="VGY309" s="46"/>
      <c r="VGZ309" s="46"/>
      <c r="VHA309" s="46"/>
      <c r="VHB309" s="46"/>
      <c r="VHC309" s="46"/>
      <c r="VHD309" s="46"/>
      <c r="VHE309" s="46"/>
      <c r="VHF309" s="46"/>
      <c r="VHG309" s="46"/>
      <c r="VHH309" s="46"/>
      <c r="VHI309" s="46"/>
      <c r="VHJ309" s="46"/>
      <c r="VHK309" s="46"/>
      <c r="VHL309" s="46"/>
      <c r="VHM309" s="46"/>
      <c r="VHN309" s="46"/>
      <c r="VHO309" s="46"/>
      <c r="VHP309" s="46"/>
      <c r="VHQ309" s="46"/>
      <c r="VHR309" s="46"/>
      <c r="VHS309" s="46"/>
      <c r="VHT309" s="46"/>
      <c r="VHU309" s="46"/>
      <c r="VHV309" s="46"/>
      <c r="VHW309" s="46"/>
      <c r="VHX309" s="46"/>
      <c r="VHY309" s="46"/>
      <c r="VHZ309" s="46"/>
      <c r="VIA309" s="46"/>
      <c r="VIB309" s="46"/>
      <c r="VIC309" s="46"/>
      <c r="VID309" s="46"/>
      <c r="VIE309" s="46"/>
      <c r="VIF309" s="46"/>
      <c r="VIG309" s="46"/>
      <c r="VIH309" s="46"/>
      <c r="VII309" s="46"/>
      <c r="VIJ309" s="46"/>
      <c r="VIK309" s="46"/>
      <c r="VIL309" s="46"/>
      <c r="VIM309" s="46"/>
      <c r="VIN309" s="46"/>
      <c r="VIO309" s="46"/>
      <c r="VIP309" s="46"/>
      <c r="VIQ309" s="46"/>
      <c r="VIR309" s="46"/>
      <c r="VIS309" s="46"/>
      <c r="VIT309" s="46"/>
      <c r="VIU309" s="46"/>
      <c r="VIV309" s="46"/>
      <c r="VIW309" s="46"/>
      <c r="VIX309" s="46"/>
      <c r="VIY309" s="46"/>
      <c r="VIZ309" s="46"/>
      <c r="VJA309" s="46"/>
      <c r="VJB309" s="46"/>
      <c r="VJC309" s="46"/>
      <c r="VJD309" s="46"/>
      <c r="VJE309" s="46"/>
      <c r="VJF309" s="46"/>
      <c r="VJG309" s="46"/>
      <c r="VJH309" s="46"/>
      <c r="VJI309" s="46"/>
      <c r="VJJ309" s="46"/>
      <c r="VJK309" s="46"/>
      <c r="VJL309" s="46"/>
      <c r="VJM309" s="46"/>
      <c r="VJN309" s="46"/>
      <c r="VJO309" s="46"/>
      <c r="VJP309" s="46"/>
      <c r="VJQ309" s="46"/>
      <c r="VJR309" s="46"/>
      <c r="VJS309" s="46"/>
      <c r="VJT309" s="46"/>
      <c r="VJU309" s="46"/>
      <c r="VJV309" s="46"/>
      <c r="VJW309" s="46"/>
      <c r="VJX309" s="46"/>
      <c r="VJY309" s="46"/>
      <c r="VJZ309" s="46"/>
      <c r="VKA309" s="46"/>
      <c r="VKB309" s="46"/>
      <c r="VKC309" s="46"/>
      <c r="VKD309" s="46"/>
      <c r="VKE309" s="46"/>
      <c r="VKF309" s="46"/>
      <c r="VKG309" s="46"/>
      <c r="VKH309" s="46"/>
      <c r="VKI309" s="46"/>
      <c r="VKJ309" s="46"/>
      <c r="VKK309" s="46"/>
      <c r="VKL309" s="46"/>
      <c r="VKM309" s="46"/>
      <c r="VKN309" s="46"/>
      <c r="VKO309" s="46"/>
      <c r="VKP309" s="46"/>
      <c r="VKQ309" s="46"/>
      <c r="VKR309" s="46"/>
      <c r="VKS309" s="46"/>
      <c r="VKT309" s="46"/>
      <c r="VKU309" s="46"/>
      <c r="VKV309" s="46"/>
      <c r="VKW309" s="46"/>
      <c r="VKX309" s="46"/>
      <c r="VKY309" s="46"/>
      <c r="VKZ309" s="46"/>
      <c r="VLA309" s="46"/>
      <c r="VLB309" s="46"/>
      <c r="VLC309" s="46"/>
      <c r="VLD309" s="46"/>
      <c r="VLE309" s="46"/>
      <c r="VLF309" s="46"/>
      <c r="VLG309" s="46"/>
      <c r="VLH309" s="46"/>
      <c r="VLI309" s="46"/>
      <c r="VLJ309" s="46"/>
      <c r="VLK309" s="46"/>
      <c r="VLL309" s="46"/>
      <c r="VLM309" s="46"/>
      <c r="VLN309" s="46"/>
      <c r="VLO309" s="46"/>
      <c r="VLP309" s="46"/>
      <c r="VLQ309" s="46"/>
      <c r="VLR309" s="46"/>
      <c r="VLS309" s="46"/>
      <c r="VLT309" s="46"/>
      <c r="VLU309" s="46"/>
      <c r="VLV309" s="46"/>
      <c r="VLW309" s="46"/>
      <c r="VLX309" s="46"/>
      <c r="VLY309" s="46"/>
      <c r="VLZ309" s="46"/>
      <c r="VMA309" s="46"/>
      <c r="VMB309" s="46"/>
      <c r="VMC309" s="46"/>
      <c r="VMD309" s="46"/>
      <c r="VME309" s="46"/>
      <c r="VMF309" s="46"/>
      <c r="VMG309" s="46"/>
      <c r="VMH309" s="46"/>
      <c r="VMI309" s="46"/>
      <c r="VMJ309" s="46"/>
      <c r="VMK309" s="46"/>
      <c r="VML309" s="46"/>
      <c r="VMM309" s="46"/>
      <c r="VMN309" s="46"/>
      <c r="VMO309" s="46"/>
      <c r="VMP309" s="46"/>
      <c r="VMQ309" s="46"/>
      <c r="VMR309" s="46"/>
      <c r="VMS309" s="46"/>
      <c r="VMT309" s="46"/>
      <c r="VMU309" s="46"/>
      <c r="VMV309" s="46"/>
      <c r="VMW309" s="46"/>
      <c r="VMX309" s="46"/>
      <c r="VMY309" s="46"/>
      <c r="VMZ309" s="46"/>
      <c r="VNA309" s="46"/>
      <c r="VNB309" s="46"/>
      <c r="VNC309" s="46"/>
      <c r="VND309" s="46"/>
      <c r="VNE309" s="46"/>
      <c r="VNF309" s="46"/>
      <c r="VNG309" s="46"/>
      <c r="VNH309" s="46"/>
      <c r="VNI309" s="46"/>
      <c r="VNJ309" s="46"/>
      <c r="VNK309" s="46"/>
      <c r="VNL309" s="46"/>
      <c r="VNM309" s="46"/>
      <c r="VNN309" s="46"/>
      <c r="VNO309" s="46"/>
      <c r="VNP309" s="46"/>
      <c r="VNQ309" s="46"/>
      <c r="VNR309" s="46"/>
      <c r="VNS309" s="46"/>
      <c r="VNT309" s="46"/>
      <c r="VNU309" s="46"/>
      <c r="VNV309" s="46"/>
      <c r="VNW309" s="46"/>
      <c r="VNX309" s="46"/>
      <c r="VNY309" s="46"/>
      <c r="VNZ309" s="46"/>
      <c r="VOA309" s="46"/>
      <c r="VOB309" s="46"/>
      <c r="VOC309" s="46"/>
      <c r="VOD309" s="46"/>
      <c r="VOE309" s="46"/>
      <c r="VOF309" s="46"/>
      <c r="VOG309" s="46"/>
      <c r="VOH309" s="46"/>
      <c r="VOI309" s="46"/>
      <c r="VOJ309" s="46"/>
      <c r="VOK309" s="46"/>
      <c r="VOL309" s="46"/>
      <c r="VOM309" s="46"/>
      <c r="VON309" s="46"/>
      <c r="VOO309" s="46"/>
      <c r="VOP309" s="46"/>
      <c r="VOQ309" s="46"/>
      <c r="VOR309" s="46"/>
      <c r="VOS309" s="46"/>
      <c r="VOT309" s="46"/>
      <c r="VOU309" s="46"/>
      <c r="VOV309" s="46"/>
      <c r="VOW309" s="46"/>
      <c r="VOX309" s="46"/>
      <c r="VOY309" s="46"/>
      <c r="VOZ309" s="46"/>
      <c r="VPA309" s="46"/>
      <c r="VPB309" s="46"/>
      <c r="VPC309" s="46"/>
      <c r="VPD309" s="46"/>
      <c r="VPE309" s="46"/>
      <c r="VPF309" s="46"/>
      <c r="VPG309" s="46"/>
      <c r="VPH309" s="46"/>
      <c r="VPI309" s="46"/>
      <c r="VPJ309" s="46"/>
      <c r="VPK309" s="46"/>
      <c r="VPL309" s="46"/>
      <c r="VPM309" s="46"/>
      <c r="VPN309" s="46"/>
      <c r="VPO309" s="46"/>
      <c r="VPP309" s="46"/>
      <c r="VPQ309" s="46"/>
      <c r="VPR309" s="46"/>
      <c r="VPS309" s="46"/>
      <c r="VPT309" s="46"/>
      <c r="VPU309" s="46"/>
      <c r="VPV309" s="46"/>
      <c r="VPW309" s="46"/>
      <c r="VPX309" s="46"/>
      <c r="VPY309" s="46"/>
      <c r="VPZ309" s="46"/>
      <c r="VQA309" s="46"/>
      <c r="VQB309" s="46"/>
      <c r="VQC309" s="46"/>
      <c r="VQD309" s="46"/>
      <c r="VQE309" s="46"/>
      <c r="VQF309" s="46"/>
      <c r="VQG309" s="46"/>
      <c r="VQH309" s="46"/>
      <c r="VQI309" s="46"/>
      <c r="VQJ309" s="46"/>
      <c r="VQK309" s="46"/>
      <c r="VQL309" s="46"/>
      <c r="VQM309" s="46"/>
      <c r="VQN309" s="46"/>
      <c r="VQO309" s="46"/>
      <c r="VQP309" s="46"/>
      <c r="VQQ309" s="46"/>
      <c r="VQR309" s="46"/>
      <c r="VQS309" s="46"/>
      <c r="VQT309" s="46"/>
      <c r="VQU309" s="46"/>
      <c r="VQV309" s="46"/>
      <c r="VQW309" s="46"/>
      <c r="VQX309" s="46"/>
      <c r="VQY309" s="46"/>
      <c r="VQZ309" s="46"/>
      <c r="VRA309" s="46"/>
      <c r="VRB309" s="46"/>
      <c r="VRC309" s="46"/>
      <c r="VRD309" s="46"/>
      <c r="VRE309" s="46"/>
      <c r="VRF309" s="46"/>
      <c r="VRG309" s="46"/>
      <c r="VRH309" s="46"/>
      <c r="VRI309" s="46"/>
      <c r="VRJ309" s="46"/>
      <c r="VRK309" s="46"/>
      <c r="VRL309" s="46"/>
      <c r="VRM309" s="46"/>
      <c r="VRN309" s="46"/>
      <c r="VRO309" s="46"/>
      <c r="VRP309" s="46"/>
      <c r="VRQ309" s="46"/>
      <c r="VRR309" s="46"/>
      <c r="VRS309" s="46"/>
      <c r="VRT309" s="46"/>
      <c r="VRU309" s="46"/>
      <c r="VRV309" s="46"/>
      <c r="VRW309" s="46"/>
      <c r="VRX309" s="46"/>
      <c r="VRY309" s="46"/>
      <c r="VRZ309" s="46"/>
      <c r="VSA309" s="46"/>
      <c r="VSB309" s="46"/>
      <c r="VSC309" s="46"/>
      <c r="VSD309" s="46"/>
      <c r="VSE309" s="46"/>
      <c r="VSF309" s="46"/>
      <c r="VSG309" s="46"/>
      <c r="VSH309" s="46"/>
      <c r="VSI309" s="46"/>
      <c r="VSJ309" s="46"/>
      <c r="VSK309" s="46"/>
      <c r="VSL309" s="46"/>
      <c r="VSM309" s="46"/>
      <c r="VSN309" s="46"/>
      <c r="VSO309" s="46"/>
      <c r="VSP309" s="46"/>
      <c r="VSQ309" s="46"/>
      <c r="VSR309" s="46"/>
      <c r="VSS309" s="46"/>
      <c r="VST309" s="46"/>
      <c r="VSU309" s="46"/>
      <c r="VSV309" s="46"/>
      <c r="VSW309" s="46"/>
      <c r="VSX309" s="46"/>
      <c r="VSY309" s="46"/>
      <c r="VSZ309" s="46"/>
      <c r="VTA309" s="46"/>
      <c r="VTB309" s="46"/>
      <c r="VTC309" s="46"/>
      <c r="VTD309" s="46"/>
      <c r="VTE309" s="46"/>
      <c r="VTF309" s="46"/>
      <c r="VTG309" s="46"/>
      <c r="VTH309" s="46"/>
      <c r="VTI309" s="46"/>
      <c r="VTJ309" s="46"/>
      <c r="VTK309" s="46"/>
      <c r="VTL309" s="46"/>
      <c r="VTM309" s="46"/>
      <c r="VTN309" s="46"/>
      <c r="VTO309" s="46"/>
      <c r="VTP309" s="46"/>
      <c r="VTQ309" s="46"/>
      <c r="VTR309" s="46"/>
      <c r="VTS309" s="46"/>
      <c r="VTT309" s="46"/>
      <c r="VTU309" s="46"/>
      <c r="VTV309" s="46"/>
      <c r="VTW309" s="46"/>
      <c r="VTX309" s="46"/>
      <c r="VTY309" s="46"/>
      <c r="VTZ309" s="46"/>
      <c r="VUA309" s="46"/>
    </row>
    <row r="310" spans="3:61 15027:15419" hidden="1" x14ac:dyDescent="0.25">
      <c r="C310" s="15"/>
      <c r="D310" s="243" t="s">
        <v>119</v>
      </c>
      <c r="E310" s="262">
        <v>18374.400000000001</v>
      </c>
      <c r="F310" s="242" t="s">
        <v>1026</v>
      </c>
      <c r="G310" s="271"/>
      <c r="H310" s="271"/>
      <c r="I310" s="271"/>
      <c r="J310" s="271"/>
      <c r="K310" s="271"/>
      <c r="L310" s="271"/>
      <c r="M310" s="271">
        <v>3070</v>
      </c>
      <c r="N310" s="2016"/>
      <c r="O310" s="271"/>
      <c r="P310" s="271"/>
      <c r="Q310" s="2023"/>
      <c r="R310" s="2024">
        <v>3030</v>
      </c>
      <c r="S310" s="2018">
        <v>3030</v>
      </c>
      <c r="T310" s="2027">
        <v>2970</v>
      </c>
      <c r="U310" s="2027"/>
      <c r="V310" s="2027"/>
      <c r="W310" s="2027"/>
      <c r="X310" s="271"/>
      <c r="Y310" s="271"/>
      <c r="Z310" s="271"/>
      <c r="AA310" s="1962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M310" s="931">
        <f>SUM(G310:AK310)</f>
        <v>12100</v>
      </c>
      <c r="AO310" s="3"/>
    </row>
    <row r="311" spans="3:61 15027:15419" hidden="1" x14ac:dyDescent="0.25">
      <c r="C311" s="15"/>
      <c r="D311" s="921"/>
      <c r="E311" s="1704">
        <f>E310/2500</f>
        <v>7.3497600000000007</v>
      </c>
      <c r="F311" s="61" t="s">
        <v>1017</v>
      </c>
      <c r="G311" s="1770">
        <f t="shared" ref="G311:K311" si="155">(G310/G19)*1000</f>
        <v>0</v>
      </c>
      <c r="H311" s="1770">
        <f t="shared" si="155"/>
        <v>0</v>
      </c>
      <c r="I311" s="1770">
        <f t="shared" si="155"/>
        <v>0</v>
      </c>
      <c r="J311" s="1770">
        <f t="shared" si="155"/>
        <v>0</v>
      </c>
      <c r="K311" s="1770" t="e">
        <f t="shared" si="155"/>
        <v>#DIV/0!</v>
      </c>
      <c r="L311" s="1770"/>
      <c r="M311" s="1770">
        <v>1.7646720698971086</v>
      </c>
      <c r="N311" s="1770"/>
      <c r="O311" s="1770"/>
      <c r="P311" s="1770"/>
      <c r="Q311" s="1770"/>
      <c r="R311" s="1770" t="e">
        <f t="shared" ref="R311:V311" si="156">(R310/R19)*1000</f>
        <v>#DIV/0!</v>
      </c>
      <c r="S311" s="269" t="e">
        <f t="shared" si="156"/>
        <v>#DIV/0!</v>
      </c>
      <c r="T311" s="1770" t="e">
        <f t="shared" si="156"/>
        <v>#DIV/0!</v>
      </c>
      <c r="U311" s="1770" t="e">
        <f t="shared" si="156"/>
        <v>#DIV/0!</v>
      </c>
      <c r="V311" s="1770">
        <f t="shared" si="156"/>
        <v>0</v>
      </c>
      <c r="W311" s="1770">
        <v>0</v>
      </c>
      <c r="X311" s="1770">
        <f>(X310/X19)*100</f>
        <v>0</v>
      </c>
      <c r="Y311" s="1770">
        <f t="shared" ref="Y311:AK311" si="157">(Y310/Y19)*1000</f>
        <v>0</v>
      </c>
      <c r="Z311" s="1770">
        <f t="shared" si="157"/>
        <v>0</v>
      </c>
      <c r="AA311" s="1770">
        <f t="shared" si="157"/>
        <v>0</v>
      </c>
      <c r="AB311" s="1770">
        <f t="shared" si="157"/>
        <v>0</v>
      </c>
      <c r="AC311" s="1770">
        <f t="shared" si="157"/>
        <v>0</v>
      </c>
      <c r="AD311" s="1770">
        <f t="shared" si="157"/>
        <v>0</v>
      </c>
      <c r="AE311" s="1770">
        <f t="shared" si="157"/>
        <v>0</v>
      </c>
      <c r="AF311" s="1770">
        <f t="shared" si="157"/>
        <v>0</v>
      </c>
      <c r="AG311" s="1770">
        <f t="shared" si="157"/>
        <v>0</v>
      </c>
      <c r="AH311" s="1770">
        <f t="shared" si="157"/>
        <v>0</v>
      </c>
      <c r="AI311" s="1770">
        <f t="shared" si="157"/>
        <v>0</v>
      </c>
      <c r="AJ311" s="1770">
        <f t="shared" si="157"/>
        <v>0</v>
      </c>
      <c r="AK311" s="1770">
        <f t="shared" si="157"/>
        <v>0</v>
      </c>
      <c r="AL311" s="62"/>
      <c r="AM311" s="1949">
        <f>(AM310/AM19)*1000</f>
        <v>0.31617144289358434</v>
      </c>
      <c r="AO311" s="1991"/>
      <c r="AU311" s="1991"/>
    </row>
    <row r="312" spans="3:61 15027:15419" hidden="1" x14ac:dyDescent="0.25">
      <c r="C312" s="15"/>
      <c r="D312" s="243" t="s">
        <v>118</v>
      </c>
      <c r="E312" s="262">
        <v>10946.28</v>
      </c>
      <c r="F312" s="242" t="s">
        <v>1026</v>
      </c>
      <c r="G312" s="271"/>
      <c r="H312" s="271"/>
      <c r="I312" s="271"/>
      <c r="J312" s="271"/>
      <c r="K312" s="271"/>
      <c r="L312" s="271"/>
      <c r="M312" s="271">
        <v>5535</v>
      </c>
      <c r="N312" s="2017"/>
      <c r="O312" s="271"/>
      <c r="P312" s="271"/>
      <c r="Q312" s="271"/>
      <c r="R312" s="1975">
        <v>4707.53</v>
      </c>
      <c r="S312" s="1978">
        <v>4309.88</v>
      </c>
      <c r="T312" s="2028">
        <v>1802.36</v>
      </c>
      <c r="U312" s="2028"/>
      <c r="V312" s="2028"/>
      <c r="W312" s="2028"/>
      <c r="X312" s="271"/>
      <c r="Y312" s="271"/>
      <c r="Z312" s="271"/>
      <c r="AA312" s="1963"/>
      <c r="AB312" s="271"/>
      <c r="AC312" s="271"/>
      <c r="AD312" s="271"/>
      <c r="AE312" s="271"/>
      <c r="AF312" s="271"/>
      <c r="AG312" s="271"/>
      <c r="AH312" s="241"/>
      <c r="AI312" s="241"/>
      <c r="AJ312" s="241"/>
      <c r="AK312" s="241"/>
      <c r="AM312" s="82">
        <f>SUM(G312:AK312)</f>
        <v>16354.77</v>
      </c>
      <c r="AO312" s="3">
        <f>AM310+AM312</f>
        <v>28454.77</v>
      </c>
    </row>
    <row r="313" spans="3:61 15027:15419" hidden="1" x14ac:dyDescent="0.25">
      <c r="C313" s="15"/>
      <c r="D313" s="921"/>
      <c r="E313" s="1704">
        <f>E312/2500</f>
        <v>4.3785120000000006</v>
      </c>
      <c r="F313" s="61" t="s">
        <v>1017</v>
      </c>
      <c r="G313" s="1770">
        <f t="shared" ref="G313:K313" si="158">(G312/G19)*1000</f>
        <v>0</v>
      </c>
      <c r="H313" s="1770">
        <f t="shared" si="158"/>
        <v>0</v>
      </c>
      <c r="I313" s="1770">
        <f t="shared" si="158"/>
        <v>0</v>
      </c>
      <c r="J313" s="1770">
        <f t="shared" si="158"/>
        <v>0</v>
      </c>
      <c r="K313" s="1770" t="e">
        <f t="shared" si="158"/>
        <v>#DIV/0!</v>
      </c>
      <c r="L313" s="1770"/>
      <c r="M313" s="1770">
        <v>3.1815830315571647</v>
      </c>
      <c r="N313" s="1770"/>
      <c r="O313" s="1770"/>
      <c r="P313" s="1770"/>
      <c r="Q313" s="1770"/>
      <c r="R313" s="1770" t="e">
        <f t="shared" ref="R313:AK313" si="159">(R312/R19)*1000</f>
        <v>#DIV/0!</v>
      </c>
      <c r="S313" s="1770" t="e">
        <f t="shared" si="159"/>
        <v>#DIV/0!</v>
      </c>
      <c r="T313" s="1770" t="e">
        <f t="shared" si="159"/>
        <v>#DIV/0!</v>
      </c>
      <c r="U313" s="1770" t="e">
        <f t="shared" si="159"/>
        <v>#DIV/0!</v>
      </c>
      <c r="V313" s="1770">
        <f t="shared" si="159"/>
        <v>0</v>
      </c>
      <c r="W313" s="1770">
        <v>0</v>
      </c>
      <c r="X313" s="1770">
        <f t="shared" si="159"/>
        <v>0</v>
      </c>
      <c r="Y313" s="1770">
        <f t="shared" si="159"/>
        <v>0</v>
      </c>
      <c r="Z313" s="1770">
        <f t="shared" si="159"/>
        <v>0</v>
      </c>
      <c r="AA313" s="1770">
        <f t="shared" si="159"/>
        <v>0</v>
      </c>
      <c r="AB313" s="1770">
        <f t="shared" si="159"/>
        <v>0</v>
      </c>
      <c r="AC313" s="1770">
        <f t="shared" si="159"/>
        <v>0</v>
      </c>
      <c r="AD313" s="1770">
        <f t="shared" si="159"/>
        <v>0</v>
      </c>
      <c r="AE313" s="1770">
        <f t="shared" si="159"/>
        <v>0</v>
      </c>
      <c r="AF313" s="1770">
        <f t="shared" si="159"/>
        <v>0</v>
      </c>
      <c r="AG313" s="1770">
        <f t="shared" si="159"/>
        <v>0</v>
      </c>
      <c r="AH313" s="1770">
        <f t="shared" si="159"/>
        <v>0</v>
      </c>
      <c r="AI313" s="1770">
        <f t="shared" si="159"/>
        <v>0</v>
      </c>
      <c r="AJ313" s="1770">
        <f t="shared" si="159"/>
        <v>0</v>
      </c>
      <c r="AK313" s="1770">
        <f t="shared" si="159"/>
        <v>0</v>
      </c>
      <c r="AL313" s="62"/>
      <c r="AM313" s="1949">
        <f>AM312/AM19*1000</f>
        <v>0.42734803546220712</v>
      </c>
    </row>
    <row r="314" spans="3:61 15027:15419" hidden="1" x14ac:dyDescent="0.25">
      <c r="C314" s="15"/>
      <c r="D314" s="44" t="s">
        <v>15</v>
      </c>
      <c r="E314" s="527"/>
      <c r="F314" s="4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194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M314" s="124" t="s">
        <v>15</v>
      </c>
    </row>
    <row r="315" spans="3:61 15027:15419" hidden="1" x14ac:dyDescent="0.25">
      <c r="C315" s="15"/>
      <c r="D315" s="243" t="s">
        <v>119</v>
      </c>
      <c r="E315" s="262">
        <v>10272</v>
      </c>
      <c r="F315" s="242" t="s">
        <v>1026</v>
      </c>
      <c r="G315" s="271"/>
      <c r="H315" s="271"/>
      <c r="I315" s="271"/>
      <c r="J315" s="271"/>
      <c r="K315" s="271"/>
      <c r="L315" s="271"/>
      <c r="M315" s="271">
        <v>2778</v>
      </c>
      <c r="N315" s="271"/>
      <c r="O315" s="271"/>
      <c r="P315" s="271"/>
      <c r="Q315" s="271"/>
      <c r="R315" s="271"/>
      <c r="S315" s="271"/>
      <c r="T315" s="271"/>
      <c r="U315" s="271">
        <v>1134</v>
      </c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M315" s="82">
        <f>SUM(G315:AK315)</f>
        <v>3912</v>
      </c>
      <c r="AU315" s="3"/>
      <c r="AX315" s="3"/>
    </row>
    <row r="316" spans="3:61 15027:15419" hidden="1" x14ac:dyDescent="0.25">
      <c r="C316" s="15"/>
      <c r="D316" s="921"/>
      <c r="E316" s="1704">
        <f>E315/2500</f>
        <v>4.1087999999999996</v>
      </c>
      <c r="F316" s="61" t="s">
        <v>1017</v>
      </c>
      <c r="G316" s="34" t="e">
        <f t="shared" ref="G316:K316" si="160">(G315/G39)*1000</f>
        <v>#DIV/0!</v>
      </c>
      <c r="H316" s="34" t="e">
        <f t="shared" si="160"/>
        <v>#DIV/0!</v>
      </c>
      <c r="I316" s="34" t="e">
        <f t="shared" si="160"/>
        <v>#DIV/0!</v>
      </c>
      <c r="J316" s="34" t="e">
        <f t="shared" si="160"/>
        <v>#DIV/0!</v>
      </c>
      <c r="K316" s="34" t="e">
        <f t="shared" si="160"/>
        <v>#DIV/0!</v>
      </c>
      <c r="L316" s="34"/>
      <c r="M316" s="916" t="e">
        <v>#DIV/0!</v>
      </c>
      <c r="N316" s="916"/>
      <c r="O316" s="1713"/>
      <c r="P316" s="1713"/>
      <c r="Q316" s="1713"/>
      <c r="R316" s="34" t="e">
        <f>(R315/R35)*1000</f>
        <v>#DIV/0!</v>
      </c>
      <c r="S316" s="34" t="e">
        <f>(S315/S39)*1000</f>
        <v>#DIV/0!</v>
      </c>
      <c r="T316" s="34" t="e">
        <f>(T315/T39)*1000</f>
        <v>#DIV/0!</v>
      </c>
      <c r="U316" s="34" t="e">
        <f>(U315/U39)*1000</f>
        <v>#DIV/0!</v>
      </c>
      <c r="V316" s="34" t="e">
        <f>(V315/V39)*1000</f>
        <v>#DIV/0!</v>
      </c>
      <c r="W316" s="34" t="e">
        <v>#DIV/0!</v>
      </c>
      <c r="X316" s="34" t="e">
        <f>(X315/X39)*10000</f>
        <v>#DIV/0!</v>
      </c>
      <c r="Y316" s="34" t="e">
        <f t="shared" ref="Y316:AK316" si="161">(Y315/Y39)*1000</f>
        <v>#DIV/0!</v>
      </c>
      <c r="Z316" s="34" t="e">
        <f t="shared" si="161"/>
        <v>#DIV/0!</v>
      </c>
      <c r="AA316" s="34" t="e">
        <f t="shared" si="161"/>
        <v>#DIV/0!</v>
      </c>
      <c r="AB316" s="34" t="e">
        <f t="shared" si="161"/>
        <v>#DIV/0!</v>
      </c>
      <c r="AC316" s="34" t="e">
        <f t="shared" si="161"/>
        <v>#DIV/0!</v>
      </c>
      <c r="AD316" s="34" t="e">
        <f t="shared" si="161"/>
        <v>#DIV/0!</v>
      </c>
      <c r="AE316" s="34" t="e">
        <f t="shared" si="161"/>
        <v>#DIV/0!</v>
      </c>
      <c r="AF316" s="34" t="e">
        <f t="shared" si="161"/>
        <v>#DIV/0!</v>
      </c>
      <c r="AG316" s="34" t="e">
        <f t="shared" si="161"/>
        <v>#DIV/0!</v>
      </c>
      <c r="AH316" s="34" t="e">
        <f t="shared" si="161"/>
        <v>#DIV/0!</v>
      </c>
      <c r="AI316" s="34" t="e">
        <f t="shared" si="161"/>
        <v>#DIV/0!</v>
      </c>
      <c r="AJ316" s="34" t="e">
        <f t="shared" si="161"/>
        <v>#DIV/0!</v>
      </c>
      <c r="AK316" s="34" t="e">
        <f t="shared" si="161"/>
        <v>#DIV/0!</v>
      </c>
      <c r="AM316" s="1948" t="e">
        <f>(AM315/AM42)*100</f>
        <v>#DIV/0!</v>
      </c>
      <c r="AO316" s="139"/>
    </row>
    <row r="317" spans="3:61 15027:15419" hidden="1" x14ac:dyDescent="0.25">
      <c r="C317" s="15"/>
      <c r="D317" s="243" t="s">
        <v>120</v>
      </c>
      <c r="E317" s="262">
        <v>11201.3</v>
      </c>
      <c r="F317" s="242" t="s">
        <v>1026</v>
      </c>
      <c r="G317" s="271"/>
      <c r="H317" s="271"/>
      <c r="I317" s="271"/>
      <c r="J317" s="271"/>
      <c r="K317" s="271"/>
      <c r="L317" s="271"/>
      <c r="M317" s="271">
        <v>53534</v>
      </c>
      <c r="N317" s="2057"/>
      <c r="O317" s="271"/>
      <c r="P317" s="271"/>
      <c r="Q317" s="271"/>
      <c r="R317" s="1976"/>
      <c r="S317" s="1978"/>
      <c r="T317" s="2029"/>
      <c r="U317" s="2029">
        <v>1428</v>
      </c>
      <c r="V317" s="2029"/>
      <c r="W317" s="2029"/>
      <c r="X317" s="271"/>
      <c r="Y317" s="271">
        <v>0</v>
      </c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M317" s="82">
        <f>SUM(G317:AK317)</f>
        <v>54962</v>
      </c>
      <c r="AO317" s="1992"/>
      <c r="AU317" s="139"/>
    </row>
    <row r="318" spans="3:61 15027:15419" ht="15.75" hidden="1" thickBot="1" x14ac:dyDescent="0.3">
      <c r="C318" s="19"/>
      <c r="D318" s="2071"/>
      <c r="E318" s="2072">
        <f>E317/2500</f>
        <v>4.4805199999999994</v>
      </c>
      <c r="F318" s="2073" t="s">
        <v>1017</v>
      </c>
      <c r="G318" s="2074" t="e">
        <f t="shared" ref="G318:K318" si="162">(G317/G39)*1000</f>
        <v>#DIV/0!</v>
      </c>
      <c r="H318" s="2074" t="e">
        <f t="shared" si="162"/>
        <v>#DIV/0!</v>
      </c>
      <c r="I318" s="2074" t="e">
        <f t="shared" si="162"/>
        <v>#DIV/0!</v>
      </c>
      <c r="J318" s="2074" t="e">
        <f t="shared" si="162"/>
        <v>#DIV/0!</v>
      </c>
      <c r="K318" s="2074" t="e">
        <f t="shared" si="162"/>
        <v>#DIV/0!</v>
      </c>
      <c r="L318" s="2074"/>
      <c r="M318" s="2074" t="e">
        <v>#DIV/0!</v>
      </c>
      <c r="N318" s="2075"/>
      <c r="O318" s="2074"/>
      <c r="P318" s="2074"/>
      <c r="Q318" s="2074"/>
      <c r="R318" s="2074" t="e">
        <f>(R317/R35)*1000</f>
        <v>#DIV/0!</v>
      </c>
      <c r="S318" s="2074" t="e">
        <f t="shared" ref="S318:AK318" si="163">(S317/S39)*1000</f>
        <v>#DIV/0!</v>
      </c>
      <c r="T318" s="2074" t="e">
        <f t="shared" si="163"/>
        <v>#DIV/0!</v>
      </c>
      <c r="U318" s="2074" t="e">
        <f t="shared" si="163"/>
        <v>#DIV/0!</v>
      </c>
      <c r="V318" s="2074" t="e">
        <f t="shared" si="163"/>
        <v>#DIV/0!</v>
      </c>
      <c r="W318" s="2074" t="e">
        <v>#DIV/0!</v>
      </c>
      <c r="X318" s="2074" t="e">
        <f t="shared" si="163"/>
        <v>#DIV/0!</v>
      </c>
      <c r="Y318" s="2074" t="e">
        <f t="shared" si="163"/>
        <v>#DIV/0!</v>
      </c>
      <c r="Z318" s="2074" t="e">
        <f t="shared" si="163"/>
        <v>#DIV/0!</v>
      </c>
      <c r="AA318" s="2074" t="e">
        <f t="shared" si="163"/>
        <v>#DIV/0!</v>
      </c>
      <c r="AB318" s="2074" t="e">
        <f t="shared" si="163"/>
        <v>#DIV/0!</v>
      </c>
      <c r="AC318" s="2074" t="e">
        <f t="shared" si="163"/>
        <v>#DIV/0!</v>
      </c>
      <c r="AD318" s="2074" t="e">
        <f t="shared" si="163"/>
        <v>#DIV/0!</v>
      </c>
      <c r="AE318" s="2074" t="e">
        <f t="shared" si="163"/>
        <v>#DIV/0!</v>
      </c>
      <c r="AF318" s="2074" t="e">
        <f t="shared" si="163"/>
        <v>#DIV/0!</v>
      </c>
      <c r="AG318" s="2074" t="e">
        <f t="shared" si="163"/>
        <v>#DIV/0!</v>
      </c>
      <c r="AH318" s="2074" t="e">
        <f t="shared" si="163"/>
        <v>#DIV/0!</v>
      </c>
      <c r="AI318" s="2074" t="e">
        <f t="shared" si="163"/>
        <v>#DIV/0!</v>
      </c>
      <c r="AJ318" s="2074" t="e">
        <f t="shared" si="163"/>
        <v>#DIV/0!</v>
      </c>
      <c r="AK318" s="2074" t="e">
        <f t="shared" si="163"/>
        <v>#DIV/0!</v>
      </c>
      <c r="AL318" s="2077"/>
      <c r="AM318" s="2076" t="e">
        <f>(AM317/AM42)*100</f>
        <v>#DIV/0!</v>
      </c>
      <c r="AO318" s="3"/>
    </row>
    <row r="319" spans="3:61 15027:15419" hidden="1" x14ac:dyDescent="0.25">
      <c r="C319" s="15"/>
      <c r="D319" s="921"/>
      <c r="E319" s="1704"/>
      <c r="F319" s="61"/>
      <c r="G319" s="1770"/>
      <c r="H319" s="1770"/>
      <c r="I319" s="1770"/>
      <c r="J319" s="1770"/>
      <c r="K319" s="1770"/>
      <c r="L319" s="1770"/>
      <c r="M319" s="1770"/>
      <c r="N319" s="269"/>
      <c r="O319" s="1770"/>
      <c r="P319" s="1770"/>
      <c r="Q319" s="1770"/>
      <c r="R319" s="1770"/>
      <c r="S319" s="1770"/>
      <c r="T319" s="1770"/>
      <c r="U319" s="1770"/>
      <c r="V319" s="1770"/>
      <c r="W319" s="1770"/>
      <c r="X319" s="1770"/>
      <c r="Y319" s="1770"/>
      <c r="Z319" s="1770"/>
      <c r="AA319" s="1770"/>
      <c r="AB319" s="1770"/>
      <c r="AC319" s="1770"/>
      <c r="AD319" s="1770"/>
      <c r="AE319" s="1770"/>
      <c r="AF319" s="1770"/>
      <c r="AG319" s="1770"/>
      <c r="AH319" s="1770"/>
      <c r="AI319" s="1770"/>
      <c r="AJ319" s="1770"/>
      <c r="AK319" s="1770"/>
      <c r="AL319" s="2077"/>
      <c r="AM319" s="1948"/>
      <c r="AO319" s="3"/>
    </row>
    <row r="320" spans="3:61 15027:15419" hidden="1" x14ac:dyDescent="0.25">
      <c r="C320" s="1904"/>
      <c r="D320" s="1905" t="s">
        <v>7</v>
      </c>
      <c r="E320" s="540"/>
      <c r="F320" s="1906"/>
      <c r="G320" s="1965">
        <f t="shared" ref="G320:N320" si="164">G292-G296-G298-G301-G303</f>
        <v>-35153</v>
      </c>
      <c r="H320" s="1965">
        <f t="shared" si="164"/>
        <v>-35269.599999999999</v>
      </c>
      <c r="I320" s="1965">
        <f t="shared" si="164"/>
        <v>-35240.6</v>
      </c>
      <c r="J320" s="1965">
        <f t="shared" si="164"/>
        <v>-20236.3</v>
      </c>
      <c r="K320" s="1965">
        <f t="shared" si="164"/>
        <v>-16422.8</v>
      </c>
      <c r="L320" s="1965">
        <f t="shared" si="164"/>
        <v>11.7</v>
      </c>
      <c r="M320" s="1965">
        <f t="shared" si="164"/>
        <v>-11048.4</v>
      </c>
      <c r="N320" s="1965">
        <f t="shared" si="164"/>
        <v>-8130.4</v>
      </c>
      <c r="O320" s="1965">
        <f t="shared" ref="O320:AG320" si="165">O292-O296-O298-O301-O303</f>
        <v>-7492.2</v>
      </c>
      <c r="P320" s="1965">
        <f t="shared" si="165"/>
        <v>-13828.7</v>
      </c>
      <c r="Q320" s="1965">
        <f t="shared" si="165"/>
        <v>-13822.4</v>
      </c>
      <c r="R320" s="1965">
        <f t="shared" si="165"/>
        <v>-13868.1</v>
      </c>
      <c r="S320" s="1965">
        <f>S292-S296-S298-S301-S303</f>
        <v>-14005.8</v>
      </c>
      <c r="T320" s="1965">
        <f t="shared" si="165"/>
        <v>-13676.9</v>
      </c>
      <c r="U320" s="1965">
        <f>U292-U296-U298-U301-U303</f>
        <v>-13597.7</v>
      </c>
      <c r="V320" s="1965">
        <f>V292-V296-V298-V301-V303</f>
        <v>-32413.4</v>
      </c>
      <c r="W320" s="1965">
        <f>W292-W296-W298-W301-W303</f>
        <v>-27363.8</v>
      </c>
      <c r="X320" s="1965">
        <f t="shared" si="165"/>
        <v>-37275.599999999999</v>
      </c>
      <c r="Y320" s="1965">
        <f t="shared" si="165"/>
        <v>-36776.5</v>
      </c>
      <c r="Z320" s="1965">
        <f t="shared" si="165"/>
        <v>-38200.400000000001</v>
      </c>
      <c r="AA320" s="1965">
        <f t="shared" si="165"/>
        <v>-38276.800000000003</v>
      </c>
      <c r="AB320" s="1965">
        <f t="shared" si="165"/>
        <v>-38664.5</v>
      </c>
      <c r="AC320" s="1965">
        <f t="shared" si="165"/>
        <v>-38823.1</v>
      </c>
      <c r="AD320" s="1965">
        <f>AD292-AD296-AD298-AD301-AD303</f>
        <v>-38496</v>
      </c>
      <c r="AE320" s="1965">
        <f t="shared" si="165"/>
        <v>-39160</v>
      </c>
      <c r="AF320" s="1965">
        <f t="shared" si="165"/>
        <v>-38698</v>
      </c>
      <c r="AG320" s="1965">
        <f t="shared" si="165"/>
        <v>-39098</v>
      </c>
      <c r="AH320" s="1965">
        <f>AH292-AH296-AH298-AH301-AH303</f>
        <v>-38621</v>
      </c>
      <c r="AI320" s="1965">
        <f>AI292-AI296-AI298-AI301-AI303</f>
        <v>-38725</v>
      </c>
      <c r="AJ320" s="1965"/>
      <c r="AK320" s="1965"/>
      <c r="AL320" s="2037"/>
      <c r="AM320" s="1907" t="s">
        <v>7</v>
      </c>
      <c r="AO320" s="1993"/>
    </row>
    <row r="321" spans="3:39" hidden="1" x14ac:dyDescent="0.25">
      <c r="C321" s="15"/>
      <c r="D321" s="243" t="s">
        <v>121</v>
      </c>
      <c r="E321" s="262">
        <v>11.81</v>
      </c>
      <c r="F321" s="242" t="s">
        <v>2</v>
      </c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M321" s="82">
        <f>SUM(G321:AK321)</f>
        <v>0</v>
      </c>
    </row>
    <row r="322" spans="3:39" ht="15.75" hidden="1" thickBot="1" x14ac:dyDescent="0.3">
      <c r="C322" s="19"/>
      <c r="D322" s="244" t="s">
        <v>122</v>
      </c>
      <c r="E322" s="263">
        <v>241.12</v>
      </c>
      <c r="F322" s="245" t="s">
        <v>2</v>
      </c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M322" s="264">
        <f>SUM(G322:AK322)</f>
        <v>0</v>
      </c>
    </row>
    <row r="324" spans="3:39" x14ac:dyDescent="0.25">
      <c r="E324" s="1893"/>
      <c r="G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6" spans="3:39" x14ac:dyDescent="0.25">
      <c r="H326" s="2081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3:39" x14ac:dyDescent="0.25">
      <c r="E327" s="1947"/>
    </row>
    <row r="328" spans="3:39" x14ac:dyDescent="0.25">
      <c r="E328" s="1947"/>
      <c r="N328" s="3"/>
    </row>
    <row r="329" spans="3:39" x14ac:dyDescent="0.25">
      <c r="E329" s="1947"/>
      <c r="N329" s="2000"/>
    </row>
    <row r="330" spans="3:39" x14ac:dyDescent="0.25">
      <c r="E330" s="1947"/>
      <c r="N330" s="1993"/>
    </row>
    <row r="331" spans="3:39" x14ac:dyDescent="0.25">
      <c r="E331" s="1947"/>
    </row>
    <row r="332" spans="3:39" x14ac:dyDescent="0.25">
      <c r="K332" s="2116"/>
    </row>
    <row r="339" spans="3:61 15027:15419" x14ac:dyDescent="0.25">
      <c r="U339" s="1947"/>
    </row>
    <row r="340" spans="3:61 15027:15419" x14ac:dyDescent="0.25">
      <c r="U340" s="1947"/>
      <c r="V340" s="1947"/>
      <c r="W340" s="3">
        <f>S55</f>
        <v>0</v>
      </c>
      <c r="X340" s="3">
        <f>W340-V340</f>
        <v>0</v>
      </c>
      <c r="Y340" s="1947"/>
    </row>
    <row r="341" spans="3:61 15027:15419" x14ac:dyDescent="0.25">
      <c r="U341" s="1947"/>
      <c r="Y341" s="1947"/>
    </row>
    <row r="342" spans="3:61 15027:15419" x14ac:dyDescent="0.25">
      <c r="U342" s="1947"/>
      <c r="Y342" s="1947"/>
    </row>
    <row r="343" spans="3:61 15027:15419" x14ac:dyDescent="0.25">
      <c r="Y343" s="1947"/>
    </row>
    <row r="344" spans="3:61 15027:15419" x14ac:dyDescent="0.25">
      <c r="Y344" s="1947"/>
    </row>
    <row r="345" spans="3:61 15027:15419" s="1" customFormat="1" x14ac:dyDescent="0.25">
      <c r="C345" s="5"/>
      <c r="F345" s="2"/>
      <c r="Y345" s="1947"/>
      <c r="BC345" s="511"/>
      <c r="BD345" s="511"/>
      <c r="BI345" s="140"/>
      <c r="VEY345" s="46"/>
      <c r="VEZ345" s="46"/>
      <c r="VFA345" s="46"/>
      <c r="VFB345" s="46"/>
      <c r="VFC345" s="46"/>
      <c r="VFD345" s="46"/>
      <c r="VFE345" s="46"/>
      <c r="VFF345" s="46"/>
      <c r="VFG345" s="46"/>
      <c r="VFH345" s="46"/>
      <c r="VFI345" s="46"/>
      <c r="VFJ345" s="46"/>
      <c r="VFK345" s="46"/>
      <c r="VFL345" s="46"/>
      <c r="VFM345" s="46"/>
      <c r="VFN345" s="46"/>
      <c r="VFO345" s="46"/>
      <c r="VFP345" s="46"/>
      <c r="VFQ345" s="46"/>
      <c r="VFR345" s="46"/>
      <c r="VFS345" s="46"/>
      <c r="VFT345" s="46"/>
      <c r="VFU345" s="46"/>
      <c r="VFV345" s="46"/>
      <c r="VFW345" s="46"/>
      <c r="VFX345" s="46"/>
      <c r="VFY345" s="46"/>
      <c r="VFZ345" s="46"/>
      <c r="VGA345" s="46"/>
      <c r="VGB345" s="46"/>
      <c r="VGC345" s="46"/>
      <c r="VGD345" s="46"/>
      <c r="VGE345" s="46"/>
      <c r="VGF345" s="46"/>
      <c r="VGG345" s="46"/>
      <c r="VGH345" s="46"/>
      <c r="VGI345" s="46"/>
      <c r="VGJ345" s="46"/>
      <c r="VGK345" s="46"/>
      <c r="VGL345" s="46"/>
      <c r="VGM345" s="46"/>
      <c r="VGN345" s="46"/>
      <c r="VGO345" s="46"/>
      <c r="VGP345" s="46"/>
      <c r="VGQ345" s="46"/>
      <c r="VGR345" s="46"/>
      <c r="VGS345" s="46"/>
      <c r="VGT345" s="46"/>
      <c r="VGU345" s="46"/>
      <c r="VGV345" s="46"/>
      <c r="VGW345" s="46"/>
      <c r="VGX345" s="46"/>
      <c r="VGY345" s="46"/>
      <c r="VGZ345" s="46"/>
      <c r="VHA345" s="46"/>
      <c r="VHB345" s="46"/>
      <c r="VHC345" s="46"/>
      <c r="VHD345" s="46"/>
      <c r="VHE345" s="46"/>
      <c r="VHF345" s="46"/>
      <c r="VHG345" s="46"/>
      <c r="VHH345" s="46"/>
      <c r="VHI345" s="46"/>
      <c r="VHJ345" s="46"/>
      <c r="VHK345" s="46"/>
      <c r="VHL345" s="46"/>
      <c r="VHM345" s="46"/>
      <c r="VHN345" s="46"/>
      <c r="VHO345" s="46"/>
      <c r="VHP345" s="46"/>
      <c r="VHQ345" s="46"/>
      <c r="VHR345" s="46"/>
      <c r="VHS345" s="46"/>
      <c r="VHT345" s="46"/>
      <c r="VHU345" s="46"/>
      <c r="VHV345" s="46"/>
      <c r="VHW345" s="46"/>
      <c r="VHX345" s="46"/>
      <c r="VHY345" s="46"/>
      <c r="VHZ345" s="46"/>
      <c r="VIA345" s="46"/>
      <c r="VIB345" s="46"/>
      <c r="VIC345" s="46"/>
      <c r="VID345" s="46"/>
      <c r="VIE345" s="46"/>
      <c r="VIF345" s="46"/>
      <c r="VIG345" s="46"/>
      <c r="VIH345" s="46"/>
      <c r="VII345" s="46"/>
      <c r="VIJ345" s="46"/>
      <c r="VIK345" s="46"/>
      <c r="VIL345" s="46"/>
      <c r="VIM345" s="46"/>
      <c r="VIN345" s="46"/>
      <c r="VIO345" s="46"/>
      <c r="VIP345" s="46"/>
      <c r="VIQ345" s="46"/>
      <c r="VIR345" s="46"/>
      <c r="VIS345" s="46"/>
      <c r="VIT345" s="46"/>
      <c r="VIU345" s="46"/>
      <c r="VIV345" s="46"/>
      <c r="VIW345" s="46"/>
      <c r="VIX345" s="46"/>
      <c r="VIY345" s="46"/>
      <c r="VIZ345" s="46"/>
      <c r="VJA345" s="46"/>
      <c r="VJB345" s="46"/>
      <c r="VJC345" s="46"/>
      <c r="VJD345" s="46"/>
      <c r="VJE345" s="46"/>
      <c r="VJF345" s="46"/>
      <c r="VJG345" s="46"/>
      <c r="VJH345" s="46"/>
      <c r="VJI345" s="46"/>
      <c r="VJJ345" s="46"/>
      <c r="VJK345" s="46"/>
      <c r="VJL345" s="46"/>
      <c r="VJM345" s="46"/>
      <c r="VJN345" s="46"/>
      <c r="VJO345" s="46"/>
      <c r="VJP345" s="46"/>
      <c r="VJQ345" s="46"/>
      <c r="VJR345" s="46"/>
      <c r="VJS345" s="46"/>
      <c r="VJT345" s="46"/>
      <c r="VJU345" s="46"/>
      <c r="VJV345" s="46"/>
      <c r="VJW345" s="46"/>
      <c r="VJX345" s="46"/>
      <c r="VJY345" s="46"/>
      <c r="VJZ345" s="46"/>
      <c r="VKA345" s="46"/>
      <c r="VKB345" s="46"/>
      <c r="VKC345" s="46"/>
      <c r="VKD345" s="46"/>
      <c r="VKE345" s="46"/>
      <c r="VKF345" s="46"/>
      <c r="VKG345" s="46"/>
      <c r="VKH345" s="46"/>
      <c r="VKI345" s="46"/>
      <c r="VKJ345" s="46"/>
      <c r="VKK345" s="46"/>
      <c r="VKL345" s="46"/>
      <c r="VKM345" s="46"/>
      <c r="VKN345" s="46"/>
      <c r="VKO345" s="46"/>
      <c r="VKP345" s="46"/>
      <c r="VKQ345" s="46"/>
      <c r="VKR345" s="46"/>
      <c r="VKS345" s="46"/>
      <c r="VKT345" s="46"/>
      <c r="VKU345" s="46"/>
      <c r="VKV345" s="46"/>
      <c r="VKW345" s="46"/>
      <c r="VKX345" s="46"/>
      <c r="VKY345" s="46"/>
      <c r="VKZ345" s="46"/>
      <c r="VLA345" s="46"/>
      <c r="VLB345" s="46"/>
      <c r="VLC345" s="46"/>
      <c r="VLD345" s="46"/>
      <c r="VLE345" s="46"/>
      <c r="VLF345" s="46"/>
      <c r="VLG345" s="46"/>
      <c r="VLH345" s="46"/>
      <c r="VLI345" s="46"/>
      <c r="VLJ345" s="46"/>
      <c r="VLK345" s="46"/>
      <c r="VLL345" s="46"/>
      <c r="VLM345" s="46"/>
      <c r="VLN345" s="46"/>
      <c r="VLO345" s="46"/>
      <c r="VLP345" s="46"/>
      <c r="VLQ345" s="46"/>
      <c r="VLR345" s="46"/>
      <c r="VLS345" s="46"/>
      <c r="VLT345" s="46"/>
      <c r="VLU345" s="46"/>
      <c r="VLV345" s="46"/>
      <c r="VLW345" s="46"/>
      <c r="VLX345" s="46"/>
      <c r="VLY345" s="46"/>
      <c r="VLZ345" s="46"/>
      <c r="VMA345" s="46"/>
      <c r="VMB345" s="46"/>
      <c r="VMC345" s="46"/>
      <c r="VMD345" s="46"/>
      <c r="VME345" s="46"/>
      <c r="VMF345" s="46"/>
      <c r="VMG345" s="46"/>
      <c r="VMH345" s="46"/>
      <c r="VMI345" s="46"/>
      <c r="VMJ345" s="46"/>
      <c r="VMK345" s="46"/>
      <c r="VML345" s="46"/>
      <c r="VMM345" s="46"/>
      <c r="VMN345" s="46"/>
      <c r="VMO345" s="46"/>
      <c r="VMP345" s="46"/>
      <c r="VMQ345" s="46"/>
      <c r="VMR345" s="46"/>
      <c r="VMS345" s="46"/>
      <c r="VMT345" s="46"/>
      <c r="VMU345" s="46"/>
      <c r="VMV345" s="46"/>
      <c r="VMW345" s="46"/>
      <c r="VMX345" s="46"/>
      <c r="VMY345" s="46"/>
      <c r="VMZ345" s="46"/>
      <c r="VNA345" s="46"/>
      <c r="VNB345" s="46"/>
      <c r="VNC345" s="46"/>
      <c r="VND345" s="46"/>
      <c r="VNE345" s="46"/>
      <c r="VNF345" s="46"/>
      <c r="VNG345" s="46"/>
      <c r="VNH345" s="46"/>
      <c r="VNI345" s="46"/>
      <c r="VNJ345" s="46"/>
      <c r="VNK345" s="46"/>
      <c r="VNL345" s="46"/>
      <c r="VNM345" s="46"/>
      <c r="VNN345" s="46"/>
      <c r="VNO345" s="46"/>
      <c r="VNP345" s="46"/>
      <c r="VNQ345" s="46"/>
      <c r="VNR345" s="46"/>
      <c r="VNS345" s="46"/>
      <c r="VNT345" s="46"/>
      <c r="VNU345" s="46"/>
      <c r="VNV345" s="46"/>
      <c r="VNW345" s="46"/>
      <c r="VNX345" s="46"/>
      <c r="VNY345" s="46"/>
      <c r="VNZ345" s="46"/>
      <c r="VOA345" s="46"/>
      <c r="VOB345" s="46"/>
      <c r="VOC345" s="46"/>
      <c r="VOD345" s="46"/>
      <c r="VOE345" s="46"/>
      <c r="VOF345" s="46"/>
      <c r="VOG345" s="46"/>
      <c r="VOH345" s="46"/>
      <c r="VOI345" s="46"/>
      <c r="VOJ345" s="46"/>
      <c r="VOK345" s="46"/>
      <c r="VOL345" s="46"/>
      <c r="VOM345" s="46"/>
      <c r="VON345" s="46"/>
      <c r="VOO345" s="46"/>
      <c r="VOP345" s="46"/>
      <c r="VOQ345" s="46"/>
      <c r="VOR345" s="46"/>
      <c r="VOS345" s="46"/>
      <c r="VOT345" s="46"/>
      <c r="VOU345" s="46"/>
      <c r="VOV345" s="46"/>
      <c r="VOW345" s="46"/>
      <c r="VOX345" s="46"/>
      <c r="VOY345" s="46"/>
      <c r="VOZ345" s="46"/>
      <c r="VPA345" s="46"/>
      <c r="VPB345" s="46"/>
      <c r="VPC345" s="46"/>
      <c r="VPD345" s="46"/>
      <c r="VPE345" s="46"/>
      <c r="VPF345" s="46"/>
      <c r="VPG345" s="46"/>
      <c r="VPH345" s="46"/>
      <c r="VPI345" s="46"/>
      <c r="VPJ345" s="46"/>
      <c r="VPK345" s="46"/>
      <c r="VPL345" s="46"/>
      <c r="VPM345" s="46"/>
      <c r="VPN345" s="46"/>
      <c r="VPO345" s="46"/>
      <c r="VPP345" s="46"/>
      <c r="VPQ345" s="46"/>
      <c r="VPR345" s="46"/>
      <c r="VPS345" s="46"/>
      <c r="VPT345" s="46"/>
      <c r="VPU345" s="46"/>
      <c r="VPV345" s="46"/>
      <c r="VPW345" s="46"/>
      <c r="VPX345" s="46"/>
      <c r="VPY345" s="46"/>
      <c r="VPZ345" s="46"/>
      <c r="VQA345" s="46"/>
      <c r="VQB345" s="46"/>
      <c r="VQC345" s="46"/>
      <c r="VQD345" s="46"/>
      <c r="VQE345" s="46"/>
      <c r="VQF345" s="46"/>
      <c r="VQG345" s="46"/>
      <c r="VQH345" s="46"/>
      <c r="VQI345" s="46"/>
      <c r="VQJ345" s="46"/>
      <c r="VQK345" s="46"/>
      <c r="VQL345" s="46"/>
      <c r="VQM345" s="46"/>
      <c r="VQN345" s="46"/>
      <c r="VQO345" s="46"/>
      <c r="VQP345" s="46"/>
      <c r="VQQ345" s="46"/>
      <c r="VQR345" s="46"/>
      <c r="VQS345" s="46"/>
      <c r="VQT345" s="46"/>
      <c r="VQU345" s="46"/>
      <c r="VQV345" s="46"/>
      <c r="VQW345" s="46"/>
      <c r="VQX345" s="46"/>
      <c r="VQY345" s="46"/>
      <c r="VQZ345" s="46"/>
      <c r="VRA345" s="46"/>
      <c r="VRB345" s="46"/>
      <c r="VRC345" s="46"/>
      <c r="VRD345" s="46"/>
      <c r="VRE345" s="46"/>
      <c r="VRF345" s="46"/>
      <c r="VRG345" s="46"/>
      <c r="VRH345" s="46"/>
      <c r="VRI345" s="46"/>
      <c r="VRJ345" s="46"/>
      <c r="VRK345" s="46"/>
      <c r="VRL345" s="46"/>
      <c r="VRM345" s="46"/>
      <c r="VRN345" s="46"/>
      <c r="VRO345" s="46"/>
      <c r="VRP345" s="46"/>
      <c r="VRQ345" s="46"/>
      <c r="VRR345" s="46"/>
      <c r="VRS345" s="46"/>
      <c r="VRT345" s="46"/>
      <c r="VRU345" s="46"/>
      <c r="VRV345" s="46"/>
      <c r="VRW345" s="46"/>
      <c r="VRX345" s="46"/>
      <c r="VRY345" s="46"/>
      <c r="VRZ345" s="46"/>
      <c r="VSA345" s="46"/>
      <c r="VSB345" s="46"/>
      <c r="VSC345" s="46"/>
      <c r="VSD345" s="46"/>
      <c r="VSE345" s="46"/>
      <c r="VSF345" s="46"/>
      <c r="VSG345" s="46"/>
      <c r="VSH345" s="46"/>
      <c r="VSI345" s="46"/>
      <c r="VSJ345" s="46"/>
      <c r="VSK345" s="46"/>
      <c r="VSL345" s="46"/>
      <c r="VSM345" s="46"/>
      <c r="VSN345" s="46"/>
      <c r="VSO345" s="46"/>
      <c r="VSP345" s="46"/>
      <c r="VSQ345" s="46"/>
      <c r="VSR345" s="46"/>
      <c r="VSS345" s="46"/>
      <c r="VST345" s="46"/>
      <c r="VSU345" s="46"/>
      <c r="VSV345" s="46"/>
      <c r="VSW345" s="46"/>
      <c r="VSX345" s="46"/>
      <c r="VSY345" s="46"/>
      <c r="VSZ345" s="46"/>
      <c r="VTA345" s="46"/>
      <c r="VTB345" s="46"/>
      <c r="VTC345" s="46"/>
      <c r="VTD345" s="46"/>
      <c r="VTE345" s="46"/>
      <c r="VTF345" s="46"/>
      <c r="VTG345" s="46"/>
      <c r="VTH345" s="46"/>
      <c r="VTI345" s="46"/>
      <c r="VTJ345" s="46"/>
      <c r="VTK345" s="46"/>
      <c r="VTL345" s="46"/>
      <c r="VTM345" s="46"/>
      <c r="VTN345" s="46"/>
      <c r="VTO345" s="46"/>
      <c r="VTP345" s="46"/>
      <c r="VTQ345" s="46"/>
      <c r="VTR345" s="46"/>
      <c r="VTS345" s="46"/>
      <c r="VTT345" s="46"/>
      <c r="VTU345" s="46"/>
      <c r="VTV345" s="46"/>
      <c r="VTW345" s="46"/>
      <c r="VTX345" s="46"/>
      <c r="VTY345" s="46"/>
      <c r="VTZ345" s="46"/>
      <c r="VUA345" s="46"/>
    </row>
    <row r="346" spans="3:61 15027:15419" x14ac:dyDescent="0.25">
      <c r="Y346" s="1947"/>
    </row>
    <row r="347" spans="3:61 15027:15419" x14ac:dyDescent="0.25">
      <c r="Y347" s="1947"/>
    </row>
  </sheetData>
  <mergeCells count="7">
    <mergeCell ref="C1:AM1"/>
    <mergeCell ref="C2:C3"/>
    <mergeCell ref="D2:D3"/>
    <mergeCell ref="E2:E3"/>
    <mergeCell ref="F2:F3"/>
    <mergeCell ref="AM2:AM3"/>
    <mergeCell ref="G2:AK2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51"/>
  <sheetViews>
    <sheetView topLeftCell="F10" zoomScale="80" zoomScaleNormal="80" workbookViewId="0">
      <selection activeCell="K37" sqref="K37"/>
    </sheetView>
  </sheetViews>
  <sheetFormatPr defaultColWidth="9.42578125" defaultRowHeight="15" x14ac:dyDescent="0.25"/>
  <cols>
    <col min="1" max="1" width="9.42578125" style="1582"/>
    <col min="2" max="2" width="23.5703125" style="1582" customWidth="1"/>
    <col min="3" max="3" width="16.7109375" style="1582" bestFit="1" customWidth="1"/>
    <col min="4" max="4" width="13.42578125" style="1582" customWidth="1"/>
    <col min="5" max="5" width="13" style="1582" customWidth="1"/>
    <col min="6" max="6" width="12.42578125" style="1582" customWidth="1"/>
    <col min="7" max="7" width="14.42578125" style="1582" bestFit="1" customWidth="1"/>
    <col min="8" max="8" width="12.5703125" style="1582" customWidth="1"/>
    <col min="9" max="9" width="19.5703125" style="1582" bestFit="1" customWidth="1"/>
    <col min="10" max="10" width="9.5703125" style="1582" customWidth="1"/>
    <col min="11" max="11" width="9.85546875" style="1582" bestFit="1" customWidth="1"/>
    <col min="12" max="12" width="10.42578125" style="1582" bestFit="1" customWidth="1"/>
    <col min="13" max="13" width="8.5703125" style="1582" hidden="1" customWidth="1"/>
    <col min="14" max="14" width="9" style="1582" hidden="1" customWidth="1"/>
    <col min="15" max="15" width="10.42578125" style="1582" hidden="1" customWidth="1"/>
    <col min="16" max="16" width="9" style="1582" hidden="1" customWidth="1"/>
    <col min="17" max="17" width="8.5703125" style="1582" hidden="1" customWidth="1"/>
    <col min="18" max="18" width="9.5703125" style="1582" hidden="1" customWidth="1"/>
    <col min="19" max="19" width="0" style="1582" hidden="1" customWidth="1"/>
    <col min="20" max="20" width="18.5703125" style="1582" hidden="1" customWidth="1"/>
    <col min="21" max="16384" width="9.42578125" style="1582"/>
  </cols>
  <sheetData>
    <row r="4" spans="2:20" ht="15.75" x14ac:dyDescent="0.25">
      <c r="B4" s="1642" t="s">
        <v>1092</v>
      </c>
      <c r="I4" s="2080" t="s">
        <v>326</v>
      </c>
      <c r="J4" s="2195" t="s">
        <v>971</v>
      </c>
      <c r="K4" s="2196"/>
      <c r="L4" s="2197"/>
      <c r="M4" s="2198" t="s">
        <v>974</v>
      </c>
      <c r="N4" s="2199"/>
      <c r="O4" s="2200"/>
      <c r="P4" s="2198" t="s">
        <v>975</v>
      </c>
      <c r="Q4" s="2199"/>
      <c r="R4" s="2200"/>
      <c r="S4" s="2201" t="s">
        <v>977</v>
      </c>
      <c r="T4" s="2202"/>
    </row>
    <row r="5" spans="2:20" ht="30" x14ac:dyDescent="0.25">
      <c r="B5" s="1583" t="s">
        <v>877</v>
      </c>
      <c r="C5" s="1583" t="s">
        <v>878</v>
      </c>
      <c r="D5" s="1583" t="s">
        <v>879</v>
      </c>
      <c r="E5" s="1583" t="s">
        <v>880</v>
      </c>
      <c r="F5" s="1584" t="s">
        <v>881</v>
      </c>
      <c r="G5" s="1583" t="s">
        <v>882</v>
      </c>
      <c r="I5" s="304" t="s">
        <v>168</v>
      </c>
      <c r="J5" s="312" t="s">
        <v>169</v>
      </c>
      <c r="K5" s="312" t="s">
        <v>972</v>
      </c>
      <c r="L5" s="312" t="s">
        <v>973</v>
      </c>
      <c r="M5" s="312" t="s">
        <v>169</v>
      </c>
      <c r="N5" s="312" t="s">
        <v>972</v>
      </c>
      <c r="O5" s="312" t="s">
        <v>976</v>
      </c>
      <c r="P5" s="312" t="s">
        <v>169</v>
      </c>
      <c r="Q5" s="312" t="s">
        <v>972</v>
      </c>
      <c r="R5" s="312" t="s">
        <v>976</v>
      </c>
      <c r="S5" s="2203"/>
      <c r="T5" s="2204"/>
    </row>
    <row r="6" spans="2:20" x14ac:dyDescent="0.25">
      <c r="B6" s="1586" t="s">
        <v>883</v>
      </c>
      <c r="C6" s="1588">
        <v>5.67</v>
      </c>
      <c r="D6" s="1587">
        <v>850</v>
      </c>
      <c r="E6" s="1588">
        <f>C6*D6/1000</f>
        <v>4.8194999999999997</v>
      </c>
      <c r="F6" s="2030">
        <v>100</v>
      </c>
      <c r="G6" s="1590">
        <f>(F6*E6/100)*1000</f>
        <v>4819.5</v>
      </c>
      <c r="H6" s="1591"/>
      <c r="I6" s="795">
        <v>46023</v>
      </c>
      <c r="J6" s="1902">
        <v>282664</v>
      </c>
      <c r="K6" s="1711">
        <v>297894</v>
      </c>
      <c r="L6" s="1903">
        <f t="shared" ref="L6:L35" si="0">J6-K6</f>
        <v>-15230</v>
      </c>
      <c r="M6" s="1708"/>
      <c r="N6" s="1708"/>
      <c r="O6" s="1721"/>
      <c r="P6" s="1708"/>
      <c r="Q6" s="1708"/>
      <c r="R6" s="1586"/>
      <c r="S6" s="2192"/>
      <c r="T6" s="2193"/>
    </row>
    <row r="7" spans="2:20" x14ac:dyDescent="0.25">
      <c r="B7" s="1586" t="s">
        <v>884</v>
      </c>
      <c r="C7" s="1641">
        <v>47.22</v>
      </c>
      <c r="D7" s="1587">
        <v>850</v>
      </c>
      <c r="E7" s="1588">
        <f>C7*D7/1000</f>
        <v>40.137</v>
      </c>
      <c r="F7" s="2030">
        <v>80</v>
      </c>
      <c r="G7" s="1590">
        <f>(F7*E7/100)*1000</f>
        <v>32109.599999999999</v>
      </c>
      <c r="H7" s="1642"/>
      <c r="I7" s="795">
        <v>46024</v>
      </c>
      <c r="J7" s="1711">
        <f>K6</f>
        <v>297894</v>
      </c>
      <c r="K7" s="1711">
        <v>294828</v>
      </c>
      <c r="L7" s="1903">
        <f t="shared" si="0"/>
        <v>3066</v>
      </c>
      <c r="M7" s="1708"/>
      <c r="N7" s="1708"/>
      <c r="O7" s="1721"/>
      <c r="P7" s="1708"/>
      <c r="Q7" s="1708"/>
      <c r="R7" s="1586"/>
      <c r="S7" s="2192"/>
      <c r="T7" s="2193"/>
    </row>
    <row r="8" spans="2:20" x14ac:dyDescent="0.25">
      <c r="B8" s="1586" t="s">
        <v>885</v>
      </c>
      <c r="C8" s="1641">
        <v>47.22</v>
      </c>
      <c r="D8" s="1587">
        <v>850</v>
      </c>
      <c r="E8" s="1588">
        <f t="shared" ref="E8:E21" si="1">C8*D8/1000</f>
        <v>40.137</v>
      </c>
      <c r="F8" s="2030">
        <v>80</v>
      </c>
      <c r="G8" s="1590">
        <f>(F8*E8/100)*1000</f>
        <v>32109.599999999999</v>
      </c>
      <c r="H8" s="1642"/>
      <c r="I8" s="795">
        <v>46025</v>
      </c>
      <c r="J8" s="1711">
        <f>K7</f>
        <v>294828</v>
      </c>
      <c r="K8" s="1711">
        <v>312285</v>
      </c>
      <c r="L8" s="1903">
        <f t="shared" si="0"/>
        <v>-17457</v>
      </c>
      <c r="M8" s="1708"/>
      <c r="N8" s="1708"/>
      <c r="O8" s="1721"/>
      <c r="P8" s="1708"/>
      <c r="Q8" s="1708"/>
      <c r="R8" s="1586"/>
      <c r="S8" s="2192"/>
      <c r="T8" s="2193"/>
    </row>
    <row r="9" spans="2:20" x14ac:dyDescent="0.25">
      <c r="B9" s="1586" t="s">
        <v>886</v>
      </c>
      <c r="C9" s="1641">
        <v>35.68</v>
      </c>
      <c r="D9" s="1587">
        <v>850</v>
      </c>
      <c r="E9" s="1588">
        <f t="shared" si="1"/>
        <v>30.327999999999999</v>
      </c>
      <c r="F9" s="2030">
        <v>71</v>
      </c>
      <c r="G9" s="1590">
        <f>(F9*E9/100)*1000</f>
        <v>21532.879999999997</v>
      </c>
      <c r="H9" s="1642"/>
      <c r="I9" s="795">
        <v>46026</v>
      </c>
      <c r="J9" s="1711">
        <f>K8</f>
        <v>312285</v>
      </c>
      <c r="K9" s="1711">
        <v>323561</v>
      </c>
      <c r="L9" s="1903">
        <f>J9-K9</f>
        <v>-11276</v>
      </c>
      <c r="M9" s="1709"/>
      <c r="N9" s="1709"/>
      <c r="O9" s="1722"/>
      <c r="P9" s="1709"/>
      <c r="Q9" s="1708"/>
      <c r="R9" s="1586"/>
      <c r="S9" s="2192"/>
      <c r="T9" s="2193"/>
    </row>
    <row r="10" spans="2:20" x14ac:dyDescent="0.25">
      <c r="B10" s="1586" t="s">
        <v>887</v>
      </c>
      <c r="C10" s="1592">
        <v>10.8</v>
      </c>
      <c r="D10" s="1592">
        <v>850</v>
      </c>
      <c r="E10" s="1593">
        <f t="shared" si="1"/>
        <v>9.18</v>
      </c>
      <c r="F10" s="2030">
        <v>15</v>
      </c>
      <c r="G10" s="1590">
        <f t="shared" ref="G10:G15" si="2">(F10*E10/100)*1000</f>
        <v>1376.9999999999998</v>
      </c>
      <c r="H10" s="1642"/>
      <c r="I10" s="795">
        <v>46027</v>
      </c>
      <c r="J10" s="1711">
        <f>K9</f>
        <v>323561</v>
      </c>
      <c r="K10" s="1711">
        <v>318233</v>
      </c>
      <c r="L10" s="1903">
        <f>J10-K10</f>
        <v>5328</v>
      </c>
      <c r="M10" s="1708"/>
      <c r="N10" s="1708"/>
      <c r="O10" s="1721"/>
      <c r="P10" s="1708"/>
      <c r="Q10" s="1708"/>
      <c r="R10" s="1586"/>
      <c r="S10" s="2192"/>
      <c r="T10" s="2193"/>
    </row>
    <row r="11" spans="2:20" x14ac:dyDescent="0.25">
      <c r="B11" s="1586" t="s">
        <v>888</v>
      </c>
      <c r="C11" s="1592">
        <v>10.1</v>
      </c>
      <c r="D11" s="1592">
        <v>850</v>
      </c>
      <c r="E11" s="1593">
        <f t="shared" si="1"/>
        <v>8.5850000000000009</v>
      </c>
      <c r="F11" s="2030">
        <v>100</v>
      </c>
      <c r="G11" s="1590">
        <f t="shared" si="2"/>
        <v>8585</v>
      </c>
      <c r="H11" s="1642"/>
      <c r="I11" s="795">
        <v>46028</v>
      </c>
      <c r="J11" s="1711">
        <f>K10</f>
        <v>318233</v>
      </c>
      <c r="K11" s="1711">
        <v>318233</v>
      </c>
      <c r="L11" s="1903">
        <f t="shared" si="0"/>
        <v>0</v>
      </c>
      <c r="M11" s="1710"/>
      <c r="N11" s="1710"/>
      <c r="O11" s="1723"/>
      <c r="P11" s="1710"/>
      <c r="Q11" s="1708"/>
      <c r="R11" s="1586"/>
      <c r="S11" s="2192"/>
      <c r="T11" s="2193"/>
    </row>
    <row r="12" spans="2:20" x14ac:dyDescent="0.25">
      <c r="B12" s="1586" t="s">
        <v>889</v>
      </c>
      <c r="C12" s="1592">
        <v>10.1</v>
      </c>
      <c r="D12" s="1592">
        <v>850</v>
      </c>
      <c r="E12" s="1593">
        <f t="shared" si="1"/>
        <v>8.5850000000000009</v>
      </c>
      <c r="F12" s="2030">
        <v>100</v>
      </c>
      <c r="G12" s="1590">
        <f t="shared" si="2"/>
        <v>8585</v>
      </c>
      <c r="H12" s="1642"/>
      <c r="I12" s="795">
        <v>46029</v>
      </c>
      <c r="J12" s="1711">
        <f t="shared" ref="J12:J16" si="3">K11</f>
        <v>318233</v>
      </c>
      <c r="K12" s="1711">
        <v>318233</v>
      </c>
      <c r="L12" s="1903">
        <f t="shared" si="0"/>
        <v>0</v>
      </c>
      <c r="M12" s="1711"/>
      <c r="N12" s="1711"/>
      <c r="O12" s="1724"/>
      <c r="P12" s="1711"/>
      <c r="Q12" s="1708"/>
      <c r="R12" s="1586"/>
      <c r="S12" s="2192"/>
      <c r="T12" s="2193"/>
    </row>
    <row r="13" spans="2:20" x14ac:dyDescent="0.25">
      <c r="B13" s="1586" t="s">
        <v>890</v>
      </c>
      <c r="C13" s="1592">
        <v>10.1</v>
      </c>
      <c r="D13" s="1592">
        <v>850</v>
      </c>
      <c r="E13" s="1593">
        <f t="shared" si="1"/>
        <v>8.5850000000000009</v>
      </c>
      <c r="F13" s="2030">
        <v>100</v>
      </c>
      <c r="G13" s="1590">
        <f t="shared" si="2"/>
        <v>8585</v>
      </c>
      <c r="H13" s="1642"/>
      <c r="I13" s="795">
        <v>46030</v>
      </c>
      <c r="J13" s="1711">
        <f t="shared" si="3"/>
        <v>318233</v>
      </c>
      <c r="K13" s="1711">
        <v>318233</v>
      </c>
      <c r="L13" s="1903">
        <f t="shared" si="0"/>
        <v>0</v>
      </c>
      <c r="M13" s="1711"/>
      <c r="N13" s="1711">
        <v>0</v>
      </c>
      <c r="O13" s="1724"/>
      <c r="P13" s="1711"/>
      <c r="Q13" s="1711">
        <v>174609</v>
      </c>
      <c r="R13" s="1586"/>
      <c r="S13" s="2192"/>
      <c r="T13" s="2193"/>
    </row>
    <row r="14" spans="2:20" x14ac:dyDescent="0.25">
      <c r="B14" s="1586" t="s">
        <v>891</v>
      </c>
      <c r="C14" s="1592">
        <v>10.1</v>
      </c>
      <c r="D14" s="1592">
        <v>850</v>
      </c>
      <c r="E14" s="1593">
        <f t="shared" si="1"/>
        <v>8.5850000000000009</v>
      </c>
      <c r="F14" s="2030">
        <v>0</v>
      </c>
      <c r="G14" s="1590">
        <f t="shared" si="2"/>
        <v>0</v>
      </c>
      <c r="H14" s="1642"/>
      <c r="I14" s="795">
        <v>46031</v>
      </c>
      <c r="J14" s="1711">
        <f t="shared" si="3"/>
        <v>318233</v>
      </c>
      <c r="K14" s="1711">
        <v>318233</v>
      </c>
      <c r="L14" s="1903">
        <f t="shared" si="0"/>
        <v>0</v>
      </c>
      <c r="M14" s="1711"/>
      <c r="N14" s="1712">
        <v>44191</v>
      </c>
      <c r="O14" s="1725"/>
      <c r="P14" s="1711">
        <v>174609</v>
      </c>
      <c r="Q14" s="1712">
        <v>38852</v>
      </c>
      <c r="R14" s="1719">
        <f>P14-Q14</f>
        <v>135757</v>
      </c>
      <c r="S14" s="2194">
        <f>R14+O14+L14</f>
        <v>135757</v>
      </c>
      <c r="T14" s="2193"/>
    </row>
    <row r="15" spans="2:20" x14ac:dyDescent="0.25">
      <c r="B15" s="1586" t="s">
        <v>892</v>
      </c>
      <c r="C15" s="1592">
        <v>10.1</v>
      </c>
      <c r="D15" s="1592">
        <v>850</v>
      </c>
      <c r="E15" s="1593">
        <f t="shared" si="1"/>
        <v>8.5850000000000009</v>
      </c>
      <c r="F15" s="2030">
        <v>100</v>
      </c>
      <c r="G15" s="1590">
        <f t="shared" si="2"/>
        <v>8585</v>
      </c>
      <c r="H15" s="1642"/>
      <c r="I15" s="795">
        <v>46032</v>
      </c>
      <c r="J15" s="1711">
        <f t="shared" si="3"/>
        <v>318233</v>
      </c>
      <c r="K15" s="1711">
        <v>318233</v>
      </c>
      <c r="L15" s="1903">
        <f t="shared" si="0"/>
        <v>0</v>
      </c>
      <c r="M15" s="1712">
        <v>44191</v>
      </c>
      <c r="N15" s="1711">
        <v>405272</v>
      </c>
      <c r="O15" s="1723">
        <f>M15-N15</f>
        <v>-361081</v>
      </c>
      <c r="P15" s="1712">
        <v>38852</v>
      </c>
      <c r="Q15" s="1712">
        <v>38852</v>
      </c>
      <c r="R15" s="1719">
        <f>P15-Q15</f>
        <v>0</v>
      </c>
      <c r="S15" s="2194">
        <f>R15+O15+L15</f>
        <v>-361081</v>
      </c>
      <c r="T15" s="2193"/>
    </row>
    <row r="16" spans="2:20" x14ac:dyDescent="0.25">
      <c r="B16" s="1586" t="s">
        <v>893</v>
      </c>
      <c r="C16" s="1587">
        <v>72.13</v>
      </c>
      <c r="D16" s="1587">
        <v>850</v>
      </c>
      <c r="E16" s="1588">
        <f t="shared" si="1"/>
        <v>61.31049999999999</v>
      </c>
      <c r="F16" s="2030">
        <v>37</v>
      </c>
      <c r="G16" s="1590">
        <f>(F16*E16/100)*1000</f>
        <v>22684.884999999995</v>
      </c>
      <c r="H16" s="1642"/>
      <c r="I16" s="795">
        <v>46033</v>
      </c>
      <c r="J16" s="1711">
        <f t="shared" si="3"/>
        <v>318233</v>
      </c>
      <c r="K16" s="1711">
        <v>318233</v>
      </c>
      <c r="L16" s="1903">
        <f>J16-K16</f>
        <v>0</v>
      </c>
      <c r="M16" s="1708"/>
      <c r="N16" s="1708"/>
      <c r="O16" s="1721"/>
      <c r="P16" s="1708"/>
      <c r="Q16" s="1708"/>
      <c r="R16" s="1586"/>
      <c r="S16" s="2192"/>
      <c r="T16" s="2193"/>
    </row>
    <row r="17" spans="2:22" x14ac:dyDescent="0.25">
      <c r="B17" s="1586" t="s">
        <v>894</v>
      </c>
      <c r="C17" s="1587">
        <v>4.28</v>
      </c>
      <c r="D17" s="1587">
        <v>860</v>
      </c>
      <c r="E17" s="1588">
        <f t="shared" si="1"/>
        <v>3.6808000000000001</v>
      </c>
      <c r="F17" s="2030">
        <v>50</v>
      </c>
      <c r="G17" s="1590">
        <f t="shared" ref="G17:G24" si="4">(F17*E17/100)*1000</f>
        <v>1840.3999999999999</v>
      </c>
      <c r="H17" s="1642"/>
      <c r="I17" s="795">
        <v>46034</v>
      </c>
      <c r="J17" s="1711">
        <f>K16</f>
        <v>318233</v>
      </c>
      <c r="K17" s="1711">
        <v>318233</v>
      </c>
      <c r="L17" s="1903">
        <f t="shared" si="0"/>
        <v>0</v>
      </c>
      <c r="M17" s="1708"/>
      <c r="N17" s="1708"/>
      <c r="O17" s="1721"/>
      <c r="P17" s="1708"/>
      <c r="Q17" s="1708"/>
      <c r="R17" s="1586"/>
      <c r="S17" s="2192"/>
      <c r="T17" s="2193"/>
    </row>
    <row r="18" spans="2:22" x14ac:dyDescent="0.25">
      <c r="B18" s="1586" t="s">
        <v>895</v>
      </c>
      <c r="C18" s="1587">
        <v>10</v>
      </c>
      <c r="D18" s="1587">
        <v>810</v>
      </c>
      <c r="E18" s="1588">
        <f t="shared" si="1"/>
        <v>8.1</v>
      </c>
      <c r="F18" s="2030">
        <v>100</v>
      </c>
      <c r="G18" s="1590">
        <f t="shared" si="4"/>
        <v>8100</v>
      </c>
      <c r="H18" s="1642"/>
      <c r="I18" s="795">
        <v>46035</v>
      </c>
      <c r="J18" s="1711">
        <f t="shared" ref="J18:J23" si="5">K17</f>
        <v>318233</v>
      </c>
      <c r="K18" s="1711"/>
      <c r="L18" s="1903">
        <f t="shared" si="0"/>
        <v>318233</v>
      </c>
      <c r="M18" s="1708"/>
      <c r="N18" s="1708"/>
      <c r="O18" s="1721"/>
      <c r="P18" s="1708"/>
      <c r="Q18" s="1708"/>
      <c r="R18" s="1586"/>
      <c r="S18" s="2192"/>
      <c r="T18" s="2193"/>
      <c r="U18" s="1642"/>
    </row>
    <row r="19" spans="2:22" x14ac:dyDescent="0.25">
      <c r="B19" s="1586" t="s">
        <v>896</v>
      </c>
      <c r="C19" s="1641">
        <v>21.8</v>
      </c>
      <c r="D19" s="1587">
        <v>800</v>
      </c>
      <c r="E19" s="1588">
        <f t="shared" si="1"/>
        <v>17.440000000000001</v>
      </c>
      <c r="F19" s="2030">
        <v>30</v>
      </c>
      <c r="G19" s="1590">
        <f t="shared" si="4"/>
        <v>5232</v>
      </c>
      <c r="H19" s="1642"/>
      <c r="I19" s="795">
        <v>46036</v>
      </c>
      <c r="J19" s="1711">
        <f t="shared" si="5"/>
        <v>0</v>
      </c>
      <c r="K19" s="1711"/>
      <c r="L19" s="1903">
        <f t="shared" si="0"/>
        <v>0</v>
      </c>
      <c r="M19" s="1708"/>
      <c r="N19" s="1708"/>
      <c r="O19" s="1721"/>
      <c r="P19" s="1708"/>
      <c r="Q19" s="1708"/>
      <c r="R19" s="1586"/>
      <c r="S19" s="2192"/>
      <c r="T19" s="2193"/>
    </row>
    <row r="20" spans="2:22" x14ac:dyDescent="0.25">
      <c r="B20" s="1586" t="s">
        <v>897</v>
      </c>
      <c r="C20" s="1587">
        <v>10</v>
      </c>
      <c r="D20" s="1587">
        <v>810</v>
      </c>
      <c r="E20" s="1588">
        <f t="shared" si="1"/>
        <v>8.1</v>
      </c>
      <c r="F20" s="2030">
        <v>100</v>
      </c>
      <c r="G20" s="1590">
        <f t="shared" si="4"/>
        <v>8100</v>
      </c>
      <c r="H20" s="1642"/>
      <c r="I20" s="795">
        <v>46037</v>
      </c>
      <c r="J20" s="1711">
        <f t="shared" si="5"/>
        <v>0</v>
      </c>
      <c r="K20" s="1711"/>
      <c r="L20" s="1903">
        <f t="shared" si="0"/>
        <v>0</v>
      </c>
      <c r="M20" s="1708"/>
      <c r="N20" s="1708"/>
      <c r="O20" s="1721"/>
      <c r="P20" s="1708"/>
      <c r="Q20" s="1708"/>
      <c r="R20" s="1586"/>
      <c r="S20" s="2192"/>
      <c r="T20" s="2193"/>
    </row>
    <row r="21" spans="2:22" x14ac:dyDescent="0.25">
      <c r="B21" s="1586" t="s">
        <v>898</v>
      </c>
      <c r="C21" s="1641">
        <v>11.4</v>
      </c>
      <c r="D21" s="1587">
        <v>790</v>
      </c>
      <c r="E21" s="1588">
        <f t="shared" si="1"/>
        <v>9.0060000000000002</v>
      </c>
      <c r="F21" s="2030">
        <v>80</v>
      </c>
      <c r="G21" s="1590">
        <f t="shared" si="4"/>
        <v>7204.8</v>
      </c>
      <c r="H21" s="1642"/>
      <c r="I21" s="795">
        <v>46038</v>
      </c>
      <c r="J21" s="1711">
        <f t="shared" si="5"/>
        <v>0</v>
      </c>
      <c r="K21" s="1711"/>
      <c r="L21" s="1903">
        <f t="shared" si="0"/>
        <v>0</v>
      </c>
      <c r="M21" s="1708"/>
      <c r="N21" s="1708"/>
      <c r="O21" s="1721"/>
      <c r="P21" s="1708"/>
      <c r="Q21" s="1708"/>
      <c r="R21" s="1586"/>
      <c r="S21" s="2192"/>
      <c r="T21" s="2193"/>
    </row>
    <row r="22" spans="2:22" x14ac:dyDescent="0.25">
      <c r="B22" s="1586" t="s">
        <v>899</v>
      </c>
      <c r="C22" s="1587">
        <v>14</v>
      </c>
      <c r="D22" s="1587">
        <v>790</v>
      </c>
      <c r="E22" s="1588">
        <f>C22*D22/1000</f>
        <v>11.06</v>
      </c>
      <c r="F22" s="2030">
        <v>30</v>
      </c>
      <c r="G22" s="1590">
        <f t="shared" si="4"/>
        <v>3318</v>
      </c>
      <c r="H22" s="1594"/>
      <c r="I22" s="795">
        <v>46039</v>
      </c>
      <c r="J22" s="1711">
        <f t="shared" si="5"/>
        <v>0</v>
      </c>
      <c r="K22" s="1711">
        <v>300254</v>
      </c>
      <c r="L22" s="1903">
        <f t="shared" si="0"/>
        <v>-300254</v>
      </c>
      <c r="M22" s="1708"/>
      <c r="N22" s="1708"/>
      <c r="O22" s="1721"/>
      <c r="P22" s="1708"/>
      <c r="Q22" s="1708"/>
      <c r="R22" s="1586"/>
      <c r="S22" s="2192"/>
      <c r="T22" s="2193"/>
    </row>
    <row r="23" spans="2:22" x14ac:dyDescent="0.25">
      <c r="B23" s="1586" t="s">
        <v>900</v>
      </c>
      <c r="C23" s="1641">
        <v>149.76</v>
      </c>
      <c r="D23" s="1587">
        <v>790</v>
      </c>
      <c r="E23" s="1588">
        <f>C23*D23/1000</f>
        <v>118.31039999999999</v>
      </c>
      <c r="F23" s="2030">
        <v>100</v>
      </c>
      <c r="G23" s="1590">
        <f t="shared" si="4"/>
        <v>118310.39999999999</v>
      </c>
      <c r="H23" s="1595"/>
      <c r="I23" s="795">
        <v>46040</v>
      </c>
      <c r="J23" s="1711">
        <f t="shared" si="5"/>
        <v>300254</v>
      </c>
      <c r="K23" s="1711">
        <v>296976</v>
      </c>
      <c r="L23" s="1903">
        <f t="shared" si="0"/>
        <v>3278</v>
      </c>
      <c r="M23" s="1708"/>
      <c r="N23" s="1708"/>
      <c r="O23" s="1721"/>
      <c r="P23" s="1708"/>
      <c r="Q23" s="1708"/>
      <c r="R23" s="1586"/>
      <c r="S23" s="2192"/>
      <c r="T23" s="2193"/>
    </row>
    <row r="24" spans="2:22" x14ac:dyDescent="0.25">
      <c r="B24" s="1587"/>
      <c r="C24" s="1588">
        <f>SUM(C6:C23)</f>
        <v>490.45999999999992</v>
      </c>
      <c r="D24" s="1587"/>
      <c r="E24" s="1588">
        <f>SUM(E6:E23)</f>
        <v>404.53420000000006</v>
      </c>
      <c r="F24" s="1918"/>
      <c r="G24" s="1596">
        <f t="shared" si="4"/>
        <v>0</v>
      </c>
      <c r="H24" s="1601"/>
      <c r="I24" s="795">
        <v>46041</v>
      </c>
      <c r="J24" s="1711">
        <f>K23</f>
        <v>296976</v>
      </c>
      <c r="K24" s="1711">
        <v>318272</v>
      </c>
      <c r="L24" s="1903">
        <f t="shared" si="0"/>
        <v>-21296</v>
      </c>
      <c r="M24" s="1708"/>
      <c r="N24" s="1708"/>
      <c r="O24" s="1721"/>
      <c r="P24" s="1708"/>
      <c r="Q24" s="1708"/>
      <c r="R24" s="1586"/>
      <c r="S24" s="2192"/>
      <c r="T24" s="2193"/>
    </row>
    <row r="25" spans="2:22" ht="15.75" x14ac:dyDescent="0.25">
      <c r="E25" s="1595"/>
      <c r="F25" s="2164" t="s">
        <v>901</v>
      </c>
      <c r="G25" s="1603">
        <f>SUM(G6:G24)</f>
        <v>301079.06499999994</v>
      </c>
      <c r="H25" s="1601"/>
      <c r="I25" s="795">
        <v>46042</v>
      </c>
      <c r="J25" s="1711">
        <f>K24</f>
        <v>318272</v>
      </c>
      <c r="K25" s="1711">
        <v>300254</v>
      </c>
      <c r="L25" s="1903">
        <f t="shared" si="0"/>
        <v>18018</v>
      </c>
      <c r="M25" s="1708"/>
      <c r="N25" s="1708"/>
      <c r="O25" s="1721"/>
      <c r="P25" s="1708"/>
      <c r="Q25" s="1708"/>
      <c r="R25" s="1586"/>
      <c r="S25" s="2192"/>
      <c r="T25" s="2193"/>
    </row>
    <row r="26" spans="2:22" ht="15.75" x14ac:dyDescent="0.25">
      <c r="B26" s="1642"/>
      <c r="C26" s="1910"/>
      <c r="D26" s="1910"/>
      <c r="E26" s="1910"/>
      <c r="F26" s="1911"/>
      <c r="G26" s="1603"/>
      <c r="H26" s="1601"/>
      <c r="I26" s="795">
        <v>46043</v>
      </c>
      <c r="J26" s="1711">
        <f t="shared" ref="J26:J30" si="6">K25</f>
        <v>300254</v>
      </c>
      <c r="K26" s="1711">
        <v>316518</v>
      </c>
      <c r="L26" s="1903">
        <f t="shared" si="0"/>
        <v>-16264</v>
      </c>
      <c r="M26" s="1708"/>
      <c r="N26" s="1708"/>
      <c r="O26" s="1721"/>
      <c r="P26" s="1708"/>
      <c r="Q26" s="1708"/>
      <c r="R26" s="1586"/>
      <c r="S26" s="2192"/>
      <c r="T26" s="2193"/>
      <c r="U26" s="1585"/>
    </row>
    <row r="27" spans="2:22" x14ac:dyDescent="0.25">
      <c r="B27" s="1642"/>
      <c r="E27" s="1595"/>
      <c r="F27" s="1601"/>
      <c r="G27" s="1912"/>
      <c r="H27" s="1601"/>
      <c r="I27" s="795">
        <v>46044</v>
      </c>
      <c r="J27" s="1711">
        <f t="shared" si="6"/>
        <v>316518</v>
      </c>
      <c r="K27" s="1711">
        <v>308256</v>
      </c>
      <c r="L27" s="1903">
        <f t="shared" si="0"/>
        <v>8262</v>
      </c>
      <c r="M27" s="1708"/>
      <c r="N27" s="1708"/>
      <c r="O27" s="1721"/>
      <c r="P27" s="1708"/>
      <c r="Q27" s="1708"/>
      <c r="R27" s="1586"/>
      <c r="S27" s="2192"/>
      <c r="T27" s="2193"/>
    </row>
    <row r="28" spans="2:22" ht="15.75" x14ac:dyDescent="0.25">
      <c r="B28" s="1642"/>
      <c r="E28" s="1595"/>
      <c r="F28" s="1601"/>
      <c r="G28" s="1603"/>
      <c r="H28" s="1601"/>
      <c r="I28" s="795">
        <v>46045</v>
      </c>
      <c r="J28" s="1711">
        <f t="shared" si="6"/>
        <v>308256</v>
      </c>
      <c r="K28" s="1711">
        <v>310512</v>
      </c>
      <c r="L28" s="1903">
        <f t="shared" si="0"/>
        <v>-2256</v>
      </c>
      <c r="M28" s="1708"/>
      <c r="N28" s="1708"/>
      <c r="O28" s="1721"/>
      <c r="P28" s="1708"/>
      <c r="Q28" s="1708"/>
      <c r="R28" s="1586"/>
      <c r="S28" s="2192"/>
      <c r="T28" s="2193"/>
    </row>
    <row r="29" spans="2:22" ht="15.75" x14ac:dyDescent="0.25">
      <c r="B29" s="1642"/>
      <c r="E29" s="1595"/>
      <c r="F29" s="1601"/>
      <c r="G29" s="1603"/>
      <c r="H29" s="1601"/>
      <c r="I29" s="795">
        <v>46046</v>
      </c>
      <c r="J29" s="1711">
        <f t="shared" si="6"/>
        <v>310512</v>
      </c>
      <c r="K29" s="1711">
        <v>305936</v>
      </c>
      <c r="L29" s="1903">
        <f t="shared" si="0"/>
        <v>4576</v>
      </c>
      <c r="M29" s="1708"/>
      <c r="N29" s="1708"/>
      <c r="O29" s="1721"/>
      <c r="P29" s="1708"/>
      <c r="Q29" s="1708"/>
      <c r="R29" s="1586"/>
      <c r="S29" s="2192"/>
      <c r="T29" s="2193"/>
      <c r="V29" s="1585"/>
    </row>
    <row r="30" spans="2:22" x14ac:dyDescent="0.25">
      <c r="H30" s="1595"/>
      <c r="I30" s="795">
        <v>46047</v>
      </c>
      <c r="J30" s="1711">
        <f t="shared" si="6"/>
        <v>305936</v>
      </c>
      <c r="K30" s="1711">
        <v>306307</v>
      </c>
      <c r="L30" s="1903">
        <f t="shared" si="0"/>
        <v>-371</v>
      </c>
      <c r="M30" s="1708"/>
      <c r="N30" s="1708"/>
      <c r="O30" s="1721"/>
      <c r="P30" s="1708"/>
      <c r="Q30" s="1708"/>
      <c r="R30" s="1586"/>
      <c r="S30" s="2192"/>
      <c r="T30" s="2193"/>
    </row>
    <row r="31" spans="2:22" x14ac:dyDescent="0.25">
      <c r="H31" s="1598">
        <v>0</v>
      </c>
      <c r="I31" s="795">
        <v>46048</v>
      </c>
      <c r="J31" s="1711">
        <f t="shared" ref="J31:J36" si="7">K30</f>
        <v>306307</v>
      </c>
      <c r="K31" s="1902">
        <v>311257</v>
      </c>
      <c r="L31" s="1903">
        <f t="shared" si="0"/>
        <v>-4950</v>
      </c>
      <c r="M31" s="1708"/>
      <c r="N31" s="1708"/>
      <c r="O31" s="1721"/>
      <c r="P31" s="1708"/>
      <c r="Q31" s="1708"/>
      <c r="R31" s="1586"/>
      <c r="S31" s="2192"/>
      <c r="T31" s="2193"/>
    </row>
    <row r="32" spans="2:22" x14ac:dyDescent="0.25">
      <c r="H32" s="1598"/>
      <c r="I32" s="795">
        <v>46049</v>
      </c>
      <c r="J32" s="1711">
        <f t="shared" si="7"/>
        <v>311257</v>
      </c>
      <c r="K32" s="1902">
        <v>302600</v>
      </c>
      <c r="L32" s="1903">
        <f t="shared" si="0"/>
        <v>8657</v>
      </c>
      <c r="M32" s="1708"/>
      <c r="N32" s="1708"/>
      <c r="O32" s="1721"/>
      <c r="P32" s="1708"/>
      <c r="Q32" s="1708"/>
      <c r="R32" s="1586"/>
      <c r="S32" s="2192"/>
      <c r="T32" s="2193"/>
    </row>
    <row r="33" spans="2:20" x14ac:dyDescent="0.25">
      <c r="H33" s="1598"/>
      <c r="I33" s="795">
        <v>46050</v>
      </c>
      <c r="J33" s="1711">
        <f t="shared" si="7"/>
        <v>302600</v>
      </c>
      <c r="K33" s="1902">
        <v>301618</v>
      </c>
      <c r="L33" s="1903">
        <f t="shared" si="0"/>
        <v>982</v>
      </c>
      <c r="M33" s="1708"/>
      <c r="N33" s="1708"/>
      <c r="O33" s="1721"/>
      <c r="P33" s="1708"/>
      <c r="Q33" s="1708"/>
      <c r="R33" s="1586"/>
      <c r="S33" s="2192"/>
      <c r="T33" s="2193"/>
    </row>
    <row r="34" spans="2:20" x14ac:dyDescent="0.25">
      <c r="H34" s="1598"/>
      <c r="I34" s="795">
        <v>46051</v>
      </c>
      <c r="J34" s="1711">
        <f t="shared" si="7"/>
        <v>301618</v>
      </c>
      <c r="K34" s="1902">
        <v>294058</v>
      </c>
      <c r="L34" s="1903">
        <f t="shared" si="0"/>
        <v>7560</v>
      </c>
      <c r="M34" s="1708"/>
      <c r="N34" s="1708"/>
      <c r="O34" s="1721"/>
      <c r="P34" s="1708"/>
      <c r="Q34" s="1708"/>
      <c r="R34" s="1586"/>
      <c r="S34" s="2192"/>
      <c r="T34" s="2193"/>
    </row>
    <row r="35" spans="2:20" x14ac:dyDescent="0.25">
      <c r="I35" s="795">
        <v>46052</v>
      </c>
      <c r="J35" s="1711">
        <f t="shared" si="7"/>
        <v>294058</v>
      </c>
      <c r="K35" s="1902">
        <v>298910</v>
      </c>
      <c r="L35" s="1903">
        <f t="shared" si="0"/>
        <v>-4852</v>
      </c>
      <c r="M35" s="1708"/>
      <c r="N35" s="1708"/>
      <c r="O35" s="1721"/>
      <c r="P35" s="1708"/>
      <c r="Q35" s="1708"/>
      <c r="R35" s="1586"/>
      <c r="S35" s="2192"/>
      <c r="T35" s="2193"/>
    </row>
    <row r="36" spans="2:20" x14ac:dyDescent="0.25">
      <c r="I36" s="795">
        <v>46053</v>
      </c>
      <c r="J36" s="1711">
        <f t="shared" si="7"/>
        <v>298910</v>
      </c>
      <c r="K36" s="1902">
        <v>301079</v>
      </c>
      <c r="L36" s="1903">
        <f t="shared" ref="L36" si="8">J36-K36</f>
        <v>-2169</v>
      </c>
      <c r="M36" s="1732"/>
      <c r="N36" s="1732"/>
      <c r="O36" s="1733"/>
      <c r="P36" s="1732"/>
      <c r="Q36" s="1732"/>
      <c r="R36" s="1734"/>
      <c r="S36" s="1731"/>
      <c r="T36" s="1731"/>
    </row>
    <row r="37" spans="2:20" x14ac:dyDescent="0.25">
      <c r="I37" s="1650"/>
      <c r="J37" s="1732"/>
      <c r="K37" s="1732"/>
      <c r="M37" s="1732"/>
      <c r="N37" s="1732"/>
      <c r="O37" s="1733"/>
      <c r="P37" s="1732"/>
      <c r="Q37" s="1732"/>
      <c r="R37" s="1734"/>
      <c r="S37" s="1731"/>
      <c r="T37" s="1731"/>
    </row>
    <row r="38" spans="2:20" hidden="1" x14ac:dyDescent="0.25">
      <c r="B38" s="1582" t="s">
        <v>902</v>
      </c>
      <c r="I38" s="1650"/>
    </row>
    <row r="39" spans="2:20" hidden="1" x14ac:dyDescent="0.25">
      <c r="B39" s="1586" t="s">
        <v>903</v>
      </c>
      <c r="C39" s="1587">
        <f>5.3+0.78</f>
        <v>6.08</v>
      </c>
      <c r="D39" s="1587">
        <v>840</v>
      </c>
      <c r="E39" s="1588">
        <f>C39*D39/1000</f>
        <v>5.1071999999999997</v>
      </c>
      <c r="F39" s="1589">
        <v>0</v>
      </c>
      <c r="G39" s="1599">
        <f>F39*E39/100*1000</f>
        <v>0</v>
      </c>
      <c r="I39" s="1650"/>
    </row>
    <row r="40" spans="2:20" hidden="1" x14ac:dyDescent="0.25">
      <c r="B40" s="1619"/>
      <c r="C40" s="1619"/>
      <c r="D40" s="1619"/>
      <c r="E40" s="1648"/>
      <c r="F40" s="1648"/>
      <c r="G40" s="1647"/>
      <c r="I40" s="1650"/>
    </row>
    <row r="41" spans="2:20" hidden="1" x14ac:dyDescent="0.25">
      <c r="B41" s="1582" t="s">
        <v>904</v>
      </c>
      <c r="F41" s="1648"/>
      <c r="G41" s="1647"/>
      <c r="I41" s="1650"/>
    </row>
    <row r="42" spans="2:20" hidden="1" x14ac:dyDescent="0.25">
      <c r="B42" s="1587"/>
      <c r="C42" s="2063" t="s">
        <v>1119</v>
      </c>
      <c r="D42" s="2063" t="s">
        <v>1120</v>
      </c>
      <c r="E42" s="1587" t="s">
        <v>806</v>
      </c>
      <c r="F42" s="1648"/>
      <c r="G42" s="1647"/>
      <c r="I42" s="1650"/>
    </row>
    <row r="43" spans="2:20" hidden="1" x14ac:dyDescent="0.25">
      <c r="B43" s="1587" t="s">
        <v>905</v>
      </c>
      <c r="C43" s="1599"/>
      <c r="D43" s="1599"/>
      <c r="E43" s="1600"/>
      <c r="F43" s="1619"/>
      <c r="I43" s="1650"/>
    </row>
    <row r="44" spans="2:20" hidden="1" x14ac:dyDescent="0.25">
      <c r="B44" s="1649" t="s">
        <v>989</v>
      </c>
      <c r="C44" s="1600"/>
      <c r="D44" s="1600">
        <v>298</v>
      </c>
      <c r="E44" s="1600"/>
      <c r="F44" s="1619"/>
      <c r="I44" s="1650"/>
    </row>
    <row r="45" spans="2:20" hidden="1" x14ac:dyDescent="0.25">
      <c r="B45" s="1649" t="s">
        <v>990</v>
      </c>
      <c r="C45" s="1600"/>
      <c r="D45" s="1600"/>
      <c r="E45" s="1600"/>
      <c r="F45" s="1619"/>
    </row>
    <row r="46" spans="2:20" hidden="1" x14ac:dyDescent="0.25">
      <c r="B46" s="1587" t="s">
        <v>906</v>
      </c>
      <c r="C46" s="1600"/>
      <c r="D46" s="1600"/>
      <c r="E46" s="1600"/>
    </row>
    <row r="47" spans="2:20" hidden="1" x14ac:dyDescent="0.25">
      <c r="B47" s="1587" t="s">
        <v>595</v>
      </c>
      <c r="C47" s="1587"/>
      <c r="D47" s="1587"/>
      <c r="E47" s="1587"/>
    </row>
    <row r="48" spans="2:20" hidden="1" x14ac:dyDescent="0.25">
      <c r="B48" s="1587" t="s">
        <v>907</v>
      </c>
      <c r="C48" s="1587"/>
      <c r="D48" s="1587"/>
      <c r="E48" s="1587"/>
    </row>
    <row r="49" spans="2:5" hidden="1" x14ac:dyDescent="0.25">
      <c r="B49" s="1587"/>
      <c r="C49" s="1600"/>
      <c r="D49" s="1600"/>
      <c r="E49" s="1600"/>
    </row>
    <row r="50" spans="2:5" hidden="1" x14ac:dyDescent="0.25">
      <c r="B50" s="1587"/>
      <c r="C50" s="1587"/>
      <c r="D50" s="1587"/>
      <c r="E50" s="1587"/>
    </row>
    <row r="51" spans="2:5" hidden="1" x14ac:dyDescent="0.25">
      <c r="B51" s="1587"/>
      <c r="C51" s="1587"/>
      <c r="D51" s="1587"/>
      <c r="E51" s="1587"/>
    </row>
  </sheetData>
  <mergeCells count="34">
    <mergeCell ref="J4:L4"/>
    <mergeCell ref="M4:O4"/>
    <mergeCell ref="P4:R4"/>
    <mergeCell ref="S4:T5"/>
    <mergeCell ref="S6:T6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1:T31"/>
    <mergeCell ref="S32:T32"/>
    <mergeCell ref="S33:T33"/>
    <mergeCell ref="S34:T34"/>
    <mergeCell ref="S35:T35"/>
  </mergeCells>
  <pageMargins left="0.7" right="0.7" top="0.75" bottom="0.75" header="0.3" footer="0.3"/>
  <pageSetup paperSize="5" scale="50" orientation="landscape" horizontalDpi="360" verticalDpi="36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BE44"/>
  <sheetViews>
    <sheetView topLeftCell="I10" zoomScale="85" zoomScaleNormal="85" workbookViewId="0">
      <selection activeCell="K37" sqref="K37"/>
    </sheetView>
  </sheetViews>
  <sheetFormatPr defaultColWidth="12.5703125" defaultRowHeight="15" x14ac:dyDescent="0.25"/>
  <cols>
    <col min="1" max="1" width="16.5703125" style="1582" customWidth="1"/>
    <col min="2" max="2" width="16.42578125" style="1582" customWidth="1"/>
    <col min="3" max="4" width="12.5703125" style="1582"/>
    <col min="5" max="5" width="14.42578125" style="1582" customWidth="1"/>
    <col min="6" max="6" width="15.42578125" style="1582" customWidth="1"/>
    <col min="7" max="7" width="15.42578125" style="1582" bestFit="1" customWidth="1"/>
    <col min="8" max="8" width="26" style="1582" customWidth="1"/>
    <col min="9" max="9" width="20.140625" style="1582" bestFit="1" customWidth="1"/>
    <col min="10" max="10" width="9.42578125" style="1582" customWidth="1"/>
    <col min="11" max="11" width="11.140625" style="1582" bestFit="1" customWidth="1"/>
    <col min="12" max="12" width="11.5703125" style="1582" hidden="1" customWidth="1"/>
    <col min="13" max="14" width="10.5703125" style="1582" customWidth="1"/>
    <col min="15" max="15" width="11" style="1582" hidden="1" customWidth="1"/>
    <col min="16" max="16" width="9.42578125" style="1582" customWidth="1"/>
    <col min="17" max="17" width="11.140625" style="1582" customWidth="1"/>
    <col min="18" max="18" width="0.42578125" style="1582" customWidth="1"/>
    <col min="19" max="20" width="9.42578125" style="1582" customWidth="1"/>
    <col min="21" max="21" width="9.5703125" style="1582" customWidth="1"/>
    <col min="22" max="22" width="10.5703125" style="1582" bestFit="1" customWidth="1"/>
    <col min="23" max="23" width="9.5703125" style="1582" customWidth="1"/>
    <col min="24" max="16384" width="12.5703125" style="1582"/>
  </cols>
  <sheetData>
    <row r="1" spans="1:23" ht="15" customHeight="1" x14ac:dyDescent="0.25">
      <c r="E1" s="2266"/>
      <c r="F1" s="2266"/>
      <c r="G1" s="2266"/>
    </row>
    <row r="2" spans="1:23" ht="15" customHeight="1" x14ac:dyDescent="0.25">
      <c r="E2" s="2266"/>
      <c r="F2" s="2266"/>
      <c r="G2" s="2266"/>
    </row>
    <row r="4" spans="1:23" ht="18.75" x14ac:dyDescent="0.3">
      <c r="A4" s="1582" t="s">
        <v>908</v>
      </c>
      <c r="I4" s="2267" t="s">
        <v>984</v>
      </c>
      <c r="J4" s="2268"/>
      <c r="K4" s="2268"/>
      <c r="L4" s="2268"/>
      <c r="M4" s="2268"/>
      <c r="N4" s="2268"/>
      <c r="O4" s="2268"/>
      <c r="P4" s="2268"/>
      <c r="Q4" s="2268"/>
      <c r="R4" s="2269"/>
      <c r="S4" s="2270" t="s">
        <v>985</v>
      </c>
      <c r="T4" s="2270"/>
      <c r="U4" s="2270"/>
      <c r="V4" s="2270"/>
      <c r="W4" s="2271" t="s">
        <v>1098</v>
      </c>
    </row>
    <row r="5" spans="1:23" ht="15.75" x14ac:dyDescent="0.25">
      <c r="A5" s="1642" t="s">
        <v>1137</v>
      </c>
      <c r="I5" s="2273" t="s">
        <v>983</v>
      </c>
      <c r="J5" s="2274"/>
      <c r="K5" s="2274"/>
      <c r="L5" s="2275"/>
      <c r="M5" s="2276" t="s">
        <v>970</v>
      </c>
      <c r="N5" s="2277"/>
      <c r="O5" s="2278"/>
      <c r="P5" s="2279" t="s">
        <v>73</v>
      </c>
      <c r="Q5" s="2279"/>
      <c r="R5" s="2279"/>
      <c r="S5" s="2280" t="s">
        <v>974</v>
      </c>
      <c r="T5" s="2280"/>
      <c r="U5" s="2280" t="s">
        <v>975</v>
      </c>
      <c r="V5" s="2280"/>
      <c r="W5" s="2272"/>
    </row>
    <row r="6" spans="1:23" ht="165" x14ac:dyDescent="0.25">
      <c r="A6" s="1605" t="s">
        <v>877</v>
      </c>
      <c r="B6" s="1604" t="s">
        <v>878</v>
      </c>
      <c r="C6" s="1604" t="s">
        <v>879</v>
      </c>
      <c r="D6" s="1605" t="s">
        <v>880</v>
      </c>
      <c r="E6" s="1604" t="s">
        <v>909</v>
      </c>
      <c r="F6" s="1606" t="s">
        <v>910</v>
      </c>
      <c r="G6" s="1605" t="s">
        <v>14</v>
      </c>
      <c r="I6" s="1714" t="s">
        <v>168</v>
      </c>
      <c r="J6" s="1715" t="s">
        <v>169</v>
      </c>
      <c r="K6" s="1715" t="s">
        <v>170</v>
      </c>
      <c r="L6" s="1715" t="s">
        <v>973</v>
      </c>
      <c r="M6" s="1716" t="s">
        <v>169</v>
      </c>
      <c r="N6" s="1716" t="s">
        <v>170</v>
      </c>
      <c r="O6" s="1716" t="s">
        <v>973</v>
      </c>
      <c r="P6" s="1717" t="s">
        <v>169</v>
      </c>
      <c r="Q6" s="1717" t="s">
        <v>170</v>
      </c>
      <c r="R6" s="1728" t="s">
        <v>973</v>
      </c>
      <c r="S6" s="1913" t="s">
        <v>169</v>
      </c>
      <c r="T6" s="1913" t="s">
        <v>972</v>
      </c>
      <c r="U6" s="1914" t="s">
        <v>169</v>
      </c>
      <c r="V6" s="1914" t="s">
        <v>972</v>
      </c>
      <c r="W6" s="1914"/>
    </row>
    <row r="7" spans="1:23" x14ac:dyDescent="0.25">
      <c r="A7" s="1586" t="s">
        <v>911</v>
      </c>
      <c r="B7" s="1588">
        <v>70.510000000000005</v>
      </c>
      <c r="C7" s="1607">
        <v>890</v>
      </c>
      <c r="D7" s="1588">
        <v>60</v>
      </c>
      <c r="E7" s="1608">
        <f>D7/100</f>
        <v>0.6</v>
      </c>
      <c r="F7" s="2030">
        <v>100</v>
      </c>
      <c r="G7" s="1609">
        <f>E7*F7*1000</f>
        <v>60000</v>
      </c>
      <c r="H7" s="1582" t="s">
        <v>215</v>
      </c>
      <c r="I7" s="795">
        <v>46023</v>
      </c>
      <c r="J7" s="2034">
        <v>478500</v>
      </c>
      <c r="K7" s="2034">
        <v>478800</v>
      </c>
      <c r="L7" s="1720"/>
      <c r="M7" s="2036">
        <v>69301</v>
      </c>
      <c r="N7" s="2036">
        <v>21197</v>
      </c>
      <c r="O7" s="1586"/>
      <c r="P7" s="304"/>
      <c r="Q7" s="1587"/>
      <c r="R7" s="1718"/>
      <c r="S7" s="1901">
        <v>123912</v>
      </c>
      <c r="T7" s="1901">
        <v>72500</v>
      </c>
      <c r="U7" s="1901">
        <v>118012</v>
      </c>
      <c r="V7" s="1901">
        <v>72500</v>
      </c>
      <c r="W7" s="1708"/>
    </row>
    <row r="8" spans="1:23" x14ac:dyDescent="0.25">
      <c r="A8" s="1586" t="s">
        <v>912</v>
      </c>
      <c r="B8" s="1588">
        <v>70.510000000000005</v>
      </c>
      <c r="C8" s="1607">
        <v>890</v>
      </c>
      <c r="D8" s="1588">
        <v>60</v>
      </c>
      <c r="E8" s="1608">
        <f>D8/100</f>
        <v>0.6</v>
      </c>
      <c r="F8" s="2030">
        <v>100</v>
      </c>
      <c r="G8" s="1609">
        <f>E8*F8*1000</f>
        <v>60000</v>
      </c>
      <c r="H8" s="1610"/>
      <c r="I8" s="795">
        <v>46024</v>
      </c>
      <c r="J8" s="1901">
        <f>K7</f>
        <v>478800</v>
      </c>
      <c r="K8" s="2034">
        <v>599220</v>
      </c>
      <c r="L8" s="1720"/>
      <c r="M8" s="1901">
        <f>N7</f>
        <v>21197</v>
      </c>
      <c r="N8" s="2036">
        <v>20558</v>
      </c>
      <c r="O8" s="1586"/>
      <c r="P8" s="1587"/>
      <c r="Q8" s="1587"/>
      <c r="R8" s="1718"/>
      <c r="S8" s="1901">
        <f>T7</f>
        <v>72500</v>
      </c>
      <c r="T8" s="1901">
        <v>165700</v>
      </c>
      <c r="U8" s="1901">
        <f>V7</f>
        <v>72500</v>
      </c>
      <c r="V8" s="1901">
        <v>155293</v>
      </c>
      <c r="W8" s="1708"/>
    </row>
    <row r="9" spans="1:23" x14ac:dyDescent="0.25">
      <c r="A9" s="1586" t="s">
        <v>913</v>
      </c>
      <c r="B9" s="1588">
        <v>70.510000000000005</v>
      </c>
      <c r="C9" s="1607">
        <v>890</v>
      </c>
      <c r="D9" s="1588">
        <v>60</v>
      </c>
      <c r="E9" s="1608">
        <f t="shared" ref="E9:E21" si="0">D9/100</f>
        <v>0.6</v>
      </c>
      <c r="F9" s="2030">
        <v>42.4</v>
      </c>
      <c r="G9" s="1609">
        <f t="shared" ref="G9:G21" si="1">E9*F9*1000</f>
        <v>25439.999999999996</v>
      </c>
      <c r="I9" s="795">
        <v>46025</v>
      </c>
      <c r="J9" s="1901">
        <f>K8</f>
        <v>599220</v>
      </c>
      <c r="K9" s="2034">
        <v>592620</v>
      </c>
      <c r="L9" s="1720"/>
      <c r="M9" s="1901">
        <f>N8</f>
        <v>20558</v>
      </c>
      <c r="N9" s="2036">
        <v>20374</v>
      </c>
      <c r="O9" s="1586"/>
      <c r="P9" s="1587"/>
      <c r="Q9" s="1587"/>
      <c r="R9" s="1718"/>
      <c r="S9" s="1901">
        <f>T8</f>
        <v>165700</v>
      </c>
      <c r="T9" s="1901">
        <v>255000</v>
      </c>
      <c r="U9" s="1901">
        <f>V8</f>
        <v>155293</v>
      </c>
      <c r="V9" s="1901">
        <v>255000</v>
      </c>
      <c r="W9" s="1708"/>
    </row>
    <row r="10" spans="1:23" x14ac:dyDescent="0.25">
      <c r="A10" s="1586" t="s">
        <v>914</v>
      </c>
      <c r="B10" s="1588">
        <v>70.510000000000005</v>
      </c>
      <c r="C10" s="1607">
        <v>890</v>
      </c>
      <c r="D10" s="1588">
        <v>60</v>
      </c>
      <c r="E10" s="1608">
        <f t="shared" si="0"/>
        <v>0.6</v>
      </c>
      <c r="F10" s="2030">
        <v>100</v>
      </c>
      <c r="G10" s="1609">
        <f t="shared" si="1"/>
        <v>60000</v>
      </c>
      <c r="I10" s="795">
        <v>46026</v>
      </c>
      <c r="J10" s="1901">
        <f>K9</f>
        <v>592620</v>
      </c>
      <c r="K10" s="1901">
        <v>0</v>
      </c>
      <c r="L10" s="1901"/>
      <c r="M10" s="1901">
        <f>N9</f>
        <v>20374</v>
      </c>
      <c r="N10" s="1901">
        <v>20402</v>
      </c>
      <c r="O10" s="1901"/>
      <c r="P10" s="1901"/>
      <c r="Q10" s="1901"/>
      <c r="R10" s="1901"/>
      <c r="S10" s="1901">
        <f>T9</f>
        <v>255000</v>
      </c>
      <c r="T10" s="1901">
        <v>0</v>
      </c>
      <c r="U10" s="1901">
        <f>V9</f>
        <v>255000</v>
      </c>
      <c r="V10" s="1901">
        <v>0</v>
      </c>
      <c r="W10" s="1901"/>
    </row>
    <row r="11" spans="1:23" x14ac:dyDescent="0.25">
      <c r="A11" s="1586" t="s">
        <v>915</v>
      </c>
      <c r="B11" s="1588">
        <v>70.510000000000005</v>
      </c>
      <c r="C11" s="1607">
        <v>890</v>
      </c>
      <c r="D11" s="1588">
        <v>60</v>
      </c>
      <c r="E11" s="1608">
        <f t="shared" si="0"/>
        <v>0.6</v>
      </c>
      <c r="F11" s="2030">
        <v>100</v>
      </c>
      <c r="G11" s="1609">
        <f t="shared" si="1"/>
        <v>60000</v>
      </c>
      <c r="I11" s="795">
        <v>46027</v>
      </c>
      <c r="J11" s="1901">
        <f>K10</f>
        <v>0</v>
      </c>
      <c r="K11" s="1901">
        <v>0</v>
      </c>
      <c r="L11" s="1901"/>
      <c r="M11" s="1901">
        <f>N10</f>
        <v>20402</v>
      </c>
      <c r="N11" s="1901">
        <v>20402</v>
      </c>
      <c r="O11" s="1901"/>
      <c r="P11" s="1901"/>
      <c r="Q11" s="1901"/>
      <c r="R11" s="1901"/>
      <c r="S11" s="1901">
        <f>T10</f>
        <v>0</v>
      </c>
      <c r="T11" s="1901">
        <v>0</v>
      </c>
      <c r="U11" s="1901">
        <f>V10</f>
        <v>0</v>
      </c>
      <c r="V11" s="1901">
        <v>0</v>
      </c>
      <c r="W11" s="1901"/>
    </row>
    <row r="12" spans="1:23" x14ac:dyDescent="0.25">
      <c r="A12" s="1586" t="s">
        <v>916</v>
      </c>
      <c r="B12" s="1588">
        <v>70.510000000000005</v>
      </c>
      <c r="C12" s="1607">
        <v>890</v>
      </c>
      <c r="D12" s="1588">
        <v>60</v>
      </c>
      <c r="E12" s="1608">
        <f t="shared" si="0"/>
        <v>0.6</v>
      </c>
      <c r="F12" s="2030">
        <v>100</v>
      </c>
      <c r="G12" s="1609">
        <f>E12*F12*1000</f>
        <v>60000</v>
      </c>
      <c r="I12" s="795">
        <v>46028</v>
      </c>
      <c r="J12" s="1901">
        <f t="shared" ref="J12:J13" si="2">K11</f>
        <v>0</v>
      </c>
      <c r="K12" s="1901">
        <v>0</v>
      </c>
      <c r="L12" s="1901"/>
      <c r="M12" s="1901">
        <f t="shared" ref="M12:M13" si="3">N11</f>
        <v>20402</v>
      </c>
      <c r="N12" s="1901">
        <v>0</v>
      </c>
      <c r="O12" s="1901"/>
      <c r="P12" s="1901"/>
      <c r="Q12" s="1901"/>
      <c r="R12" s="1901"/>
      <c r="S12" s="1901">
        <f>T11</f>
        <v>0</v>
      </c>
      <c r="T12" s="1901">
        <v>0</v>
      </c>
      <c r="U12" s="1901">
        <f t="shared" ref="U12:U14" si="4">V11</f>
        <v>0</v>
      </c>
      <c r="V12" s="1901">
        <v>0</v>
      </c>
      <c r="W12" s="1901"/>
    </row>
    <row r="13" spans="1:23" x14ac:dyDescent="0.25">
      <c r="A13" s="1586" t="s">
        <v>917</v>
      </c>
      <c r="B13" s="1588">
        <v>70.510000000000005</v>
      </c>
      <c r="C13" s="1607">
        <v>890</v>
      </c>
      <c r="D13" s="1588">
        <v>60</v>
      </c>
      <c r="E13" s="1608">
        <f>D13/100</f>
        <v>0.6</v>
      </c>
      <c r="F13" s="2030">
        <v>100</v>
      </c>
      <c r="G13" s="1609">
        <f t="shared" si="1"/>
        <v>60000</v>
      </c>
      <c r="H13" s="1611"/>
      <c r="I13" s="795">
        <v>46029</v>
      </c>
      <c r="J13" s="1901">
        <f t="shared" si="2"/>
        <v>0</v>
      </c>
      <c r="K13" s="1901">
        <v>496020</v>
      </c>
      <c r="L13" s="1901"/>
      <c r="M13" s="1901">
        <f t="shared" si="3"/>
        <v>0</v>
      </c>
      <c r="N13" s="1901">
        <v>21632</v>
      </c>
      <c r="O13" s="1901"/>
      <c r="P13" s="1901"/>
      <c r="Q13" s="1901"/>
      <c r="R13" s="1901"/>
      <c r="S13" s="1901">
        <f t="shared" ref="S13:S14" si="5">T12</f>
        <v>0</v>
      </c>
      <c r="T13" s="1901">
        <v>133300</v>
      </c>
      <c r="U13" s="1901">
        <f t="shared" si="4"/>
        <v>0</v>
      </c>
      <c r="V13" s="1901">
        <v>106874</v>
      </c>
      <c r="W13" s="1901"/>
    </row>
    <row r="14" spans="1:23" x14ac:dyDescent="0.25">
      <c r="A14" s="1586" t="s">
        <v>918</v>
      </c>
      <c r="B14" s="1588">
        <v>70.510000000000005</v>
      </c>
      <c r="C14" s="1607">
        <v>890</v>
      </c>
      <c r="D14" s="1588">
        <v>60</v>
      </c>
      <c r="E14" s="1608">
        <f>D14/100</f>
        <v>0.6</v>
      </c>
      <c r="F14" s="2030">
        <v>100</v>
      </c>
      <c r="G14" s="1609">
        <f t="shared" si="1"/>
        <v>60000</v>
      </c>
      <c r="I14" s="795">
        <v>46030</v>
      </c>
      <c r="J14" s="1901">
        <v>496020</v>
      </c>
      <c r="K14" s="1901">
        <v>839700</v>
      </c>
      <c r="L14" s="1901"/>
      <c r="M14" s="1901">
        <v>21632</v>
      </c>
      <c r="N14" s="1901">
        <v>21009</v>
      </c>
      <c r="O14" s="1901"/>
      <c r="P14" s="1901"/>
      <c r="Q14" s="1901"/>
      <c r="R14" s="1901"/>
      <c r="S14" s="1901">
        <f t="shared" si="5"/>
        <v>133300</v>
      </c>
      <c r="T14" s="1901">
        <v>76968</v>
      </c>
      <c r="U14" s="1901">
        <f t="shared" si="4"/>
        <v>106874</v>
      </c>
      <c r="V14" s="1901">
        <v>76968</v>
      </c>
      <c r="W14" s="1901"/>
    </row>
    <row r="15" spans="1:23" ht="14.85" customHeight="1" x14ac:dyDescent="0.25">
      <c r="A15" s="1586" t="s">
        <v>919</v>
      </c>
      <c r="B15" s="1588">
        <v>70.510000000000005</v>
      </c>
      <c r="C15" s="1607">
        <v>890</v>
      </c>
      <c r="D15" s="1588">
        <v>60</v>
      </c>
      <c r="E15" s="1608">
        <f t="shared" si="0"/>
        <v>0.6</v>
      </c>
      <c r="F15" s="2030">
        <v>100</v>
      </c>
      <c r="G15" s="1609">
        <f t="shared" si="1"/>
        <v>60000</v>
      </c>
      <c r="I15" s="795">
        <v>46031</v>
      </c>
      <c r="J15" s="1901">
        <f t="shared" ref="J15:J22" si="6">K14</f>
        <v>839700</v>
      </c>
      <c r="K15" s="1901">
        <v>840000</v>
      </c>
      <c r="L15" s="1901"/>
      <c r="M15" s="1901">
        <f t="shared" ref="M15:M21" si="7">N14</f>
        <v>21009</v>
      </c>
      <c r="N15" s="1901">
        <v>21577</v>
      </c>
      <c r="O15" s="1901"/>
      <c r="P15" s="1901"/>
      <c r="Q15" s="1901"/>
      <c r="R15" s="1901"/>
      <c r="S15" s="1901">
        <f t="shared" ref="S15:S27" si="8">T14</f>
        <v>76968</v>
      </c>
      <c r="T15" s="1901">
        <v>207591</v>
      </c>
      <c r="U15" s="1901">
        <f t="shared" ref="U15:U31" si="9">V14</f>
        <v>76968</v>
      </c>
      <c r="V15" s="1901">
        <v>175558</v>
      </c>
      <c r="W15" s="1901"/>
    </row>
    <row r="16" spans="1:23" ht="14.85" customHeight="1" x14ac:dyDescent="0.25">
      <c r="A16" s="1586" t="s">
        <v>920</v>
      </c>
      <c r="B16" s="1588">
        <v>70.510000000000005</v>
      </c>
      <c r="C16" s="1607">
        <v>890</v>
      </c>
      <c r="D16" s="1588">
        <v>60</v>
      </c>
      <c r="E16" s="1608">
        <f t="shared" si="0"/>
        <v>0.6</v>
      </c>
      <c r="F16" s="2030">
        <v>100</v>
      </c>
      <c r="G16" s="1609">
        <f t="shared" si="1"/>
        <v>60000</v>
      </c>
      <c r="H16" s="1585"/>
      <c r="I16" s="795">
        <v>46032</v>
      </c>
      <c r="J16" s="1901">
        <f t="shared" si="6"/>
        <v>840000</v>
      </c>
      <c r="K16" s="1901">
        <v>660000</v>
      </c>
      <c r="L16" s="1901"/>
      <c r="M16" s="1901">
        <f t="shared" si="7"/>
        <v>21577</v>
      </c>
      <c r="N16" s="1901">
        <v>21470</v>
      </c>
      <c r="O16" s="1901"/>
      <c r="P16" s="1901"/>
      <c r="Q16" s="1901"/>
      <c r="R16" s="1901"/>
      <c r="S16" s="1901">
        <f t="shared" si="8"/>
        <v>207591</v>
      </c>
      <c r="T16" s="1901">
        <v>110351</v>
      </c>
      <c r="U16" s="1901">
        <f t="shared" si="9"/>
        <v>175558</v>
      </c>
      <c r="V16" s="1901">
        <v>87386</v>
      </c>
      <c r="W16" s="1901"/>
    </row>
    <row r="17" spans="1:28" x14ac:dyDescent="0.25">
      <c r="A17" s="1586" t="s">
        <v>921</v>
      </c>
      <c r="B17" s="1588">
        <v>70.510000000000005</v>
      </c>
      <c r="C17" s="1607">
        <v>890</v>
      </c>
      <c r="D17" s="1588">
        <v>60</v>
      </c>
      <c r="E17" s="1608">
        <f t="shared" si="0"/>
        <v>0.6</v>
      </c>
      <c r="F17" s="2030">
        <v>100</v>
      </c>
      <c r="G17" s="1609">
        <f t="shared" si="1"/>
        <v>60000</v>
      </c>
      <c r="I17" s="795">
        <v>46033</v>
      </c>
      <c r="J17" s="1901">
        <f t="shared" si="6"/>
        <v>660000</v>
      </c>
      <c r="K17" s="1901">
        <v>580500</v>
      </c>
      <c r="L17" s="1901"/>
      <c r="M17" s="1901">
        <f t="shared" si="7"/>
        <v>21470</v>
      </c>
      <c r="N17" s="1901">
        <v>21414</v>
      </c>
      <c r="O17" s="1901"/>
      <c r="P17" s="1901"/>
      <c r="Q17" s="1901"/>
      <c r="R17" s="1901"/>
      <c r="S17" s="1901">
        <f t="shared" si="8"/>
        <v>110351</v>
      </c>
      <c r="T17" s="1901">
        <v>194834</v>
      </c>
      <c r="U17" s="1901">
        <f t="shared" si="9"/>
        <v>87386</v>
      </c>
      <c r="V17" s="1901">
        <v>158618</v>
      </c>
      <c r="W17" s="1901"/>
      <c r="X17" s="1585"/>
    </row>
    <row r="18" spans="1:28" x14ac:dyDescent="0.25">
      <c r="A18" s="1586" t="s">
        <v>922</v>
      </c>
      <c r="B18" s="1588">
        <v>70.510000000000005</v>
      </c>
      <c r="C18" s="1607">
        <v>890</v>
      </c>
      <c r="D18" s="1588">
        <v>60</v>
      </c>
      <c r="E18" s="1608">
        <f t="shared" si="0"/>
        <v>0.6</v>
      </c>
      <c r="F18" s="2030">
        <v>100</v>
      </c>
      <c r="G18" s="1609">
        <f t="shared" si="1"/>
        <v>60000</v>
      </c>
      <c r="H18" s="1585"/>
      <c r="I18" s="795">
        <v>46034</v>
      </c>
      <c r="J18" s="1901">
        <f t="shared" si="6"/>
        <v>580500</v>
      </c>
      <c r="K18" s="1901">
        <v>540000</v>
      </c>
      <c r="L18" s="1901"/>
      <c r="M18" s="1901">
        <f t="shared" si="7"/>
        <v>21414</v>
      </c>
      <c r="N18" s="1901">
        <v>21472</v>
      </c>
      <c r="O18" s="1901"/>
      <c r="P18" s="1901"/>
      <c r="Q18" s="1901"/>
      <c r="R18" s="1901"/>
      <c r="S18" s="1901">
        <f t="shared" si="8"/>
        <v>194834</v>
      </c>
      <c r="T18" s="1901">
        <v>107863</v>
      </c>
      <c r="U18" s="1901">
        <f t="shared" si="9"/>
        <v>158618</v>
      </c>
      <c r="V18" s="1901">
        <v>74461</v>
      </c>
      <c r="W18" s="1901"/>
    </row>
    <row r="19" spans="1:28" x14ac:dyDescent="0.25">
      <c r="A19" s="1586" t="s">
        <v>923</v>
      </c>
      <c r="B19" s="1588">
        <v>70.510000000000005</v>
      </c>
      <c r="C19" s="1607">
        <v>890</v>
      </c>
      <c r="D19" s="1588">
        <v>60</v>
      </c>
      <c r="E19" s="1608">
        <f t="shared" si="0"/>
        <v>0.6</v>
      </c>
      <c r="F19" s="2030">
        <v>100</v>
      </c>
      <c r="G19" s="1609">
        <f t="shared" si="1"/>
        <v>60000</v>
      </c>
      <c r="I19" s="795">
        <v>46035</v>
      </c>
      <c r="J19" s="1901">
        <f t="shared" si="6"/>
        <v>540000</v>
      </c>
      <c r="K19" s="1901">
        <v>480000</v>
      </c>
      <c r="L19" s="1901"/>
      <c r="M19" s="1901">
        <f t="shared" si="7"/>
        <v>21472</v>
      </c>
      <c r="N19" s="1901">
        <v>21022</v>
      </c>
      <c r="O19" s="1901"/>
      <c r="P19" s="1901"/>
      <c r="Q19" s="1901"/>
      <c r="R19" s="1901"/>
      <c r="S19" s="1901">
        <f t="shared" si="8"/>
        <v>107863</v>
      </c>
      <c r="T19" s="1901">
        <v>34198</v>
      </c>
      <c r="U19" s="1901">
        <f t="shared" si="9"/>
        <v>74461</v>
      </c>
      <c r="V19" s="1901">
        <v>22405</v>
      </c>
      <c r="W19" s="1901"/>
      <c r="Y19" s="1642"/>
      <c r="Z19" s="1642"/>
      <c r="AA19" s="1642"/>
      <c r="AB19" s="1642"/>
    </row>
    <row r="20" spans="1:28" x14ac:dyDescent="0.25">
      <c r="A20" s="1586" t="s">
        <v>924</v>
      </c>
      <c r="B20" s="1588">
        <v>70.510000000000005</v>
      </c>
      <c r="C20" s="1607">
        <v>890</v>
      </c>
      <c r="D20" s="1588">
        <v>60</v>
      </c>
      <c r="E20" s="1608">
        <f t="shared" si="0"/>
        <v>0.6</v>
      </c>
      <c r="F20" s="2030">
        <v>100</v>
      </c>
      <c r="G20" s="1609">
        <f t="shared" si="1"/>
        <v>60000</v>
      </c>
      <c r="I20" s="795">
        <v>46036</v>
      </c>
      <c r="J20" s="1901">
        <f t="shared" si="6"/>
        <v>480000</v>
      </c>
      <c r="K20" s="1901">
        <v>480000</v>
      </c>
      <c r="L20" s="1901"/>
      <c r="M20" s="1901">
        <f t="shared" si="7"/>
        <v>21022</v>
      </c>
      <c r="N20" s="1901">
        <v>21232</v>
      </c>
      <c r="O20" s="1901"/>
      <c r="P20" s="1901"/>
      <c r="Q20" s="1901"/>
      <c r="R20" s="1901"/>
      <c r="S20" s="1901">
        <f t="shared" si="8"/>
        <v>34198</v>
      </c>
      <c r="T20" s="1901">
        <v>34614</v>
      </c>
      <c r="U20" s="1901">
        <f t="shared" si="9"/>
        <v>22405</v>
      </c>
      <c r="V20" s="1901">
        <v>0</v>
      </c>
      <c r="W20" s="1901"/>
    </row>
    <row r="21" spans="1:28" x14ac:dyDescent="0.25">
      <c r="A21" s="1586" t="s">
        <v>925</v>
      </c>
      <c r="B21" s="1588">
        <v>70.510000000000005</v>
      </c>
      <c r="C21" s="1607">
        <v>890</v>
      </c>
      <c r="D21" s="1588">
        <v>60</v>
      </c>
      <c r="E21" s="1608">
        <f t="shared" si="0"/>
        <v>0.6</v>
      </c>
      <c r="F21" s="2030">
        <v>100</v>
      </c>
      <c r="G21" s="1609">
        <f t="shared" si="1"/>
        <v>60000</v>
      </c>
      <c r="I21" s="795">
        <v>46037</v>
      </c>
      <c r="J21" s="1901">
        <f t="shared" si="6"/>
        <v>480000</v>
      </c>
      <c r="K21" s="1901">
        <v>299640</v>
      </c>
      <c r="L21" s="1901"/>
      <c r="M21" s="1901">
        <f t="shared" si="7"/>
        <v>21232</v>
      </c>
      <c r="N21" s="1901">
        <v>21514</v>
      </c>
      <c r="O21" s="1901"/>
      <c r="P21" s="1901"/>
      <c r="Q21" s="1901"/>
      <c r="R21" s="1901"/>
      <c r="S21" s="1901">
        <f t="shared" si="8"/>
        <v>34614</v>
      </c>
      <c r="T21" s="1901">
        <v>15000</v>
      </c>
      <c r="U21" s="1901">
        <f t="shared" si="9"/>
        <v>0</v>
      </c>
      <c r="V21" s="1901">
        <v>15000</v>
      </c>
      <c r="W21" s="1901"/>
    </row>
    <row r="22" spans="1:28" x14ac:dyDescent="0.25">
      <c r="A22" s="1612"/>
      <c r="B22" s="1613"/>
      <c r="C22" s="1614"/>
      <c r="D22" s="1615"/>
      <c r="E22" s="1616"/>
      <c r="F22" s="1970"/>
      <c r="G22" s="1617"/>
      <c r="H22" s="1637"/>
      <c r="I22" s="795">
        <v>46038</v>
      </c>
      <c r="J22" s="1901">
        <f t="shared" si="6"/>
        <v>299640</v>
      </c>
      <c r="K22" s="1901">
        <v>300000</v>
      </c>
      <c r="L22" s="1901"/>
      <c r="M22" s="1901">
        <f>N21</f>
        <v>21514</v>
      </c>
      <c r="N22" s="1901">
        <v>21211</v>
      </c>
      <c r="O22" s="1901"/>
      <c r="P22" s="1901"/>
      <c r="Q22" s="1901"/>
      <c r="R22" s="1901"/>
      <c r="S22" s="1901">
        <f t="shared" si="8"/>
        <v>15000</v>
      </c>
      <c r="T22" s="1901">
        <v>20000</v>
      </c>
      <c r="U22" s="1901">
        <f t="shared" si="9"/>
        <v>15000</v>
      </c>
      <c r="V22" s="1901">
        <v>25000</v>
      </c>
      <c r="W22" s="1901"/>
    </row>
    <row r="23" spans="1:28" x14ac:dyDescent="0.25">
      <c r="A23" s="1619"/>
      <c r="B23" s="1619"/>
      <c r="C23" s="1619"/>
      <c r="D23" s="1595"/>
      <c r="E23" s="1594"/>
      <c r="F23" s="1618" t="s">
        <v>926</v>
      </c>
      <c r="G23" s="1638">
        <f>SUM(G7:G21)</f>
        <v>865440</v>
      </c>
      <c r="H23" s="1585"/>
      <c r="I23" s="795">
        <v>46039</v>
      </c>
      <c r="J23" s="1901">
        <f>K22</f>
        <v>300000</v>
      </c>
      <c r="K23" s="1901">
        <v>718680</v>
      </c>
      <c r="L23" s="1901"/>
      <c r="M23" s="1901">
        <f t="shared" ref="M23:M34" si="10">N22</f>
        <v>21211</v>
      </c>
      <c r="N23" s="1901">
        <v>20776</v>
      </c>
      <c r="O23" s="1901"/>
      <c r="P23" s="1901"/>
      <c r="Q23" s="1901"/>
      <c r="R23" s="1901"/>
      <c r="S23" s="1901">
        <f t="shared" si="8"/>
        <v>20000</v>
      </c>
      <c r="T23" s="1901">
        <v>128981</v>
      </c>
      <c r="U23" s="1901">
        <f t="shared" si="9"/>
        <v>25000</v>
      </c>
      <c r="V23" s="1901">
        <v>127944</v>
      </c>
      <c r="W23" s="1901"/>
      <c r="X23" s="1585"/>
      <c r="Y23" s="2148"/>
    </row>
    <row r="24" spans="1:28" x14ac:dyDescent="0.25">
      <c r="A24" s="1619"/>
      <c r="B24" s="1619"/>
      <c r="C24" s="1619"/>
      <c r="D24" s="1595"/>
      <c r="E24" s="1594"/>
      <c r="G24" s="1620"/>
      <c r="H24" s="1585"/>
      <c r="I24" s="795">
        <v>46040</v>
      </c>
      <c r="J24" s="1901">
        <f>K23</f>
        <v>718680</v>
      </c>
      <c r="K24" s="1901">
        <v>839040</v>
      </c>
      <c r="L24" s="1901"/>
      <c r="M24" s="1901">
        <f t="shared" si="10"/>
        <v>20776</v>
      </c>
      <c r="N24" s="1901">
        <v>20475</v>
      </c>
      <c r="O24" s="1901"/>
      <c r="P24" s="1901"/>
      <c r="Q24" s="1901"/>
      <c r="R24" s="1901"/>
      <c r="S24" s="1901">
        <f t="shared" si="8"/>
        <v>128981</v>
      </c>
      <c r="T24" s="1901">
        <v>345329</v>
      </c>
      <c r="U24" s="1901">
        <f t="shared" si="9"/>
        <v>127944</v>
      </c>
      <c r="V24" s="1901">
        <v>342696</v>
      </c>
      <c r="W24" s="1901"/>
      <c r="X24" s="1585"/>
    </row>
    <row r="25" spans="1:28" x14ac:dyDescent="0.25">
      <c r="A25" s="1582" t="s">
        <v>927</v>
      </c>
      <c r="D25" s="1595"/>
      <c r="E25" s="1594"/>
      <c r="G25" s="1620"/>
      <c r="I25" s="795">
        <v>46041</v>
      </c>
      <c r="J25" s="1901">
        <f t="shared" ref="J25:J32" si="11">K24</f>
        <v>839040</v>
      </c>
      <c r="K25" s="2034">
        <v>778980</v>
      </c>
      <c r="L25" s="1720"/>
      <c r="M25" s="1901">
        <f t="shared" si="10"/>
        <v>20475</v>
      </c>
      <c r="N25" s="1919">
        <v>21541</v>
      </c>
      <c r="O25" s="1586"/>
      <c r="P25" s="1919"/>
      <c r="Q25" s="1919"/>
      <c r="R25" s="1718"/>
      <c r="S25" s="1901">
        <f t="shared" si="8"/>
        <v>345329</v>
      </c>
      <c r="T25" s="1711">
        <v>420631</v>
      </c>
      <c r="U25" s="1901">
        <f t="shared" si="9"/>
        <v>342696</v>
      </c>
      <c r="V25" s="1711">
        <v>426877</v>
      </c>
      <c r="W25" s="1711"/>
      <c r="Z25" s="1585"/>
      <c r="AB25" s="1585"/>
    </row>
    <row r="26" spans="1:28" ht="42.75" x14ac:dyDescent="0.25">
      <c r="A26" s="1605" t="s">
        <v>877</v>
      </c>
      <c r="B26" s="1604" t="s">
        <v>878</v>
      </c>
      <c r="C26" s="1604" t="s">
        <v>879</v>
      </c>
      <c r="D26" s="1605" t="s">
        <v>880</v>
      </c>
      <c r="E26" s="1604" t="s">
        <v>909</v>
      </c>
      <c r="F26" s="1621" t="s">
        <v>910</v>
      </c>
      <c r="G26" s="1605" t="s">
        <v>14</v>
      </c>
      <c r="I26" s="795">
        <v>46042</v>
      </c>
      <c r="J26" s="1901">
        <f t="shared" si="11"/>
        <v>778980</v>
      </c>
      <c r="K26" s="2034">
        <v>838140</v>
      </c>
      <c r="L26" s="2108"/>
      <c r="M26" s="1901">
        <f t="shared" si="10"/>
        <v>21541</v>
      </c>
      <c r="N26" s="2034">
        <v>21496</v>
      </c>
      <c r="O26" s="1635"/>
      <c r="P26" s="2034"/>
      <c r="Q26" s="2034"/>
      <c r="R26" s="2109"/>
      <c r="S26" s="1901">
        <f t="shared" si="8"/>
        <v>420631</v>
      </c>
      <c r="T26" s="1902">
        <v>264937</v>
      </c>
      <c r="U26" s="1901">
        <f t="shared" si="9"/>
        <v>426877</v>
      </c>
      <c r="V26" s="1902">
        <v>266976</v>
      </c>
      <c r="W26" s="1711"/>
      <c r="X26" s="1585"/>
      <c r="Z26" s="1585"/>
      <c r="AB26" s="1585"/>
    </row>
    <row r="27" spans="1:28" x14ac:dyDescent="0.25">
      <c r="A27" s="1644" t="s">
        <v>944</v>
      </c>
      <c r="B27" s="1587">
        <v>15.95</v>
      </c>
      <c r="C27" s="1587">
        <v>885</v>
      </c>
      <c r="D27" s="1588">
        <f>B27*C27/1000</f>
        <v>14.11575</v>
      </c>
      <c r="E27" s="1608">
        <f>D27/100</f>
        <v>0.14115749999999999</v>
      </c>
      <c r="F27" s="2033">
        <v>64.3</v>
      </c>
      <c r="G27" s="1609">
        <f>E27*F27*1000</f>
        <v>9076.4272499999988</v>
      </c>
      <c r="I27" s="795">
        <v>46043</v>
      </c>
      <c r="J27" s="1901">
        <f t="shared" si="11"/>
        <v>838140</v>
      </c>
      <c r="K27" s="2034">
        <v>879480</v>
      </c>
      <c r="L27" s="1720"/>
      <c r="M27" s="1901">
        <f t="shared" si="10"/>
        <v>21496</v>
      </c>
      <c r="N27" s="2034">
        <v>21227</v>
      </c>
      <c r="O27" s="1586"/>
      <c r="P27" s="1919"/>
      <c r="Q27" s="1919"/>
      <c r="R27" s="1718"/>
      <c r="S27" s="1901">
        <f t="shared" si="8"/>
        <v>264937</v>
      </c>
      <c r="T27" s="1902">
        <v>113344</v>
      </c>
      <c r="U27" s="1901">
        <f t="shared" si="9"/>
        <v>266976</v>
      </c>
      <c r="V27" s="1902">
        <v>114980</v>
      </c>
      <c r="W27" s="1711"/>
      <c r="X27" s="1585"/>
    </row>
    <row r="28" spans="1:28" x14ac:dyDescent="0.25">
      <c r="A28" s="1644" t="s">
        <v>940</v>
      </c>
      <c r="B28" s="1587">
        <v>3.02</v>
      </c>
      <c r="C28" s="1587">
        <v>885</v>
      </c>
      <c r="D28" s="1588">
        <f>B28*C28/1000</f>
        <v>2.6726999999999999</v>
      </c>
      <c r="E28" s="1608">
        <f>D28/100</f>
        <v>2.6726999999999997E-2</v>
      </c>
      <c r="F28" s="2033">
        <v>0</v>
      </c>
      <c r="G28" s="1609">
        <f>E28*F28*1000</f>
        <v>0</v>
      </c>
      <c r="I28" s="795">
        <v>46044</v>
      </c>
      <c r="J28" s="1901">
        <f t="shared" si="11"/>
        <v>879480</v>
      </c>
      <c r="K28" s="2034">
        <v>885120</v>
      </c>
      <c r="L28" s="1720"/>
      <c r="M28" s="1901">
        <f t="shared" si="10"/>
        <v>21227</v>
      </c>
      <c r="N28" s="2034">
        <v>21467</v>
      </c>
      <c r="O28" s="1586"/>
      <c r="P28" s="304"/>
      <c r="Q28" s="1643"/>
      <c r="R28" s="1718"/>
      <c r="S28" s="1901">
        <f>T27</f>
        <v>113344</v>
      </c>
      <c r="T28" s="1902">
        <v>219078</v>
      </c>
      <c r="U28" s="1901">
        <f t="shared" si="9"/>
        <v>114980</v>
      </c>
      <c r="V28" s="1902">
        <v>216023</v>
      </c>
      <c r="W28" s="1711"/>
      <c r="X28" s="1585"/>
    </row>
    <row r="29" spans="1:28" x14ac:dyDescent="0.25">
      <c r="A29" s="1586" t="s">
        <v>928</v>
      </c>
      <c r="B29" s="1587">
        <v>82.48</v>
      </c>
      <c r="C29" s="1587">
        <v>885</v>
      </c>
      <c r="D29" s="1588">
        <f>B29*C29/1000</f>
        <v>72.994799999999998</v>
      </c>
      <c r="E29" s="1608">
        <f>D29/100</f>
        <v>0.72994799999999993</v>
      </c>
      <c r="F29" s="2033">
        <v>0</v>
      </c>
      <c r="G29" s="1609">
        <f>E29*F29*1000</f>
        <v>0</v>
      </c>
      <c r="H29" s="1622"/>
      <c r="I29" s="795">
        <v>46045</v>
      </c>
      <c r="J29" s="1901">
        <f t="shared" si="11"/>
        <v>885120</v>
      </c>
      <c r="K29" s="2034">
        <v>858180</v>
      </c>
      <c r="L29" s="1720"/>
      <c r="M29" s="1901">
        <f t="shared" si="10"/>
        <v>21467</v>
      </c>
      <c r="N29" s="1919">
        <v>21101</v>
      </c>
      <c r="O29" s="1586"/>
      <c r="P29" s="304"/>
      <c r="Q29" s="1643"/>
      <c r="R29" s="1718"/>
      <c r="S29" s="1901">
        <f t="shared" ref="S29:S34" si="12">T28</f>
        <v>219078</v>
      </c>
      <c r="T29" s="1901">
        <f>298262+22000</f>
        <v>320262</v>
      </c>
      <c r="U29" s="1901">
        <f t="shared" si="9"/>
        <v>216023</v>
      </c>
      <c r="V29" s="1711">
        <f>297820+23000</f>
        <v>320820</v>
      </c>
      <c r="W29" s="1711"/>
      <c r="Z29" s="2141"/>
      <c r="AA29" s="2142"/>
      <c r="AB29" s="2141"/>
    </row>
    <row r="30" spans="1:28" x14ac:dyDescent="0.25">
      <c r="A30" s="1586" t="s">
        <v>929</v>
      </c>
      <c r="B30" s="1587">
        <v>16.95</v>
      </c>
      <c r="C30" s="1587">
        <v>885</v>
      </c>
      <c r="D30" s="1588">
        <f>B30*C30/1000</f>
        <v>15.00075</v>
      </c>
      <c r="E30" s="1608">
        <f>D30/100</f>
        <v>0.15000749999999999</v>
      </c>
      <c r="F30" s="2033">
        <v>84.5</v>
      </c>
      <c r="G30" s="1609">
        <f>E30*F30*1000</f>
        <v>12675.633749999999</v>
      </c>
      <c r="H30" s="1602"/>
      <c r="I30" s="795">
        <v>46046</v>
      </c>
      <c r="J30" s="1901">
        <f t="shared" si="11"/>
        <v>858180</v>
      </c>
      <c r="K30" s="2034">
        <v>843120</v>
      </c>
      <c r="L30" s="1720"/>
      <c r="M30" s="1901">
        <f t="shared" si="10"/>
        <v>21101</v>
      </c>
      <c r="N30" s="1919">
        <v>20933</v>
      </c>
      <c r="O30" s="1586"/>
      <c r="P30" s="1643"/>
      <c r="Q30" s="1643"/>
      <c r="R30" s="1718"/>
      <c r="S30" s="1901">
        <f t="shared" si="12"/>
        <v>320262</v>
      </c>
      <c r="T30" s="2148">
        <v>313152</v>
      </c>
      <c r="U30" s="1901">
        <f t="shared" si="9"/>
        <v>320820</v>
      </c>
      <c r="V30" s="1711">
        <v>311213</v>
      </c>
      <c r="W30" s="1711"/>
      <c r="AA30" s="2142"/>
    </row>
    <row r="31" spans="1:28" x14ac:dyDescent="0.25">
      <c r="F31" s="1618" t="s">
        <v>1138</v>
      </c>
      <c r="G31" s="1638">
        <f>SUM(G27:G30)</f>
        <v>21752.060999999998</v>
      </c>
      <c r="I31" s="795">
        <v>46047</v>
      </c>
      <c r="J31" s="1901">
        <f t="shared" si="11"/>
        <v>843120</v>
      </c>
      <c r="K31" s="2034">
        <v>872700</v>
      </c>
      <c r="L31" s="1720"/>
      <c r="M31" s="1901">
        <f t="shared" si="10"/>
        <v>20933</v>
      </c>
      <c r="N31" s="2034">
        <v>21970</v>
      </c>
      <c r="O31" s="1586"/>
      <c r="P31" s="1643"/>
      <c r="Q31" s="1643"/>
      <c r="R31" s="1718"/>
      <c r="S31" s="1901">
        <f t="shared" si="12"/>
        <v>313152</v>
      </c>
      <c r="T31" s="1901">
        <v>241827</v>
      </c>
      <c r="U31" s="1901">
        <f t="shared" si="9"/>
        <v>311213</v>
      </c>
      <c r="V31" s="1711">
        <v>238069</v>
      </c>
      <c r="W31" s="1901"/>
    </row>
    <row r="32" spans="1:28" x14ac:dyDescent="0.25">
      <c r="H32" s="1630"/>
      <c r="I32" s="795">
        <v>46048</v>
      </c>
      <c r="J32" s="1901">
        <f t="shared" si="11"/>
        <v>872700</v>
      </c>
      <c r="K32" s="2034">
        <v>889680</v>
      </c>
      <c r="L32" s="1720"/>
      <c r="M32" s="1901">
        <f t="shared" si="10"/>
        <v>21970</v>
      </c>
      <c r="N32" s="2034">
        <v>23174</v>
      </c>
      <c r="O32" s="1586"/>
      <c r="P32" s="2036"/>
      <c r="Q32" s="1643"/>
      <c r="R32" s="1718"/>
      <c r="S32" s="1901">
        <f t="shared" si="12"/>
        <v>241827</v>
      </c>
      <c r="T32" s="1901">
        <v>248686</v>
      </c>
      <c r="U32" s="1901">
        <f t="shared" ref="U32:U37" si="13">V31</f>
        <v>238069</v>
      </c>
      <c r="V32" s="1711">
        <v>254262</v>
      </c>
      <c r="W32" s="1901"/>
    </row>
    <row r="33" spans="1:57" ht="23.1" customHeight="1" x14ac:dyDescent="0.25">
      <c r="I33" s="795">
        <v>46049</v>
      </c>
      <c r="J33" s="1901">
        <f>K32</f>
        <v>889680</v>
      </c>
      <c r="K33" s="2034">
        <v>720000</v>
      </c>
      <c r="L33" s="1720"/>
      <c r="M33" s="1901">
        <f t="shared" si="10"/>
        <v>23174</v>
      </c>
      <c r="N33" s="2034">
        <v>22432</v>
      </c>
      <c r="O33" s="1586"/>
      <c r="P33" s="1909"/>
      <c r="Q33" s="1643"/>
      <c r="R33" s="1718"/>
      <c r="S33" s="1901">
        <f t="shared" si="12"/>
        <v>248686</v>
      </c>
      <c r="T33" s="1901">
        <v>135000</v>
      </c>
      <c r="U33" s="1901">
        <f t="shared" si="13"/>
        <v>254262</v>
      </c>
      <c r="V33" s="1901">
        <v>100000</v>
      </c>
      <c r="W33" s="1901"/>
    </row>
    <row r="34" spans="1:57" ht="15" customHeight="1" x14ac:dyDescent="0.25">
      <c r="H34" s="2265"/>
      <c r="I34" s="795">
        <v>46050</v>
      </c>
      <c r="J34" s="1901">
        <f>K33</f>
        <v>720000</v>
      </c>
      <c r="K34" s="2034">
        <v>660000</v>
      </c>
      <c r="L34" s="1720"/>
      <c r="M34" s="1901">
        <f t="shared" si="10"/>
        <v>22432</v>
      </c>
      <c r="N34" s="2036">
        <v>21157</v>
      </c>
      <c r="O34" s="1586"/>
      <c r="P34" s="304"/>
      <c r="Q34" s="1587"/>
      <c r="R34" s="1718"/>
      <c r="S34" s="1901">
        <f t="shared" si="12"/>
        <v>135000</v>
      </c>
      <c r="T34" s="1901">
        <v>70000</v>
      </c>
      <c r="U34" s="1901">
        <f t="shared" si="13"/>
        <v>100000</v>
      </c>
      <c r="V34" s="1901">
        <v>65000</v>
      </c>
      <c r="W34" s="1708"/>
    </row>
    <row r="35" spans="1:57" ht="15" customHeight="1" x14ac:dyDescent="0.25">
      <c r="H35" s="2265"/>
      <c r="I35" s="795">
        <v>46051</v>
      </c>
      <c r="J35" s="1901">
        <f>K34</f>
        <v>660000</v>
      </c>
      <c r="K35" s="2034">
        <v>817260</v>
      </c>
      <c r="L35" s="2034"/>
      <c r="M35" s="1901">
        <f>N34</f>
        <v>21157</v>
      </c>
      <c r="N35" s="2034">
        <v>22085</v>
      </c>
      <c r="O35" s="2035"/>
      <c r="P35" s="304"/>
      <c r="Q35" s="1920"/>
      <c r="R35" s="1921"/>
      <c r="S35" s="1901">
        <f>T34</f>
        <v>70000</v>
      </c>
      <c r="T35" s="1901">
        <v>56174</v>
      </c>
      <c r="U35" s="1901">
        <f t="shared" si="13"/>
        <v>65000</v>
      </c>
      <c r="V35" s="1901">
        <v>50036</v>
      </c>
      <c r="W35" s="1708"/>
    </row>
    <row r="36" spans="1:57" x14ac:dyDescent="0.25">
      <c r="I36" s="795">
        <v>46052</v>
      </c>
      <c r="J36" s="1901">
        <f>K35</f>
        <v>817260</v>
      </c>
      <c r="K36" s="2034">
        <v>849540</v>
      </c>
      <c r="L36" s="2034"/>
      <c r="M36" s="1901">
        <f>N35</f>
        <v>22085</v>
      </c>
      <c r="N36" s="2034">
        <v>22028</v>
      </c>
      <c r="O36" s="1586"/>
      <c r="P36" s="304"/>
      <c r="Q36" s="1587"/>
      <c r="R36" s="1718"/>
      <c r="S36" s="1901">
        <f>T35</f>
        <v>56174</v>
      </c>
      <c r="T36" s="1901">
        <v>91057</v>
      </c>
      <c r="U36" s="1901">
        <f t="shared" si="13"/>
        <v>50036</v>
      </c>
      <c r="V36" s="1901">
        <v>87362</v>
      </c>
      <c r="W36" s="1708"/>
      <c r="BE36" s="1642" t="s">
        <v>1140</v>
      </c>
    </row>
    <row r="37" spans="1:57" x14ac:dyDescent="0.25">
      <c r="I37" s="795">
        <v>46053</v>
      </c>
      <c r="J37" s="1901">
        <f>K36</f>
        <v>849540</v>
      </c>
      <c r="K37" s="2034">
        <v>865440</v>
      </c>
      <c r="L37" s="2034"/>
      <c r="M37" s="1901">
        <f>N36</f>
        <v>22028</v>
      </c>
      <c r="N37" s="2034">
        <v>21752</v>
      </c>
      <c r="O37" s="1586"/>
      <c r="P37" s="304"/>
      <c r="Q37" s="1587"/>
      <c r="R37" s="1718"/>
      <c r="S37" s="1901">
        <f>T36</f>
        <v>91057</v>
      </c>
      <c r="T37" s="1901">
        <v>75754</v>
      </c>
      <c r="U37" s="1901">
        <f t="shared" si="13"/>
        <v>87362</v>
      </c>
      <c r="V37" s="1901">
        <v>62644</v>
      </c>
      <c r="W37" s="1708"/>
      <c r="AB37" s="1585"/>
      <c r="AC37" s="1585"/>
      <c r="AD37" s="1585"/>
    </row>
    <row r="38" spans="1:57" x14ac:dyDescent="0.25">
      <c r="G38" s="1585"/>
      <c r="I38"/>
      <c r="J38"/>
      <c r="K38"/>
      <c r="T38" s="1585"/>
    </row>
    <row r="39" spans="1:57" hidden="1" x14ac:dyDescent="0.25">
      <c r="A39" s="1624" t="s">
        <v>930</v>
      </c>
      <c r="B39" s="1625"/>
      <c r="C39" s="1625"/>
      <c r="D39" s="1626"/>
      <c r="E39" s="1627"/>
      <c r="F39" s="1628"/>
      <c r="G39" s="1629"/>
      <c r="I39"/>
      <c r="J39"/>
      <c r="K39" s="410"/>
      <c r="M39" s="1585"/>
      <c r="N39" s="1585"/>
    </row>
    <row r="40" spans="1:57" ht="24" hidden="1" x14ac:dyDescent="0.25">
      <c r="A40" s="1631" t="s">
        <v>931</v>
      </c>
      <c r="B40" s="1583" t="s">
        <v>932</v>
      </c>
      <c r="C40" s="1583" t="s">
        <v>933</v>
      </c>
      <c r="D40" s="1631" t="s">
        <v>934</v>
      </c>
      <c r="E40" s="1632" t="s">
        <v>935</v>
      </c>
      <c r="F40" s="1633" t="s">
        <v>936</v>
      </c>
      <c r="G40" s="1631" t="s">
        <v>14</v>
      </c>
      <c r="I40"/>
      <c r="J40"/>
      <c r="K40" s="410"/>
    </row>
    <row r="41" spans="1:57" hidden="1" x14ac:dyDescent="0.25">
      <c r="A41" s="1635" t="s">
        <v>937</v>
      </c>
      <c r="B41" s="1623">
        <v>12.2</v>
      </c>
      <c r="C41" s="1623">
        <v>1.75</v>
      </c>
      <c r="D41" s="1623">
        <v>1.52</v>
      </c>
      <c r="E41" s="1623">
        <v>0.88</v>
      </c>
      <c r="F41" s="1954">
        <v>0</v>
      </c>
      <c r="G41" s="1636">
        <f>B41*C41*D41*E41*F41/100</f>
        <v>0</v>
      </c>
      <c r="I41"/>
      <c r="J41"/>
      <c r="K41"/>
    </row>
    <row r="42" spans="1:57" hidden="1" x14ac:dyDescent="0.25">
      <c r="A42" s="1635" t="s">
        <v>938</v>
      </c>
      <c r="B42" s="1623">
        <v>12.2</v>
      </c>
      <c r="C42" s="1623">
        <v>1.75</v>
      </c>
      <c r="D42" s="1623">
        <v>1.52</v>
      </c>
      <c r="E42" s="1623">
        <v>0.88</v>
      </c>
      <c r="F42" s="1954">
        <v>0</v>
      </c>
      <c r="G42" s="1636">
        <f>B42*C42*D42*E42*F42/100</f>
        <v>0</v>
      </c>
      <c r="I42"/>
      <c r="J42"/>
      <c r="K42"/>
    </row>
    <row r="43" spans="1:57" ht="28.5" hidden="1" x14ac:dyDescent="0.25">
      <c r="F43" s="1618" t="s">
        <v>939</v>
      </c>
      <c r="G43" s="1634">
        <f>SUM(G41:G42)</f>
        <v>0</v>
      </c>
      <c r="I43"/>
      <c r="J43"/>
      <c r="K43"/>
    </row>
    <row r="44" spans="1:57" x14ac:dyDescent="0.25">
      <c r="I44"/>
      <c r="J44"/>
      <c r="K44"/>
    </row>
  </sheetData>
  <mergeCells count="11">
    <mergeCell ref="W4:W5"/>
    <mergeCell ref="E1:G1"/>
    <mergeCell ref="E2:G2"/>
    <mergeCell ref="I4:R4"/>
    <mergeCell ref="S4:V4"/>
    <mergeCell ref="U5:V5"/>
    <mergeCell ref="H34:H35"/>
    <mergeCell ref="I5:L5"/>
    <mergeCell ref="M5:O5"/>
    <mergeCell ref="P5:R5"/>
    <mergeCell ref="S5:T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sheetPr>
    <pageSetUpPr fitToPage="1"/>
  </sheetPr>
  <dimension ref="A1:VBN272"/>
  <sheetViews>
    <sheetView tabSelected="1" zoomScale="80" zoomScaleNormal="80" zoomScalePageLayoutView="70" workbookViewId="0">
      <pane xSplit="5" ySplit="7" topLeftCell="F28" activePane="bottomRight" state="frozen"/>
      <selection activeCell="F28" sqref="F28"/>
      <selection pane="topRight" activeCell="F28" sqref="F28"/>
      <selection pane="bottomLeft" activeCell="F28" sqref="F28"/>
      <selection pane="bottomRight" activeCell="S82" sqref="S82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customWidth="1"/>
    <col min="7" max="7" width="17.5703125" customWidth="1"/>
    <col min="8" max="8" width="17.5703125" hidden="1" customWidth="1"/>
    <col min="9" max="10" width="18.42578125" hidden="1" customWidth="1"/>
    <col min="11" max="11" width="17.5703125" hidden="1" customWidth="1"/>
    <col min="12" max="13" width="17.42578125" hidden="1" customWidth="1"/>
    <col min="14" max="16" width="18.140625" hidden="1" customWidth="1"/>
    <col min="17" max="17" width="18.42578125" hidden="1" customWidth="1"/>
    <col min="19" max="19" width="25.42578125" customWidth="1"/>
    <col min="20" max="21" width="25.42578125" hidden="1" customWidth="1"/>
    <col min="22" max="22" width="19.140625" hidden="1" customWidth="1"/>
    <col min="23" max="23" width="12.42578125" hidden="1" customWidth="1"/>
    <col min="24" max="24" width="9.42578125" customWidth="1"/>
    <col min="25" max="25" width="17.28515625" hidden="1" customWidth="1"/>
    <col min="26" max="26" width="18.140625" hidden="1" customWidth="1"/>
    <col min="27" max="27" width="12.85546875" hidden="1" customWidth="1"/>
    <col min="28" max="28" width="10.140625" bestFit="1" customWidth="1"/>
    <col min="29" max="29" width="9.42578125" customWidth="1"/>
    <col min="30" max="30" width="14.28515625" bestFit="1" customWidth="1"/>
    <col min="31" max="31" width="11.5703125" bestFit="1" customWidth="1"/>
    <col min="32" max="32" width="28.5703125" customWidth="1"/>
    <col min="33" max="36" width="9.42578125" customWidth="1"/>
    <col min="37" max="37" width="13.42578125" customWidth="1"/>
    <col min="38" max="38" width="61.5703125" customWidth="1"/>
    <col min="39" max="39" width="41.5703125" customWidth="1"/>
    <col min="40" max="48" width="9.42578125" customWidth="1"/>
    <col min="49" max="49" width="14" customWidth="1"/>
    <col min="50" max="59" width="9.42578125" customWidth="1"/>
  </cols>
  <sheetData>
    <row r="1" spans="2:932" x14ac:dyDescent="0.25">
      <c r="B1" s="407"/>
    </row>
    <row r="2" spans="2:932" ht="18" x14ac:dyDescent="0.25">
      <c r="B2" s="2292" t="s">
        <v>1139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</row>
    <row r="3" spans="2:932" ht="15.75" thickBot="1" x14ac:dyDescent="0.3">
      <c r="B3" s="409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</row>
    <row r="4" spans="2:932" ht="30.75" thickBot="1" x14ac:dyDescent="0.3">
      <c r="B4" s="2293" t="s">
        <v>98</v>
      </c>
      <c r="C4" s="2295" t="s">
        <v>99</v>
      </c>
      <c r="D4" s="2297" t="s">
        <v>100</v>
      </c>
      <c r="E4" s="2295" t="s">
        <v>101</v>
      </c>
      <c r="F4" s="2299" t="s">
        <v>1097</v>
      </c>
      <c r="G4" s="2300"/>
      <c r="H4" s="2300"/>
      <c r="I4" s="2300"/>
      <c r="J4" s="2300"/>
      <c r="K4" s="2300"/>
      <c r="L4" s="2300"/>
      <c r="M4" s="2300"/>
      <c r="N4" s="2300"/>
      <c r="O4" s="2300"/>
      <c r="P4" s="2300"/>
      <c r="Q4" s="2300"/>
      <c r="R4" s="2038"/>
      <c r="S4" s="406" t="s">
        <v>296</v>
      </c>
      <c r="T4" s="642" t="s">
        <v>297</v>
      </c>
      <c r="U4" s="737" t="s">
        <v>298</v>
      </c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Q4" s="62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Z4" s="1"/>
    </row>
    <row r="5" spans="2:932" ht="30" x14ac:dyDescent="0.25">
      <c r="B5" s="2294"/>
      <c r="C5" s="2296"/>
      <c r="D5" s="2298"/>
      <c r="E5" s="2296"/>
      <c r="F5" s="412" t="s">
        <v>299</v>
      </c>
      <c r="G5" s="412" t="s">
        <v>300</v>
      </c>
      <c r="H5" s="412" t="s">
        <v>301</v>
      </c>
      <c r="I5" s="413" t="s">
        <v>302</v>
      </c>
      <c r="J5" s="412" t="s">
        <v>303</v>
      </c>
      <c r="K5" s="412" t="s">
        <v>304</v>
      </c>
      <c r="L5" s="412" t="s">
        <v>305</v>
      </c>
      <c r="M5" s="413" t="s">
        <v>1124</v>
      </c>
      <c r="N5" s="413" t="s">
        <v>306</v>
      </c>
      <c r="O5" s="413" t="s">
        <v>307</v>
      </c>
      <c r="P5" s="413" t="s">
        <v>308</v>
      </c>
      <c r="Q5" s="413" t="s">
        <v>309</v>
      </c>
      <c r="S5" s="411" t="s">
        <v>125</v>
      </c>
      <c r="T5" s="642" t="s">
        <v>125</v>
      </c>
      <c r="U5" s="737" t="s">
        <v>310</v>
      </c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Q5" s="62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Z5" s="1"/>
    </row>
    <row r="6" spans="2:932" ht="15.75" thickBot="1" x14ac:dyDescent="0.3">
      <c r="B6" s="2304">
        <v>1</v>
      </c>
      <c r="C6" s="414" t="s">
        <v>84</v>
      </c>
      <c r="D6" s="48"/>
      <c r="E6" s="48"/>
      <c r="F6" s="2085"/>
      <c r="G6" s="50"/>
      <c r="H6" s="50"/>
      <c r="I6" s="2085"/>
      <c r="J6" s="2085"/>
      <c r="K6" s="50"/>
      <c r="L6" s="50"/>
      <c r="M6" s="50"/>
      <c r="N6" s="50"/>
      <c r="O6" s="50"/>
      <c r="P6" s="50"/>
      <c r="Q6" s="50"/>
      <c r="R6" s="3"/>
      <c r="S6" s="415" t="s">
        <v>126</v>
      </c>
      <c r="T6" s="643" t="s">
        <v>126</v>
      </c>
      <c r="U6" s="738" t="s">
        <v>126</v>
      </c>
      <c r="V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Q6" s="62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U6" s="1"/>
      <c r="BV6" s="1"/>
      <c r="BW6" s="1"/>
      <c r="BX6" s="1"/>
      <c r="CZ6" s="1"/>
      <c r="DD6" s="416"/>
      <c r="DE6" s="417"/>
      <c r="DF6" s="418">
        <v>29</v>
      </c>
      <c r="DG6" s="419">
        <v>30</v>
      </c>
      <c r="DH6" s="420">
        <v>31</v>
      </c>
    </row>
    <row r="7" spans="2:932" x14ac:dyDescent="0.25">
      <c r="B7" s="2305"/>
      <c r="C7" s="421" t="s">
        <v>16</v>
      </c>
      <c r="D7" s="422"/>
      <c r="E7" s="423"/>
      <c r="F7" s="424"/>
      <c r="G7" s="425"/>
      <c r="H7" s="1498"/>
      <c r="I7" s="424"/>
      <c r="J7" s="1505"/>
      <c r="K7" s="424"/>
      <c r="L7" s="424"/>
      <c r="M7" s="424"/>
      <c r="N7" s="424"/>
      <c r="O7" s="424"/>
      <c r="P7" s="424"/>
      <c r="Q7" s="424"/>
      <c r="R7" s="3"/>
      <c r="S7" s="692" t="s">
        <v>16</v>
      </c>
      <c r="T7" s="644" t="s">
        <v>16</v>
      </c>
      <c r="U7" s="739" t="s">
        <v>16</v>
      </c>
      <c r="V7" s="62"/>
      <c r="W7" s="1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Q7" s="62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1"/>
      <c r="BV7" s="1"/>
      <c r="BW7" s="1"/>
      <c r="BX7" s="1"/>
      <c r="CZ7" s="1"/>
      <c r="DD7" s="426" t="s">
        <v>311</v>
      </c>
      <c r="DE7" s="5" t="s">
        <v>14</v>
      </c>
      <c r="DF7" s="427">
        <v>1971319.99999999</v>
      </c>
      <c r="DG7" s="428">
        <v>2015120.00000001</v>
      </c>
      <c r="DH7" s="429">
        <v>2015230</v>
      </c>
      <c r="AIT7" s="430" t="s">
        <v>312</v>
      </c>
      <c r="AIU7" s="430" t="s">
        <v>126</v>
      </c>
      <c r="AIV7" s="430" t="s">
        <v>313</v>
      </c>
    </row>
    <row r="8" spans="2:932" x14ac:dyDescent="0.25">
      <c r="B8" s="2305"/>
      <c r="C8" s="431" t="s">
        <v>83</v>
      </c>
      <c r="D8" s="1916">
        <v>300</v>
      </c>
      <c r="E8" s="433" t="s">
        <v>82</v>
      </c>
      <c r="F8" s="434">
        <f>'Januari 2026 PMG 2'!AM6+'Januari 2026 PMG 1'!AM6</f>
        <v>31</v>
      </c>
      <c r="G8" s="434"/>
      <c r="H8" s="525"/>
      <c r="I8" s="434"/>
      <c r="J8" s="526"/>
      <c r="K8" s="434"/>
      <c r="L8" s="434"/>
      <c r="M8" s="434"/>
      <c r="N8" s="434"/>
      <c r="O8" s="434"/>
      <c r="P8" s="434"/>
      <c r="Q8" s="434"/>
      <c r="R8" s="3"/>
      <c r="S8" s="54">
        <f>SUM(F8:Q8)</f>
        <v>31</v>
      </c>
      <c r="T8" s="645">
        <v>231</v>
      </c>
      <c r="U8" s="740">
        <f>S8/T8*100</f>
        <v>13.419913419913421</v>
      </c>
      <c r="V8" s="62"/>
      <c r="W8" s="3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Q8" s="62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U8" s="1"/>
      <c r="BV8" s="1"/>
      <c r="BW8" s="1"/>
      <c r="BX8" s="1"/>
      <c r="CZ8" s="1"/>
      <c r="DD8" s="426"/>
      <c r="DF8" s="427"/>
      <c r="DG8" s="428"/>
      <c r="DH8" s="429"/>
      <c r="FM8" s="3"/>
      <c r="OQ8" s="140" t="s">
        <v>314</v>
      </c>
      <c r="AED8" s="5" t="s">
        <v>315</v>
      </c>
      <c r="AEE8" s="5" t="s">
        <v>316</v>
      </c>
      <c r="AIS8" s="2" t="s">
        <v>191</v>
      </c>
      <c r="AIT8" s="140">
        <v>11008948</v>
      </c>
      <c r="AIU8" s="140">
        <f>S12</f>
        <v>56920116</v>
      </c>
      <c r="AIV8" s="4">
        <f>AIT8-AIU8</f>
        <v>-45911168</v>
      </c>
    </row>
    <row r="9" spans="2:932" x14ac:dyDescent="0.25">
      <c r="B9" s="2305"/>
      <c r="C9" s="11" t="s">
        <v>102</v>
      </c>
      <c r="D9" s="432"/>
      <c r="E9" s="433"/>
      <c r="F9" s="435"/>
      <c r="G9" s="435"/>
      <c r="H9" s="518"/>
      <c r="I9" s="435"/>
      <c r="J9" s="658"/>
      <c r="K9" s="435"/>
      <c r="L9" s="435"/>
      <c r="M9" s="435"/>
      <c r="N9" s="435"/>
      <c r="O9" s="435"/>
      <c r="P9" s="435"/>
      <c r="Q9" s="435"/>
      <c r="R9" s="3"/>
      <c r="S9" s="54"/>
      <c r="T9" s="645"/>
      <c r="U9" s="740"/>
      <c r="V9" s="62"/>
      <c r="W9" s="1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Q9" s="62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"/>
      <c r="BX9" s="1"/>
      <c r="CZ9" s="1"/>
      <c r="DD9" s="426"/>
      <c r="DF9" s="427"/>
      <c r="DG9" s="428"/>
      <c r="DH9" s="429"/>
      <c r="FM9" s="3"/>
      <c r="OQ9" s="140"/>
      <c r="AED9" s="5"/>
      <c r="AEE9" s="5"/>
      <c r="AIS9" s="2"/>
      <c r="AIT9" s="140"/>
      <c r="AIU9" s="140"/>
      <c r="AIV9" s="4"/>
    </row>
    <row r="10" spans="2:932" x14ac:dyDescent="0.25">
      <c r="B10" s="2305"/>
      <c r="C10" s="11" t="s">
        <v>1115</v>
      </c>
      <c r="D10" s="432"/>
      <c r="E10" s="433" t="s">
        <v>25</v>
      </c>
      <c r="F10" s="2045">
        <f>F12/F15*100</f>
        <v>96638.567062818329</v>
      </c>
      <c r="G10" s="2045"/>
      <c r="H10" s="2045"/>
      <c r="I10" s="2045"/>
      <c r="J10" s="2045"/>
      <c r="K10" s="2045"/>
      <c r="L10" s="2045"/>
      <c r="M10" s="2107"/>
      <c r="N10" s="2045"/>
      <c r="O10" s="2045"/>
      <c r="P10" s="2045"/>
      <c r="Q10" s="2045"/>
      <c r="R10" s="3"/>
      <c r="S10" s="58">
        <f>S15/S12*1000</f>
        <v>12.432359963888578</v>
      </c>
      <c r="T10" s="645"/>
      <c r="U10" s="740"/>
      <c r="V10" s="62"/>
      <c r="W10" s="1"/>
      <c r="X10" s="1"/>
      <c r="Y10" s="1"/>
      <c r="Z10" s="1"/>
      <c r="AA10" s="1"/>
      <c r="AB10" s="1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Q10" s="62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CZ10" s="1"/>
      <c r="DD10" s="426"/>
      <c r="DF10" s="427"/>
      <c r="DG10" s="428"/>
      <c r="DH10" s="429"/>
      <c r="FM10" s="3"/>
      <c r="OQ10" s="140"/>
      <c r="AED10" s="5"/>
      <c r="AEE10" s="5"/>
      <c r="AIS10" s="2"/>
      <c r="AIT10" s="140"/>
      <c r="AIU10" s="140"/>
      <c r="AIV10" s="4"/>
    </row>
    <row r="11" spans="2:932" x14ac:dyDescent="0.25">
      <c r="B11" s="2305"/>
      <c r="C11" s="71" t="s">
        <v>124</v>
      </c>
      <c r="D11" s="432"/>
      <c r="E11" s="438" t="s">
        <v>14</v>
      </c>
      <c r="F11" s="439">
        <f>'Januari 2026 PMG 2'!AM7+'Januari 2026 PMG 1'!AM7</f>
        <v>57887356</v>
      </c>
      <c r="G11" s="439"/>
      <c r="H11" s="2165"/>
      <c r="I11" s="2045"/>
      <c r="J11" s="2166"/>
      <c r="K11" s="2045"/>
      <c r="L11" s="2045"/>
      <c r="M11" s="2107"/>
      <c r="N11" s="2045"/>
      <c r="O11" s="2045"/>
      <c r="P11" s="2045"/>
      <c r="Q11" s="2045"/>
      <c r="R11" s="3"/>
      <c r="S11" s="58"/>
      <c r="T11" s="645"/>
      <c r="U11" s="740"/>
      <c r="V11" s="62"/>
      <c r="W11" s="1"/>
      <c r="X11" s="1"/>
      <c r="Y11" s="1"/>
      <c r="Z11" s="1"/>
      <c r="AA11" s="1"/>
      <c r="AB11" s="1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Q11" s="62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U11" s="1"/>
      <c r="BV11" s="1"/>
      <c r="BW11" s="1"/>
      <c r="BX11" s="1"/>
      <c r="CZ11" s="1"/>
      <c r="DD11" s="426"/>
      <c r="DF11" s="427"/>
      <c r="DG11" s="428"/>
      <c r="DH11" s="429"/>
      <c r="FM11" s="3"/>
      <c r="OQ11" s="140"/>
      <c r="AED11" s="5"/>
      <c r="AEE11" s="5"/>
      <c r="AIS11" s="2"/>
      <c r="AIT11" s="140"/>
      <c r="AIU11" s="140"/>
      <c r="AIV11" s="4"/>
    </row>
    <row r="12" spans="2:932" ht="15.75" x14ac:dyDescent="0.25">
      <c r="B12" s="2305"/>
      <c r="C12" s="436" t="s">
        <v>95</v>
      </c>
      <c r="D12" s="437">
        <v>707651000</v>
      </c>
      <c r="E12" s="438" t="s">
        <v>14</v>
      </c>
      <c r="F12" s="439">
        <f>'Januari 2026 PMG 2'!AM9+'Januari 2026 PMG 1'!AM9</f>
        <v>56920116</v>
      </c>
      <c r="G12" s="439"/>
      <c r="H12" s="1499"/>
      <c r="I12" s="1950"/>
      <c r="J12" s="1506"/>
      <c r="K12" s="439"/>
      <c r="L12" s="439"/>
      <c r="M12" s="439"/>
      <c r="N12" s="439"/>
      <c r="O12" s="439"/>
      <c r="P12" s="439"/>
      <c r="Q12" s="439"/>
      <c r="R12" s="697"/>
      <c r="S12" s="57">
        <f>SUM(F12:Q12)</f>
        <v>56920116</v>
      </c>
      <c r="T12" s="646">
        <v>421374000</v>
      </c>
      <c r="U12" s="741">
        <f>S12/T12</f>
        <v>0.1350821740306711</v>
      </c>
      <c r="V12" s="142">
        <f>S12-Q12-P12</f>
        <v>56920116</v>
      </c>
      <c r="W12" s="1"/>
      <c r="X12" s="1"/>
      <c r="Y12" s="1"/>
      <c r="Z12" s="2159">
        <f ca="1">TODAY()</f>
        <v>46084</v>
      </c>
      <c r="AA12" s="2160"/>
      <c r="AB12" s="1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Q12" s="62"/>
      <c r="AS12" s="447"/>
      <c r="AT12" s="447"/>
      <c r="AU12" s="1"/>
      <c r="AV12" s="1"/>
      <c r="AW12" s="358">
        <f>S12/D12</f>
        <v>8.0435293668771751E-2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41"/>
      <c r="BX12" s="1"/>
      <c r="CZ12" s="1"/>
      <c r="DD12" s="440" t="s">
        <v>317</v>
      </c>
      <c r="DE12" s="441" t="s">
        <v>19</v>
      </c>
      <c r="DF12" s="442">
        <v>251.19641540408301</v>
      </c>
      <c r="DG12" s="443">
        <v>257.91391043490898</v>
      </c>
      <c r="DH12" s="444">
        <v>251.51265323328099</v>
      </c>
      <c r="DI12" s="141"/>
      <c r="FL12" s="140"/>
      <c r="FM12" s="3"/>
      <c r="JG12" s="141"/>
      <c r="JH12" s="141"/>
      <c r="JI12" s="140"/>
      <c r="JJ12" s="141"/>
      <c r="ON12" s="141">
        <v>26946.1077844311</v>
      </c>
      <c r="OO12" s="141">
        <v>17383.2335329341</v>
      </c>
      <c r="OQ12" s="141" t="s">
        <v>318</v>
      </c>
      <c r="PE12" s="144"/>
      <c r="PI12" s="141"/>
      <c r="RL12" s="144"/>
      <c r="AED12" s="140">
        <f>35.8500000000058*1000</f>
        <v>35850.000000005799</v>
      </c>
      <c r="AGU12" s="140"/>
      <c r="AIJ12" s="140"/>
      <c r="AIK12" s="140"/>
      <c r="AIL12" s="140"/>
      <c r="AIS12" s="2" t="s">
        <v>64</v>
      </c>
      <c r="AIT12" s="140">
        <v>566885</v>
      </c>
      <c r="AIU12" s="140">
        <f>S22</f>
        <v>2408805</v>
      </c>
      <c r="AIV12" s="4">
        <f>AIT12-AIU12</f>
        <v>-1841920</v>
      </c>
    </row>
    <row r="13" spans="2:932" ht="15.75" x14ac:dyDescent="0.25">
      <c r="B13" s="2305"/>
      <c r="C13" s="436" t="s">
        <v>96</v>
      </c>
      <c r="D13" s="437"/>
      <c r="E13" s="438" t="s">
        <v>14</v>
      </c>
      <c r="F13" s="439">
        <f>F12</f>
        <v>56920116</v>
      </c>
      <c r="G13" s="439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697"/>
      <c r="S13" s="57">
        <f>SUM(F13:Q13)</f>
        <v>56920116</v>
      </c>
      <c r="T13" s="647"/>
      <c r="U13" s="742"/>
      <c r="V13" s="62"/>
      <c r="W13" s="3"/>
      <c r="X13" s="1"/>
      <c r="Y13" s="3">
        <f>Q13-'Januari 2026 PMG 2'!AJ9</f>
        <v>-2124941</v>
      </c>
      <c r="Z13" s="2160" t="s">
        <v>1143</v>
      </c>
      <c r="AA13" s="2161">
        <f>F12</f>
        <v>56920116</v>
      </c>
      <c r="AB13" s="1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Q13" s="62"/>
      <c r="AS13" s="447"/>
      <c r="AT13" s="447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U13" s="1"/>
      <c r="BV13" s="1"/>
      <c r="BW13" s="141"/>
      <c r="BX13" s="1"/>
      <c r="CZ13" s="1"/>
      <c r="DD13" s="426"/>
      <c r="DE13" s="5"/>
      <c r="DF13" s="446"/>
      <c r="DG13" s="447"/>
      <c r="DH13" s="448"/>
      <c r="DI13" s="141"/>
      <c r="FL13" s="141"/>
      <c r="JG13" s="141"/>
      <c r="JH13" s="141"/>
      <c r="JI13" s="141"/>
      <c r="JJ13" s="141"/>
      <c r="ON13" s="141"/>
      <c r="OO13" s="141"/>
      <c r="OQ13" s="141"/>
      <c r="PE13" s="144"/>
      <c r="PI13" s="141"/>
      <c r="RL13" s="144"/>
      <c r="AGU13" s="140"/>
      <c r="AIJ13" s="140"/>
      <c r="AIK13" s="140"/>
      <c r="AIL13" s="140"/>
      <c r="AIS13" s="2"/>
      <c r="AIT13" s="140"/>
      <c r="AIU13" s="140"/>
    </row>
    <row r="14" spans="2:932" ht="15.75" x14ac:dyDescent="0.25">
      <c r="B14" s="2305"/>
      <c r="C14" s="436" t="s">
        <v>97</v>
      </c>
      <c r="D14" s="437"/>
      <c r="E14" s="438" t="s">
        <v>14</v>
      </c>
      <c r="F14" s="439"/>
      <c r="G14" s="439"/>
      <c r="H14" s="1499"/>
      <c r="I14" s="1514"/>
      <c r="J14" s="1506"/>
      <c r="K14" s="439"/>
      <c r="L14" s="439"/>
      <c r="M14" s="439"/>
      <c r="N14" s="439"/>
      <c r="O14" s="439"/>
      <c r="P14" s="439"/>
      <c r="Q14" s="439"/>
      <c r="R14" s="697"/>
      <c r="S14" s="445">
        <f>SUM(F14:Q14)</f>
        <v>0</v>
      </c>
      <c r="T14" s="647"/>
      <c r="U14" s="742"/>
      <c r="V14" s="361"/>
      <c r="W14" s="1"/>
      <c r="X14" s="3"/>
      <c r="Y14" s="1"/>
      <c r="Z14" s="2160" t="s">
        <v>1144</v>
      </c>
      <c r="AA14" s="2161">
        <f>F21</f>
        <v>54171735</v>
      </c>
      <c r="AB14" s="1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Q14" s="62"/>
      <c r="AS14" s="447"/>
      <c r="AT14" s="447"/>
      <c r="AU14" s="1"/>
      <c r="AV14" s="1"/>
      <c r="AW14" s="358" t="e">
        <f>AV14/#REF!</f>
        <v>#REF!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1"/>
      <c r="BW14" s="141"/>
      <c r="BX14" s="1"/>
      <c r="CZ14" s="1"/>
      <c r="DD14" s="426"/>
      <c r="DE14" s="5"/>
      <c r="DF14" s="446"/>
      <c r="DG14" s="447"/>
      <c r="DH14" s="448"/>
      <c r="DI14" s="141"/>
      <c r="FL14" s="141"/>
      <c r="JG14" s="141"/>
      <c r="JH14" s="141"/>
      <c r="JI14" s="141"/>
      <c r="JJ14" s="141"/>
      <c r="ON14" s="141"/>
      <c r="OO14" s="141"/>
      <c r="OQ14" s="141"/>
      <c r="PE14" s="144"/>
      <c r="PI14" s="141"/>
      <c r="RL14" s="144"/>
      <c r="AGU14" s="140"/>
      <c r="AIJ14" s="140"/>
      <c r="AIK14" s="140"/>
      <c r="AIL14" s="140"/>
      <c r="AIS14" s="2"/>
      <c r="AIT14" s="140"/>
      <c r="AIU14" s="140"/>
    </row>
    <row r="15" spans="2:932" ht="15.75" x14ac:dyDescent="0.25">
      <c r="B15" s="2305"/>
      <c r="C15" s="436" t="s">
        <v>319</v>
      </c>
      <c r="D15" s="437"/>
      <c r="E15" s="438" t="s">
        <v>14</v>
      </c>
      <c r="F15" s="439">
        <v>58900</v>
      </c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697"/>
      <c r="S15" s="57">
        <v>707651.37129829358</v>
      </c>
      <c r="T15" s="647"/>
      <c r="U15" s="742"/>
      <c r="V15" s="361"/>
      <c r="W15" s="1"/>
      <c r="X15" s="3"/>
      <c r="Y15" s="1"/>
      <c r="Z15" s="2160" t="s">
        <v>64</v>
      </c>
      <c r="AA15" s="2161">
        <f>F22</f>
        <v>2408805</v>
      </c>
      <c r="AB15" s="1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Q15" s="62"/>
      <c r="AS15" s="447"/>
      <c r="AT15" s="447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U15" s="1"/>
      <c r="BV15" s="1"/>
      <c r="BW15" s="141"/>
      <c r="BX15" s="1"/>
      <c r="CZ15" s="1"/>
      <c r="DD15" s="426"/>
      <c r="DE15" s="5"/>
      <c r="DF15" s="446"/>
      <c r="DG15" s="447"/>
      <c r="DH15" s="448"/>
      <c r="DI15" s="141"/>
      <c r="FL15" s="141"/>
      <c r="JG15" s="141"/>
      <c r="JH15" s="141"/>
      <c r="JI15" s="141"/>
      <c r="JJ15" s="141"/>
      <c r="ON15" s="141"/>
      <c r="OO15" s="141"/>
      <c r="OQ15" s="141"/>
      <c r="PE15" s="144"/>
      <c r="PI15" s="141"/>
      <c r="RL15" s="144"/>
      <c r="AGU15" s="140"/>
      <c r="AIJ15" s="140"/>
      <c r="AIK15" s="140"/>
      <c r="AIL15" s="140"/>
      <c r="AIS15" s="2"/>
      <c r="AIT15" s="140"/>
      <c r="AIU15" s="140"/>
    </row>
    <row r="16" spans="2:932" ht="15.75" x14ac:dyDescent="0.25">
      <c r="B16" s="2305"/>
      <c r="C16" s="449" t="s">
        <v>81</v>
      </c>
      <c r="D16" s="450">
        <v>5</v>
      </c>
      <c r="E16" s="451" t="s">
        <v>25</v>
      </c>
      <c r="F16" s="452">
        <f>'Januari 2026 PMG 2'!AM13+'Januari 2026 PMG 1'!AM13</f>
        <v>7.718007575757575</v>
      </c>
      <c r="G16" s="452"/>
      <c r="H16" s="1500"/>
      <c r="I16" s="452"/>
      <c r="J16" s="1507"/>
      <c r="K16" s="452"/>
      <c r="L16" s="452"/>
      <c r="M16" s="452"/>
      <c r="N16" s="452"/>
      <c r="O16" s="452"/>
      <c r="P16" s="452"/>
      <c r="Q16" s="452"/>
      <c r="S16" s="58">
        <f t="shared" ref="S16:U18" si="0">AVERAGE(F16:Q16)</f>
        <v>7.718007575757575</v>
      </c>
      <c r="T16" s="648" t="e">
        <f t="shared" si="0"/>
        <v>#DIV/0!</v>
      </c>
      <c r="U16" s="740">
        <f t="shared" si="0"/>
        <v>7.718007575757575</v>
      </c>
      <c r="V16" s="62"/>
      <c r="W16" s="1"/>
      <c r="X16" s="3"/>
      <c r="Y16" s="1"/>
      <c r="Z16" s="2160" t="s">
        <v>1146</v>
      </c>
      <c r="AA16" s="2161">
        <f>F31</f>
        <v>32832043</v>
      </c>
      <c r="AB16" s="1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Q16" s="62"/>
      <c r="AS16" s="776"/>
      <c r="AT16" s="776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U16" s="1"/>
      <c r="BV16" s="1"/>
      <c r="BW16" s="453"/>
      <c r="BX16" s="1"/>
      <c r="CZ16" s="1"/>
      <c r="DD16" s="426" t="s">
        <v>320</v>
      </c>
      <c r="DE16" s="5" t="s">
        <v>14</v>
      </c>
      <c r="DF16" s="427">
        <v>182230</v>
      </c>
      <c r="DG16" s="428">
        <v>190070</v>
      </c>
      <c r="DH16" s="429">
        <v>197800.00000000099</v>
      </c>
      <c r="DI16" s="453"/>
      <c r="FL16" s="453"/>
      <c r="FM16" s="453"/>
      <c r="JG16" s="453"/>
      <c r="JH16" s="453"/>
      <c r="JI16" s="454"/>
      <c r="JJ16" s="453"/>
      <c r="ON16" s="453">
        <f>S12/1000</f>
        <v>56920.116000000002</v>
      </c>
      <c r="OO16" s="453">
        <f>(S30+S53+S39)/1000</f>
        <v>39639.925000000003</v>
      </c>
      <c r="OQ16" s="453" t="e">
        <f>SUM(OQ17:OQ18)</f>
        <v>#REF!</v>
      </c>
      <c r="PE16" s="455"/>
      <c r="PI16" s="453"/>
      <c r="RL16" s="455"/>
      <c r="AGU16" s="453">
        <v>2000</v>
      </c>
      <c r="AIJ16" s="453"/>
      <c r="AIK16" s="453"/>
      <c r="AIL16" s="453"/>
      <c r="AIS16" s="456"/>
      <c r="AIT16" s="453"/>
      <c r="AIU16" s="453"/>
    </row>
    <row r="17" spans="2:932" ht="16.5" thickBot="1" x14ac:dyDescent="0.3">
      <c r="B17" s="2305"/>
      <c r="C17" s="457" t="s">
        <v>80</v>
      </c>
      <c r="D17" s="458">
        <v>0.5</v>
      </c>
      <c r="E17" s="459" t="s">
        <v>25</v>
      </c>
      <c r="F17" s="452">
        <f>'Januari 2026 PMG 2'!AM14+'Januari 2026 PMG 1'!AM14</f>
        <v>0.85335606060606062</v>
      </c>
      <c r="G17" s="452"/>
      <c r="H17" s="1500"/>
      <c r="I17" s="452"/>
      <c r="J17" s="1507"/>
      <c r="K17" s="452"/>
      <c r="L17" s="452"/>
      <c r="M17" s="452"/>
      <c r="N17" s="452"/>
      <c r="O17" s="452"/>
      <c r="P17" s="452"/>
      <c r="Q17" s="452"/>
      <c r="R17" s="697"/>
      <c r="S17" s="58">
        <f t="shared" si="0"/>
        <v>0.85335606060606062</v>
      </c>
      <c r="T17" s="648" t="e">
        <f t="shared" si="0"/>
        <v>#DIV/0!</v>
      </c>
      <c r="U17" s="740">
        <f t="shared" si="0"/>
        <v>0.85335606060606062</v>
      </c>
      <c r="V17" s="62"/>
      <c r="W17" s="1"/>
      <c r="X17" s="3"/>
      <c r="Y17" s="1"/>
      <c r="Z17" s="2160" t="s">
        <v>1145</v>
      </c>
      <c r="AA17" s="2161">
        <f>F32</f>
        <v>6807882</v>
      </c>
      <c r="AB17" s="1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Q17" s="62"/>
      <c r="AS17" s="447"/>
      <c r="AT17" s="44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U17" s="1"/>
      <c r="BV17" s="1"/>
      <c r="BW17" s="141"/>
      <c r="BX17" s="1"/>
      <c r="CZ17" s="1"/>
      <c r="DD17" s="460"/>
      <c r="DE17" s="461" t="s">
        <v>321</v>
      </c>
      <c r="DF17" s="462">
        <f>DF16/(DF7/1000)</f>
        <v>92.440598177871138</v>
      </c>
      <c r="DG17" s="463">
        <f>DG16/(DG7/1000)</f>
        <v>94.321926237642941</v>
      </c>
      <c r="DH17" s="464">
        <f>DH16/(DH7/1000)</f>
        <v>98.152568193209206</v>
      </c>
      <c r="DI17" s="141"/>
      <c r="FL17" s="141"/>
      <c r="JG17" s="141"/>
      <c r="JH17" s="453"/>
      <c r="JI17" s="141"/>
      <c r="JJ17" s="141"/>
      <c r="ON17" s="465"/>
      <c r="OO17" s="465"/>
      <c r="OQ17" s="465" t="e">
        <f>#REF!/1000</f>
        <v>#REF!</v>
      </c>
      <c r="OR17" s="144" t="e">
        <f>OQ17/OQ16*100</f>
        <v>#REF!</v>
      </c>
      <c r="PE17" s="144"/>
      <c r="PI17" s="141"/>
      <c r="RL17" s="144"/>
      <c r="AGT17" s="466">
        <v>0.94199999999999995</v>
      </c>
      <c r="AGU17" s="140">
        <f>AGT17*AGU16</f>
        <v>1884</v>
      </c>
      <c r="AGV17" s="1" t="s">
        <v>16</v>
      </c>
      <c r="AIJ17" s="140"/>
      <c r="AIK17" s="140"/>
      <c r="AIL17" s="140"/>
      <c r="AIS17" s="2" t="s">
        <v>63</v>
      </c>
      <c r="AIT17" s="140">
        <v>9594130</v>
      </c>
      <c r="AIU17" s="140">
        <f>S31</f>
        <v>32832043</v>
      </c>
      <c r="AIV17" s="4">
        <f>AIT17-AIU17</f>
        <v>-23237913</v>
      </c>
    </row>
    <row r="18" spans="2:932" ht="15.75" x14ac:dyDescent="0.25">
      <c r="B18" s="2305"/>
      <c r="C18" s="457" t="s">
        <v>79</v>
      </c>
      <c r="D18" s="467" t="s">
        <v>78</v>
      </c>
      <c r="E18" s="459" t="s">
        <v>25</v>
      </c>
      <c r="F18" s="452"/>
      <c r="G18" s="452"/>
      <c r="H18" s="1500"/>
      <c r="I18" s="452"/>
      <c r="J18" s="1507"/>
      <c r="K18" s="452"/>
      <c r="L18" s="452"/>
      <c r="M18" s="452"/>
      <c r="N18" s="452"/>
      <c r="O18" s="452"/>
      <c r="P18" s="452"/>
      <c r="Q18" s="452"/>
      <c r="R18" s="697"/>
      <c r="S18" s="58" t="e">
        <f t="shared" si="0"/>
        <v>#DIV/0!</v>
      </c>
      <c r="T18" s="648" t="e">
        <f t="shared" si="0"/>
        <v>#DIV/0!</v>
      </c>
      <c r="U18" s="740" t="e">
        <f t="shared" si="0"/>
        <v>#DIV/0!</v>
      </c>
      <c r="V18" s="62"/>
      <c r="W18" s="1"/>
      <c r="X18" s="1908"/>
      <c r="Y18" s="1"/>
      <c r="Z18" s="2160" t="s">
        <v>1147</v>
      </c>
      <c r="AA18" s="2162">
        <f>F44</f>
        <v>10803048</v>
      </c>
      <c r="AB18" s="1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Q18" s="62"/>
      <c r="AS18" s="447"/>
      <c r="AT18" s="447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U18" s="1"/>
      <c r="BV18" s="1"/>
      <c r="BW18" s="141"/>
      <c r="BX18" s="1"/>
      <c r="CZ18" s="1"/>
      <c r="DI18" s="141"/>
      <c r="FL18" s="141"/>
      <c r="JG18" s="141"/>
      <c r="JH18" s="141"/>
      <c r="JI18" s="141"/>
      <c r="JJ18" s="141"/>
      <c r="ON18" s="141">
        <f>SUM(ON16:ON17)</f>
        <v>56920.116000000002</v>
      </c>
      <c r="OO18" s="141">
        <f>SUM(OO16:OO17)</f>
        <v>39639.925000000003</v>
      </c>
      <c r="OQ18" s="465" t="e">
        <f>#REF!/1000</f>
        <v>#REF!</v>
      </c>
      <c r="OR18" s="144" t="e">
        <f>OQ18/OQ16*100</f>
        <v>#REF!</v>
      </c>
      <c r="PE18" s="144"/>
      <c r="PI18" s="141"/>
      <c r="RL18" s="144"/>
      <c r="AGT18" s="468">
        <v>0.05</v>
      </c>
      <c r="AGU18" s="140">
        <f>AGT18*AGU16</f>
        <v>100</v>
      </c>
      <c r="AIJ18" s="140"/>
      <c r="AIK18" s="140"/>
      <c r="AIL18" s="140"/>
      <c r="AIS18" s="2" t="s">
        <v>62</v>
      </c>
      <c r="AIT18" s="140">
        <v>2161151</v>
      </c>
      <c r="AIU18" s="140">
        <f>S32</f>
        <v>6807882</v>
      </c>
      <c r="AIV18" s="4">
        <f>AIT18-AIU18</f>
        <v>-4646731</v>
      </c>
    </row>
    <row r="19" spans="2:932" ht="15.75" x14ac:dyDescent="0.25">
      <c r="B19" s="2305"/>
      <c r="C19" s="469" t="s">
        <v>77</v>
      </c>
      <c r="D19" s="470"/>
      <c r="E19" s="471"/>
      <c r="F19" s="434"/>
      <c r="G19" s="434"/>
      <c r="H19" s="525"/>
      <c r="I19" s="434"/>
      <c r="J19" s="526"/>
      <c r="K19" s="434"/>
      <c r="L19" s="434"/>
      <c r="M19" s="434"/>
      <c r="N19" s="434"/>
      <c r="O19" s="434"/>
      <c r="P19" s="434"/>
      <c r="Q19" s="434"/>
      <c r="R19" s="698"/>
      <c r="S19" s="690" t="s">
        <v>77</v>
      </c>
      <c r="T19" s="649" t="s">
        <v>77</v>
      </c>
      <c r="U19" s="743" t="s">
        <v>77</v>
      </c>
      <c r="V19" s="62"/>
      <c r="W19" s="1"/>
      <c r="X19" s="1"/>
      <c r="Y19" s="1"/>
      <c r="Z19" s="2160" t="s">
        <v>1148</v>
      </c>
      <c r="AA19" s="2162">
        <f>F45</f>
        <v>3424482</v>
      </c>
      <c r="AB19" s="1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Q19" s="62"/>
      <c r="AS19" s="447"/>
      <c r="AT19" s="447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39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U19" s="1"/>
      <c r="BV19" s="1"/>
      <c r="BW19" s="141"/>
      <c r="BX19" s="1"/>
      <c r="CZ19" s="1"/>
      <c r="DE19" s="5"/>
      <c r="DF19" s="141"/>
      <c r="DG19" s="141"/>
      <c r="DH19" s="141"/>
      <c r="DI19" s="141"/>
      <c r="FL19" s="141"/>
      <c r="JG19" s="141"/>
      <c r="JH19" s="141"/>
      <c r="JI19" s="141"/>
      <c r="JJ19" s="141"/>
      <c r="ON19" s="144">
        <f>ON18/ON12*100</f>
        <v>211.23687493333364</v>
      </c>
      <c r="OO19" s="144">
        <f>OO18/OO12*100</f>
        <v>228.03539355838831</v>
      </c>
      <c r="OQ19" s="141"/>
      <c r="PE19" s="144"/>
      <c r="PI19" s="141"/>
      <c r="RL19" s="144"/>
      <c r="AEF19" s="407" t="s">
        <v>322</v>
      </c>
      <c r="AEG19" s="407"/>
      <c r="AEH19" s="407"/>
      <c r="AEI19" s="407"/>
      <c r="AEJ19" s="407"/>
      <c r="AEK19" s="407"/>
      <c r="AEL19" s="407"/>
      <c r="AEM19" s="407"/>
      <c r="AEN19" s="407"/>
      <c r="AEO19" s="407"/>
      <c r="AEP19" s="5" t="s">
        <v>323</v>
      </c>
      <c r="AEQ19" s="407" t="s">
        <v>324</v>
      </c>
      <c r="AGU19" s="140"/>
      <c r="AIJ19" s="140"/>
      <c r="AIK19" s="140"/>
      <c r="AIL19" s="140"/>
      <c r="AIT19" s="140"/>
      <c r="AIU19" s="140"/>
    </row>
    <row r="20" spans="2:932" x14ac:dyDescent="0.25">
      <c r="B20" s="2305"/>
      <c r="C20" s="469"/>
      <c r="D20" s="470"/>
      <c r="E20" s="471"/>
      <c r="F20" s="434"/>
      <c r="G20" s="434"/>
      <c r="H20" s="525"/>
      <c r="I20" s="434"/>
      <c r="J20" s="526"/>
      <c r="K20" s="434"/>
      <c r="L20" s="434"/>
      <c r="M20" s="434"/>
      <c r="N20" s="434"/>
      <c r="O20" s="434"/>
      <c r="P20" s="434"/>
      <c r="Q20" s="434"/>
      <c r="R20" s="698"/>
      <c r="S20" s="690"/>
      <c r="T20" s="649"/>
      <c r="U20" s="743"/>
      <c r="V20" s="62"/>
      <c r="W20" s="1"/>
      <c r="X20" s="1"/>
      <c r="Y20" s="1"/>
      <c r="Z20" s="1"/>
      <c r="AA20" s="1"/>
      <c r="AB20" s="1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Q20" s="62"/>
      <c r="AS20" s="447"/>
      <c r="AT20" s="447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39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U20" s="1"/>
      <c r="BV20" s="1"/>
      <c r="BW20" s="141"/>
      <c r="BX20" s="1"/>
      <c r="CZ20" s="1"/>
      <c r="DE20" s="5"/>
      <c r="DF20" s="141"/>
      <c r="DG20" s="141"/>
      <c r="DH20" s="141"/>
      <c r="DI20" s="141"/>
      <c r="FL20" s="141"/>
      <c r="JG20" s="141"/>
      <c r="JH20" s="141"/>
      <c r="JI20" s="141"/>
      <c r="JJ20" s="141"/>
      <c r="ON20" s="144"/>
      <c r="OO20" s="144"/>
      <c r="OQ20" s="141"/>
      <c r="PE20" s="144"/>
      <c r="PI20" s="141"/>
      <c r="RL20" s="144"/>
      <c r="AEF20" s="407"/>
      <c r="AEG20" s="407"/>
      <c r="AEH20" s="407"/>
      <c r="AEI20" s="407"/>
      <c r="AEJ20" s="407"/>
      <c r="AEK20" s="407"/>
      <c r="AEL20" s="407"/>
      <c r="AEM20" s="407"/>
      <c r="AEN20" s="407"/>
      <c r="AEO20" s="407"/>
      <c r="AEP20" s="5"/>
      <c r="AEQ20" s="407"/>
      <c r="AGU20" s="140"/>
      <c r="AIJ20" s="140"/>
      <c r="AIK20" s="140"/>
      <c r="AIL20" s="140"/>
      <c r="AIT20" s="140"/>
      <c r="AIU20" s="140"/>
    </row>
    <row r="21" spans="2:932" ht="15.75" thickBot="1" x14ac:dyDescent="0.3">
      <c r="B21" s="2305"/>
      <c r="C21" s="472" t="s">
        <v>1114</v>
      </c>
      <c r="D21" s="437">
        <v>668731</v>
      </c>
      <c r="E21" s="473" t="s">
        <v>14</v>
      </c>
      <c r="F21" s="439">
        <f>'Januari 2026 PMG 2'!AM19+'Januari 2026 PMG 1'!AM19</f>
        <v>54171735</v>
      </c>
      <c r="G21" s="439"/>
      <c r="H21" s="1499"/>
      <c r="I21" s="1513"/>
      <c r="J21" s="1506"/>
      <c r="K21" s="439"/>
      <c r="L21" s="439"/>
      <c r="M21" s="439"/>
      <c r="N21" s="439"/>
      <c r="O21" s="439"/>
      <c r="P21" s="439"/>
      <c r="Q21" s="439"/>
      <c r="R21" s="697"/>
      <c r="S21" s="103">
        <f>SUM(F21:Q21)</f>
        <v>54171735</v>
      </c>
      <c r="T21" s="646">
        <v>399336000</v>
      </c>
      <c r="U21" s="742">
        <f>S21/T21*100</f>
        <v>13.565452400985636</v>
      </c>
      <c r="V21" s="62"/>
      <c r="W21" s="1"/>
      <c r="X21" s="1"/>
      <c r="Y21" s="3"/>
      <c r="Z21" s="1"/>
      <c r="AA21" s="1"/>
      <c r="AB21" s="1"/>
      <c r="AC21" s="62"/>
      <c r="AD21" s="361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Q21" s="62"/>
      <c r="AS21" s="428"/>
      <c r="AT21" s="428"/>
      <c r="AU21" s="3"/>
      <c r="AV21" s="1"/>
      <c r="AW21" s="358">
        <f>AW22/D21</f>
        <v>80.551753993758325</v>
      </c>
      <c r="AX21" s="1"/>
      <c r="AY21" s="1"/>
      <c r="AZ21" s="1"/>
      <c r="BA21" s="1"/>
      <c r="BB21" s="1"/>
      <c r="BC21" s="1"/>
      <c r="BD21" s="1"/>
      <c r="BE21" s="139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40"/>
      <c r="BX21" s="1"/>
      <c r="CZ21" s="1"/>
      <c r="DD21" s="474" t="s">
        <v>325</v>
      </c>
      <c r="DE21" s="5"/>
      <c r="DF21" s="140"/>
      <c r="DG21" s="140"/>
      <c r="DH21" s="140"/>
      <c r="DI21" s="140"/>
      <c r="FL21" s="140"/>
      <c r="JG21" s="140"/>
      <c r="JH21" s="140"/>
      <c r="JI21" s="140"/>
      <c r="JJ21" s="140"/>
      <c r="ON21" s="140"/>
      <c r="OO21" s="140"/>
      <c r="OQ21" s="140"/>
      <c r="PE21" s="475"/>
      <c r="PI21" s="140"/>
      <c r="RL21" s="475"/>
      <c r="AED21" s="140">
        <v>136359.999999986</v>
      </c>
      <c r="AEE21" s="140">
        <v>109339.999999997</v>
      </c>
      <c r="AEF21" s="476">
        <f>SUM(AED21:AEE21)</f>
        <v>245699.999999983</v>
      </c>
      <c r="AEP21" s="140">
        <v>34157.880000005498</v>
      </c>
      <c r="AEQ21" s="476">
        <f>AEF21-AEP21</f>
        <v>211542.1199999775</v>
      </c>
      <c r="AGU21" s="140">
        <f>AGU17</f>
        <v>1884</v>
      </c>
      <c r="AIJ21" s="140"/>
      <c r="AIK21" s="140"/>
      <c r="AIL21" s="140"/>
      <c r="AIT21" s="140"/>
      <c r="AIU21" s="140"/>
    </row>
    <row r="22" spans="2:932" x14ac:dyDescent="0.25">
      <c r="B22" s="2305"/>
      <c r="C22" s="472" t="s">
        <v>64</v>
      </c>
      <c r="D22" s="437">
        <v>33967</v>
      </c>
      <c r="E22" s="473" t="s">
        <v>14</v>
      </c>
      <c r="F22" s="439">
        <f>'Januari 2026 PMG 2'!AM21+'Januari 2026 PMG 1'!AM21</f>
        <v>2408805</v>
      </c>
      <c r="G22" s="439"/>
      <c r="H22" s="1499"/>
      <c r="I22" s="1513"/>
      <c r="J22" s="1506"/>
      <c r="K22" s="439"/>
      <c r="L22" s="439"/>
      <c r="M22" s="439"/>
      <c r="N22" s="439"/>
      <c r="O22" s="439"/>
      <c r="P22" s="439"/>
      <c r="Q22" s="439"/>
      <c r="R22" s="697"/>
      <c r="S22" s="57">
        <f>SUM(F22:Q22)</f>
        <v>2408805</v>
      </c>
      <c r="T22" s="650">
        <v>19024000</v>
      </c>
      <c r="U22" s="742">
        <f>S22/T22*100</f>
        <v>12.661927039529017</v>
      </c>
      <c r="V22" s="62"/>
      <c r="W22" s="1"/>
      <c r="X22" s="3"/>
      <c r="Y22" s="3"/>
      <c r="Z22" s="1"/>
      <c r="AA22" s="1"/>
      <c r="AB22" s="1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Q22" s="62"/>
      <c r="AS22" s="428"/>
      <c r="AT22" s="428"/>
      <c r="AU22" s="3"/>
      <c r="AV22" s="1"/>
      <c r="AW22" s="3">
        <f>S30+S34+S39+S53+S43</f>
        <v>53867455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1"/>
      <c r="BW22" s="140"/>
      <c r="BX22" s="1"/>
      <c r="CZ22" s="1"/>
      <c r="DD22" s="477" t="s">
        <v>283</v>
      </c>
      <c r="DE22" s="478"/>
      <c r="DF22" s="479" t="s">
        <v>214</v>
      </c>
      <c r="DG22" s="480" t="s">
        <v>326</v>
      </c>
      <c r="DH22" s="481"/>
      <c r="DI22" s="140"/>
      <c r="FL22" s="140"/>
      <c r="JG22" s="140"/>
      <c r="JH22" s="140"/>
      <c r="JI22" s="140"/>
      <c r="JJ22" s="140"/>
      <c r="ON22" s="140">
        <f>ON12-ON18</f>
        <v>-29974.008215568902</v>
      </c>
      <c r="OO22" s="140">
        <f>OO12-OO18</f>
        <v>-22256.691467065903</v>
      </c>
      <c r="OQ22" s="482" t="s">
        <v>327</v>
      </c>
      <c r="OR22" s="483">
        <v>0</v>
      </c>
      <c r="PD22" s="140">
        <v>564.70506750000004</v>
      </c>
      <c r="PE22" s="475">
        <f>OR22/PD22*100</f>
        <v>0</v>
      </c>
      <c r="PH22" s="468"/>
      <c r="PI22" s="140"/>
      <c r="RL22" s="475"/>
      <c r="AED22" s="140">
        <v>13799.9999999993</v>
      </c>
      <c r="AEE22" s="140">
        <v>2799.9999999992701</v>
      </c>
      <c r="AEF22" s="476">
        <f>SUM(AED22:AEE22)</f>
        <v>16599.99999999857</v>
      </c>
      <c r="AEP22" s="140">
        <v>1469.85000000024</v>
      </c>
      <c r="AEQ22" s="476">
        <f>AEF22-AEP22</f>
        <v>15130.14999999833</v>
      </c>
      <c r="AGT22" s="468">
        <v>0.75</v>
      </c>
      <c r="AGU22" s="140">
        <f>AGT22*AGU21</f>
        <v>1413</v>
      </c>
      <c r="AIJ22" s="140"/>
      <c r="AIK22" s="140"/>
      <c r="AIL22" s="140"/>
      <c r="AIT22" s="140"/>
      <c r="AIU22" s="140"/>
    </row>
    <row r="23" spans="2:932" x14ac:dyDescent="0.25">
      <c r="B23" s="2305"/>
      <c r="C23" s="696" t="s">
        <v>348</v>
      </c>
      <c r="D23" s="437"/>
      <c r="E23" s="490"/>
      <c r="F23" s="434"/>
      <c r="G23" s="434"/>
      <c r="H23" s="525"/>
      <c r="I23" s="434"/>
      <c r="J23" s="526"/>
      <c r="K23" s="434"/>
      <c r="L23" s="434"/>
      <c r="M23" s="434"/>
      <c r="N23" s="434"/>
      <c r="O23" s="434"/>
      <c r="P23" s="434"/>
      <c r="Q23" s="434"/>
      <c r="R23" s="697"/>
      <c r="S23" s="57"/>
      <c r="T23" s="650"/>
      <c r="U23" s="742"/>
      <c r="V23" s="62"/>
      <c r="W23" s="1"/>
      <c r="X23" s="3"/>
      <c r="Y23" s="3"/>
      <c r="Z23" s="1"/>
      <c r="AA23" s="1"/>
      <c r="AB23" s="1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Q23" s="62"/>
      <c r="AS23" s="428"/>
      <c r="AT23" s="428"/>
      <c r="AU23" s="3"/>
      <c r="AV23" s="1"/>
      <c r="AW23" s="3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U23" s="1"/>
      <c r="BV23" s="1"/>
      <c r="BW23" s="140"/>
      <c r="BX23" s="1"/>
      <c r="CZ23" s="1"/>
      <c r="DD23" s="729"/>
      <c r="DE23" s="730"/>
      <c r="DF23" s="731"/>
      <c r="DG23" s="732"/>
      <c r="DH23" s="733"/>
      <c r="DI23" s="140"/>
      <c r="FL23" s="140"/>
      <c r="JG23" s="140"/>
      <c r="JH23" s="140"/>
      <c r="JI23" s="140"/>
      <c r="JJ23" s="140"/>
      <c r="ON23" s="140"/>
      <c r="OO23" s="140"/>
      <c r="OQ23" s="482"/>
      <c r="OR23" s="483"/>
      <c r="PD23" s="140"/>
      <c r="PE23" s="475"/>
      <c r="PH23" s="468"/>
      <c r="PI23" s="140"/>
      <c r="RL23" s="475"/>
      <c r="AED23" s="140"/>
      <c r="AEE23" s="140"/>
      <c r="AEF23" s="476"/>
      <c r="AEP23" s="140"/>
      <c r="AEQ23" s="476"/>
      <c r="AGT23" s="468"/>
      <c r="AGU23" s="140"/>
      <c r="AIJ23" s="140"/>
      <c r="AIK23" s="140"/>
      <c r="AIL23" s="140"/>
      <c r="AIT23" s="140"/>
      <c r="AIU23" s="140"/>
    </row>
    <row r="24" spans="2:932" x14ac:dyDescent="0.25">
      <c r="B24" s="2305"/>
      <c r="C24" s="1951" t="s">
        <v>83</v>
      </c>
      <c r="D24" s="1952"/>
      <c r="E24" s="490"/>
      <c r="F24" s="434">
        <f>'Januari 2026 PMG 2'!AM23+'Januari 2026 PMG 1'!AM23</f>
        <v>35</v>
      </c>
      <c r="G24" s="434"/>
      <c r="H24" s="525"/>
      <c r="I24" s="434"/>
      <c r="J24" s="526"/>
      <c r="K24" s="434"/>
      <c r="L24" s="434"/>
      <c r="M24" s="434"/>
      <c r="N24" s="434"/>
      <c r="O24" s="434"/>
      <c r="P24" s="434"/>
      <c r="Q24" s="434"/>
      <c r="R24" s="697"/>
      <c r="S24" s="54">
        <f>SUM(F24:Q24)</f>
        <v>35</v>
      </c>
      <c r="T24" s="650"/>
      <c r="U24" s="742"/>
      <c r="V24" s="62"/>
      <c r="W24" s="1"/>
      <c r="X24" s="3"/>
      <c r="Y24" s="3"/>
      <c r="Z24" s="1"/>
      <c r="AA24" s="1"/>
      <c r="AB24" s="1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Q24" s="62"/>
      <c r="AS24" s="428"/>
      <c r="AT24" s="428"/>
      <c r="AU24" s="3"/>
      <c r="AV24" s="1"/>
      <c r="AW24" s="3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U24" s="1"/>
      <c r="BV24" s="1"/>
      <c r="BW24" s="140"/>
      <c r="BX24" s="1"/>
      <c r="CZ24" s="1"/>
      <c r="DD24" s="729"/>
      <c r="DE24" s="730"/>
      <c r="DF24" s="731"/>
      <c r="DG24" s="732"/>
      <c r="DH24" s="733"/>
      <c r="DI24" s="140"/>
      <c r="FL24" s="140"/>
      <c r="JG24" s="140"/>
      <c r="JH24" s="140"/>
      <c r="JI24" s="140"/>
      <c r="JJ24" s="140"/>
      <c r="ON24" s="140"/>
      <c r="OO24" s="140"/>
      <c r="OQ24" s="482"/>
      <c r="OR24" s="483"/>
      <c r="PD24" s="140"/>
      <c r="PE24" s="475"/>
      <c r="PH24" s="468"/>
      <c r="PI24" s="140"/>
      <c r="RL24" s="475"/>
      <c r="AED24" s="140"/>
      <c r="AEE24" s="140"/>
      <c r="AEF24" s="476"/>
      <c r="AEP24" s="140"/>
      <c r="AEQ24" s="476"/>
      <c r="AGT24" s="468"/>
      <c r="AGU24" s="140"/>
      <c r="AIJ24" s="140"/>
      <c r="AIK24" s="140"/>
      <c r="AIL24" s="140"/>
      <c r="AIT24" s="140"/>
      <c r="AIU24" s="140"/>
    </row>
    <row r="25" spans="2:932" x14ac:dyDescent="0.25">
      <c r="B25" s="2305"/>
      <c r="C25" s="64" t="s">
        <v>351</v>
      </c>
      <c r="D25" s="1915">
        <v>426016000</v>
      </c>
      <c r="E25" s="473" t="s">
        <v>14</v>
      </c>
      <c r="F25" s="439"/>
      <c r="G25" s="439"/>
      <c r="H25" s="1499"/>
      <c r="I25" s="439"/>
      <c r="J25" s="1506"/>
      <c r="K25" s="439"/>
      <c r="L25" s="439"/>
      <c r="M25" s="439"/>
      <c r="N25" s="439"/>
      <c r="O25" s="439"/>
      <c r="P25" s="439"/>
      <c r="Q25" s="439"/>
      <c r="R25" s="697"/>
      <c r="S25" s="735">
        <f>SUM(F25:Q25)</f>
        <v>0</v>
      </c>
      <c r="T25" s="650"/>
      <c r="U25" s="742"/>
      <c r="V25" s="1035"/>
      <c r="W25" s="1"/>
      <c r="X25" s="3"/>
      <c r="Y25" s="3"/>
      <c r="Z25" s="1"/>
      <c r="AA25" s="1"/>
      <c r="AB25" s="1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Q25" s="62"/>
      <c r="AS25" s="428"/>
      <c r="AT25" s="428"/>
      <c r="AU25" s="3"/>
      <c r="AV25" s="1"/>
      <c r="AW25" s="3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40"/>
      <c r="BX25" s="1"/>
      <c r="CZ25" s="1"/>
      <c r="DD25" s="729"/>
      <c r="DE25" s="730"/>
      <c r="DF25" s="731"/>
      <c r="DG25" s="732"/>
      <c r="DH25" s="733"/>
      <c r="DI25" s="140"/>
      <c r="FL25" s="140"/>
      <c r="JG25" s="140"/>
      <c r="JH25" s="140"/>
      <c r="JI25" s="140"/>
      <c r="JJ25" s="140"/>
      <c r="ON25" s="140"/>
      <c r="OO25" s="140"/>
      <c r="OQ25" s="482"/>
      <c r="OR25" s="483"/>
      <c r="PD25" s="140"/>
      <c r="PE25" s="475"/>
      <c r="PH25" s="468"/>
      <c r="PI25" s="140"/>
      <c r="RL25" s="475"/>
      <c r="AED25" s="140"/>
      <c r="AEE25" s="140"/>
      <c r="AEF25" s="476"/>
      <c r="AEP25" s="140"/>
      <c r="AEQ25" s="476"/>
      <c r="AGT25" s="468"/>
      <c r="AGU25" s="140"/>
      <c r="AIJ25" s="140"/>
      <c r="AIK25" s="140"/>
      <c r="AIL25" s="140"/>
      <c r="AIT25" s="140"/>
      <c r="AIU25" s="140"/>
    </row>
    <row r="26" spans="2:932" x14ac:dyDescent="0.25">
      <c r="B26" s="2305"/>
      <c r="C26" s="14" t="s">
        <v>350</v>
      </c>
      <c r="D26" s="734"/>
      <c r="E26" s="490" t="s">
        <v>14</v>
      </c>
      <c r="F26" s="434">
        <f>F30+F43</f>
        <v>53867455</v>
      </c>
      <c r="G26" s="434"/>
      <c r="H26" s="525"/>
      <c r="I26" s="1729"/>
      <c r="J26" s="526"/>
      <c r="K26" s="434"/>
      <c r="L26" s="434"/>
      <c r="M26" s="434"/>
      <c r="N26" s="434"/>
      <c r="O26" s="434"/>
      <c r="P26" s="434"/>
      <c r="Q26" s="434"/>
      <c r="R26" s="697"/>
      <c r="S26" s="736">
        <f>SUM(F26:Q26)</f>
        <v>53867455</v>
      </c>
      <c r="T26" s="650"/>
      <c r="U26" s="742"/>
      <c r="V26" s="62"/>
      <c r="W26" s="1"/>
      <c r="X26" s="3"/>
      <c r="Y26" s="3"/>
      <c r="Z26" s="1"/>
      <c r="AA26" s="1"/>
      <c r="AB26" s="1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Q26" s="62"/>
      <c r="AS26" s="428"/>
      <c r="AT26" s="428"/>
      <c r="AU26" s="3"/>
      <c r="AV26" s="1"/>
      <c r="AW26" s="3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U26" s="1"/>
      <c r="BV26" s="1"/>
      <c r="BW26" s="140"/>
      <c r="BX26" s="1"/>
      <c r="CZ26" s="1"/>
      <c r="DD26" s="729"/>
      <c r="DE26" s="730"/>
      <c r="DF26" s="731"/>
      <c r="DG26" s="732"/>
      <c r="DH26" s="733"/>
      <c r="DI26" s="140"/>
      <c r="FL26" s="140"/>
      <c r="JG26" s="140"/>
      <c r="JH26" s="140"/>
      <c r="JI26" s="140"/>
      <c r="JJ26" s="140"/>
      <c r="ON26" s="140"/>
      <c r="OO26" s="140"/>
      <c r="OQ26" s="482"/>
      <c r="OR26" s="483"/>
      <c r="PD26" s="140"/>
      <c r="PE26" s="475"/>
      <c r="PH26" s="468"/>
      <c r="PI26" s="140"/>
      <c r="RL26" s="475"/>
      <c r="AED26" s="140"/>
      <c r="AEE26" s="140"/>
      <c r="AEF26" s="476"/>
      <c r="AEP26" s="140"/>
      <c r="AEQ26" s="476"/>
      <c r="AGT26" s="468"/>
      <c r="AGU26" s="140"/>
      <c r="AIJ26" s="140"/>
      <c r="AIK26" s="140"/>
      <c r="AIL26" s="140"/>
      <c r="AIT26" s="140"/>
      <c r="AIU26" s="140"/>
    </row>
    <row r="27" spans="2:932" hidden="1" x14ac:dyDescent="0.25">
      <c r="B27" s="2305"/>
      <c r="C27" s="11" t="s">
        <v>1116</v>
      </c>
      <c r="D27" s="734"/>
      <c r="E27" s="433" t="s">
        <v>25</v>
      </c>
      <c r="F27" s="2045" t="e">
        <f>F26/F28*100</f>
        <v>#DIV/0!</v>
      </c>
      <c r="G27" s="2045"/>
      <c r="H27" s="2045"/>
      <c r="I27" s="2045"/>
      <c r="J27" s="2045"/>
      <c r="K27" s="2045"/>
      <c r="L27" s="2045"/>
      <c r="M27" s="2045"/>
      <c r="N27" s="2045"/>
      <c r="O27" s="2045"/>
      <c r="P27" s="2045"/>
      <c r="Q27" s="2045"/>
      <c r="R27" s="697"/>
      <c r="S27" s="54">
        <f>S26/S28*100</f>
        <v>12644.459856870217</v>
      </c>
      <c r="T27" s="650"/>
      <c r="U27" s="742"/>
      <c r="V27" s="62"/>
      <c r="W27" s="1"/>
      <c r="X27" s="3"/>
      <c r="Y27" s="3"/>
      <c r="Z27" s="1"/>
      <c r="AA27" s="1"/>
      <c r="AB27" s="1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Q27" s="62"/>
      <c r="AS27" s="428"/>
      <c r="AT27" s="428"/>
      <c r="AU27" s="3"/>
      <c r="AV27" s="1"/>
      <c r="AW27" s="3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U27" s="1"/>
      <c r="BV27" s="1"/>
      <c r="BW27" s="140"/>
      <c r="BX27" s="1"/>
      <c r="CZ27" s="1"/>
      <c r="DD27" s="729"/>
      <c r="DE27" s="730"/>
      <c r="DF27" s="731"/>
      <c r="DG27" s="732"/>
      <c r="DH27" s="733"/>
      <c r="DI27" s="140"/>
      <c r="FL27" s="140"/>
      <c r="JG27" s="140"/>
      <c r="JH27" s="140"/>
      <c r="JI27" s="140"/>
      <c r="JJ27" s="140"/>
      <c r="ON27" s="140"/>
      <c r="OO27" s="140"/>
      <c r="OQ27" s="482"/>
      <c r="OR27" s="483"/>
      <c r="PD27" s="140"/>
      <c r="PE27" s="475"/>
      <c r="PH27" s="468"/>
      <c r="PI27" s="140"/>
      <c r="RL27" s="475"/>
      <c r="AED27" s="140"/>
      <c r="AEE27" s="140"/>
      <c r="AEF27" s="476"/>
      <c r="AEP27" s="140"/>
      <c r="AEQ27" s="476"/>
      <c r="AGT27" s="468"/>
      <c r="AGU27" s="140"/>
      <c r="AIJ27" s="140"/>
      <c r="AIK27" s="140"/>
      <c r="AIL27" s="140"/>
      <c r="AIT27" s="140"/>
      <c r="AIU27" s="140"/>
    </row>
    <row r="28" spans="2:932" x14ac:dyDescent="0.25">
      <c r="B28" s="2305"/>
      <c r="C28" s="436" t="s">
        <v>1117</v>
      </c>
      <c r="D28" s="734"/>
      <c r="E28" s="438" t="s">
        <v>14</v>
      </c>
      <c r="F28" s="434"/>
      <c r="G28" s="434"/>
      <c r="H28" s="434"/>
      <c r="I28" s="1729"/>
      <c r="J28" s="526"/>
      <c r="K28" s="434"/>
      <c r="L28" s="434"/>
      <c r="M28" s="434"/>
      <c r="N28" s="434"/>
      <c r="O28" s="434"/>
      <c r="P28" s="434"/>
      <c r="Q28" s="434"/>
      <c r="R28" s="697"/>
      <c r="S28" s="735">
        <v>426016.260162602</v>
      </c>
      <c r="T28" s="650"/>
      <c r="U28" s="742"/>
      <c r="V28" s="62"/>
      <c r="W28" s="1"/>
      <c r="X28" s="3"/>
      <c r="Y28" s="3"/>
      <c r="Z28" s="1"/>
      <c r="AA28" s="1"/>
      <c r="AB28" s="1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Q28" s="62"/>
      <c r="AS28" s="428"/>
      <c r="AT28" s="428"/>
      <c r="AU28" s="3"/>
      <c r="AV28" s="1"/>
      <c r="AW28" s="3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U28" s="1"/>
      <c r="BV28" s="1"/>
      <c r="BW28" s="140"/>
      <c r="BX28" s="1"/>
      <c r="CZ28" s="1"/>
      <c r="DD28" s="729"/>
      <c r="DE28" s="730"/>
      <c r="DF28" s="731"/>
      <c r="DG28" s="732"/>
      <c r="DH28" s="733"/>
      <c r="DI28" s="140"/>
      <c r="FL28" s="140"/>
      <c r="JG28" s="140"/>
      <c r="JH28" s="140"/>
      <c r="JI28" s="140"/>
      <c r="JJ28" s="140"/>
      <c r="ON28" s="140"/>
      <c r="OO28" s="140"/>
      <c r="OQ28" s="482"/>
      <c r="OR28" s="483"/>
      <c r="PD28" s="140"/>
      <c r="PE28" s="475"/>
      <c r="PH28" s="468"/>
      <c r="PI28" s="140"/>
      <c r="RL28" s="475"/>
      <c r="AED28" s="140"/>
      <c r="AEE28" s="140"/>
      <c r="AEF28" s="476"/>
      <c r="AEP28" s="140"/>
      <c r="AEQ28" s="476"/>
      <c r="AGT28" s="468"/>
      <c r="AGU28" s="140"/>
      <c r="AIJ28" s="140"/>
      <c r="AIK28" s="140"/>
      <c r="AIL28" s="140"/>
      <c r="AIT28" s="140"/>
      <c r="AIU28" s="140"/>
    </row>
    <row r="29" spans="2:932" ht="15.75" thickBot="1" x14ac:dyDescent="0.3">
      <c r="B29" s="2305"/>
      <c r="C29" s="484" t="s">
        <v>76</v>
      </c>
      <c r="D29" s="485"/>
      <c r="E29" s="486"/>
      <c r="F29" s="424"/>
      <c r="G29" s="424"/>
      <c r="H29" s="1498"/>
      <c r="I29" s="424"/>
      <c r="J29" s="1508"/>
      <c r="K29" s="424"/>
      <c r="L29" s="424"/>
      <c r="M29" s="424"/>
      <c r="N29" s="424"/>
      <c r="O29" s="424"/>
      <c r="P29" s="424"/>
      <c r="Q29" s="424"/>
      <c r="R29" s="697"/>
      <c r="S29" s="691" t="s">
        <v>63</v>
      </c>
      <c r="T29" s="651" t="s">
        <v>63</v>
      </c>
      <c r="U29" s="744" t="s">
        <v>63</v>
      </c>
      <c r="V29" s="62"/>
      <c r="W29" s="1"/>
      <c r="X29" s="1"/>
      <c r="Y29" s="1"/>
      <c r="Z29" s="1"/>
      <c r="AA29" s="3">
        <f>F12-(F21+F22)</f>
        <v>339576</v>
      </c>
      <c r="AB29" s="1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Q29" s="62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CZ29" s="1"/>
      <c r="DD29" s="416"/>
      <c r="DE29" s="487"/>
      <c r="DF29" s="418">
        <v>24</v>
      </c>
      <c r="DG29" s="419">
        <v>2</v>
      </c>
      <c r="DH29" s="420">
        <v>3</v>
      </c>
      <c r="OQ29" s="482" t="s">
        <v>61</v>
      </c>
      <c r="OR29" s="488">
        <f>80.53776+PE39</f>
        <v>120.78492</v>
      </c>
      <c r="PD29" s="140">
        <v>4695.7554</v>
      </c>
      <c r="PE29" s="475">
        <f>OR29/PD29*100</f>
        <v>2.5722148985869238</v>
      </c>
      <c r="AGT29" s="468">
        <v>0.25</v>
      </c>
      <c r="AGU29" s="140">
        <f>AGT29*AGU21</f>
        <v>471</v>
      </c>
    </row>
    <row r="30" spans="2:932" x14ac:dyDescent="0.25">
      <c r="B30" s="2305"/>
      <c r="C30" s="472" t="s">
        <v>75</v>
      </c>
      <c r="D30" s="489"/>
      <c r="E30" s="490" t="s">
        <v>14</v>
      </c>
      <c r="F30" s="439">
        <f>'Januari 2026 PMG 2'!AM32+'Januari 2026 PMG 1'!AM32</f>
        <v>39639925</v>
      </c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697"/>
      <c r="S30" s="57">
        <f>S31+S32</f>
        <v>39639925</v>
      </c>
      <c r="T30" s="646">
        <f>T31+T32</f>
        <v>87311000</v>
      </c>
      <c r="U30" s="742">
        <f>S30/T30*100</f>
        <v>45.400837237003358</v>
      </c>
      <c r="V30" s="62"/>
      <c r="W30" s="1"/>
      <c r="X30" s="3"/>
      <c r="Y30" s="1"/>
      <c r="Z30" s="1"/>
      <c r="AA30" s="1">
        <f>(AA29/F12)</f>
        <v>5.9658346444691011E-3</v>
      </c>
      <c r="AB30" s="1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Q30" s="62"/>
      <c r="AS30" s="447"/>
      <c r="AT30" s="447"/>
      <c r="AU30" s="1"/>
      <c r="AV30" s="1"/>
      <c r="AW30" s="3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41"/>
      <c r="BX30" s="1"/>
      <c r="CZ30" s="1"/>
      <c r="DD30" s="426" t="s">
        <v>311</v>
      </c>
      <c r="DE30" s="5" t="s">
        <v>14</v>
      </c>
      <c r="DF30" s="427">
        <v>2000530</v>
      </c>
      <c r="DG30" s="447">
        <v>2005167</v>
      </c>
      <c r="DH30" s="429">
        <v>2025879</v>
      </c>
      <c r="DI30" s="141"/>
      <c r="FL30" s="141"/>
      <c r="JG30" s="141"/>
      <c r="JH30" s="141"/>
      <c r="JI30" s="141"/>
      <c r="JJ30" s="141"/>
      <c r="ON30" s="141"/>
      <c r="OO30" s="141"/>
      <c r="OQ30" s="141"/>
      <c r="PE30" s="144"/>
      <c r="PI30" s="141"/>
      <c r="RL30" s="144"/>
      <c r="AED30" s="4">
        <f>95.28%*AED12</f>
        <v>34157.880000005527</v>
      </c>
      <c r="AEF30" s="4">
        <f>AED21-AEP21</f>
        <v>102202.1199999805</v>
      </c>
      <c r="AGU30" s="140"/>
      <c r="AIJ30" s="140"/>
      <c r="AIK30" s="140"/>
      <c r="AIL30" s="140"/>
      <c r="AIP30" s="1" t="s">
        <v>328</v>
      </c>
    </row>
    <row r="31" spans="2:932" x14ac:dyDescent="0.25">
      <c r="B31" s="2305"/>
      <c r="C31" s="472" t="s">
        <v>74</v>
      </c>
      <c r="D31" s="489">
        <v>349333</v>
      </c>
      <c r="E31" s="473" t="s">
        <v>14</v>
      </c>
      <c r="F31" s="439">
        <f>'Januari 2026 PMG 2'!AM33+'Januari 2026 PMG 1'!AM33</f>
        <v>32832043</v>
      </c>
      <c r="G31" s="439"/>
      <c r="H31" s="1499"/>
      <c r="I31" s="439"/>
      <c r="J31" s="1506"/>
      <c r="K31" s="439"/>
      <c r="L31" s="439"/>
      <c r="M31" s="439"/>
      <c r="N31" s="439"/>
      <c r="O31" s="439"/>
      <c r="P31" s="439"/>
      <c r="Q31" s="439"/>
      <c r="R31" s="697"/>
      <c r="S31" s="57">
        <f>SUM(F31:Q31)</f>
        <v>32832043</v>
      </c>
      <c r="T31" s="650">
        <v>71627000</v>
      </c>
      <c r="U31" s="742">
        <f>S31/T31*100</f>
        <v>45.83752355955157</v>
      </c>
      <c r="V31" s="62"/>
      <c r="W31" s="1"/>
      <c r="X31" s="3"/>
      <c r="Y31" s="1"/>
      <c r="Z31" s="1"/>
      <c r="AA31" s="1"/>
      <c r="AB31" s="1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Q31" s="62"/>
      <c r="AS31" s="1"/>
      <c r="AT31" s="1"/>
      <c r="AU31" s="3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1"/>
      <c r="BW31" s="1"/>
      <c r="BX31" s="1"/>
      <c r="CZ31" s="1"/>
      <c r="DD31" s="440" t="s">
        <v>317</v>
      </c>
      <c r="DE31" s="441" t="s">
        <v>19</v>
      </c>
      <c r="DF31" s="442">
        <v>255.536188590634</v>
      </c>
      <c r="DG31" s="491">
        <v>255.09239449100701</v>
      </c>
      <c r="DH31" s="444">
        <v>260.824545250543</v>
      </c>
      <c r="ON31" s="465" t="e">
        <f>#REF!/1000</f>
        <v>#REF!</v>
      </c>
      <c r="OQ31" s="492" t="s">
        <v>329</v>
      </c>
      <c r="OR31" s="140">
        <v>0</v>
      </c>
      <c r="PD31" s="140">
        <v>9.7534799999999997</v>
      </c>
      <c r="PE31" s="475">
        <f>(OR31*PD31)/1000</f>
        <v>0</v>
      </c>
      <c r="AED31" s="4">
        <f>4.1%*AED12</f>
        <v>1469.8500000002375</v>
      </c>
      <c r="AEF31" s="4">
        <f>AED22-AEP22</f>
        <v>12330.149999999059</v>
      </c>
    </row>
    <row r="32" spans="2:932" x14ac:dyDescent="0.25">
      <c r="B32" s="2305"/>
      <c r="C32" s="472" t="s">
        <v>73</v>
      </c>
      <c r="D32" s="489">
        <v>76683</v>
      </c>
      <c r="E32" s="473" t="s">
        <v>14</v>
      </c>
      <c r="F32" s="439">
        <f>'Januari 2026 PMG 2'!AM34+'Januari 2026 PMG 1'!AM34</f>
        <v>6807882</v>
      </c>
      <c r="G32" s="439"/>
      <c r="H32" s="1499"/>
      <c r="I32" s="439"/>
      <c r="J32" s="1506"/>
      <c r="K32" s="439"/>
      <c r="L32" s="439"/>
      <c r="M32" s="439"/>
      <c r="N32" s="439"/>
      <c r="O32" s="439"/>
      <c r="P32" s="439"/>
      <c r="Q32" s="439"/>
      <c r="R32" s="697"/>
      <c r="S32" s="57">
        <f>SUM(F32:Q32)</f>
        <v>6807882</v>
      </c>
      <c r="T32" s="650">
        <v>15684000</v>
      </c>
      <c r="U32" s="742">
        <f>S32/T32*100</f>
        <v>43.406541698546292</v>
      </c>
      <c r="V32" s="62"/>
      <c r="W32" s="1"/>
      <c r="X32" s="1"/>
      <c r="Y32" s="1"/>
      <c r="Z32" s="1"/>
      <c r="AA32" s="1"/>
      <c r="AB32" s="1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Q32" s="62"/>
      <c r="AS32" s="1"/>
      <c r="AT32" s="1"/>
      <c r="AU32" s="3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1"/>
      <c r="BW32" s="1"/>
      <c r="BX32" s="1"/>
      <c r="CZ32" s="1"/>
      <c r="DD32" s="426" t="s">
        <v>320</v>
      </c>
      <c r="DE32" s="5" t="s">
        <v>14</v>
      </c>
      <c r="DF32" s="427">
        <v>146000</v>
      </c>
      <c r="DG32" s="428">
        <v>151100</v>
      </c>
      <c r="DH32" s="429">
        <v>152900</v>
      </c>
      <c r="ON32" s="140">
        <v>1796</v>
      </c>
      <c r="OP32" s="475"/>
      <c r="OQ32" s="492" t="s">
        <v>330</v>
      </c>
      <c r="OR32" s="465">
        <v>1262</v>
      </c>
      <c r="PD32" s="1">
        <v>10.86</v>
      </c>
      <c r="PE32" s="475">
        <f>(OR32*PD32)/1000</f>
        <v>13.70532</v>
      </c>
      <c r="AIP32" s="2" t="s">
        <v>331</v>
      </c>
    </row>
    <row r="33" spans="1:14938" hidden="1" x14ac:dyDescent="0.25">
      <c r="B33" s="2305"/>
      <c r="C33" s="484" t="s">
        <v>103</v>
      </c>
      <c r="D33" s="489"/>
      <c r="E33" s="493"/>
      <c r="F33" s="494"/>
      <c r="G33" s="494"/>
      <c r="H33" s="1501"/>
      <c r="I33" s="494"/>
      <c r="J33" s="1509"/>
      <c r="K33" s="494"/>
      <c r="L33" s="494"/>
      <c r="M33" s="494"/>
      <c r="N33" s="494"/>
      <c r="O33" s="494"/>
      <c r="P33" s="494"/>
      <c r="Q33" s="494"/>
      <c r="R33" s="697"/>
      <c r="S33" s="691" t="s">
        <v>105</v>
      </c>
      <c r="T33" s="651" t="s">
        <v>105</v>
      </c>
      <c r="U33" s="744" t="s">
        <v>105</v>
      </c>
      <c r="V33" s="62"/>
      <c r="W33" s="3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Q33" s="62"/>
      <c r="AS33" s="1"/>
      <c r="AT33" s="1"/>
      <c r="AU33" s="3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U33" s="1"/>
      <c r="BV33" s="1"/>
      <c r="BW33" s="1"/>
      <c r="BX33" s="1"/>
      <c r="CZ33" s="1"/>
      <c r="DD33" s="426"/>
      <c r="DE33" s="5"/>
      <c r="DF33" s="427"/>
      <c r="DG33" s="428"/>
      <c r="DH33" s="429"/>
      <c r="ON33" s="140"/>
      <c r="OP33" s="475"/>
      <c r="OQ33" s="492"/>
      <c r="OR33" s="465"/>
      <c r="PD33" s="1"/>
      <c r="PE33" s="475"/>
      <c r="AIP33" s="2"/>
    </row>
    <row r="34" spans="1:14938" hidden="1" x14ac:dyDescent="0.25">
      <c r="B34" s="2305"/>
      <c r="C34" s="472" t="s">
        <v>75</v>
      </c>
      <c r="D34" s="489"/>
      <c r="E34" s="473" t="s">
        <v>14</v>
      </c>
      <c r="F34" s="439"/>
      <c r="G34" s="439"/>
      <c r="H34" s="1499"/>
      <c r="I34" s="1513"/>
      <c r="J34" s="1506"/>
      <c r="K34" s="439"/>
      <c r="L34" s="439"/>
      <c r="M34" s="439"/>
      <c r="N34" s="439"/>
      <c r="O34" s="439"/>
      <c r="P34" s="439"/>
      <c r="Q34" s="439"/>
      <c r="R34" s="697"/>
      <c r="S34" s="57">
        <f>S35+S36</f>
        <v>0</v>
      </c>
      <c r="T34" s="646">
        <f>T35+T36</f>
        <v>5121000</v>
      </c>
      <c r="U34" s="742">
        <f>S34/T34*100</f>
        <v>0</v>
      </c>
      <c r="V34" s="361"/>
      <c r="W34" s="1"/>
      <c r="X34" s="62"/>
      <c r="Y34" s="62"/>
      <c r="Z34" s="62"/>
      <c r="AA34" s="62"/>
      <c r="AB34" s="62"/>
      <c r="AC34" s="62"/>
      <c r="AD34" s="62"/>
      <c r="AE34" s="778"/>
      <c r="AF34" s="778"/>
      <c r="AG34" s="778"/>
      <c r="AH34" s="778"/>
      <c r="AI34" s="778"/>
      <c r="AJ34" s="778"/>
      <c r="AK34" s="778"/>
      <c r="AL34" s="778"/>
      <c r="AM34" s="62"/>
      <c r="AN34" s="62"/>
      <c r="AO34" s="62"/>
      <c r="AQ34" s="62"/>
      <c r="AS34" s="1"/>
      <c r="AT34" s="1"/>
      <c r="AU34" s="3"/>
      <c r="AV34" s="1"/>
      <c r="AW34" s="361">
        <f>S34+S39</f>
        <v>0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U34" s="1"/>
      <c r="BV34" s="1"/>
      <c r="BW34" s="1"/>
      <c r="BX34" s="1"/>
      <c r="CZ34" s="1"/>
      <c r="DD34" s="426"/>
      <c r="DE34" s="5"/>
      <c r="DF34" s="427"/>
      <c r="DG34" s="428"/>
      <c r="DH34" s="429"/>
      <c r="ON34" s="140"/>
      <c r="OP34" s="475"/>
      <c r="OQ34" s="492"/>
      <c r="OR34" s="465"/>
      <c r="PD34" s="1"/>
      <c r="PE34" s="475"/>
      <c r="AIP34" s="2"/>
    </row>
    <row r="35" spans="1:14938" hidden="1" x14ac:dyDescent="0.25">
      <c r="B35" s="2305"/>
      <c r="C35" s="472" t="s">
        <v>104</v>
      </c>
      <c r="D35" s="489"/>
      <c r="E35" s="473" t="s">
        <v>14</v>
      </c>
      <c r="F35" s="439"/>
      <c r="G35" s="439"/>
      <c r="H35" s="1499"/>
      <c r="I35" s="1513"/>
      <c r="J35" s="1506"/>
      <c r="K35" s="439"/>
      <c r="L35" s="439"/>
      <c r="M35" s="439"/>
      <c r="N35" s="439"/>
      <c r="O35" s="439"/>
      <c r="P35" s="439"/>
      <c r="Q35" s="439"/>
      <c r="R35" s="697"/>
      <c r="S35" s="57">
        <f>SUM(F35:Q35)</f>
        <v>0</v>
      </c>
      <c r="T35" s="650">
        <v>3934000</v>
      </c>
      <c r="U35" s="742">
        <f>S35/T35*100</f>
        <v>0</v>
      </c>
      <c r="V35" s="361"/>
      <c r="W35" s="1"/>
      <c r="X35" s="62"/>
      <c r="Y35" s="62"/>
      <c r="Z35" s="62"/>
      <c r="AA35" s="62"/>
      <c r="AB35" s="62"/>
      <c r="AC35" s="62"/>
      <c r="AD35" s="62"/>
      <c r="AE35" s="778"/>
      <c r="AF35" s="778"/>
      <c r="AG35" s="62"/>
      <c r="AH35" s="62"/>
      <c r="AI35" s="62"/>
      <c r="AJ35" s="62"/>
      <c r="AK35" s="62"/>
      <c r="AL35" s="62"/>
      <c r="AM35" s="62"/>
      <c r="AN35" s="62"/>
      <c r="AO35" s="62"/>
      <c r="AQ35" s="62"/>
      <c r="AS35" s="1"/>
      <c r="AT35" s="1"/>
      <c r="AU35" s="3"/>
      <c r="AV35" s="1"/>
      <c r="AW35" s="361">
        <f>S35+S40</f>
        <v>0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U35" s="1"/>
      <c r="BV35" s="1"/>
      <c r="BW35" s="1"/>
      <c r="BX35" s="1"/>
      <c r="CZ35" s="1"/>
      <c r="DD35" s="426"/>
      <c r="DE35" s="5"/>
      <c r="DF35" s="427"/>
      <c r="DG35" s="428"/>
      <c r="DH35" s="429"/>
      <c r="ON35" s="140"/>
      <c r="OP35" s="475"/>
      <c r="OQ35" s="492"/>
      <c r="OR35" s="465"/>
      <c r="PD35" s="1"/>
      <c r="PE35" s="475"/>
      <c r="AIP35" s="2"/>
    </row>
    <row r="36" spans="1:14938" hidden="1" x14ac:dyDescent="0.25">
      <c r="B36" s="2305"/>
      <c r="C36" s="472" t="s">
        <v>73</v>
      </c>
      <c r="D36" s="489"/>
      <c r="E36" s="473" t="s">
        <v>14</v>
      </c>
      <c r="F36" s="439"/>
      <c r="G36" s="439"/>
      <c r="H36" s="1499"/>
      <c r="I36" s="1513"/>
      <c r="J36" s="1506"/>
      <c r="K36" s="439"/>
      <c r="L36" s="439"/>
      <c r="M36" s="439"/>
      <c r="N36" s="439"/>
      <c r="O36" s="439"/>
      <c r="P36" s="439"/>
      <c r="Q36" s="439"/>
      <c r="R36" s="697"/>
      <c r="S36" s="57">
        <f>SUM(F36:Q36)</f>
        <v>0</v>
      </c>
      <c r="T36" s="650">
        <v>1187000</v>
      </c>
      <c r="U36" s="742">
        <f>S36/T36*100</f>
        <v>0</v>
      </c>
      <c r="V36" s="361"/>
      <c r="W36" s="1"/>
      <c r="X36" s="62"/>
      <c r="Y36" s="62"/>
      <c r="Z36" s="62"/>
      <c r="AA36" s="62"/>
      <c r="AB36" s="62"/>
      <c r="AC36" s="62"/>
      <c r="AD36" s="62"/>
      <c r="AE36" s="778"/>
      <c r="AF36" s="778"/>
      <c r="AG36" s="62"/>
      <c r="AH36" s="62"/>
      <c r="AI36" s="62"/>
      <c r="AJ36" s="62"/>
      <c r="AK36" s="62"/>
      <c r="AL36" s="62"/>
      <c r="AM36" s="62"/>
      <c r="AN36" s="62"/>
      <c r="AO36" s="62"/>
      <c r="AQ36" s="62"/>
      <c r="AS36" s="1"/>
      <c r="AT36" s="1"/>
      <c r="AU36" s="3"/>
      <c r="AV36" s="1"/>
      <c r="AW36" s="361">
        <f>S36+S41</f>
        <v>0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U36" s="1"/>
      <c r="BV36" s="1"/>
      <c r="BW36" s="1"/>
      <c r="BX36" s="1"/>
      <c r="CZ36" s="1"/>
      <c r="DD36" s="426"/>
      <c r="DE36" s="5"/>
      <c r="DF36" s="427"/>
      <c r="DG36" s="428"/>
      <c r="DH36" s="429"/>
      <c r="ON36" s="140"/>
      <c r="OP36" s="475"/>
      <c r="OQ36" s="492"/>
      <c r="OR36" s="465"/>
      <c r="PD36" s="1"/>
      <c r="PE36" s="475"/>
      <c r="AIP36" s="2"/>
    </row>
    <row r="37" spans="1:14938" ht="15.75" hidden="1" thickBot="1" x14ac:dyDescent="0.3">
      <c r="B37" s="2305"/>
      <c r="C37" s="484" t="s">
        <v>106</v>
      </c>
      <c r="D37" s="495"/>
      <c r="E37" s="486"/>
      <c r="F37" s="424"/>
      <c r="G37" s="424"/>
      <c r="H37" s="1498"/>
      <c r="I37" s="496"/>
      <c r="J37" s="1508"/>
      <c r="K37" s="424"/>
      <c r="L37" s="424"/>
      <c r="M37" s="424"/>
      <c r="N37" s="424"/>
      <c r="O37" s="424"/>
      <c r="P37" s="424"/>
      <c r="Q37" s="424"/>
      <c r="R37" s="697"/>
      <c r="S37" s="691" t="s">
        <v>107</v>
      </c>
      <c r="T37" s="651" t="s">
        <v>107</v>
      </c>
      <c r="U37" s="744" t="s">
        <v>107</v>
      </c>
      <c r="V37" s="62"/>
      <c r="W37" s="1"/>
      <c r="X37" s="62"/>
      <c r="Y37" s="62"/>
      <c r="Z37" s="62"/>
      <c r="AA37" s="62"/>
      <c r="AB37" s="62"/>
      <c r="AC37" s="62"/>
      <c r="AD37" s="62"/>
      <c r="AE37" s="2307"/>
      <c r="AF37" s="2307"/>
      <c r="AG37" s="62"/>
      <c r="AH37" s="62"/>
      <c r="AI37" s="62"/>
      <c r="AJ37" s="62"/>
      <c r="AK37" s="62"/>
      <c r="AL37" s="62"/>
      <c r="AM37" s="62"/>
      <c r="AN37" s="62"/>
      <c r="AO37" s="62"/>
      <c r="AQ37" s="62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U37" s="1"/>
      <c r="BV37" s="1"/>
      <c r="BW37" s="1"/>
      <c r="BX37" s="1"/>
      <c r="CZ37" s="1"/>
      <c r="DD37" s="460"/>
      <c r="DE37" s="461" t="s">
        <v>321</v>
      </c>
      <c r="DF37" s="497">
        <f>DF32/(DF30/1000)</f>
        <v>72.980660125066862</v>
      </c>
      <c r="DG37" s="498">
        <f>DG32/(DG30/1000)</f>
        <v>75.35531953198911</v>
      </c>
      <c r="DH37" s="499">
        <f>DH32/(DH30/1000)</f>
        <v>75.473411788167013</v>
      </c>
      <c r="ON37" s="475" t="e">
        <f>ON31/ON32*100</f>
        <v>#REF!</v>
      </c>
      <c r="OP37" s="475"/>
      <c r="OQ37" s="492" t="s">
        <v>332</v>
      </c>
      <c r="OR37" s="465">
        <v>2444</v>
      </c>
      <c r="PD37" s="1">
        <v>10.86</v>
      </c>
      <c r="PE37" s="475">
        <f>(OR37*PD37)/1000</f>
        <v>26.541840000000001</v>
      </c>
      <c r="AIP37" s="2" t="s">
        <v>313</v>
      </c>
    </row>
    <row r="38" spans="1:14938" hidden="1" x14ac:dyDescent="0.25">
      <c r="A38" s="16"/>
      <c r="B38" s="2305"/>
      <c r="C38" s="500" t="s">
        <v>71</v>
      </c>
      <c r="D38" s="501"/>
      <c r="E38" s="502" t="s">
        <v>14</v>
      </c>
      <c r="F38" s="439"/>
      <c r="G38" s="439"/>
      <c r="H38" s="1499"/>
      <c r="I38" s="439"/>
      <c r="J38" s="1506"/>
      <c r="K38" s="439"/>
      <c r="L38" s="439"/>
      <c r="M38" s="439"/>
      <c r="N38" s="439"/>
      <c r="O38" s="439"/>
      <c r="P38" s="439"/>
      <c r="Q38" s="439"/>
      <c r="R38" s="699"/>
      <c r="S38" s="503">
        <f>SUM(F38:Q38)</f>
        <v>0</v>
      </c>
      <c r="T38" s="652">
        <f>T39/T61%</f>
        <v>32338304.029689282</v>
      </c>
      <c r="U38" s="742">
        <f>(S38/T38)*100</f>
        <v>0</v>
      </c>
      <c r="V38" s="779"/>
      <c r="W38" s="16"/>
      <c r="X38" s="779"/>
      <c r="Y38" s="779"/>
      <c r="Z38" s="779"/>
      <c r="AA38" s="779"/>
      <c r="AB38" s="779"/>
      <c r="AC38" s="779"/>
      <c r="AD38" s="779"/>
      <c r="AE38" s="780"/>
      <c r="AF38" s="780"/>
      <c r="AG38" s="779"/>
      <c r="AH38" s="779"/>
      <c r="AI38" s="779"/>
      <c r="AJ38" s="779"/>
      <c r="AK38" s="779"/>
      <c r="AL38" s="779"/>
      <c r="AM38" s="779"/>
      <c r="AN38" s="779"/>
      <c r="AO38" s="779"/>
      <c r="AP38" s="779"/>
      <c r="AQ38" s="779"/>
      <c r="AR38" s="779"/>
      <c r="AS38" s="781"/>
      <c r="AT38" s="781"/>
      <c r="AU38" s="16"/>
      <c r="AV38" s="16"/>
      <c r="AW38" s="1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U38" s="16"/>
      <c r="BV38" s="16"/>
      <c r="BW38" s="143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E38" s="5" t="s">
        <v>321</v>
      </c>
      <c r="DF38" s="144" t="e">
        <f>DF32/(DF22/1000)</f>
        <v>#VALUE!</v>
      </c>
      <c r="DG38" s="144" t="e">
        <f>DH32/(DG22/1000)</f>
        <v>#VALUE!</v>
      </c>
      <c r="DH38" s="144" t="e">
        <f>#REF!/(DH22/1000)</f>
        <v>#REF!</v>
      </c>
      <c r="DI38" s="143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43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43"/>
      <c r="JH38" s="143"/>
      <c r="JI38" s="143"/>
      <c r="JJ38" s="143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43"/>
      <c r="OO38" s="143"/>
      <c r="OP38" s="504"/>
      <c r="OQ38" s="143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504"/>
      <c r="PF38" s="16"/>
      <c r="PG38" s="16"/>
      <c r="PH38" s="16"/>
      <c r="PI38" s="143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504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6"/>
      <c r="WJ38" s="16"/>
      <c r="WK38" s="16"/>
      <c r="WL38" s="16"/>
      <c r="WM38" s="16"/>
      <c r="WN38" s="16"/>
      <c r="WO38" s="16"/>
      <c r="WP38" s="16"/>
      <c r="WQ38" s="16"/>
      <c r="WR38" s="16"/>
      <c r="WS38" s="16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43"/>
      <c r="AGV38" s="16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43"/>
      <c r="AIK38" s="143"/>
      <c r="AIL38" s="143"/>
      <c r="AIM38" s="16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6"/>
      <c r="AJQ38" s="16"/>
      <c r="AJR38" s="16"/>
      <c r="AJS38" s="16"/>
      <c r="AJT38" s="16"/>
      <c r="AJU38" s="16"/>
      <c r="AJV38" s="16"/>
      <c r="AJW38" s="16"/>
      <c r="AJX38" s="16"/>
      <c r="AJY38" s="16"/>
      <c r="AJZ38" s="16"/>
      <c r="AKA38" s="16"/>
      <c r="AKB38" s="16"/>
      <c r="AKC38" s="16"/>
      <c r="AKD38" s="16"/>
      <c r="AKE38" s="16"/>
      <c r="AKF38" s="16"/>
      <c r="AKG38" s="16"/>
      <c r="AKH38" s="16"/>
      <c r="AKI38" s="16"/>
      <c r="AKJ38" s="16"/>
      <c r="AKK38" s="16"/>
      <c r="AKL38" s="16"/>
      <c r="AKM38" s="16"/>
      <c r="AKN38" s="16"/>
      <c r="AKO38" s="16"/>
      <c r="AKP38" s="16"/>
      <c r="AKQ38" s="16"/>
      <c r="AKR38" s="16"/>
      <c r="AKS38" s="16"/>
      <c r="AKT38" s="16"/>
      <c r="AKU38" s="16"/>
      <c r="AKV38" s="16"/>
      <c r="AKW38" s="16"/>
      <c r="AKX38" s="16"/>
      <c r="AKY38" s="16"/>
      <c r="AKZ38" s="16"/>
      <c r="ALA38" s="16"/>
      <c r="ALB38" s="16"/>
      <c r="ALC38" s="16"/>
      <c r="ALD38" s="16"/>
      <c r="ALE38" s="16"/>
      <c r="ALF38" s="16"/>
      <c r="ALG38" s="16"/>
      <c r="ALH38" s="16"/>
      <c r="ALI38" s="16"/>
      <c r="ALJ38" s="16"/>
      <c r="ALK38" s="16"/>
      <c r="ALL38" s="16"/>
      <c r="ALM38" s="16"/>
      <c r="ALN38" s="16"/>
      <c r="ALO38" s="16"/>
      <c r="ALP38" s="16"/>
      <c r="ALQ38" s="16"/>
      <c r="ALR38" s="16"/>
      <c r="ALS38" s="16"/>
      <c r="ALT38" s="16"/>
      <c r="ALU38" s="16"/>
      <c r="ALV38" s="16"/>
      <c r="ALW38" s="16"/>
      <c r="ALX38" s="16"/>
      <c r="ALY38" s="16"/>
      <c r="ALZ38" s="16"/>
      <c r="AMA38" s="16"/>
      <c r="AMB38" s="16"/>
      <c r="AMC38" s="16"/>
      <c r="AMD38" s="16"/>
      <c r="AME38" s="16"/>
      <c r="AMF38" s="16"/>
      <c r="AMG38" s="16"/>
      <c r="AMH38" s="16"/>
      <c r="AMI38" s="16"/>
      <c r="AMJ38" s="16"/>
      <c r="AMK38" s="16"/>
      <c r="AML38" s="16"/>
      <c r="AMM38" s="16"/>
      <c r="AMN38" s="16"/>
      <c r="AMO38" s="16"/>
      <c r="AMP38" s="16"/>
      <c r="AMQ38" s="16"/>
      <c r="AMR38" s="16"/>
      <c r="AMS38" s="16"/>
      <c r="AMT38" s="16"/>
      <c r="AMU38" s="16"/>
      <c r="AMV38" s="16"/>
      <c r="AMW38" s="16"/>
      <c r="AMX38" s="16"/>
      <c r="AMY38" s="16"/>
      <c r="AMZ38" s="16"/>
      <c r="ANA38" s="16"/>
      <c r="ANB38" s="16"/>
      <c r="ANC38" s="16"/>
      <c r="AND38" s="16"/>
      <c r="ANE38" s="16"/>
      <c r="ANF38" s="16"/>
      <c r="ANG38" s="16"/>
      <c r="ANH38" s="16"/>
      <c r="ANI38" s="16"/>
      <c r="ANJ38" s="16"/>
      <c r="ANK38" s="16"/>
      <c r="ANL38" s="16"/>
      <c r="ANM38" s="16"/>
      <c r="ANN38" s="16"/>
      <c r="ANO38" s="16"/>
      <c r="ANP38" s="16"/>
      <c r="ANQ38" s="16"/>
      <c r="ANR38" s="16"/>
      <c r="ANS38" s="16"/>
      <c r="ANT38" s="16"/>
      <c r="ANU38" s="16"/>
      <c r="ANV38" s="16"/>
      <c r="ANW38" s="16"/>
      <c r="ANX38" s="16"/>
      <c r="ANY38" s="16"/>
      <c r="ANZ38" s="16"/>
      <c r="AOA38" s="16"/>
      <c r="AOB38" s="16"/>
      <c r="AOC38" s="16"/>
      <c r="AOD38" s="16"/>
      <c r="AOE38" s="16"/>
      <c r="AOF38" s="16"/>
      <c r="AOG38" s="16"/>
      <c r="AOH38" s="16"/>
      <c r="AOI38" s="16"/>
      <c r="AOJ38" s="16"/>
      <c r="AOK38" s="16"/>
      <c r="AOL38" s="16"/>
      <c r="AOM38" s="16"/>
      <c r="AON38" s="16"/>
      <c r="AOO38" s="16"/>
      <c r="AOP38" s="16"/>
      <c r="AOQ38" s="16"/>
      <c r="AOR38" s="16"/>
      <c r="AOS38" s="16"/>
      <c r="AOT38" s="16"/>
      <c r="AOU38" s="16"/>
      <c r="AOV38" s="16"/>
      <c r="AOW38" s="16"/>
      <c r="AOX38" s="16"/>
      <c r="AOY38" s="16"/>
      <c r="AOZ38" s="16"/>
      <c r="APA38" s="16"/>
      <c r="APB38" s="16"/>
      <c r="APC38" s="16"/>
      <c r="APD38" s="16"/>
      <c r="APE38" s="16"/>
      <c r="APF38" s="16"/>
      <c r="APG38" s="16"/>
      <c r="APH38" s="16"/>
      <c r="API38" s="16"/>
      <c r="APJ38" s="16"/>
      <c r="APK38" s="16"/>
      <c r="APL38" s="16"/>
      <c r="APM38" s="16"/>
      <c r="APN38" s="16"/>
      <c r="APO38" s="16"/>
      <c r="APP38" s="16"/>
      <c r="APQ38" s="16"/>
      <c r="APR38" s="16"/>
      <c r="APS38" s="16"/>
      <c r="APT38" s="16"/>
      <c r="APU38" s="16"/>
      <c r="APV38" s="16"/>
      <c r="APW38" s="16"/>
      <c r="APX38" s="16"/>
      <c r="APY38" s="16"/>
      <c r="APZ38" s="16"/>
      <c r="AQA38" s="16"/>
      <c r="AQB38" s="16"/>
      <c r="AQC38" s="16"/>
      <c r="AQD38" s="16"/>
      <c r="AQE38" s="16"/>
      <c r="AQF38" s="16"/>
      <c r="AQG38" s="16"/>
      <c r="AQH38" s="16"/>
      <c r="AQI38" s="16"/>
      <c r="AQJ38" s="16"/>
      <c r="AQK38" s="16"/>
      <c r="AQL38" s="16"/>
      <c r="AQM38" s="16"/>
      <c r="AQN38" s="16"/>
      <c r="AQO38" s="16"/>
      <c r="AQP38" s="16"/>
      <c r="AQQ38" s="16"/>
      <c r="AQR38" s="16"/>
      <c r="AQS38" s="16"/>
      <c r="AQT38" s="16"/>
      <c r="AQU38" s="16"/>
      <c r="AQV38" s="16"/>
      <c r="AQW38" s="16"/>
      <c r="AQX38" s="16"/>
      <c r="AQY38" s="16"/>
      <c r="AQZ38" s="16"/>
      <c r="ARA38" s="16"/>
      <c r="ARB38" s="16"/>
      <c r="ARC38" s="16"/>
      <c r="ARD38" s="16"/>
      <c r="ARE38" s="16"/>
      <c r="ARF38" s="16"/>
      <c r="ARG38" s="16"/>
      <c r="ARH38" s="16"/>
      <c r="ARI38" s="16"/>
      <c r="ARJ38" s="16"/>
      <c r="ARK38" s="16"/>
      <c r="ARL38" s="16"/>
      <c r="ARM38" s="16"/>
      <c r="ARN38" s="16"/>
      <c r="ARO38" s="16"/>
      <c r="ARP38" s="16"/>
      <c r="ARQ38" s="16"/>
      <c r="ARR38" s="16"/>
      <c r="ARS38" s="16"/>
      <c r="ART38" s="16"/>
      <c r="ARU38" s="16"/>
      <c r="ARV38" s="16"/>
      <c r="ARW38" s="16"/>
      <c r="ARX38" s="16"/>
      <c r="ARY38" s="16"/>
      <c r="ARZ38" s="16"/>
      <c r="ASA38" s="16"/>
      <c r="ASB38" s="16"/>
      <c r="ASC38" s="16"/>
      <c r="ASD38" s="16"/>
      <c r="ASE38" s="16"/>
      <c r="ASF38" s="16"/>
      <c r="ASG38" s="16"/>
      <c r="ASH38" s="16"/>
      <c r="ASI38" s="16"/>
      <c r="ASJ38" s="16"/>
      <c r="ASK38" s="16"/>
      <c r="ASL38" s="16"/>
      <c r="ASM38" s="16"/>
      <c r="ASN38" s="16"/>
      <c r="ASO38" s="16"/>
      <c r="ASP38" s="16"/>
      <c r="ASQ38" s="16"/>
      <c r="ASR38" s="16"/>
      <c r="ASS38" s="16"/>
      <c r="AST38" s="16"/>
      <c r="ASU38" s="16"/>
      <c r="ASV38" s="16"/>
      <c r="ASW38" s="16"/>
      <c r="ASX38" s="16"/>
      <c r="ASY38" s="16"/>
      <c r="ASZ38" s="16"/>
      <c r="ATA38" s="16"/>
      <c r="ATB38" s="16"/>
      <c r="ATC38" s="16"/>
      <c r="ATD38" s="16"/>
      <c r="ATE38" s="16"/>
      <c r="ATF38" s="16"/>
      <c r="ATG38" s="16"/>
      <c r="ATH38" s="16"/>
      <c r="ATI38" s="16"/>
      <c r="ATJ38" s="16"/>
      <c r="ATK38" s="16"/>
      <c r="ATL38" s="16"/>
      <c r="ATM38" s="16"/>
      <c r="ATN38" s="16"/>
      <c r="ATO38" s="16"/>
      <c r="ATP38" s="16"/>
      <c r="ATQ38" s="16"/>
      <c r="ATR38" s="16"/>
      <c r="ATS38" s="16"/>
      <c r="ATT38" s="16"/>
      <c r="ATU38" s="16"/>
      <c r="ATV38" s="16"/>
      <c r="ATW38" s="16"/>
      <c r="ATX38" s="16"/>
      <c r="ATY38" s="16"/>
      <c r="ATZ38" s="16"/>
      <c r="AUA38" s="16"/>
      <c r="AUB38" s="16"/>
      <c r="AUC38" s="16"/>
      <c r="AUD38" s="16"/>
      <c r="AUE38" s="16"/>
      <c r="AUF38" s="16"/>
      <c r="AUG38" s="16"/>
      <c r="AUH38" s="16"/>
      <c r="AUI38" s="16"/>
      <c r="AUJ38" s="16"/>
      <c r="AUK38" s="16"/>
      <c r="AUL38" s="16"/>
      <c r="AUM38" s="16"/>
      <c r="AUN38" s="16"/>
      <c r="AUO38" s="16"/>
      <c r="AUP38" s="16"/>
      <c r="AUQ38" s="16"/>
      <c r="AUR38" s="16"/>
      <c r="AUS38" s="16"/>
      <c r="AUT38" s="16"/>
      <c r="AUU38" s="16"/>
      <c r="AUV38" s="16"/>
      <c r="AUW38" s="16"/>
      <c r="AUX38" s="16"/>
      <c r="AUY38" s="16"/>
      <c r="AUZ38" s="16"/>
      <c r="AVA38" s="16"/>
      <c r="AVB38" s="16"/>
      <c r="AVC38" s="16"/>
      <c r="AVD38" s="16"/>
      <c r="AVE38" s="16"/>
      <c r="AVF38" s="16"/>
      <c r="AVG38" s="16"/>
      <c r="AVH38" s="16"/>
      <c r="AVI38" s="16"/>
      <c r="AVJ38" s="16"/>
      <c r="AVK38" s="16"/>
      <c r="AVL38" s="16"/>
      <c r="AVM38" s="16"/>
      <c r="AVN38" s="16"/>
      <c r="AVO38" s="16"/>
      <c r="AVP38" s="16"/>
      <c r="AVQ38" s="16"/>
      <c r="AVR38" s="16"/>
      <c r="AVS38" s="16"/>
      <c r="AVT38" s="16"/>
      <c r="AVU38" s="16"/>
      <c r="AVV38" s="16"/>
      <c r="AVW38" s="16"/>
      <c r="AVX38" s="16"/>
      <c r="AVY38" s="16"/>
      <c r="AVZ38" s="16"/>
      <c r="AWA38" s="16"/>
      <c r="AWB38" s="16"/>
      <c r="AWC38" s="16"/>
      <c r="AWD38" s="16"/>
      <c r="AWE38" s="16"/>
      <c r="AWF38" s="16"/>
      <c r="AWG38" s="16"/>
      <c r="AWH38" s="16"/>
      <c r="AWI38" s="16"/>
      <c r="AWJ38" s="16"/>
      <c r="AWK38" s="16"/>
      <c r="AWL38" s="16"/>
      <c r="AWM38" s="16"/>
      <c r="AWN38" s="16"/>
      <c r="AWO38" s="16"/>
      <c r="AWP38" s="16"/>
      <c r="AWQ38" s="16"/>
      <c r="AWR38" s="16"/>
      <c r="AWS38" s="16"/>
      <c r="AWT38" s="16"/>
      <c r="AWU38" s="16"/>
      <c r="AWV38" s="16"/>
      <c r="AWW38" s="16"/>
      <c r="AWX38" s="16"/>
      <c r="AWY38" s="16"/>
      <c r="AWZ38" s="16"/>
      <c r="AXA38" s="16"/>
      <c r="AXB38" s="16"/>
      <c r="AXC38" s="16"/>
      <c r="AXD38" s="16"/>
      <c r="AXE38" s="16"/>
      <c r="AXF38" s="16"/>
      <c r="AXG38" s="16"/>
      <c r="AXH38" s="16"/>
      <c r="AXI38" s="16"/>
      <c r="AXJ38" s="16"/>
      <c r="AXK38" s="16"/>
      <c r="AXL38" s="16"/>
      <c r="AXM38" s="16"/>
      <c r="AXN38" s="16"/>
      <c r="AXO38" s="16"/>
      <c r="AXP38" s="16"/>
      <c r="AXQ38" s="16"/>
      <c r="AXR38" s="16"/>
      <c r="AXS38" s="16"/>
      <c r="AXT38" s="16"/>
      <c r="AXU38" s="16"/>
      <c r="AXV38" s="16"/>
      <c r="AXW38" s="16"/>
      <c r="AXX38" s="16"/>
      <c r="AXY38" s="16"/>
      <c r="AXZ38" s="16"/>
      <c r="AYA38" s="16"/>
      <c r="AYB38" s="16"/>
      <c r="AYC38" s="16"/>
      <c r="AYD38" s="16"/>
      <c r="AYE38" s="16"/>
      <c r="AYF38" s="16"/>
      <c r="AYG38" s="16"/>
      <c r="AYH38" s="16"/>
      <c r="AYI38" s="16"/>
      <c r="AYJ38" s="16"/>
      <c r="AYK38" s="16"/>
      <c r="AYL38" s="16"/>
      <c r="AYM38" s="16"/>
      <c r="AYN38" s="16"/>
      <c r="AYO38" s="16"/>
      <c r="AYP38" s="16"/>
      <c r="AYQ38" s="16"/>
      <c r="AYR38" s="16"/>
      <c r="AYS38" s="16"/>
      <c r="AYT38" s="16"/>
      <c r="AYU38" s="16"/>
      <c r="AYV38" s="16"/>
      <c r="AYW38" s="16"/>
      <c r="AYX38" s="16"/>
      <c r="AYY38" s="16"/>
      <c r="AYZ38" s="16"/>
      <c r="AZA38" s="16"/>
      <c r="AZB38" s="16"/>
      <c r="AZC38" s="16"/>
      <c r="AZD38" s="16"/>
      <c r="AZE38" s="16"/>
      <c r="AZF38" s="16"/>
      <c r="AZG38" s="16"/>
      <c r="AZH38" s="16"/>
      <c r="AZI38" s="16"/>
      <c r="AZJ38" s="16"/>
      <c r="AZK38" s="16"/>
      <c r="AZL38" s="16"/>
      <c r="AZM38" s="16"/>
      <c r="AZN38" s="16"/>
      <c r="AZO38" s="16"/>
      <c r="AZP38" s="16"/>
      <c r="AZQ38" s="16"/>
      <c r="AZR38" s="16"/>
      <c r="AZS38" s="16"/>
      <c r="AZT38" s="16"/>
      <c r="AZU38" s="16"/>
      <c r="AZV38" s="16"/>
      <c r="AZW38" s="16"/>
      <c r="AZX38" s="16"/>
      <c r="AZY38" s="16"/>
      <c r="AZZ38" s="16"/>
      <c r="BAA38" s="16"/>
      <c r="BAB38" s="16"/>
      <c r="BAC38" s="16"/>
      <c r="BAD38" s="16"/>
      <c r="BAE38" s="16"/>
      <c r="BAF38" s="16"/>
      <c r="BAG38" s="16"/>
      <c r="BAH38" s="16"/>
      <c r="BAI38" s="16"/>
      <c r="BAJ38" s="16"/>
      <c r="BAK38" s="16"/>
      <c r="BAL38" s="16"/>
      <c r="BAM38" s="16"/>
      <c r="BAN38" s="16"/>
      <c r="BAO38" s="16"/>
      <c r="BAP38" s="16"/>
      <c r="BAQ38" s="16"/>
      <c r="BAR38" s="16"/>
      <c r="BAS38" s="16"/>
      <c r="BAT38" s="16"/>
      <c r="BAU38" s="16"/>
      <c r="BAV38" s="16"/>
      <c r="BAW38" s="16"/>
      <c r="BAX38" s="16"/>
      <c r="BAY38" s="16"/>
      <c r="BAZ38" s="16"/>
      <c r="BBA38" s="16"/>
      <c r="BBB38" s="16"/>
      <c r="BBC38" s="16"/>
      <c r="BBD38" s="16"/>
      <c r="BBE38" s="16"/>
      <c r="BBF38" s="16"/>
      <c r="BBG38" s="16"/>
      <c r="BBH38" s="16"/>
      <c r="BBI38" s="16"/>
      <c r="BBJ38" s="16"/>
      <c r="BBK38" s="16"/>
      <c r="BBL38" s="16"/>
      <c r="BBM38" s="16"/>
      <c r="BBN38" s="16"/>
      <c r="BBO38" s="16"/>
      <c r="BBP38" s="16"/>
      <c r="BBQ38" s="16"/>
      <c r="BBR38" s="16"/>
      <c r="BBS38" s="16"/>
      <c r="BBT38" s="16"/>
      <c r="BBU38" s="16"/>
      <c r="BBV38" s="16"/>
      <c r="BBW38" s="16"/>
      <c r="BBX38" s="16"/>
      <c r="BBY38" s="16"/>
      <c r="BBZ38" s="16"/>
      <c r="BCA38" s="16"/>
      <c r="BCB38" s="16"/>
      <c r="BCC38" s="16"/>
      <c r="BCD38" s="16"/>
      <c r="BCE38" s="16"/>
      <c r="BCF38" s="16"/>
      <c r="BCG38" s="16"/>
      <c r="BCH38" s="16"/>
      <c r="BCI38" s="16"/>
      <c r="BCJ38" s="16"/>
      <c r="BCK38" s="16"/>
      <c r="BCL38" s="16"/>
      <c r="BCM38" s="16"/>
      <c r="BCN38" s="16"/>
      <c r="BCO38" s="16"/>
      <c r="BCP38" s="16"/>
      <c r="BCQ38" s="16"/>
      <c r="BCR38" s="16"/>
      <c r="BCS38" s="16"/>
      <c r="BCT38" s="16"/>
      <c r="BCU38" s="16"/>
      <c r="BCV38" s="16"/>
      <c r="BCW38" s="16"/>
      <c r="BCX38" s="16"/>
      <c r="BCY38" s="16"/>
      <c r="BCZ38" s="16"/>
      <c r="BDA38" s="16"/>
      <c r="BDB38" s="16"/>
      <c r="BDC38" s="16"/>
      <c r="BDD38" s="16"/>
      <c r="BDE38" s="16"/>
      <c r="BDF38" s="16"/>
      <c r="BDG38" s="16"/>
      <c r="BDH38" s="16"/>
      <c r="BDI38" s="16"/>
      <c r="BDJ38" s="16"/>
      <c r="BDK38" s="16"/>
      <c r="BDL38" s="16"/>
      <c r="BDM38" s="16"/>
      <c r="BDN38" s="16"/>
      <c r="BDO38" s="16"/>
      <c r="BDP38" s="16"/>
      <c r="BDQ38" s="16"/>
      <c r="BDR38" s="16"/>
      <c r="BDS38" s="16"/>
      <c r="BDT38" s="16"/>
      <c r="BDU38" s="16"/>
      <c r="BDV38" s="16"/>
      <c r="BDW38" s="16"/>
      <c r="BDX38" s="16"/>
      <c r="BDY38" s="16"/>
      <c r="BDZ38" s="16"/>
      <c r="BEA38" s="16"/>
      <c r="BEB38" s="16"/>
      <c r="BEC38" s="16"/>
      <c r="BED38" s="16"/>
      <c r="BEE38" s="16"/>
      <c r="BEF38" s="16"/>
      <c r="BEG38" s="16"/>
      <c r="BEH38" s="16"/>
      <c r="BEI38" s="16"/>
      <c r="BEJ38" s="16"/>
      <c r="BEK38" s="16"/>
      <c r="BEL38" s="16"/>
      <c r="BEM38" s="16"/>
      <c r="BEN38" s="16"/>
      <c r="BEO38" s="16"/>
      <c r="BEP38" s="16"/>
      <c r="BEQ38" s="16"/>
      <c r="BER38" s="16"/>
      <c r="BES38" s="16"/>
      <c r="BET38" s="16"/>
      <c r="BEU38" s="16"/>
      <c r="BEV38" s="16"/>
      <c r="BEW38" s="16"/>
      <c r="BEX38" s="16"/>
      <c r="BEY38" s="16"/>
      <c r="BEZ38" s="16"/>
      <c r="BFA38" s="16"/>
      <c r="BFB38" s="16"/>
      <c r="BFC38" s="16"/>
      <c r="BFD38" s="16"/>
      <c r="BFE38" s="16"/>
      <c r="BFF38" s="16"/>
      <c r="BFG38" s="16"/>
      <c r="BFH38" s="16"/>
      <c r="BFI38" s="16"/>
      <c r="BFJ38" s="16"/>
      <c r="BFK38" s="16"/>
      <c r="BFL38" s="16"/>
      <c r="BFM38" s="16"/>
      <c r="BFN38" s="16"/>
      <c r="BFO38" s="16"/>
      <c r="BFP38" s="16"/>
      <c r="BFQ38" s="16"/>
      <c r="BFR38" s="16"/>
      <c r="BFS38" s="16"/>
      <c r="BFT38" s="16"/>
      <c r="BFU38" s="16"/>
      <c r="BFV38" s="16"/>
      <c r="BFW38" s="16"/>
      <c r="BFX38" s="16"/>
      <c r="BFY38" s="16"/>
      <c r="BFZ38" s="16"/>
      <c r="BGA38" s="16"/>
      <c r="BGB38" s="16"/>
      <c r="BGC38" s="16"/>
      <c r="BGD38" s="16"/>
      <c r="BGE38" s="16"/>
      <c r="BGF38" s="16"/>
      <c r="BGG38" s="16"/>
      <c r="BGH38" s="16"/>
      <c r="BGI38" s="16"/>
      <c r="BGJ38" s="16"/>
      <c r="BGK38" s="16"/>
      <c r="BGL38" s="16"/>
      <c r="BGM38" s="16"/>
      <c r="BGN38" s="16"/>
      <c r="BGO38" s="16"/>
      <c r="BGP38" s="16"/>
      <c r="BGQ38" s="16"/>
      <c r="BGR38" s="16"/>
      <c r="BGS38" s="16"/>
      <c r="BGT38" s="16"/>
      <c r="BGU38" s="16"/>
      <c r="BGV38" s="16"/>
      <c r="BGW38" s="16"/>
      <c r="BGX38" s="16"/>
      <c r="BGY38" s="16"/>
      <c r="BGZ38" s="16"/>
      <c r="BHA38" s="16"/>
      <c r="BHB38" s="16"/>
      <c r="BHC38" s="16"/>
      <c r="BHD38" s="16"/>
      <c r="BHE38" s="16"/>
      <c r="BHF38" s="16"/>
      <c r="BHG38" s="16"/>
      <c r="BHH38" s="16"/>
      <c r="BHI38" s="16"/>
      <c r="BHJ38" s="16"/>
      <c r="BHK38" s="16"/>
      <c r="BHL38" s="16"/>
      <c r="BHM38" s="16"/>
      <c r="BHN38" s="16"/>
      <c r="BHO38" s="16"/>
      <c r="BHP38" s="16"/>
      <c r="BHQ38" s="16"/>
      <c r="BHR38" s="16"/>
      <c r="BHS38" s="16"/>
      <c r="BHT38" s="16"/>
      <c r="BHU38" s="16"/>
      <c r="BHV38" s="16"/>
      <c r="BHW38" s="16"/>
      <c r="BHX38" s="16"/>
      <c r="BHY38" s="16"/>
      <c r="BHZ38" s="16"/>
      <c r="BIA38" s="16"/>
      <c r="BIB38" s="16"/>
      <c r="BIC38" s="16"/>
      <c r="BID38" s="16"/>
      <c r="BIE38" s="16"/>
      <c r="BIF38" s="16"/>
      <c r="BIG38" s="16"/>
      <c r="BIH38" s="16"/>
      <c r="BII38" s="16"/>
      <c r="BIJ38" s="16"/>
      <c r="BIK38" s="16"/>
      <c r="BIL38" s="16"/>
      <c r="BIM38" s="16"/>
      <c r="BIN38" s="16"/>
      <c r="BIO38" s="16"/>
      <c r="BIP38" s="16"/>
      <c r="BIQ38" s="16"/>
      <c r="BIR38" s="16"/>
      <c r="BIS38" s="16"/>
      <c r="BIT38" s="16"/>
      <c r="BIU38" s="16"/>
      <c r="BIV38" s="16"/>
      <c r="BIW38" s="16"/>
      <c r="BIX38" s="16"/>
      <c r="BIY38" s="16"/>
      <c r="BIZ38" s="16"/>
      <c r="BJA38" s="16"/>
      <c r="BJB38" s="16"/>
      <c r="BJC38" s="16"/>
      <c r="BJD38" s="16"/>
      <c r="BJE38" s="16"/>
      <c r="BJF38" s="16"/>
      <c r="BJG38" s="16"/>
      <c r="BJH38" s="16"/>
      <c r="BJI38" s="16"/>
      <c r="BJJ38" s="16"/>
      <c r="BJK38" s="16"/>
      <c r="BJL38" s="16"/>
      <c r="BJM38" s="16"/>
      <c r="BJN38" s="16"/>
      <c r="BJO38" s="16"/>
      <c r="BJP38" s="16"/>
      <c r="BJQ38" s="16"/>
      <c r="BJR38" s="16"/>
      <c r="BJS38" s="16"/>
      <c r="BJT38" s="16"/>
      <c r="BJU38" s="16"/>
      <c r="BJV38" s="16"/>
      <c r="BJW38" s="16"/>
      <c r="BJX38" s="16"/>
      <c r="BJY38" s="16"/>
      <c r="BJZ38" s="16"/>
      <c r="BKA38" s="16"/>
      <c r="BKB38" s="16"/>
      <c r="BKC38" s="16"/>
      <c r="BKD38" s="16"/>
      <c r="BKE38" s="16"/>
      <c r="BKF38" s="16"/>
      <c r="BKG38" s="16"/>
      <c r="BKH38" s="16"/>
      <c r="BKI38" s="16"/>
      <c r="BKJ38" s="16"/>
      <c r="BKK38" s="16"/>
      <c r="BKL38" s="16"/>
      <c r="BKM38" s="16"/>
      <c r="BKN38" s="16"/>
      <c r="BKO38" s="16"/>
      <c r="BKP38" s="16"/>
      <c r="BKQ38" s="16"/>
      <c r="BKR38" s="16"/>
      <c r="BKS38" s="16"/>
      <c r="BKT38" s="16"/>
      <c r="BKU38" s="16"/>
      <c r="BKV38" s="16"/>
      <c r="BKW38" s="16"/>
      <c r="BKX38" s="16"/>
      <c r="BKY38" s="16"/>
      <c r="BKZ38" s="16"/>
      <c r="BLA38" s="16"/>
      <c r="BLB38" s="16"/>
      <c r="BLC38" s="16"/>
      <c r="BLD38" s="16"/>
      <c r="BLE38" s="16"/>
      <c r="BLF38" s="16"/>
      <c r="BLG38" s="16"/>
      <c r="BLH38" s="16"/>
      <c r="BLI38" s="16"/>
      <c r="BLJ38" s="16"/>
      <c r="BLK38" s="16"/>
      <c r="BLL38" s="16"/>
      <c r="BLM38" s="16"/>
      <c r="BLN38" s="16"/>
      <c r="BLO38" s="16"/>
      <c r="BLP38" s="16"/>
      <c r="BLQ38" s="16"/>
      <c r="BLR38" s="16"/>
      <c r="BLS38" s="16"/>
      <c r="BLT38" s="16"/>
      <c r="BLU38" s="16"/>
      <c r="BLV38" s="16"/>
      <c r="BLW38" s="16"/>
      <c r="BLX38" s="16"/>
      <c r="BLY38" s="16"/>
      <c r="BLZ38" s="16"/>
      <c r="BMA38" s="16"/>
      <c r="BMB38" s="16"/>
      <c r="BMC38" s="16"/>
      <c r="BMD38" s="16"/>
      <c r="BME38" s="16"/>
      <c r="BMF38" s="16"/>
      <c r="BMG38" s="16"/>
      <c r="BMH38" s="16"/>
      <c r="BMI38" s="16"/>
      <c r="BMJ38" s="16"/>
      <c r="BMK38" s="16"/>
      <c r="BML38" s="16"/>
      <c r="BMM38" s="16"/>
      <c r="BMN38" s="16"/>
      <c r="BMO38" s="16"/>
      <c r="BMP38" s="16"/>
      <c r="BMQ38" s="16"/>
      <c r="BMR38" s="16"/>
      <c r="BMS38" s="16"/>
      <c r="BMT38" s="16"/>
      <c r="BMU38" s="16"/>
      <c r="BMV38" s="16"/>
      <c r="BMW38" s="16"/>
      <c r="BMX38" s="16"/>
      <c r="BMY38" s="16"/>
      <c r="BMZ38" s="16"/>
      <c r="BNA38" s="16"/>
      <c r="BNB38" s="16"/>
      <c r="BNC38" s="16"/>
      <c r="BND38" s="16"/>
      <c r="BNE38" s="16"/>
      <c r="BNF38" s="16"/>
      <c r="BNG38" s="16"/>
      <c r="BNH38" s="16"/>
      <c r="BNI38" s="16"/>
      <c r="BNJ38" s="16"/>
      <c r="BNK38" s="16"/>
      <c r="BNL38" s="16"/>
      <c r="BNM38" s="16"/>
      <c r="BNN38" s="16"/>
      <c r="BNO38" s="16"/>
      <c r="BNP38" s="16"/>
      <c r="BNQ38" s="16"/>
      <c r="BNR38" s="16"/>
      <c r="BNS38" s="16"/>
      <c r="BNT38" s="16"/>
      <c r="BNU38" s="16"/>
      <c r="BNV38" s="16"/>
      <c r="BNW38" s="16"/>
      <c r="BNX38" s="16"/>
      <c r="BNY38" s="16"/>
      <c r="BNZ38" s="16"/>
      <c r="BOA38" s="16"/>
      <c r="BOB38" s="16"/>
      <c r="BOC38" s="16"/>
      <c r="BOD38" s="16"/>
      <c r="BOE38" s="16"/>
      <c r="BOF38" s="16"/>
      <c r="BOG38" s="16"/>
      <c r="BOH38" s="16"/>
      <c r="BOI38" s="16"/>
      <c r="BOJ38" s="16"/>
      <c r="BOK38" s="16"/>
      <c r="BOL38" s="16"/>
      <c r="BOM38" s="16"/>
      <c r="BON38" s="16"/>
      <c r="BOO38" s="16"/>
      <c r="BOP38" s="16"/>
      <c r="BOQ38" s="16"/>
      <c r="BOR38" s="16"/>
      <c r="BOS38" s="16"/>
      <c r="BOT38" s="16"/>
      <c r="BOU38" s="16"/>
      <c r="BOV38" s="16"/>
      <c r="BOW38" s="16"/>
      <c r="BOX38" s="16"/>
      <c r="BOY38" s="16"/>
      <c r="BOZ38" s="16"/>
      <c r="BPA38" s="16"/>
      <c r="BPB38" s="16"/>
      <c r="BPC38" s="16"/>
      <c r="BPD38" s="16"/>
      <c r="BPE38" s="16"/>
      <c r="BPF38" s="16"/>
      <c r="BPG38" s="16"/>
      <c r="BPH38" s="16"/>
      <c r="BPI38" s="16"/>
      <c r="BPJ38" s="16"/>
      <c r="BPK38" s="16"/>
      <c r="BPL38" s="16"/>
      <c r="BPM38" s="16"/>
      <c r="BPN38" s="16"/>
      <c r="BPO38" s="16"/>
      <c r="BPP38" s="16"/>
      <c r="BPQ38" s="16"/>
      <c r="BPR38" s="16"/>
      <c r="BPS38" s="16"/>
      <c r="BPT38" s="16"/>
      <c r="BPU38" s="16"/>
      <c r="BPV38" s="16"/>
      <c r="BPW38" s="16"/>
      <c r="BPX38" s="16"/>
      <c r="BPY38" s="16"/>
      <c r="BPZ38" s="16"/>
      <c r="BQA38" s="16"/>
      <c r="BQB38" s="16"/>
      <c r="BQC38" s="16"/>
      <c r="BQD38" s="16"/>
      <c r="BQE38" s="16"/>
      <c r="BQF38" s="16"/>
      <c r="BQG38" s="16"/>
      <c r="BQH38" s="16"/>
      <c r="BQI38" s="16"/>
      <c r="BQJ38" s="16"/>
      <c r="BQK38" s="16"/>
      <c r="BQL38" s="16"/>
      <c r="BQM38" s="16"/>
      <c r="BQN38" s="16"/>
      <c r="BQO38" s="16"/>
      <c r="BQP38" s="16"/>
      <c r="BQQ38" s="16"/>
      <c r="BQR38" s="16"/>
      <c r="BQS38" s="16"/>
      <c r="BQT38" s="16"/>
      <c r="BQU38" s="16"/>
      <c r="BQV38" s="16"/>
      <c r="BQW38" s="16"/>
      <c r="BQX38" s="16"/>
      <c r="BQY38" s="16"/>
      <c r="BQZ38" s="16"/>
      <c r="BRA38" s="16"/>
      <c r="BRB38" s="16"/>
      <c r="BRC38" s="16"/>
      <c r="BRD38" s="16"/>
      <c r="BRE38" s="16"/>
      <c r="BRF38" s="16"/>
      <c r="BRG38" s="16"/>
      <c r="BRH38" s="16"/>
      <c r="BRI38" s="16"/>
      <c r="BRJ38" s="16"/>
      <c r="BRK38" s="16"/>
      <c r="BRL38" s="16"/>
      <c r="BRM38" s="16"/>
      <c r="BRN38" s="16"/>
      <c r="BRO38" s="16"/>
      <c r="BRP38" s="16"/>
      <c r="BRQ38" s="16"/>
      <c r="BRR38" s="16"/>
      <c r="BRS38" s="16"/>
      <c r="BRT38" s="16"/>
      <c r="BRU38" s="16"/>
      <c r="BRV38" s="16"/>
      <c r="BRW38" s="16"/>
      <c r="BRX38" s="16"/>
      <c r="BRY38" s="16"/>
      <c r="BRZ38" s="16"/>
      <c r="BSA38" s="16"/>
      <c r="BSB38" s="16"/>
      <c r="BSC38" s="16"/>
      <c r="BSD38" s="16"/>
      <c r="BSE38" s="16"/>
      <c r="BSF38" s="16"/>
      <c r="BSG38" s="16"/>
      <c r="BSH38" s="16"/>
      <c r="BSI38" s="16"/>
      <c r="BSJ38" s="16"/>
      <c r="BSK38" s="16"/>
      <c r="BSL38" s="16"/>
      <c r="BSM38" s="16"/>
      <c r="BSN38" s="16"/>
      <c r="BSO38" s="16"/>
      <c r="BSP38" s="16"/>
      <c r="BSQ38" s="16"/>
      <c r="BSR38" s="16"/>
      <c r="BSS38" s="16"/>
      <c r="BST38" s="16"/>
      <c r="BSU38" s="16"/>
      <c r="BSV38" s="16"/>
      <c r="BSW38" s="16"/>
      <c r="BSX38" s="16"/>
      <c r="BSY38" s="16"/>
      <c r="BSZ38" s="16"/>
      <c r="BTA38" s="16"/>
      <c r="BTB38" s="16"/>
      <c r="BTC38" s="16"/>
      <c r="BTD38" s="16"/>
      <c r="BTE38" s="16"/>
      <c r="BTF38" s="16"/>
      <c r="BTG38" s="16"/>
      <c r="BTH38" s="16"/>
      <c r="BTI38" s="16"/>
      <c r="BTJ38" s="16"/>
      <c r="BTK38" s="16"/>
      <c r="BTL38" s="16"/>
      <c r="BTM38" s="16"/>
      <c r="BTN38" s="16"/>
      <c r="BTO38" s="16"/>
      <c r="BTP38" s="16"/>
      <c r="BTQ38" s="16"/>
      <c r="BTR38" s="16"/>
      <c r="BTS38" s="16"/>
      <c r="BTT38" s="16"/>
      <c r="BTU38" s="16"/>
      <c r="BTV38" s="16"/>
      <c r="BTW38" s="16"/>
      <c r="BTX38" s="16"/>
      <c r="BTY38" s="16"/>
      <c r="BTZ38" s="16"/>
      <c r="BUA38" s="16"/>
      <c r="BUB38" s="16"/>
      <c r="BUC38" s="16"/>
      <c r="BUD38" s="16"/>
      <c r="BUE38" s="16"/>
      <c r="BUF38" s="16"/>
      <c r="BUG38" s="16"/>
      <c r="BUH38" s="16"/>
      <c r="BUI38" s="16"/>
      <c r="BUJ38" s="16"/>
      <c r="BUK38" s="16"/>
      <c r="BUL38" s="16"/>
      <c r="BUM38" s="16"/>
      <c r="BUN38" s="16"/>
      <c r="BUO38" s="16"/>
      <c r="BUP38" s="16"/>
      <c r="BUQ38" s="16"/>
      <c r="BUR38" s="16"/>
      <c r="BUS38" s="16"/>
      <c r="BUT38" s="16"/>
      <c r="BUU38" s="16"/>
      <c r="BUV38" s="16"/>
      <c r="BUW38" s="16"/>
      <c r="BUX38" s="16"/>
      <c r="BUY38" s="16"/>
      <c r="BUZ38" s="16"/>
      <c r="BVA38" s="16"/>
      <c r="BVB38" s="16"/>
      <c r="BVC38" s="16"/>
      <c r="BVD38" s="16"/>
      <c r="BVE38" s="16"/>
      <c r="BVF38" s="16"/>
      <c r="BVG38" s="16"/>
      <c r="BVH38" s="16"/>
      <c r="BVI38" s="16"/>
      <c r="BVJ38" s="16"/>
      <c r="BVK38" s="16"/>
      <c r="BVL38" s="16"/>
      <c r="BVM38" s="16"/>
      <c r="BVN38" s="16"/>
      <c r="BVO38" s="16"/>
      <c r="BVP38" s="16"/>
      <c r="BVQ38" s="16"/>
      <c r="BVR38" s="16"/>
      <c r="BVS38" s="16"/>
      <c r="BVT38" s="16"/>
      <c r="BVU38" s="16"/>
      <c r="BVV38" s="16"/>
      <c r="BVW38" s="16"/>
      <c r="BVX38" s="16"/>
      <c r="BVY38" s="16"/>
      <c r="BVZ38" s="16"/>
      <c r="BWA38" s="16"/>
      <c r="BWB38" s="16"/>
      <c r="BWC38" s="16"/>
      <c r="BWD38" s="16"/>
      <c r="BWE38" s="16"/>
      <c r="BWF38" s="16"/>
      <c r="BWG38" s="16"/>
      <c r="BWH38" s="16"/>
      <c r="BWI38" s="16"/>
      <c r="BWJ38" s="16"/>
      <c r="BWK38" s="16"/>
      <c r="BWL38" s="16"/>
      <c r="BWM38" s="16"/>
      <c r="BWN38" s="16"/>
      <c r="BWO38" s="16"/>
      <c r="BWP38" s="16"/>
      <c r="BWQ38" s="16"/>
      <c r="BWR38" s="16"/>
      <c r="BWS38" s="16"/>
      <c r="BWT38" s="16"/>
      <c r="BWU38" s="16"/>
      <c r="BWV38" s="16"/>
      <c r="BWW38" s="16"/>
      <c r="BWX38" s="16"/>
      <c r="BWY38" s="16"/>
      <c r="BWZ38" s="16"/>
      <c r="BXA38" s="16"/>
      <c r="BXB38" s="16"/>
      <c r="BXC38" s="16"/>
      <c r="BXD38" s="16"/>
      <c r="BXE38" s="16"/>
      <c r="BXF38" s="16"/>
      <c r="BXG38" s="16"/>
      <c r="BXH38" s="16"/>
      <c r="BXI38" s="16"/>
      <c r="BXJ38" s="16"/>
      <c r="BXK38" s="16"/>
      <c r="BXL38" s="16"/>
      <c r="BXM38" s="16"/>
      <c r="BXN38" s="16"/>
      <c r="BXO38" s="16"/>
      <c r="BXP38" s="16"/>
      <c r="BXQ38" s="16"/>
      <c r="BXR38" s="16"/>
      <c r="BXS38" s="16"/>
      <c r="BXT38" s="16"/>
      <c r="BXU38" s="16"/>
      <c r="BXV38" s="16"/>
      <c r="BXW38" s="16"/>
      <c r="BXX38" s="16"/>
      <c r="BXY38" s="16"/>
      <c r="BXZ38" s="16"/>
      <c r="BYA38" s="16"/>
      <c r="BYB38" s="16"/>
      <c r="BYC38" s="16"/>
      <c r="BYD38" s="16"/>
      <c r="BYE38" s="16"/>
      <c r="BYF38" s="16"/>
      <c r="BYG38" s="16"/>
      <c r="BYH38" s="16"/>
      <c r="BYI38" s="16"/>
      <c r="BYJ38" s="16"/>
      <c r="BYK38" s="16"/>
      <c r="BYL38" s="16"/>
      <c r="BYM38" s="16"/>
      <c r="BYN38" s="16"/>
      <c r="BYO38" s="16"/>
      <c r="BYP38" s="16"/>
      <c r="BYQ38" s="16"/>
      <c r="BYR38" s="16"/>
      <c r="BYS38" s="16"/>
      <c r="BYT38" s="16"/>
      <c r="BYU38" s="16"/>
      <c r="BYV38" s="16"/>
      <c r="BYW38" s="16"/>
      <c r="BYX38" s="16"/>
      <c r="BYY38" s="16"/>
      <c r="BYZ38" s="16"/>
      <c r="BZA38" s="16"/>
      <c r="BZB38" s="16"/>
      <c r="BZC38" s="16"/>
      <c r="BZD38" s="16"/>
      <c r="BZE38" s="16"/>
      <c r="BZF38" s="16"/>
      <c r="BZG38" s="16"/>
      <c r="BZH38" s="16"/>
      <c r="BZI38" s="16"/>
      <c r="BZJ38" s="16"/>
      <c r="BZK38" s="16"/>
      <c r="BZL38" s="16"/>
      <c r="BZM38" s="16"/>
      <c r="BZN38" s="16"/>
      <c r="BZO38" s="16"/>
      <c r="BZP38" s="16"/>
      <c r="BZQ38" s="16"/>
      <c r="BZR38" s="16"/>
      <c r="BZS38" s="16"/>
      <c r="BZT38" s="16"/>
      <c r="BZU38" s="16"/>
      <c r="BZV38" s="16"/>
      <c r="BZW38" s="16"/>
      <c r="BZX38" s="16"/>
      <c r="BZY38" s="16"/>
      <c r="BZZ38" s="16"/>
      <c r="CAA38" s="16"/>
      <c r="CAB38" s="16"/>
      <c r="CAC38" s="16"/>
      <c r="CAD38" s="16"/>
      <c r="CAE38" s="16"/>
      <c r="CAF38" s="16"/>
      <c r="CAG38" s="16"/>
      <c r="CAH38" s="16"/>
      <c r="CAI38" s="16"/>
      <c r="CAJ38" s="16"/>
      <c r="CAK38" s="16"/>
      <c r="CAL38" s="16"/>
      <c r="CAM38" s="16"/>
      <c r="CAN38" s="16"/>
      <c r="CAO38" s="16"/>
      <c r="CAP38" s="16"/>
      <c r="CAQ38" s="16"/>
      <c r="CAR38" s="16"/>
      <c r="CAS38" s="16"/>
      <c r="CAT38" s="16"/>
      <c r="CAU38" s="16"/>
      <c r="CAV38" s="16"/>
      <c r="CAW38" s="16"/>
      <c r="CAX38" s="16"/>
      <c r="CAY38" s="16"/>
      <c r="CAZ38" s="16"/>
      <c r="CBA38" s="16"/>
      <c r="CBB38" s="16"/>
      <c r="CBC38" s="16"/>
      <c r="CBD38" s="16"/>
      <c r="CBE38" s="16"/>
      <c r="CBF38" s="16"/>
      <c r="CBG38" s="16"/>
      <c r="CBH38" s="16"/>
      <c r="CBI38" s="16"/>
      <c r="CBJ38" s="16"/>
      <c r="CBK38" s="16"/>
      <c r="CBL38" s="16"/>
      <c r="CBM38" s="16"/>
      <c r="CBN38" s="16"/>
      <c r="CBO38" s="16"/>
      <c r="CBP38" s="16"/>
      <c r="CBQ38" s="16"/>
      <c r="CBR38" s="16"/>
      <c r="CBS38" s="16"/>
      <c r="CBT38" s="16"/>
      <c r="CBU38" s="16"/>
      <c r="CBV38" s="16"/>
      <c r="CBW38" s="16"/>
      <c r="CBX38" s="16"/>
      <c r="CBY38" s="16"/>
      <c r="CBZ38" s="16"/>
      <c r="CCA38" s="16"/>
      <c r="CCB38" s="16"/>
      <c r="CCC38" s="16"/>
      <c r="CCD38" s="16"/>
      <c r="CCE38" s="16"/>
      <c r="CCF38" s="16"/>
      <c r="CCG38" s="16"/>
      <c r="CCH38" s="16"/>
      <c r="CCI38" s="16"/>
      <c r="CCJ38" s="16"/>
      <c r="CCK38" s="16"/>
      <c r="CCL38" s="16"/>
      <c r="CCM38" s="16"/>
      <c r="CCN38" s="16"/>
      <c r="CCO38" s="16"/>
      <c r="CCP38" s="16"/>
      <c r="CCQ38" s="16"/>
      <c r="CCR38" s="16"/>
      <c r="CCS38" s="16"/>
      <c r="CCT38" s="16"/>
      <c r="CCU38" s="16"/>
      <c r="CCV38" s="16"/>
      <c r="CCW38" s="16"/>
      <c r="CCX38" s="16"/>
      <c r="CCY38" s="16"/>
      <c r="CCZ38" s="16"/>
      <c r="CDA38" s="16"/>
      <c r="CDB38" s="16"/>
      <c r="CDC38" s="16"/>
      <c r="CDD38" s="16"/>
      <c r="CDE38" s="16"/>
      <c r="CDF38" s="16"/>
      <c r="CDG38" s="16"/>
      <c r="CDH38" s="16"/>
      <c r="CDI38" s="16"/>
      <c r="CDJ38" s="16"/>
      <c r="CDK38" s="16"/>
      <c r="CDL38" s="16"/>
      <c r="CDM38" s="16"/>
      <c r="CDN38" s="16"/>
      <c r="CDO38" s="16"/>
      <c r="CDP38" s="16"/>
      <c r="CDQ38" s="16"/>
      <c r="CDR38" s="16"/>
      <c r="CDS38" s="16"/>
      <c r="CDT38" s="16"/>
      <c r="CDU38" s="16"/>
      <c r="CDV38" s="16"/>
      <c r="CDW38" s="16"/>
      <c r="CDX38" s="16"/>
      <c r="CDY38" s="16"/>
      <c r="CDZ38" s="16"/>
      <c r="CEA38" s="16"/>
      <c r="CEB38" s="16"/>
      <c r="CEC38" s="16"/>
      <c r="CED38" s="16"/>
      <c r="CEE38" s="16"/>
      <c r="CEF38" s="16"/>
      <c r="CEG38" s="16"/>
      <c r="CEH38" s="16"/>
      <c r="CEI38" s="16"/>
      <c r="CEJ38" s="16"/>
      <c r="CEK38" s="16"/>
      <c r="CEL38" s="16"/>
      <c r="CEM38" s="16"/>
      <c r="CEN38" s="16"/>
      <c r="CEO38" s="16"/>
      <c r="CEP38" s="16"/>
      <c r="CEQ38" s="16"/>
      <c r="CER38" s="16"/>
      <c r="CES38" s="16"/>
      <c r="CET38" s="16"/>
      <c r="CEU38" s="16"/>
      <c r="CEV38" s="16"/>
      <c r="CEW38" s="16"/>
      <c r="CEX38" s="16"/>
      <c r="CEY38" s="16"/>
      <c r="CEZ38" s="16"/>
      <c r="CFA38" s="16"/>
      <c r="CFB38" s="16"/>
      <c r="CFC38" s="16"/>
      <c r="CFD38" s="16"/>
      <c r="CFE38" s="16"/>
      <c r="CFF38" s="16"/>
      <c r="CFG38" s="16"/>
      <c r="CFH38" s="16"/>
      <c r="CFI38" s="16"/>
      <c r="CFJ38" s="16"/>
      <c r="CFK38" s="16"/>
      <c r="CFL38" s="16"/>
      <c r="CFM38" s="16"/>
      <c r="CFN38" s="16"/>
      <c r="CFO38" s="16"/>
      <c r="CFP38" s="16"/>
      <c r="CFQ38" s="16"/>
      <c r="CFR38" s="16"/>
      <c r="CFS38" s="16"/>
      <c r="CFT38" s="16"/>
      <c r="CFU38" s="16"/>
      <c r="CFV38" s="16"/>
      <c r="CFW38" s="16"/>
      <c r="CFX38" s="16"/>
      <c r="CFY38" s="16"/>
      <c r="CFZ38" s="16"/>
      <c r="CGA38" s="16"/>
      <c r="CGB38" s="16"/>
      <c r="CGC38" s="16"/>
      <c r="CGD38" s="16"/>
      <c r="CGE38" s="16"/>
      <c r="CGF38" s="16"/>
      <c r="CGG38" s="16"/>
      <c r="CGH38" s="16"/>
      <c r="CGI38" s="16"/>
      <c r="CGJ38" s="16"/>
      <c r="CGK38" s="16"/>
      <c r="CGL38" s="16"/>
      <c r="CGM38" s="16"/>
      <c r="CGN38" s="16"/>
      <c r="CGO38" s="16"/>
      <c r="CGP38" s="16"/>
      <c r="CGQ38" s="16"/>
      <c r="CGR38" s="16"/>
      <c r="CGS38" s="16"/>
      <c r="CGT38" s="16"/>
      <c r="CGU38" s="16"/>
      <c r="CGV38" s="16"/>
      <c r="CGW38" s="16"/>
      <c r="CGX38" s="16"/>
      <c r="CGY38" s="16"/>
      <c r="CGZ38" s="16"/>
      <c r="CHA38" s="16"/>
      <c r="CHB38" s="16"/>
      <c r="CHC38" s="16"/>
      <c r="CHD38" s="16"/>
      <c r="CHE38" s="16"/>
      <c r="CHF38" s="16"/>
      <c r="CHG38" s="16"/>
      <c r="CHH38" s="16"/>
      <c r="CHI38" s="16"/>
      <c r="CHJ38" s="16"/>
      <c r="CHK38" s="16"/>
      <c r="CHL38" s="16"/>
      <c r="CHM38" s="16"/>
      <c r="CHN38" s="16"/>
      <c r="CHO38" s="16"/>
      <c r="CHP38" s="16"/>
      <c r="CHQ38" s="16"/>
      <c r="CHR38" s="16"/>
      <c r="CHS38" s="16"/>
      <c r="CHT38" s="16"/>
      <c r="CHU38" s="16"/>
      <c r="CHV38" s="16"/>
      <c r="CHW38" s="16"/>
      <c r="CHX38" s="16"/>
      <c r="CHY38" s="16"/>
      <c r="CHZ38" s="16"/>
      <c r="CIA38" s="16"/>
      <c r="CIB38" s="16"/>
      <c r="CIC38" s="16"/>
      <c r="CID38" s="16"/>
      <c r="CIE38" s="16"/>
      <c r="CIF38" s="16"/>
      <c r="CIG38" s="16"/>
      <c r="CIH38" s="16"/>
      <c r="CII38" s="16"/>
      <c r="CIJ38" s="16"/>
      <c r="CIK38" s="16"/>
      <c r="CIL38" s="16"/>
      <c r="CIM38" s="16"/>
      <c r="CIN38" s="16"/>
      <c r="CIO38" s="16"/>
      <c r="CIP38" s="16"/>
      <c r="CIQ38" s="16"/>
      <c r="CIR38" s="16"/>
      <c r="CIS38" s="16"/>
      <c r="CIT38" s="16"/>
      <c r="CIU38" s="16"/>
      <c r="CIV38" s="16"/>
      <c r="CIW38" s="16"/>
      <c r="CIX38" s="16"/>
      <c r="CIY38" s="16"/>
      <c r="CIZ38" s="16"/>
      <c r="CJA38" s="16"/>
      <c r="CJB38" s="16"/>
      <c r="CJC38" s="16"/>
      <c r="CJD38" s="16"/>
      <c r="CJE38" s="16"/>
      <c r="CJF38" s="16"/>
      <c r="CJG38" s="16"/>
      <c r="CJH38" s="16"/>
      <c r="CJI38" s="16"/>
      <c r="CJJ38" s="16"/>
      <c r="CJK38" s="16"/>
      <c r="CJL38" s="16"/>
      <c r="CJM38" s="16"/>
      <c r="CJN38" s="16"/>
      <c r="CJO38" s="16"/>
      <c r="CJP38" s="16"/>
      <c r="CJQ38" s="16"/>
      <c r="CJR38" s="16"/>
      <c r="CJS38" s="16"/>
      <c r="CJT38" s="16"/>
      <c r="CJU38" s="16"/>
      <c r="CJV38" s="16"/>
      <c r="CJW38" s="16"/>
      <c r="CJX38" s="16"/>
      <c r="CJY38" s="16"/>
      <c r="CJZ38" s="16"/>
      <c r="CKA38" s="16"/>
      <c r="CKB38" s="16"/>
      <c r="CKC38" s="16"/>
      <c r="CKD38" s="16"/>
      <c r="CKE38" s="16"/>
      <c r="CKF38" s="16"/>
      <c r="CKG38" s="16"/>
      <c r="CKH38" s="16"/>
      <c r="CKI38" s="16"/>
      <c r="CKJ38" s="16"/>
      <c r="CKK38" s="16"/>
      <c r="CKL38" s="16"/>
      <c r="CKM38" s="16"/>
      <c r="CKN38" s="16"/>
      <c r="CKO38" s="16"/>
      <c r="CKP38" s="16"/>
      <c r="CKQ38" s="16"/>
      <c r="CKR38" s="16"/>
      <c r="CKS38" s="16"/>
      <c r="CKT38" s="16"/>
      <c r="CKU38" s="16"/>
      <c r="CKV38" s="16"/>
      <c r="CKW38" s="16"/>
      <c r="CKX38" s="16"/>
      <c r="CKY38" s="16"/>
      <c r="CKZ38" s="16"/>
      <c r="CLA38" s="16"/>
      <c r="CLB38" s="16"/>
      <c r="CLC38" s="16"/>
      <c r="CLD38" s="16"/>
      <c r="CLE38" s="16"/>
      <c r="CLF38" s="16"/>
      <c r="CLG38" s="16"/>
      <c r="CLH38" s="16"/>
      <c r="CLI38" s="16"/>
      <c r="CLJ38" s="16"/>
      <c r="CLK38" s="16"/>
      <c r="CLL38" s="16"/>
      <c r="CLM38" s="16"/>
      <c r="CLN38" s="16"/>
      <c r="CLO38" s="16"/>
      <c r="CLP38" s="16"/>
      <c r="CLQ38" s="16"/>
      <c r="CLR38" s="16"/>
      <c r="CLS38" s="16"/>
      <c r="CLT38" s="16"/>
      <c r="CLU38" s="16"/>
      <c r="CLV38" s="16"/>
      <c r="CLW38" s="16"/>
      <c r="CLX38" s="16"/>
      <c r="CLY38" s="16"/>
      <c r="CLZ38" s="16"/>
      <c r="CMA38" s="16"/>
      <c r="CMB38" s="16"/>
      <c r="CMC38" s="16"/>
      <c r="CMD38" s="16"/>
      <c r="CME38" s="16"/>
      <c r="CMF38" s="16"/>
      <c r="CMG38" s="16"/>
      <c r="CMH38" s="16"/>
      <c r="CMI38" s="16"/>
      <c r="CMJ38" s="16"/>
      <c r="CMK38" s="16"/>
      <c r="CML38" s="16"/>
      <c r="CMM38" s="16"/>
      <c r="CMN38" s="16"/>
      <c r="CMO38" s="16"/>
      <c r="CMP38" s="16"/>
      <c r="CMQ38" s="16"/>
      <c r="CMR38" s="16"/>
      <c r="CMS38" s="16"/>
      <c r="CMT38" s="16"/>
      <c r="CMU38" s="16"/>
      <c r="CMV38" s="16"/>
      <c r="CMW38" s="16"/>
      <c r="CMX38" s="16"/>
      <c r="CMY38" s="16"/>
      <c r="CMZ38" s="16"/>
      <c r="CNA38" s="16"/>
      <c r="CNB38" s="16"/>
      <c r="CNC38" s="16"/>
      <c r="CND38" s="16"/>
      <c r="CNE38" s="16"/>
      <c r="CNF38" s="16"/>
      <c r="CNG38" s="16"/>
      <c r="CNH38" s="16"/>
      <c r="CNI38" s="16"/>
      <c r="CNJ38" s="16"/>
      <c r="CNK38" s="16"/>
      <c r="CNL38" s="16"/>
      <c r="CNM38" s="16"/>
      <c r="CNN38" s="16"/>
      <c r="CNO38" s="16"/>
      <c r="CNP38" s="16"/>
      <c r="CNQ38" s="16"/>
      <c r="CNR38" s="16"/>
      <c r="CNS38" s="16"/>
      <c r="CNT38" s="16"/>
      <c r="CNU38" s="16"/>
      <c r="CNV38" s="16"/>
      <c r="CNW38" s="16"/>
      <c r="CNX38" s="16"/>
      <c r="CNY38" s="16"/>
      <c r="CNZ38" s="16"/>
      <c r="COA38" s="16"/>
      <c r="COB38" s="16"/>
      <c r="COC38" s="16"/>
      <c r="COD38" s="16"/>
      <c r="COE38" s="16"/>
      <c r="COF38" s="16"/>
      <c r="COG38" s="16"/>
      <c r="COH38" s="16"/>
      <c r="COI38" s="16"/>
      <c r="COJ38" s="16"/>
      <c r="COK38" s="16"/>
      <c r="COL38" s="16"/>
      <c r="COM38" s="16"/>
      <c r="CON38" s="16"/>
      <c r="COO38" s="16"/>
      <c r="COP38" s="16"/>
      <c r="COQ38" s="16"/>
      <c r="COR38" s="16"/>
      <c r="COS38" s="16"/>
      <c r="COT38" s="16"/>
      <c r="COU38" s="16"/>
      <c r="COV38" s="16"/>
      <c r="COW38" s="16"/>
      <c r="COX38" s="16"/>
      <c r="COY38" s="16"/>
      <c r="COZ38" s="16"/>
      <c r="CPA38" s="16"/>
      <c r="CPB38" s="16"/>
      <c r="CPC38" s="16"/>
      <c r="CPD38" s="16"/>
      <c r="CPE38" s="16"/>
      <c r="CPF38" s="16"/>
      <c r="CPG38" s="16"/>
      <c r="CPH38" s="16"/>
      <c r="CPI38" s="16"/>
      <c r="CPJ38" s="16"/>
      <c r="CPK38" s="16"/>
      <c r="CPL38" s="16"/>
      <c r="CPM38" s="16"/>
      <c r="CPN38" s="16"/>
      <c r="CPO38" s="16"/>
      <c r="CPP38" s="16"/>
      <c r="CPQ38" s="16"/>
      <c r="CPR38" s="16"/>
      <c r="CPS38" s="16"/>
      <c r="CPT38" s="16"/>
      <c r="CPU38" s="16"/>
      <c r="CPV38" s="16"/>
      <c r="CPW38" s="16"/>
      <c r="CPX38" s="16"/>
      <c r="CPY38" s="16"/>
      <c r="CPZ38" s="16"/>
      <c r="CQA38" s="16"/>
      <c r="CQB38" s="16"/>
      <c r="CQC38" s="16"/>
      <c r="CQD38" s="16"/>
      <c r="CQE38" s="16"/>
      <c r="CQF38" s="16"/>
      <c r="CQG38" s="16"/>
      <c r="CQH38" s="16"/>
      <c r="CQI38" s="16"/>
      <c r="CQJ38" s="16"/>
      <c r="CQK38" s="16"/>
      <c r="CQL38" s="16"/>
      <c r="CQM38" s="16"/>
      <c r="CQN38" s="16"/>
      <c r="CQO38" s="16"/>
      <c r="CQP38" s="16"/>
      <c r="CQQ38" s="16"/>
      <c r="CQR38" s="16"/>
      <c r="CQS38" s="16"/>
      <c r="CQT38" s="16"/>
      <c r="CQU38" s="16"/>
      <c r="CQV38" s="16"/>
      <c r="CQW38" s="16"/>
      <c r="CQX38" s="16"/>
      <c r="CQY38" s="16"/>
      <c r="CQZ38" s="16"/>
      <c r="CRA38" s="16"/>
      <c r="CRB38" s="16"/>
      <c r="CRC38" s="16"/>
      <c r="CRD38" s="16"/>
      <c r="CRE38" s="16"/>
      <c r="CRF38" s="16"/>
      <c r="CRG38" s="16"/>
      <c r="CRH38" s="16"/>
      <c r="CRI38" s="16"/>
      <c r="CRJ38" s="16"/>
      <c r="CRK38" s="16"/>
      <c r="CRL38" s="16"/>
      <c r="CRM38" s="16"/>
      <c r="CRN38" s="16"/>
      <c r="CRO38" s="16"/>
      <c r="CRP38" s="16"/>
      <c r="CRQ38" s="16"/>
      <c r="CRR38" s="16"/>
      <c r="CRS38" s="16"/>
      <c r="CRT38" s="16"/>
      <c r="CRU38" s="16"/>
      <c r="CRV38" s="16"/>
      <c r="CRW38" s="16"/>
      <c r="CRX38" s="16"/>
      <c r="CRY38" s="16"/>
      <c r="CRZ38" s="16"/>
      <c r="CSA38" s="16"/>
      <c r="CSB38" s="16"/>
      <c r="CSC38" s="16"/>
      <c r="CSD38" s="16"/>
      <c r="CSE38" s="16"/>
      <c r="CSF38" s="16"/>
      <c r="CSG38" s="16"/>
      <c r="CSH38" s="16"/>
      <c r="CSI38" s="16"/>
      <c r="CSJ38" s="16"/>
      <c r="CSK38" s="16"/>
      <c r="CSL38" s="16"/>
      <c r="CSM38" s="16"/>
      <c r="CSN38" s="16"/>
      <c r="CSO38" s="16"/>
      <c r="CSP38" s="16"/>
      <c r="CSQ38" s="16"/>
      <c r="CSR38" s="16"/>
      <c r="CSS38" s="16"/>
      <c r="CST38" s="16"/>
      <c r="CSU38" s="16"/>
      <c r="CSV38" s="16"/>
      <c r="CSW38" s="16"/>
      <c r="CSX38" s="16"/>
      <c r="CSY38" s="16"/>
      <c r="CSZ38" s="16"/>
      <c r="CTA38" s="16"/>
      <c r="CTB38" s="16"/>
      <c r="CTC38" s="16"/>
      <c r="CTD38" s="16"/>
      <c r="CTE38" s="16"/>
      <c r="CTF38" s="16"/>
      <c r="CTG38" s="16"/>
      <c r="CTH38" s="16"/>
      <c r="CTI38" s="16"/>
      <c r="CTJ38" s="16"/>
      <c r="CTK38" s="16"/>
      <c r="CTL38" s="16"/>
      <c r="CTM38" s="16"/>
      <c r="CTN38" s="16"/>
      <c r="CTO38" s="16"/>
      <c r="CTP38" s="16"/>
      <c r="CTQ38" s="16"/>
      <c r="CTR38" s="16"/>
      <c r="CTS38" s="16"/>
      <c r="CTT38" s="16"/>
      <c r="CTU38" s="16"/>
      <c r="CTV38" s="16"/>
      <c r="CTW38" s="16"/>
      <c r="CTX38" s="16"/>
      <c r="CTY38" s="16"/>
      <c r="CTZ38" s="16"/>
      <c r="CUA38" s="16"/>
      <c r="CUB38" s="16"/>
      <c r="CUC38" s="16"/>
      <c r="CUD38" s="16"/>
      <c r="CUE38" s="16"/>
      <c r="CUF38" s="16"/>
      <c r="CUG38" s="16"/>
      <c r="CUH38" s="16"/>
      <c r="CUI38" s="16"/>
      <c r="CUJ38" s="16"/>
      <c r="CUK38" s="16"/>
      <c r="CUL38" s="16"/>
      <c r="CUM38" s="16"/>
      <c r="CUN38" s="16"/>
      <c r="CUO38" s="16"/>
      <c r="CUP38" s="16"/>
      <c r="CUQ38" s="16"/>
      <c r="CUR38" s="16"/>
      <c r="CUS38" s="16"/>
      <c r="CUT38" s="16"/>
      <c r="CUU38" s="16"/>
      <c r="CUV38" s="16"/>
      <c r="CUW38" s="16"/>
      <c r="CUX38" s="16"/>
      <c r="CUY38" s="16"/>
      <c r="CUZ38" s="16"/>
      <c r="CVA38" s="16"/>
      <c r="CVB38" s="16"/>
      <c r="CVC38" s="16"/>
      <c r="CVD38" s="16"/>
      <c r="CVE38" s="16"/>
      <c r="CVF38" s="16"/>
      <c r="CVG38" s="16"/>
      <c r="CVH38" s="16"/>
      <c r="CVI38" s="16"/>
      <c r="CVJ38" s="16"/>
      <c r="CVK38" s="16"/>
      <c r="CVL38" s="16"/>
      <c r="CVM38" s="16"/>
      <c r="CVN38" s="16"/>
      <c r="CVO38" s="16"/>
      <c r="CVP38" s="16"/>
      <c r="CVQ38" s="16"/>
      <c r="CVR38" s="16"/>
      <c r="CVS38" s="16"/>
      <c r="CVT38" s="16"/>
      <c r="CVU38" s="16"/>
      <c r="CVV38" s="16"/>
      <c r="CVW38" s="16"/>
      <c r="CVX38" s="16"/>
      <c r="CVY38" s="16"/>
      <c r="CVZ38" s="16"/>
      <c r="CWA38" s="16"/>
      <c r="CWB38" s="16"/>
      <c r="CWC38" s="16"/>
      <c r="CWD38" s="16"/>
      <c r="CWE38" s="16"/>
      <c r="CWF38" s="16"/>
      <c r="CWG38" s="16"/>
      <c r="CWH38" s="16"/>
      <c r="CWI38" s="16"/>
      <c r="CWJ38" s="16"/>
      <c r="CWK38" s="16"/>
      <c r="CWL38" s="16"/>
      <c r="CWM38" s="16"/>
      <c r="CWN38" s="16"/>
      <c r="CWO38" s="16"/>
      <c r="CWP38" s="16"/>
      <c r="CWQ38" s="16"/>
      <c r="CWR38" s="16"/>
      <c r="CWS38" s="16"/>
      <c r="CWT38" s="16"/>
      <c r="CWU38" s="16"/>
      <c r="CWV38" s="16"/>
      <c r="CWW38" s="16"/>
      <c r="CWX38" s="16"/>
      <c r="CWY38" s="16"/>
      <c r="CWZ38" s="16"/>
      <c r="CXA38" s="16"/>
      <c r="CXB38" s="16"/>
      <c r="CXC38" s="16"/>
      <c r="CXD38" s="16"/>
      <c r="CXE38" s="16"/>
      <c r="CXF38" s="16"/>
      <c r="CXG38" s="16"/>
      <c r="CXH38" s="16"/>
      <c r="CXI38" s="16"/>
      <c r="CXJ38" s="16"/>
      <c r="CXK38" s="16"/>
      <c r="CXL38" s="16"/>
      <c r="CXM38" s="16"/>
      <c r="CXN38" s="16"/>
      <c r="CXO38" s="16"/>
      <c r="CXP38" s="16"/>
      <c r="CXQ38" s="16"/>
      <c r="CXR38" s="16"/>
      <c r="CXS38" s="16"/>
      <c r="CXT38" s="16"/>
      <c r="CXU38" s="16"/>
      <c r="CXV38" s="16"/>
      <c r="CXW38" s="16"/>
      <c r="CXX38" s="16"/>
      <c r="CXY38" s="16"/>
      <c r="CXZ38" s="16"/>
      <c r="CYA38" s="16"/>
      <c r="CYB38" s="16"/>
      <c r="CYC38" s="16"/>
      <c r="CYD38" s="16"/>
      <c r="CYE38" s="16"/>
      <c r="CYF38" s="16"/>
      <c r="CYG38" s="16"/>
      <c r="CYH38" s="16"/>
      <c r="CYI38" s="16"/>
      <c r="CYJ38" s="16"/>
      <c r="CYK38" s="16"/>
      <c r="CYL38" s="16"/>
      <c r="CYM38" s="16"/>
      <c r="CYN38" s="16"/>
      <c r="CYO38" s="16"/>
      <c r="CYP38" s="16"/>
      <c r="CYQ38" s="16"/>
      <c r="CYR38" s="16"/>
      <c r="CYS38" s="16"/>
      <c r="CYT38" s="16"/>
      <c r="CYU38" s="16"/>
      <c r="CYV38" s="16"/>
      <c r="CYW38" s="16"/>
      <c r="CYX38" s="16"/>
      <c r="CYY38" s="16"/>
      <c r="CYZ38" s="16"/>
      <c r="CZA38" s="16"/>
      <c r="CZB38" s="16"/>
      <c r="CZC38" s="16"/>
      <c r="CZD38" s="16"/>
      <c r="CZE38" s="16"/>
      <c r="CZF38" s="16"/>
      <c r="CZG38" s="16"/>
      <c r="CZH38" s="16"/>
      <c r="CZI38" s="16"/>
      <c r="CZJ38" s="16"/>
      <c r="CZK38" s="16"/>
      <c r="CZL38" s="16"/>
      <c r="CZM38" s="16"/>
      <c r="CZN38" s="16"/>
      <c r="CZO38" s="16"/>
      <c r="CZP38" s="16"/>
      <c r="CZQ38" s="16"/>
      <c r="CZR38" s="16"/>
      <c r="CZS38" s="16"/>
      <c r="CZT38" s="16"/>
      <c r="CZU38" s="16"/>
      <c r="CZV38" s="16"/>
      <c r="CZW38" s="16"/>
      <c r="CZX38" s="16"/>
      <c r="CZY38" s="16"/>
      <c r="CZZ38" s="16"/>
      <c r="DAA38" s="16"/>
      <c r="DAB38" s="16"/>
      <c r="DAC38" s="16"/>
      <c r="DAD38" s="16"/>
      <c r="DAE38" s="16"/>
      <c r="DAF38" s="16"/>
      <c r="DAG38" s="16"/>
      <c r="DAH38" s="16"/>
      <c r="DAI38" s="16"/>
      <c r="DAJ38" s="16"/>
      <c r="DAK38" s="16"/>
      <c r="DAL38" s="16"/>
      <c r="DAM38" s="16"/>
      <c r="DAN38" s="16"/>
      <c r="DAO38" s="16"/>
      <c r="DAP38" s="16"/>
      <c r="DAQ38" s="16"/>
      <c r="DAR38" s="16"/>
      <c r="DAS38" s="16"/>
      <c r="DAT38" s="16"/>
      <c r="DAU38" s="16"/>
      <c r="DAV38" s="16"/>
      <c r="DAW38" s="16"/>
      <c r="DAX38" s="16"/>
      <c r="DAY38" s="16"/>
      <c r="DAZ38" s="16"/>
      <c r="DBA38" s="16"/>
      <c r="DBB38" s="16"/>
      <c r="DBC38" s="16"/>
      <c r="DBD38" s="16"/>
      <c r="DBE38" s="16"/>
      <c r="DBF38" s="16"/>
      <c r="DBG38" s="16"/>
      <c r="DBH38" s="16"/>
      <c r="DBI38" s="16"/>
      <c r="DBJ38" s="16"/>
      <c r="DBK38" s="16"/>
      <c r="DBL38" s="16"/>
      <c r="DBM38" s="16"/>
      <c r="DBN38" s="16"/>
      <c r="DBO38" s="16"/>
      <c r="DBP38" s="16"/>
      <c r="DBQ38" s="16"/>
      <c r="DBR38" s="16"/>
      <c r="DBS38" s="16"/>
      <c r="DBT38" s="16"/>
      <c r="DBU38" s="16"/>
      <c r="DBV38" s="16"/>
      <c r="DBW38" s="16"/>
      <c r="DBX38" s="16"/>
      <c r="DBY38" s="16"/>
      <c r="DBZ38" s="16"/>
      <c r="DCA38" s="16"/>
      <c r="DCB38" s="16"/>
      <c r="DCC38" s="16"/>
      <c r="DCD38" s="16"/>
      <c r="DCE38" s="16"/>
      <c r="DCF38" s="16"/>
      <c r="DCG38" s="16"/>
      <c r="DCH38" s="16"/>
      <c r="DCI38" s="16"/>
      <c r="DCJ38" s="16"/>
      <c r="DCK38" s="16"/>
      <c r="DCL38" s="16"/>
      <c r="DCM38" s="16"/>
      <c r="DCN38" s="16"/>
      <c r="DCO38" s="16"/>
      <c r="DCP38" s="16"/>
      <c r="DCQ38" s="16"/>
      <c r="DCR38" s="16"/>
      <c r="DCS38" s="16"/>
      <c r="DCT38" s="16"/>
      <c r="DCU38" s="16"/>
      <c r="DCV38" s="16"/>
      <c r="DCW38" s="16"/>
      <c r="DCX38" s="16"/>
      <c r="DCY38" s="16"/>
      <c r="DCZ38" s="16"/>
      <c r="DDA38" s="16"/>
      <c r="DDB38" s="16"/>
      <c r="DDC38" s="16"/>
      <c r="DDD38" s="16"/>
      <c r="DDE38" s="16"/>
      <c r="DDF38" s="16"/>
      <c r="DDG38" s="16"/>
      <c r="DDH38" s="16"/>
      <c r="DDI38" s="16"/>
      <c r="DDJ38" s="16"/>
      <c r="DDK38" s="16"/>
      <c r="DDL38" s="16"/>
      <c r="DDM38" s="16"/>
      <c r="DDN38" s="16"/>
      <c r="DDO38" s="16"/>
      <c r="DDP38" s="16"/>
      <c r="DDQ38" s="16"/>
      <c r="DDR38" s="16"/>
      <c r="DDS38" s="16"/>
      <c r="DDT38" s="16"/>
      <c r="DDU38" s="16"/>
      <c r="DDV38" s="16"/>
      <c r="DDW38" s="16"/>
      <c r="DDX38" s="16"/>
      <c r="DDY38" s="16"/>
      <c r="DDZ38" s="16"/>
      <c r="DEA38" s="16"/>
      <c r="DEB38" s="16"/>
      <c r="DEC38" s="16"/>
      <c r="DED38" s="16"/>
      <c r="DEE38" s="16"/>
      <c r="DEF38" s="16"/>
      <c r="DEG38" s="16"/>
      <c r="DEH38" s="16"/>
      <c r="DEI38" s="16"/>
      <c r="DEJ38" s="16"/>
      <c r="DEK38" s="16"/>
      <c r="DEL38" s="16"/>
      <c r="DEM38" s="16"/>
      <c r="DEN38" s="16"/>
      <c r="DEO38" s="16"/>
      <c r="DEP38" s="16"/>
      <c r="DEQ38" s="16"/>
      <c r="DER38" s="16"/>
      <c r="DES38" s="16"/>
      <c r="DET38" s="16"/>
      <c r="DEU38" s="16"/>
      <c r="DEV38" s="16"/>
      <c r="DEW38" s="16"/>
      <c r="DEX38" s="16"/>
      <c r="DEY38" s="16"/>
      <c r="DEZ38" s="16"/>
      <c r="DFA38" s="16"/>
      <c r="DFB38" s="16"/>
      <c r="DFC38" s="16"/>
      <c r="DFD38" s="16"/>
      <c r="DFE38" s="16"/>
      <c r="DFF38" s="16"/>
      <c r="DFG38" s="16"/>
      <c r="DFH38" s="16"/>
      <c r="DFI38" s="16"/>
      <c r="DFJ38" s="16"/>
      <c r="DFK38" s="16"/>
      <c r="DFL38" s="16"/>
      <c r="DFM38" s="16"/>
      <c r="DFN38" s="16"/>
      <c r="DFO38" s="16"/>
      <c r="DFP38" s="16"/>
      <c r="DFQ38" s="16"/>
      <c r="DFR38" s="16"/>
      <c r="DFS38" s="16"/>
      <c r="DFT38" s="16"/>
      <c r="DFU38" s="16"/>
      <c r="DFV38" s="16"/>
      <c r="DFW38" s="16"/>
      <c r="DFX38" s="16"/>
      <c r="DFY38" s="16"/>
      <c r="DFZ38" s="16"/>
      <c r="DGA38" s="16"/>
      <c r="DGB38" s="16"/>
      <c r="DGC38" s="16"/>
      <c r="DGD38" s="16"/>
      <c r="DGE38" s="16"/>
      <c r="DGF38" s="16"/>
      <c r="DGG38" s="16"/>
      <c r="DGH38" s="16"/>
      <c r="DGI38" s="16"/>
      <c r="DGJ38" s="16"/>
      <c r="DGK38" s="16"/>
      <c r="DGL38" s="16"/>
      <c r="DGM38" s="16"/>
      <c r="DGN38" s="16"/>
      <c r="DGO38" s="16"/>
      <c r="DGP38" s="16"/>
      <c r="DGQ38" s="16"/>
      <c r="DGR38" s="16"/>
      <c r="DGS38" s="16"/>
      <c r="DGT38" s="16"/>
      <c r="DGU38" s="16"/>
      <c r="DGV38" s="16"/>
      <c r="DGW38" s="16"/>
      <c r="DGX38" s="16"/>
      <c r="DGY38" s="16"/>
      <c r="DGZ38" s="16"/>
      <c r="DHA38" s="16"/>
      <c r="DHB38" s="16"/>
      <c r="DHC38" s="16"/>
      <c r="DHD38" s="16"/>
      <c r="DHE38" s="16"/>
      <c r="DHF38" s="16"/>
      <c r="DHG38" s="16"/>
      <c r="DHH38" s="16"/>
      <c r="DHI38" s="16"/>
      <c r="DHJ38" s="16"/>
      <c r="DHK38" s="16"/>
      <c r="DHL38" s="16"/>
      <c r="DHM38" s="16"/>
      <c r="DHN38" s="16"/>
      <c r="DHO38" s="16"/>
      <c r="DHP38" s="16"/>
      <c r="DHQ38" s="16"/>
      <c r="DHR38" s="16"/>
      <c r="DHS38" s="16"/>
      <c r="DHT38" s="16"/>
      <c r="DHU38" s="16"/>
      <c r="DHV38" s="16"/>
      <c r="DHW38" s="16"/>
      <c r="DHX38" s="16"/>
      <c r="DHY38" s="16"/>
      <c r="DHZ38" s="16"/>
      <c r="DIA38" s="16"/>
      <c r="DIB38" s="16"/>
      <c r="DIC38" s="16"/>
      <c r="DID38" s="16"/>
      <c r="DIE38" s="16"/>
      <c r="DIF38" s="16"/>
      <c r="DIG38" s="16"/>
      <c r="DIH38" s="16"/>
      <c r="DII38" s="16"/>
      <c r="DIJ38" s="16"/>
      <c r="DIK38" s="16"/>
      <c r="DIL38" s="16"/>
      <c r="DIM38" s="16"/>
      <c r="DIN38" s="16"/>
      <c r="DIO38" s="16"/>
      <c r="DIP38" s="16"/>
      <c r="DIQ38" s="16"/>
      <c r="DIR38" s="16"/>
      <c r="DIS38" s="16"/>
      <c r="DIT38" s="16"/>
      <c r="DIU38" s="16"/>
      <c r="DIV38" s="16"/>
      <c r="DIW38" s="16"/>
      <c r="DIX38" s="16"/>
      <c r="DIY38" s="16"/>
      <c r="DIZ38" s="16"/>
      <c r="DJA38" s="16"/>
      <c r="DJB38" s="16"/>
      <c r="DJC38" s="16"/>
      <c r="DJD38" s="16"/>
      <c r="DJE38" s="16"/>
      <c r="DJF38" s="16"/>
      <c r="DJG38" s="16"/>
      <c r="DJH38" s="16"/>
      <c r="DJI38" s="16"/>
      <c r="DJJ38" s="16"/>
      <c r="DJK38" s="16"/>
      <c r="DJL38" s="16"/>
      <c r="DJM38" s="16"/>
      <c r="DJN38" s="16"/>
      <c r="DJO38" s="16"/>
      <c r="DJP38" s="16"/>
      <c r="DJQ38" s="16"/>
      <c r="DJR38" s="16"/>
      <c r="DJS38" s="16"/>
      <c r="DJT38" s="16"/>
      <c r="DJU38" s="16"/>
      <c r="DJV38" s="16"/>
      <c r="DJW38" s="16"/>
      <c r="DJX38" s="16"/>
      <c r="DJY38" s="16"/>
      <c r="DJZ38" s="16"/>
      <c r="DKA38" s="16"/>
      <c r="DKB38" s="16"/>
      <c r="DKC38" s="16"/>
      <c r="DKD38" s="16"/>
      <c r="DKE38" s="16"/>
      <c r="DKF38" s="16"/>
      <c r="DKG38" s="16"/>
      <c r="DKH38" s="16"/>
      <c r="DKI38" s="16"/>
      <c r="DKJ38" s="16"/>
      <c r="DKK38" s="16"/>
      <c r="DKL38" s="16"/>
      <c r="DKM38" s="16"/>
      <c r="DKN38" s="16"/>
      <c r="DKO38" s="16"/>
      <c r="DKP38" s="16"/>
      <c r="DKQ38" s="16"/>
      <c r="DKR38" s="16"/>
      <c r="DKS38" s="16"/>
      <c r="DKT38" s="16"/>
      <c r="DKU38" s="16"/>
      <c r="DKV38" s="16"/>
      <c r="DKW38" s="16"/>
      <c r="DKX38" s="16"/>
      <c r="DKY38" s="16"/>
      <c r="DKZ38" s="16"/>
      <c r="DLA38" s="16"/>
      <c r="DLB38" s="16"/>
      <c r="DLC38" s="16"/>
      <c r="DLD38" s="16"/>
      <c r="DLE38" s="16"/>
      <c r="DLF38" s="16"/>
      <c r="DLG38" s="16"/>
      <c r="DLH38" s="16"/>
      <c r="DLI38" s="16"/>
      <c r="DLJ38" s="16"/>
      <c r="DLK38" s="16"/>
      <c r="DLL38" s="16"/>
      <c r="DLM38" s="16"/>
      <c r="DLN38" s="16"/>
      <c r="DLO38" s="16"/>
      <c r="DLP38" s="16"/>
      <c r="DLQ38" s="16"/>
      <c r="DLR38" s="16"/>
      <c r="DLS38" s="16"/>
      <c r="DLT38" s="16"/>
      <c r="DLU38" s="16"/>
      <c r="DLV38" s="16"/>
      <c r="DLW38" s="16"/>
      <c r="DLX38" s="16"/>
      <c r="DLY38" s="16"/>
      <c r="DLZ38" s="16"/>
      <c r="DMA38" s="16"/>
      <c r="DMB38" s="16"/>
      <c r="DMC38" s="16"/>
      <c r="DMD38" s="16"/>
      <c r="DME38" s="16"/>
      <c r="DMF38" s="16"/>
      <c r="DMG38" s="16"/>
      <c r="DMH38" s="16"/>
      <c r="DMI38" s="16"/>
      <c r="DMJ38" s="16"/>
      <c r="DMK38" s="16"/>
      <c r="DML38" s="16"/>
      <c r="DMM38" s="16"/>
      <c r="DMN38" s="16"/>
      <c r="DMO38" s="16"/>
      <c r="DMP38" s="16"/>
      <c r="DMQ38" s="16"/>
      <c r="DMR38" s="16"/>
      <c r="DMS38" s="16"/>
      <c r="DMT38" s="16"/>
      <c r="DMU38" s="16"/>
      <c r="DMV38" s="16"/>
      <c r="DMW38" s="16"/>
      <c r="DMX38" s="16"/>
      <c r="DMY38" s="16"/>
      <c r="DMZ38" s="16"/>
      <c r="DNA38" s="16"/>
      <c r="DNB38" s="16"/>
      <c r="DNC38" s="16"/>
      <c r="DND38" s="16"/>
      <c r="DNE38" s="16"/>
      <c r="DNF38" s="16"/>
      <c r="DNG38" s="16"/>
      <c r="DNH38" s="16"/>
      <c r="DNI38" s="16"/>
      <c r="DNJ38" s="16"/>
      <c r="DNK38" s="16"/>
      <c r="DNL38" s="16"/>
      <c r="DNM38" s="16"/>
      <c r="DNN38" s="16"/>
      <c r="DNO38" s="16"/>
      <c r="DNP38" s="16"/>
      <c r="DNQ38" s="16"/>
      <c r="DNR38" s="16"/>
      <c r="DNS38" s="16"/>
      <c r="DNT38" s="16"/>
      <c r="DNU38" s="16"/>
      <c r="DNV38" s="16"/>
      <c r="DNW38" s="16"/>
      <c r="DNX38" s="16"/>
      <c r="DNY38" s="16"/>
      <c r="DNZ38" s="16"/>
      <c r="DOA38" s="16"/>
      <c r="DOB38" s="16"/>
      <c r="DOC38" s="16"/>
      <c r="DOD38" s="16"/>
      <c r="DOE38" s="16"/>
      <c r="DOF38" s="16"/>
      <c r="DOG38" s="16"/>
      <c r="DOH38" s="16"/>
      <c r="DOI38" s="16"/>
      <c r="DOJ38" s="16"/>
      <c r="DOK38" s="16"/>
      <c r="DOL38" s="16"/>
      <c r="DOM38" s="16"/>
      <c r="DON38" s="16"/>
      <c r="DOO38" s="16"/>
      <c r="DOP38" s="16"/>
      <c r="DOQ38" s="16"/>
      <c r="DOR38" s="16"/>
      <c r="DOS38" s="16"/>
      <c r="DOT38" s="16"/>
      <c r="DOU38" s="16"/>
      <c r="DOV38" s="16"/>
      <c r="DOW38" s="16"/>
      <c r="DOX38" s="16"/>
      <c r="DOY38" s="16"/>
      <c r="DOZ38" s="16"/>
      <c r="DPA38" s="16"/>
      <c r="DPB38" s="16"/>
      <c r="DPC38" s="16"/>
      <c r="DPD38" s="16"/>
      <c r="DPE38" s="16"/>
      <c r="DPF38" s="16"/>
      <c r="DPG38" s="16"/>
      <c r="DPH38" s="16"/>
      <c r="DPI38" s="16"/>
      <c r="DPJ38" s="16"/>
      <c r="DPK38" s="16"/>
      <c r="DPL38" s="16"/>
      <c r="DPM38" s="16"/>
      <c r="DPN38" s="16"/>
      <c r="DPO38" s="16"/>
      <c r="DPP38" s="16"/>
      <c r="DPQ38" s="16"/>
      <c r="DPR38" s="16"/>
      <c r="DPS38" s="16"/>
      <c r="DPT38" s="16"/>
      <c r="DPU38" s="16"/>
      <c r="DPV38" s="16"/>
      <c r="DPW38" s="16"/>
      <c r="DPX38" s="16"/>
      <c r="DPY38" s="16"/>
      <c r="DPZ38" s="16"/>
      <c r="DQA38" s="16"/>
      <c r="DQB38" s="16"/>
      <c r="DQC38" s="16"/>
      <c r="DQD38" s="16"/>
      <c r="DQE38" s="16"/>
      <c r="DQF38" s="16"/>
      <c r="DQG38" s="16"/>
      <c r="DQH38" s="16"/>
      <c r="DQI38" s="16"/>
      <c r="DQJ38" s="16"/>
      <c r="DQK38" s="16"/>
      <c r="DQL38" s="16"/>
      <c r="DQM38" s="16"/>
      <c r="DQN38" s="16"/>
      <c r="DQO38" s="16"/>
      <c r="DQP38" s="16"/>
      <c r="DQQ38" s="16"/>
      <c r="DQR38" s="16"/>
      <c r="DQS38" s="16"/>
      <c r="DQT38" s="16"/>
      <c r="DQU38" s="16"/>
      <c r="DQV38" s="16"/>
      <c r="DQW38" s="16"/>
      <c r="DQX38" s="16"/>
      <c r="DQY38" s="16"/>
      <c r="DQZ38" s="16"/>
      <c r="DRA38" s="16"/>
      <c r="DRB38" s="16"/>
      <c r="DRC38" s="16"/>
      <c r="DRD38" s="16"/>
      <c r="DRE38" s="16"/>
      <c r="DRF38" s="16"/>
      <c r="DRG38" s="16"/>
      <c r="DRH38" s="16"/>
      <c r="DRI38" s="16"/>
      <c r="DRJ38" s="16"/>
      <c r="DRK38" s="16"/>
      <c r="DRL38" s="16"/>
      <c r="DRM38" s="16"/>
      <c r="DRN38" s="16"/>
      <c r="DRO38" s="16"/>
      <c r="DRP38" s="16"/>
      <c r="DRQ38" s="16"/>
      <c r="DRR38" s="16"/>
      <c r="DRS38" s="16"/>
      <c r="DRT38" s="16"/>
      <c r="DRU38" s="16"/>
      <c r="DRV38" s="16"/>
      <c r="DRW38" s="16"/>
      <c r="DRX38" s="16"/>
      <c r="DRY38" s="16"/>
      <c r="DRZ38" s="16"/>
      <c r="DSA38" s="16"/>
      <c r="DSB38" s="16"/>
      <c r="DSC38" s="16"/>
      <c r="DSD38" s="16"/>
      <c r="DSE38" s="16"/>
      <c r="DSF38" s="16"/>
      <c r="DSG38" s="16"/>
      <c r="DSH38" s="16"/>
      <c r="DSI38" s="16"/>
      <c r="DSJ38" s="16"/>
      <c r="DSK38" s="16"/>
      <c r="DSL38" s="16"/>
      <c r="DSM38" s="16"/>
      <c r="DSN38" s="16"/>
      <c r="DSO38" s="16"/>
      <c r="DSP38" s="16"/>
      <c r="DSQ38" s="16"/>
      <c r="DSR38" s="16"/>
      <c r="DSS38" s="16"/>
      <c r="DST38" s="16"/>
      <c r="DSU38" s="16"/>
      <c r="DSV38" s="16"/>
      <c r="DSW38" s="16"/>
      <c r="DSX38" s="16"/>
      <c r="DSY38" s="16"/>
      <c r="DSZ38" s="16"/>
      <c r="DTA38" s="16"/>
      <c r="DTB38" s="16"/>
      <c r="DTC38" s="16"/>
      <c r="DTD38" s="16"/>
      <c r="DTE38" s="16"/>
      <c r="DTF38" s="16"/>
      <c r="DTG38" s="16"/>
      <c r="DTH38" s="16"/>
      <c r="DTI38" s="16"/>
      <c r="DTJ38" s="16"/>
      <c r="DTK38" s="16"/>
      <c r="DTL38" s="16"/>
      <c r="DTM38" s="16"/>
      <c r="DTN38" s="16"/>
      <c r="DTO38" s="16"/>
      <c r="DTP38" s="16"/>
      <c r="DTQ38" s="16"/>
      <c r="DTR38" s="16"/>
      <c r="DTS38" s="16"/>
      <c r="DTT38" s="16"/>
      <c r="DTU38" s="16"/>
      <c r="DTV38" s="16"/>
      <c r="DTW38" s="16"/>
      <c r="DTX38" s="16"/>
      <c r="DTY38" s="16"/>
      <c r="DTZ38" s="16"/>
      <c r="DUA38" s="16"/>
      <c r="DUB38" s="16"/>
      <c r="DUC38" s="16"/>
      <c r="DUD38" s="16"/>
      <c r="DUE38" s="16"/>
      <c r="DUF38" s="16"/>
      <c r="DUG38" s="16"/>
      <c r="DUH38" s="16"/>
      <c r="DUI38" s="16"/>
      <c r="DUJ38" s="16"/>
      <c r="DUK38" s="16"/>
      <c r="DUL38" s="16"/>
      <c r="DUM38" s="16"/>
      <c r="DUN38" s="16"/>
      <c r="DUO38" s="16"/>
      <c r="DUP38" s="16"/>
      <c r="DUQ38" s="16"/>
      <c r="DUR38" s="16"/>
      <c r="DUS38" s="16"/>
      <c r="DUT38" s="16"/>
      <c r="DUU38" s="16"/>
      <c r="DUV38" s="16"/>
      <c r="DUW38" s="16"/>
      <c r="DUX38" s="16"/>
      <c r="DUY38" s="16"/>
      <c r="DUZ38" s="16"/>
      <c r="DVA38" s="16"/>
      <c r="DVB38" s="16"/>
      <c r="DVC38" s="16"/>
      <c r="DVD38" s="16"/>
      <c r="DVE38" s="16"/>
      <c r="DVF38" s="16"/>
      <c r="DVG38" s="16"/>
      <c r="DVH38" s="16"/>
      <c r="DVI38" s="16"/>
      <c r="DVJ38" s="16"/>
      <c r="DVK38" s="16"/>
      <c r="DVL38" s="16"/>
      <c r="DVM38" s="16"/>
      <c r="DVN38" s="16"/>
      <c r="DVO38" s="16"/>
      <c r="DVP38" s="16"/>
      <c r="DVQ38" s="16"/>
      <c r="DVR38" s="16"/>
      <c r="DVS38" s="16"/>
      <c r="DVT38" s="16"/>
      <c r="DVU38" s="16"/>
      <c r="DVV38" s="16"/>
      <c r="DVW38" s="16"/>
      <c r="DVX38" s="16"/>
      <c r="DVY38" s="16"/>
      <c r="DVZ38" s="16"/>
      <c r="DWA38" s="16"/>
      <c r="DWB38" s="16"/>
      <c r="DWC38" s="16"/>
      <c r="DWD38" s="16"/>
      <c r="DWE38" s="16"/>
      <c r="DWF38" s="16"/>
      <c r="DWG38" s="16"/>
      <c r="DWH38" s="16"/>
      <c r="DWI38" s="16"/>
      <c r="DWJ38" s="16"/>
      <c r="DWK38" s="16"/>
      <c r="DWL38" s="16"/>
      <c r="DWM38" s="16"/>
      <c r="DWN38" s="16"/>
      <c r="DWO38" s="16"/>
      <c r="DWP38" s="16"/>
      <c r="DWQ38" s="16"/>
      <c r="DWR38" s="16"/>
      <c r="DWS38" s="16"/>
      <c r="DWT38" s="16"/>
      <c r="DWU38" s="16"/>
      <c r="DWV38" s="16"/>
      <c r="DWW38" s="16"/>
      <c r="DWX38" s="16"/>
      <c r="DWY38" s="16"/>
      <c r="DWZ38" s="16"/>
      <c r="DXA38" s="16"/>
      <c r="DXB38" s="16"/>
      <c r="DXC38" s="16"/>
      <c r="DXD38" s="16"/>
      <c r="DXE38" s="16"/>
      <c r="DXF38" s="16"/>
      <c r="DXG38" s="16"/>
      <c r="DXH38" s="16"/>
      <c r="DXI38" s="16"/>
      <c r="DXJ38" s="16"/>
      <c r="DXK38" s="16"/>
      <c r="DXL38" s="16"/>
      <c r="DXM38" s="16"/>
      <c r="DXN38" s="16"/>
      <c r="DXO38" s="16"/>
      <c r="DXP38" s="16"/>
      <c r="DXQ38" s="16"/>
      <c r="DXR38" s="16"/>
      <c r="DXS38" s="16"/>
      <c r="DXT38" s="16"/>
      <c r="DXU38" s="16"/>
      <c r="DXV38" s="16"/>
      <c r="DXW38" s="16"/>
      <c r="DXX38" s="16"/>
      <c r="DXY38" s="16"/>
      <c r="DXZ38" s="16"/>
      <c r="DYA38" s="16"/>
      <c r="DYB38" s="16"/>
      <c r="DYC38" s="16"/>
      <c r="DYD38" s="16"/>
      <c r="DYE38" s="16"/>
      <c r="DYF38" s="16"/>
      <c r="DYG38" s="16"/>
      <c r="DYH38" s="16"/>
      <c r="DYI38" s="16"/>
      <c r="DYJ38" s="16"/>
      <c r="DYK38" s="16"/>
      <c r="DYL38" s="16"/>
      <c r="DYM38" s="16"/>
      <c r="DYN38" s="16"/>
      <c r="DYO38" s="16"/>
      <c r="DYP38" s="16"/>
      <c r="DYQ38" s="16"/>
      <c r="DYR38" s="16"/>
      <c r="DYS38" s="16"/>
      <c r="DYT38" s="16"/>
      <c r="DYU38" s="16"/>
      <c r="DYV38" s="16"/>
      <c r="DYW38" s="16"/>
      <c r="DYX38" s="16"/>
      <c r="DYY38" s="16"/>
      <c r="DYZ38" s="16"/>
      <c r="DZA38" s="16"/>
      <c r="DZB38" s="16"/>
      <c r="DZC38" s="16"/>
      <c r="DZD38" s="16"/>
      <c r="DZE38" s="16"/>
      <c r="DZF38" s="16"/>
      <c r="DZG38" s="16"/>
      <c r="DZH38" s="16"/>
      <c r="DZI38" s="16"/>
      <c r="DZJ38" s="16"/>
      <c r="DZK38" s="16"/>
      <c r="DZL38" s="16"/>
      <c r="DZM38" s="16"/>
      <c r="DZN38" s="16"/>
      <c r="DZO38" s="16"/>
      <c r="DZP38" s="16"/>
      <c r="DZQ38" s="16"/>
      <c r="DZR38" s="16"/>
      <c r="DZS38" s="16"/>
      <c r="DZT38" s="16"/>
      <c r="DZU38" s="16"/>
      <c r="DZV38" s="16"/>
      <c r="DZW38" s="16"/>
      <c r="DZX38" s="16"/>
      <c r="DZY38" s="16"/>
      <c r="DZZ38" s="16"/>
      <c r="EAA38" s="16"/>
      <c r="EAB38" s="16"/>
      <c r="EAC38" s="16"/>
      <c r="EAD38" s="16"/>
      <c r="EAE38" s="16"/>
      <c r="EAF38" s="16"/>
      <c r="EAG38" s="16"/>
      <c r="EAH38" s="16"/>
      <c r="EAI38" s="16"/>
      <c r="EAJ38" s="16"/>
      <c r="EAK38" s="16"/>
      <c r="EAL38" s="16"/>
      <c r="EAM38" s="16"/>
      <c r="EAN38" s="16"/>
      <c r="EAO38" s="16"/>
      <c r="EAP38" s="16"/>
      <c r="EAQ38" s="16"/>
      <c r="EAR38" s="16"/>
      <c r="EAS38" s="16"/>
      <c r="EAT38" s="16"/>
      <c r="EAU38" s="16"/>
      <c r="EAV38" s="16"/>
      <c r="EAW38" s="16"/>
      <c r="EAX38" s="16"/>
      <c r="EAY38" s="16"/>
      <c r="EAZ38" s="16"/>
      <c r="EBA38" s="16"/>
      <c r="EBB38" s="16"/>
      <c r="EBC38" s="16"/>
      <c r="EBD38" s="16"/>
      <c r="EBE38" s="16"/>
      <c r="EBF38" s="16"/>
      <c r="EBG38" s="16"/>
      <c r="EBH38" s="16"/>
      <c r="EBI38" s="16"/>
      <c r="EBJ38" s="16"/>
      <c r="EBK38" s="16"/>
      <c r="EBL38" s="16"/>
      <c r="EBM38" s="16"/>
      <c r="EBN38" s="16"/>
      <c r="EBO38" s="16"/>
      <c r="EBP38" s="16"/>
      <c r="EBQ38" s="16"/>
      <c r="EBR38" s="16"/>
      <c r="EBS38" s="16"/>
      <c r="EBT38" s="16"/>
      <c r="EBU38" s="16"/>
      <c r="EBV38" s="16"/>
      <c r="EBW38" s="16"/>
      <c r="EBX38" s="16"/>
      <c r="EBY38" s="16"/>
      <c r="EBZ38" s="16"/>
      <c r="ECA38" s="16"/>
      <c r="ECB38" s="16"/>
      <c r="ECC38" s="16"/>
      <c r="ECD38" s="16"/>
      <c r="ECE38" s="16"/>
      <c r="ECF38" s="16"/>
      <c r="ECG38" s="16"/>
      <c r="ECH38" s="16"/>
      <c r="ECI38" s="16"/>
      <c r="ECJ38" s="16"/>
      <c r="ECK38" s="16"/>
      <c r="ECL38" s="16"/>
      <c r="ECM38" s="16"/>
      <c r="ECN38" s="16"/>
      <c r="ECO38" s="16"/>
      <c r="ECP38" s="16"/>
      <c r="ECQ38" s="16"/>
      <c r="ECR38" s="16"/>
      <c r="ECS38" s="16"/>
      <c r="ECT38" s="16"/>
      <c r="ECU38" s="16"/>
      <c r="ECV38" s="16"/>
      <c r="ECW38" s="16"/>
      <c r="ECX38" s="16"/>
      <c r="ECY38" s="16"/>
      <c r="ECZ38" s="16"/>
      <c r="EDA38" s="16"/>
      <c r="EDB38" s="16"/>
      <c r="EDC38" s="16"/>
      <c r="EDD38" s="16"/>
      <c r="EDE38" s="16"/>
      <c r="EDF38" s="16"/>
      <c r="EDG38" s="16"/>
      <c r="EDH38" s="16"/>
      <c r="EDI38" s="16"/>
      <c r="EDJ38" s="16"/>
      <c r="EDK38" s="16"/>
      <c r="EDL38" s="16"/>
      <c r="EDM38" s="16"/>
      <c r="EDN38" s="16"/>
      <c r="EDO38" s="16"/>
      <c r="EDP38" s="16"/>
      <c r="EDQ38" s="16"/>
      <c r="EDR38" s="16"/>
      <c r="EDS38" s="16"/>
      <c r="EDT38" s="16"/>
      <c r="EDU38" s="16"/>
      <c r="EDV38" s="16"/>
      <c r="EDW38" s="16"/>
      <c r="EDX38" s="16"/>
      <c r="EDY38" s="16"/>
      <c r="EDZ38" s="16"/>
      <c r="EEA38" s="16"/>
      <c r="EEB38" s="16"/>
      <c r="EEC38" s="16"/>
      <c r="EED38" s="16"/>
      <c r="EEE38" s="16"/>
      <c r="EEF38" s="16"/>
      <c r="EEG38" s="16"/>
      <c r="EEH38" s="16"/>
      <c r="EEI38" s="16"/>
      <c r="EEJ38" s="16"/>
      <c r="EEK38" s="16"/>
      <c r="EEL38" s="16"/>
      <c r="EEM38" s="16"/>
      <c r="EEN38" s="16"/>
      <c r="EEO38" s="16"/>
      <c r="EEP38" s="16"/>
      <c r="EEQ38" s="16"/>
      <c r="EER38" s="16"/>
      <c r="EES38" s="16"/>
      <c r="EET38" s="16"/>
      <c r="EEU38" s="16"/>
      <c r="EEV38" s="16"/>
      <c r="EEW38" s="16"/>
      <c r="EEX38" s="16"/>
      <c r="EEY38" s="16"/>
      <c r="EEZ38" s="16"/>
      <c r="EFA38" s="16"/>
      <c r="EFB38" s="16"/>
      <c r="EFC38" s="16"/>
      <c r="EFD38" s="16"/>
      <c r="EFE38" s="16"/>
      <c r="EFF38" s="16"/>
      <c r="EFG38" s="16"/>
      <c r="EFH38" s="16"/>
      <c r="EFI38" s="16"/>
      <c r="EFJ38" s="16"/>
      <c r="EFK38" s="16"/>
      <c r="EFL38" s="16"/>
      <c r="EFM38" s="16"/>
      <c r="EFN38" s="16"/>
      <c r="EFO38" s="16"/>
      <c r="EFP38" s="16"/>
      <c r="EFQ38" s="16"/>
      <c r="EFR38" s="16"/>
      <c r="EFS38" s="16"/>
      <c r="EFT38" s="16"/>
      <c r="EFU38" s="16"/>
      <c r="EFV38" s="16"/>
      <c r="EFW38" s="16"/>
      <c r="EFX38" s="16"/>
      <c r="EFY38" s="16"/>
      <c r="EFZ38" s="16"/>
      <c r="EGA38" s="16"/>
      <c r="EGB38" s="16"/>
      <c r="EGC38" s="16"/>
      <c r="EGD38" s="16"/>
      <c r="EGE38" s="16"/>
      <c r="EGF38" s="16"/>
      <c r="EGG38" s="16"/>
      <c r="EGH38" s="16"/>
      <c r="EGI38" s="16"/>
      <c r="EGJ38" s="16"/>
      <c r="EGK38" s="16"/>
      <c r="EGL38" s="16"/>
      <c r="EGM38" s="16"/>
      <c r="EGN38" s="16"/>
      <c r="EGO38" s="16"/>
      <c r="EGP38" s="16"/>
      <c r="EGQ38" s="16"/>
      <c r="EGR38" s="16"/>
      <c r="EGS38" s="16"/>
      <c r="EGT38" s="16"/>
      <c r="EGU38" s="16"/>
      <c r="EGV38" s="16"/>
      <c r="EGW38" s="16"/>
      <c r="EGX38" s="16"/>
      <c r="EGY38" s="16"/>
      <c r="EGZ38" s="16"/>
      <c r="EHA38" s="16"/>
      <c r="EHB38" s="16"/>
      <c r="EHC38" s="16"/>
      <c r="EHD38" s="16"/>
      <c r="EHE38" s="16"/>
      <c r="EHF38" s="16"/>
      <c r="EHG38" s="16"/>
      <c r="EHH38" s="16"/>
      <c r="EHI38" s="16"/>
      <c r="EHJ38" s="16"/>
      <c r="EHK38" s="16"/>
      <c r="EHL38" s="16"/>
      <c r="EHM38" s="16"/>
      <c r="EHN38" s="16"/>
      <c r="EHO38" s="16"/>
      <c r="EHP38" s="16"/>
      <c r="EHQ38" s="16"/>
      <c r="EHR38" s="16"/>
      <c r="EHS38" s="16"/>
      <c r="EHT38" s="16"/>
      <c r="EHU38" s="16"/>
      <c r="EHV38" s="16"/>
      <c r="EHW38" s="16"/>
      <c r="EHX38" s="16"/>
      <c r="EHY38" s="16"/>
      <c r="EHZ38" s="16"/>
      <c r="EIA38" s="16"/>
      <c r="EIB38" s="16"/>
      <c r="EIC38" s="16"/>
      <c r="EID38" s="16"/>
      <c r="EIE38" s="16"/>
      <c r="EIF38" s="16"/>
      <c r="EIG38" s="16"/>
      <c r="EIH38" s="16"/>
      <c r="EII38" s="16"/>
      <c r="EIJ38" s="16"/>
      <c r="EIK38" s="16"/>
      <c r="EIL38" s="16"/>
      <c r="EIM38" s="16"/>
      <c r="EIN38" s="16"/>
      <c r="EIO38" s="16"/>
      <c r="EIP38" s="16"/>
      <c r="EIQ38" s="16"/>
      <c r="EIR38" s="16"/>
      <c r="EIS38" s="16"/>
      <c r="EIT38" s="16"/>
      <c r="EIU38" s="16"/>
      <c r="EIV38" s="16"/>
      <c r="EIW38" s="16"/>
      <c r="EIX38" s="16"/>
      <c r="EIY38" s="16"/>
      <c r="EIZ38" s="16"/>
      <c r="EJA38" s="16"/>
      <c r="EJB38" s="16"/>
      <c r="EJC38" s="16"/>
      <c r="EJD38" s="16"/>
      <c r="EJE38" s="16"/>
      <c r="EJF38" s="16"/>
      <c r="EJG38" s="16"/>
      <c r="EJH38" s="16"/>
      <c r="EJI38" s="16"/>
      <c r="EJJ38" s="16"/>
      <c r="EJK38" s="16"/>
      <c r="EJL38" s="16"/>
      <c r="EJM38" s="16"/>
      <c r="EJN38" s="16"/>
      <c r="EJO38" s="16"/>
      <c r="EJP38" s="16"/>
      <c r="EJQ38" s="16"/>
      <c r="EJR38" s="16"/>
      <c r="EJS38" s="16"/>
      <c r="EJT38" s="16"/>
      <c r="EJU38" s="16"/>
      <c r="EJV38" s="16"/>
      <c r="EJW38" s="16"/>
      <c r="EJX38" s="16"/>
      <c r="EJY38" s="16"/>
      <c r="EJZ38" s="16"/>
      <c r="EKA38" s="16"/>
      <c r="EKB38" s="16"/>
      <c r="EKC38" s="16"/>
      <c r="EKD38" s="16"/>
      <c r="EKE38" s="16"/>
      <c r="EKF38" s="16"/>
      <c r="EKG38" s="16"/>
      <c r="EKH38" s="16"/>
      <c r="EKI38" s="16"/>
      <c r="EKJ38" s="16"/>
      <c r="EKK38" s="16"/>
      <c r="EKL38" s="16"/>
      <c r="EKM38" s="16"/>
      <c r="EKN38" s="16"/>
      <c r="EKO38" s="16"/>
      <c r="EKP38" s="16"/>
      <c r="EKQ38" s="16"/>
      <c r="EKR38" s="16"/>
      <c r="EKS38" s="16"/>
      <c r="EKT38" s="16"/>
      <c r="EKU38" s="16"/>
      <c r="EKV38" s="16"/>
      <c r="EKW38" s="16"/>
      <c r="EKX38" s="16"/>
      <c r="EKY38" s="16"/>
      <c r="EKZ38" s="16"/>
      <c r="ELA38" s="16"/>
      <c r="ELB38" s="16"/>
      <c r="ELC38" s="16"/>
      <c r="ELD38" s="16"/>
      <c r="ELE38" s="16"/>
      <c r="ELF38" s="16"/>
      <c r="ELG38" s="16"/>
      <c r="ELH38" s="16"/>
      <c r="ELI38" s="16"/>
      <c r="ELJ38" s="16"/>
      <c r="ELK38" s="16"/>
      <c r="ELL38" s="16"/>
      <c r="ELM38" s="16"/>
      <c r="ELN38" s="16"/>
      <c r="ELO38" s="16"/>
      <c r="ELP38" s="16"/>
      <c r="ELQ38" s="16"/>
      <c r="ELR38" s="16"/>
      <c r="ELS38" s="16"/>
      <c r="ELT38" s="16"/>
      <c r="ELU38" s="16"/>
      <c r="ELV38" s="16"/>
      <c r="ELW38" s="16"/>
      <c r="ELX38" s="16"/>
      <c r="ELY38" s="16"/>
      <c r="ELZ38" s="16"/>
      <c r="EMA38" s="16"/>
      <c r="EMB38" s="16"/>
      <c r="EMC38" s="16"/>
      <c r="EMD38" s="16"/>
      <c r="EME38" s="16"/>
      <c r="EMF38" s="16"/>
      <c r="EMG38" s="16"/>
      <c r="EMH38" s="16"/>
      <c r="EMI38" s="16"/>
      <c r="EMJ38" s="16"/>
      <c r="EMK38" s="16"/>
      <c r="EML38" s="16"/>
      <c r="EMM38" s="16"/>
      <c r="EMN38" s="16"/>
      <c r="EMO38" s="16"/>
      <c r="EMP38" s="16"/>
      <c r="EMQ38" s="16"/>
      <c r="EMR38" s="16"/>
      <c r="EMS38" s="16"/>
      <c r="EMT38" s="16"/>
      <c r="EMU38" s="16"/>
      <c r="EMV38" s="16"/>
      <c r="EMW38" s="16"/>
      <c r="EMX38" s="16"/>
      <c r="EMY38" s="16"/>
      <c r="EMZ38" s="16"/>
      <c r="ENA38" s="16"/>
      <c r="ENB38" s="16"/>
      <c r="ENC38" s="16"/>
      <c r="END38" s="16"/>
      <c r="ENE38" s="16"/>
      <c r="ENF38" s="16"/>
      <c r="ENG38" s="16"/>
      <c r="ENH38" s="16"/>
      <c r="ENI38" s="16"/>
      <c r="ENJ38" s="16"/>
      <c r="ENK38" s="16"/>
      <c r="ENL38" s="16"/>
      <c r="ENM38" s="16"/>
      <c r="ENN38" s="16"/>
      <c r="ENO38" s="16"/>
      <c r="ENP38" s="16"/>
      <c r="ENQ38" s="16"/>
      <c r="ENR38" s="16"/>
      <c r="ENS38" s="16"/>
      <c r="ENT38" s="16"/>
      <c r="ENU38" s="16"/>
      <c r="ENV38" s="16"/>
      <c r="ENW38" s="16"/>
      <c r="ENX38" s="16"/>
      <c r="ENY38" s="16"/>
      <c r="ENZ38" s="16"/>
      <c r="EOA38" s="16"/>
      <c r="EOB38" s="16"/>
      <c r="EOC38" s="16"/>
      <c r="EOD38" s="16"/>
      <c r="EOE38" s="16"/>
      <c r="EOF38" s="16"/>
      <c r="EOG38" s="16"/>
      <c r="EOH38" s="16"/>
      <c r="EOI38" s="16"/>
      <c r="EOJ38" s="16"/>
      <c r="EOK38" s="16"/>
      <c r="EOL38" s="16"/>
      <c r="EOM38" s="16"/>
      <c r="EON38" s="16"/>
      <c r="EOO38" s="16"/>
      <c r="EOP38" s="16"/>
      <c r="EOQ38" s="16"/>
      <c r="EOR38" s="16"/>
      <c r="EOS38" s="16"/>
      <c r="EOT38" s="16"/>
      <c r="EOU38" s="16"/>
      <c r="EOV38" s="16"/>
      <c r="EOW38" s="16"/>
      <c r="EOX38" s="16"/>
      <c r="EOY38" s="16"/>
      <c r="EOZ38" s="16"/>
      <c r="EPA38" s="16"/>
      <c r="EPB38" s="16"/>
      <c r="EPC38" s="16"/>
      <c r="EPD38" s="16"/>
      <c r="EPE38" s="16"/>
      <c r="EPF38" s="16"/>
      <c r="EPG38" s="16"/>
      <c r="EPH38" s="16"/>
      <c r="EPI38" s="16"/>
      <c r="EPJ38" s="16"/>
      <c r="EPK38" s="16"/>
      <c r="EPL38" s="16"/>
      <c r="EPM38" s="16"/>
      <c r="EPN38" s="16"/>
      <c r="EPO38" s="16"/>
      <c r="EPP38" s="16"/>
      <c r="EPQ38" s="16"/>
      <c r="EPR38" s="16"/>
      <c r="EPS38" s="16"/>
      <c r="EPT38" s="16"/>
      <c r="EPU38" s="16"/>
      <c r="EPV38" s="16"/>
      <c r="EPW38" s="16"/>
      <c r="EPX38" s="16"/>
      <c r="EPY38" s="16"/>
      <c r="EPZ38" s="16"/>
      <c r="EQA38" s="16"/>
      <c r="EQB38" s="16"/>
      <c r="EQC38" s="16"/>
      <c r="EQD38" s="16"/>
      <c r="EQE38" s="16"/>
      <c r="EQF38" s="16"/>
      <c r="EQG38" s="16"/>
      <c r="EQH38" s="16"/>
      <c r="EQI38" s="16"/>
      <c r="EQJ38" s="16"/>
      <c r="EQK38" s="16"/>
      <c r="EQL38" s="16"/>
      <c r="EQM38" s="16"/>
      <c r="EQN38" s="16"/>
      <c r="EQO38" s="16"/>
      <c r="EQP38" s="16"/>
      <c r="EQQ38" s="16"/>
      <c r="EQR38" s="16"/>
      <c r="EQS38" s="16"/>
      <c r="EQT38" s="16"/>
      <c r="EQU38" s="16"/>
      <c r="EQV38" s="16"/>
      <c r="EQW38" s="16"/>
      <c r="EQX38" s="16"/>
      <c r="EQY38" s="16"/>
      <c r="EQZ38" s="16"/>
      <c r="ERA38" s="16"/>
      <c r="ERB38" s="16"/>
      <c r="ERC38" s="16"/>
      <c r="ERD38" s="16"/>
      <c r="ERE38" s="16"/>
      <c r="ERF38" s="16"/>
      <c r="ERG38" s="16"/>
      <c r="ERH38" s="16"/>
      <c r="ERI38" s="16"/>
      <c r="ERJ38" s="16"/>
      <c r="ERK38" s="16"/>
      <c r="ERL38" s="16"/>
      <c r="ERM38" s="16"/>
      <c r="ERN38" s="16"/>
      <c r="ERO38" s="16"/>
      <c r="ERP38" s="16"/>
      <c r="ERQ38" s="16"/>
      <c r="ERR38" s="16"/>
      <c r="ERS38" s="16"/>
      <c r="ERT38" s="16"/>
      <c r="ERU38" s="16"/>
      <c r="ERV38" s="16"/>
      <c r="ERW38" s="16"/>
      <c r="ERX38" s="16"/>
      <c r="ERY38" s="16"/>
      <c r="ERZ38" s="16"/>
      <c r="ESA38" s="16"/>
      <c r="ESB38" s="16"/>
      <c r="ESC38" s="16"/>
      <c r="ESD38" s="16"/>
      <c r="ESE38" s="16"/>
      <c r="ESF38" s="16"/>
      <c r="ESG38" s="16"/>
      <c r="ESH38" s="16"/>
      <c r="ESI38" s="16"/>
      <c r="ESJ38" s="16"/>
      <c r="ESK38" s="16"/>
      <c r="ESL38" s="16"/>
      <c r="ESM38" s="16"/>
      <c r="ESN38" s="16"/>
      <c r="ESO38" s="16"/>
      <c r="ESP38" s="16"/>
      <c r="ESQ38" s="16"/>
      <c r="ESR38" s="16"/>
      <c r="ESS38" s="16"/>
      <c r="EST38" s="16"/>
      <c r="ESU38" s="16"/>
      <c r="ESV38" s="16"/>
      <c r="ESW38" s="16"/>
      <c r="ESX38" s="16"/>
      <c r="ESY38" s="16"/>
      <c r="ESZ38" s="16"/>
      <c r="ETA38" s="16"/>
      <c r="ETB38" s="16"/>
      <c r="ETC38" s="16"/>
      <c r="ETD38" s="16"/>
      <c r="ETE38" s="16"/>
      <c r="ETF38" s="16"/>
      <c r="ETG38" s="16"/>
      <c r="ETH38" s="16"/>
      <c r="ETI38" s="16"/>
      <c r="ETJ38" s="16"/>
      <c r="ETK38" s="16"/>
      <c r="ETL38" s="16"/>
      <c r="ETM38" s="16"/>
      <c r="ETN38" s="16"/>
      <c r="ETO38" s="16"/>
      <c r="ETP38" s="16"/>
      <c r="ETQ38" s="16"/>
      <c r="ETR38" s="16"/>
      <c r="ETS38" s="16"/>
      <c r="ETT38" s="16"/>
      <c r="ETU38" s="16"/>
      <c r="ETV38" s="16"/>
      <c r="ETW38" s="16"/>
      <c r="ETX38" s="16"/>
      <c r="ETY38" s="16"/>
      <c r="ETZ38" s="16"/>
      <c r="EUA38" s="16"/>
      <c r="EUB38" s="16"/>
      <c r="EUC38" s="16"/>
      <c r="EUD38" s="16"/>
      <c r="EUE38" s="16"/>
      <c r="EUF38" s="16"/>
      <c r="EUG38" s="16"/>
      <c r="EUH38" s="16"/>
      <c r="EUI38" s="16"/>
      <c r="EUJ38" s="16"/>
      <c r="EUK38" s="16"/>
      <c r="EUL38" s="16"/>
      <c r="EUM38" s="16"/>
      <c r="EUN38" s="16"/>
      <c r="EUO38" s="16"/>
      <c r="EUP38" s="16"/>
      <c r="EUQ38" s="16"/>
      <c r="EUR38" s="16"/>
      <c r="EUS38" s="16"/>
      <c r="EUT38" s="16"/>
      <c r="EUU38" s="16"/>
      <c r="EUV38" s="16"/>
      <c r="EUW38" s="16"/>
      <c r="EUX38" s="16"/>
      <c r="EUY38" s="16"/>
      <c r="EUZ38" s="16"/>
      <c r="EVA38" s="16"/>
      <c r="EVB38" s="16"/>
      <c r="EVC38" s="16"/>
      <c r="EVD38" s="16"/>
      <c r="EVE38" s="16"/>
      <c r="EVF38" s="16"/>
      <c r="EVG38" s="16"/>
      <c r="EVH38" s="16"/>
      <c r="EVI38" s="16"/>
      <c r="EVJ38" s="16"/>
      <c r="EVK38" s="16"/>
      <c r="EVL38" s="16"/>
      <c r="EVM38" s="16"/>
      <c r="EVN38" s="16"/>
      <c r="EVO38" s="16"/>
      <c r="EVP38" s="16"/>
      <c r="EVQ38" s="16"/>
      <c r="EVR38" s="16"/>
      <c r="EVS38" s="16"/>
      <c r="EVT38" s="16"/>
      <c r="EVU38" s="16"/>
      <c r="EVV38" s="16"/>
      <c r="EVW38" s="16"/>
      <c r="EVX38" s="16"/>
      <c r="EVY38" s="16"/>
      <c r="EVZ38" s="16"/>
      <c r="EWA38" s="16"/>
      <c r="EWB38" s="16"/>
      <c r="EWC38" s="16"/>
      <c r="EWD38" s="16"/>
      <c r="EWE38" s="16"/>
      <c r="EWF38" s="16"/>
      <c r="EWG38" s="16"/>
      <c r="EWH38" s="16"/>
      <c r="EWI38" s="16"/>
      <c r="EWJ38" s="16"/>
      <c r="EWK38" s="16"/>
      <c r="EWL38" s="16"/>
      <c r="EWM38" s="16"/>
      <c r="EWN38" s="16"/>
      <c r="EWO38" s="16"/>
      <c r="EWP38" s="16"/>
      <c r="EWQ38" s="16"/>
      <c r="EWR38" s="16"/>
      <c r="EWS38" s="16"/>
      <c r="EWT38" s="16"/>
      <c r="EWU38" s="16"/>
      <c r="EWV38" s="16"/>
      <c r="EWW38" s="16"/>
      <c r="EWX38" s="16"/>
      <c r="EWY38" s="16"/>
      <c r="EWZ38" s="16"/>
      <c r="EXA38" s="16"/>
      <c r="EXB38" s="16"/>
      <c r="EXC38" s="16"/>
      <c r="EXD38" s="16"/>
      <c r="EXE38" s="16"/>
      <c r="EXF38" s="16"/>
      <c r="EXG38" s="16"/>
      <c r="EXH38" s="16"/>
      <c r="EXI38" s="16"/>
      <c r="EXJ38" s="16"/>
      <c r="EXK38" s="16"/>
      <c r="EXL38" s="16"/>
      <c r="EXM38" s="16"/>
      <c r="EXN38" s="16"/>
      <c r="EXO38" s="16"/>
      <c r="EXP38" s="16"/>
      <c r="EXQ38" s="16"/>
      <c r="EXR38" s="16"/>
      <c r="EXS38" s="16"/>
      <c r="EXT38" s="16"/>
      <c r="EXU38" s="16"/>
      <c r="EXV38" s="16"/>
      <c r="EXW38" s="16"/>
      <c r="EXX38" s="16"/>
      <c r="EXY38" s="16"/>
      <c r="EXZ38" s="16"/>
      <c r="EYA38" s="16"/>
      <c r="EYB38" s="16"/>
      <c r="EYC38" s="16"/>
      <c r="EYD38" s="16"/>
      <c r="EYE38" s="16"/>
      <c r="EYF38" s="16"/>
      <c r="EYG38" s="16"/>
      <c r="EYH38" s="16"/>
      <c r="EYI38" s="16"/>
      <c r="EYJ38" s="16"/>
      <c r="EYK38" s="16"/>
      <c r="EYL38" s="16"/>
      <c r="EYM38" s="16"/>
      <c r="EYN38" s="16"/>
      <c r="EYO38" s="16"/>
      <c r="EYP38" s="16"/>
      <c r="EYQ38" s="16"/>
      <c r="EYR38" s="16"/>
      <c r="EYS38" s="16"/>
      <c r="EYT38" s="16"/>
      <c r="EYU38" s="16"/>
      <c r="EYV38" s="16"/>
      <c r="EYW38" s="16"/>
      <c r="EYX38" s="16"/>
      <c r="EYY38" s="16"/>
      <c r="EYZ38" s="16"/>
      <c r="EZA38" s="16"/>
      <c r="EZB38" s="16"/>
      <c r="EZC38" s="16"/>
      <c r="EZD38" s="16"/>
      <c r="EZE38" s="16"/>
      <c r="EZF38" s="16"/>
      <c r="EZG38" s="16"/>
      <c r="EZH38" s="16"/>
      <c r="EZI38" s="16"/>
      <c r="EZJ38" s="16"/>
      <c r="EZK38" s="16"/>
      <c r="EZL38" s="16"/>
      <c r="EZM38" s="16"/>
      <c r="EZN38" s="16"/>
      <c r="EZO38" s="16"/>
      <c r="EZP38" s="16"/>
      <c r="EZQ38" s="16"/>
      <c r="EZR38" s="16"/>
      <c r="EZS38" s="16"/>
      <c r="EZT38" s="16"/>
      <c r="EZU38" s="16"/>
      <c r="EZV38" s="16"/>
      <c r="EZW38" s="16"/>
      <c r="EZX38" s="16"/>
      <c r="EZY38" s="16"/>
      <c r="EZZ38" s="16"/>
      <c r="FAA38" s="16"/>
      <c r="FAB38" s="16"/>
      <c r="FAC38" s="16"/>
      <c r="FAD38" s="16"/>
      <c r="FAE38" s="16"/>
      <c r="FAF38" s="16"/>
      <c r="FAG38" s="16"/>
      <c r="FAH38" s="16"/>
      <c r="FAI38" s="16"/>
      <c r="FAJ38" s="16"/>
      <c r="FAK38" s="16"/>
      <c r="FAL38" s="16"/>
      <c r="FAM38" s="16"/>
      <c r="FAN38" s="16"/>
      <c r="FAO38" s="16"/>
      <c r="FAP38" s="16"/>
      <c r="FAQ38" s="16"/>
      <c r="FAR38" s="16"/>
      <c r="FAS38" s="16"/>
      <c r="FAT38" s="16"/>
      <c r="FAU38" s="16"/>
      <c r="FAV38" s="16"/>
      <c r="FAW38" s="16"/>
      <c r="FAX38" s="16"/>
      <c r="FAY38" s="16"/>
      <c r="FAZ38" s="16"/>
      <c r="FBA38" s="16"/>
      <c r="FBB38" s="16"/>
      <c r="FBC38" s="16"/>
      <c r="FBD38" s="16"/>
      <c r="FBE38" s="16"/>
      <c r="FBF38" s="16"/>
      <c r="FBG38" s="16"/>
      <c r="FBH38" s="16"/>
      <c r="FBI38" s="16"/>
      <c r="FBJ38" s="16"/>
      <c r="FBK38" s="16"/>
      <c r="FBL38" s="16"/>
      <c r="FBM38" s="16"/>
      <c r="FBN38" s="16"/>
      <c r="FBO38" s="16"/>
      <c r="FBP38" s="16"/>
      <c r="FBQ38" s="16"/>
      <c r="FBR38" s="16"/>
      <c r="FBS38" s="16"/>
      <c r="FBT38" s="16"/>
      <c r="FBU38" s="16"/>
      <c r="FBV38" s="16"/>
      <c r="FBW38" s="16"/>
      <c r="FBX38" s="16"/>
      <c r="FBY38" s="16"/>
      <c r="FBZ38" s="16"/>
      <c r="FCA38" s="16"/>
      <c r="FCB38" s="16"/>
      <c r="FCC38" s="16"/>
      <c r="FCD38" s="16"/>
      <c r="FCE38" s="16"/>
      <c r="FCF38" s="16"/>
      <c r="FCG38" s="16"/>
      <c r="FCH38" s="16"/>
      <c r="FCI38" s="16"/>
      <c r="FCJ38" s="16"/>
      <c r="FCK38" s="16"/>
      <c r="FCL38" s="16"/>
      <c r="FCM38" s="16"/>
      <c r="FCN38" s="16"/>
      <c r="FCO38" s="16"/>
      <c r="FCP38" s="16"/>
      <c r="FCQ38" s="16"/>
      <c r="FCR38" s="16"/>
      <c r="FCS38" s="16"/>
      <c r="FCT38" s="16"/>
      <c r="FCU38" s="16"/>
      <c r="FCV38" s="16"/>
      <c r="FCW38" s="16"/>
      <c r="FCX38" s="16"/>
      <c r="FCY38" s="16"/>
      <c r="FCZ38" s="16"/>
      <c r="FDA38" s="16"/>
      <c r="FDB38" s="16"/>
      <c r="FDC38" s="16"/>
      <c r="FDD38" s="16"/>
      <c r="FDE38" s="16"/>
      <c r="FDF38" s="16"/>
      <c r="FDG38" s="16"/>
      <c r="FDH38" s="16"/>
      <c r="FDI38" s="16"/>
      <c r="FDJ38" s="16"/>
      <c r="FDK38" s="16"/>
      <c r="FDL38" s="16"/>
      <c r="FDM38" s="16"/>
      <c r="FDN38" s="16"/>
      <c r="FDO38" s="16"/>
      <c r="FDP38" s="16"/>
      <c r="FDQ38" s="16"/>
      <c r="FDR38" s="16"/>
      <c r="FDS38" s="16"/>
      <c r="FDT38" s="16"/>
      <c r="FDU38" s="16"/>
      <c r="FDV38" s="16"/>
      <c r="FDW38" s="16"/>
      <c r="FDX38" s="16"/>
      <c r="FDY38" s="16"/>
      <c r="FDZ38" s="16"/>
      <c r="FEA38" s="16"/>
      <c r="FEB38" s="16"/>
      <c r="FEC38" s="16"/>
      <c r="FED38" s="16"/>
      <c r="FEE38" s="16"/>
      <c r="FEF38" s="16"/>
      <c r="FEG38" s="16"/>
      <c r="FEH38" s="16"/>
      <c r="FEI38" s="16"/>
      <c r="FEJ38" s="16"/>
      <c r="FEK38" s="16"/>
      <c r="FEL38" s="16"/>
      <c r="FEM38" s="16"/>
      <c r="FEN38" s="16"/>
      <c r="FEO38" s="16"/>
      <c r="FEP38" s="16"/>
      <c r="FEQ38" s="16"/>
      <c r="FER38" s="16"/>
      <c r="FES38" s="16"/>
      <c r="FET38" s="16"/>
      <c r="FEU38" s="16"/>
      <c r="FEV38" s="16"/>
      <c r="FEW38" s="16"/>
      <c r="FEX38" s="16"/>
      <c r="FEY38" s="16"/>
      <c r="FEZ38" s="16"/>
      <c r="FFA38" s="16"/>
      <c r="FFB38" s="16"/>
      <c r="FFC38" s="16"/>
      <c r="FFD38" s="16"/>
      <c r="FFE38" s="16"/>
      <c r="FFF38" s="16"/>
      <c r="FFG38" s="16"/>
      <c r="FFH38" s="16"/>
      <c r="FFI38" s="16"/>
      <c r="FFJ38" s="16"/>
      <c r="FFK38" s="16"/>
      <c r="FFL38" s="16"/>
      <c r="FFM38" s="16"/>
      <c r="FFN38" s="16"/>
      <c r="FFO38" s="16"/>
      <c r="FFP38" s="16"/>
      <c r="FFQ38" s="16"/>
      <c r="FFR38" s="16"/>
      <c r="FFS38" s="16"/>
      <c r="FFT38" s="16"/>
      <c r="FFU38" s="16"/>
      <c r="FFV38" s="16"/>
      <c r="FFW38" s="16"/>
      <c r="FFX38" s="16"/>
      <c r="FFY38" s="16"/>
      <c r="FFZ38" s="16"/>
      <c r="FGA38" s="16"/>
      <c r="FGB38" s="16"/>
      <c r="FGC38" s="16"/>
      <c r="FGD38" s="16"/>
      <c r="FGE38" s="16"/>
      <c r="FGF38" s="16"/>
      <c r="FGG38" s="16"/>
      <c r="FGH38" s="16"/>
      <c r="FGI38" s="16"/>
      <c r="FGJ38" s="16"/>
      <c r="FGK38" s="16"/>
      <c r="FGL38" s="16"/>
      <c r="FGM38" s="16"/>
      <c r="FGN38" s="16"/>
      <c r="FGO38" s="16"/>
      <c r="FGP38" s="16"/>
      <c r="FGQ38" s="16"/>
      <c r="FGR38" s="16"/>
      <c r="FGS38" s="16"/>
      <c r="FGT38" s="16"/>
      <c r="FGU38" s="16"/>
      <c r="FGV38" s="16"/>
      <c r="FGW38" s="16"/>
      <c r="FGX38" s="16"/>
      <c r="FGY38" s="16"/>
      <c r="FGZ38" s="16"/>
      <c r="FHA38" s="16"/>
      <c r="FHB38" s="16"/>
      <c r="FHC38" s="16"/>
      <c r="FHD38" s="16"/>
      <c r="FHE38" s="16"/>
      <c r="FHF38" s="16"/>
      <c r="FHG38" s="16"/>
      <c r="FHH38" s="16"/>
      <c r="FHI38" s="16"/>
      <c r="FHJ38" s="16"/>
      <c r="FHK38" s="16"/>
      <c r="FHL38" s="16"/>
      <c r="FHM38" s="16"/>
      <c r="FHN38" s="16"/>
      <c r="FHO38" s="16"/>
      <c r="FHP38" s="16"/>
      <c r="FHQ38" s="16"/>
      <c r="FHR38" s="16"/>
      <c r="FHS38" s="16"/>
      <c r="FHT38" s="16"/>
      <c r="FHU38" s="16"/>
      <c r="FHV38" s="16"/>
      <c r="FHW38" s="16"/>
      <c r="FHX38" s="16"/>
      <c r="FHY38" s="16"/>
      <c r="FHZ38" s="16"/>
      <c r="FIA38" s="16"/>
      <c r="FIB38" s="16"/>
      <c r="FIC38" s="16"/>
      <c r="FID38" s="16"/>
      <c r="FIE38" s="16"/>
      <c r="FIF38" s="16"/>
      <c r="FIG38" s="16"/>
      <c r="FIH38" s="16"/>
      <c r="FII38" s="16"/>
      <c r="FIJ38" s="16"/>
      <c r="FIK38" s="16"/>
      <c r="FIL38" s="16"/>
      <c r="FIM38" s="16"/>
      <c r="FIN38" s="16"/>
      <c r="FIO38" s="16"/>
      <c r="FIP38" s="16"/>
      <c r="FIQ38" s="16"/>
      <c r="FIR38" s="16"/>
      <c r="FIS38" s="16"/>
      <c r="FIT38" s="16"/>
      <c r="FIU38" s="16"/>
      <c r="FIV38" s="16"/>
      <c r="FIW38" s="16"/>
      <c r="FIX38" s="16"/>
      <c r="FIY38" s="16"/>
      <c r="FIZ38" s="16"/>
      <c r="FJA38" s="16"/>
      <c r="FJB38" s="16"/>
      <c r="FJC38" s="16"/>
      <c r="FJD38" s="16"/>
      <c r="FJE38" s="16"/>
      <c r="FJF38" s="16"/>
      <c r="FJG38" s="16"/>
      <c r="FJH38" s="16"/>
      <c r="FJI38" s="16"/>
      <c r="FJJ38" s="16"/>
      <c r="FJK38" s="16"/>
      <c r="FJL38" s="16"/>
      <c r="FJM38" s="16"/>
      <c r="FJN38" s="16"/>
      <c r="FJO38" s="16"/>
      <c r="FJP38" s="16"/>
      <c r="FJQ38" s="16"/>
      <c r="FJR38" s="16"/>
      <c r="FJS38" s="16"/>
      <c r="FJT38" s="16"/>
      <c r="FJU38" s="16"/>
      <c r="FJV38" s="16"/>
      <c r="FJW38" s="16"/>
      <c r="FJX38" s="16"/>
      <c r="FJY38" s="16"/>
      <c r="FJZ38" s="16"/>
      <c r="FKA38" s="16"/>
      <c r="FKB38" s="16"/>
      <c r="FKC38" s="16"/>
      <c r="FKD38" s="16"/>
      <c r="FKE38" s="16"/>
      <c r="FKF38" s="16"/>
      <c r="FKG38" s="16"/>
      <c r="FKH38" s="16"/>
      <c r="FKI38" s="16"/>
      <c r="FKJ38" s="16"/>
      <c r="FKK38" s="16"/>
      <c r="FKL38" s="16"/>
      <c r="FKM38" s="16"/>
      <c r="FKN38" s="16"/>
      <c r="FKO38" s="16"/>
      <c r="FKP38" s="16"/>
      <c r="FKQ38" s="16"/>
      <c r="FKR38" s="16"/>
      <c r="FKS38" s="16"/>
      <c r="FKT38" s="16"/>
      <c r="FKU38" s="16"/>
      <c r="FKV38" s="16"/>
      <c r="FKW38" s="16"/>
      <c r="FKX38" s="16"/>
      <c r="FKY38" s="16"/>
      <c r="FKZ38" s="16"/>
      <c r="FLA38" s="16"/>
      <c r="FLB38" s="16"/>
      <c r="FLC38" s="16"/>
      <c r="FLD38" s="16"/>
      <c r="FLE38" s="16"/>
      <c r="FLF38" s="16"/>
      <c r="FLG38" s="16"/>
      <c r="FLH38" s="16"/>
      <c r="FLI38" s="16"/>
      <c r="FLJ38" s="16"/>
      <c r="FLK38" s="16"/>
      <c r="FLL38" s="16"/>
      <c r="FLM38" s="16"/>
      <c r="FLN38" s="16"/>
      <c r="FLO38" s="16"/>
      <c r="FLP38" s="16"/>
      <c r="FLQ38" s="16"/>
      <c r="FLR38" s="16"/>
      <c r="FLS38" s="16"/>
      <c r="FLT38" s="16"/>
      <c r="FLU38" s="16"/>
      <c r="FLV38" s="16"/>
      <c r="FLW38" s="16"/>
      <c r="FLX38" s="16"/>
      <c r="FLY38" s="16"/>
      <c r="FLZ38" s="16"/>
      <c r="FMA38" s="16"/>
      <c r="FMB38" s="16"/>
      <c r="FMC38" s="16"/>
      <c r="FMD38" s="16"/>
      <c r="FME38" s="16"/>
      <c r="FMF38" s="16"/>
      <c r="FMG38" s="16"/>
      <c r="FMH38" s="16"/>
      <c r="FMI38" s="16"/>
      <c r="FMJ38" s="16"/>
      <c r="FMK38" s="16"/>
      <c r="FML38" s="16"/>
      <c r="FMM38" s="16"/>
      <c r="FMN38" s="16"/>
      <c r="FMO38" s="16"/>
      <c r="FMP38" s="16"/>
      <c r="FMQ38" s="16"/>
      <c r="FMR38" s="16"/>
      <c r="FMS38" s="16"/>
      <c r="FMT38" s="16"/>
      <c r="FMU38" s="16"/>
      <c r="FMV38" s="16"/>
      <c r="FMW38" s="16"/>
      <c r="FMX38" s="16"/>
      <c r="FMY38" s="16"/>
      <c r="FMZ38" s="16"/>
      <c r="FNA38" s="16"/>
      <c r="FNB38" s="16"/>
      <c r="FNC38" s="16"/>
      <c r="FND38" s="16"/>
      <c r="FNE38" s="16"/>
      <c r="FNF38" s="16"/>
      <c r="FNG38" s="16"/>
      <c r="FNH38" s="16"/>
      <c r="FNI38" s="16"/>
      <c r="FNJ38" s="16"/>
      <c r="FNK38" s="16"/>
      <c r="FNL38" s="16"/>
      <c r="FNM38" s="16"/>
      <c r="FNN38" s="16"/>
      <c r="FNO38" s="16"/>
      <c r="FNP38" s="16"/>
      <c r="FNQ38" s="16"/>
      <c r="FNR38" s="16"/>
      <c r="FNS38" s="16"/>
      <c r="FNT38" s="16"/>
      <c r="FNU38" s="16"/>
      <c r="FNV38" s="16"/>
      <c r="FNW38" s="16"/>
      <c r="FNX38" s="16"/>
      <c r="FNY38" s="16"/>
      <c r="FNZ38" s="16"/>
      <c r="FOA38" s="16"/>
      <c r="FOB38" s="16"/>
      <c r="FOC38" s="16"/>
      <c r="FOD38" s="16"/>
      <c r="FOE38" s="16"/>
      <c r="FOF38" s="16"/>
      <c r="FOG38" s="16"/>
      <c r="FOH38" s="16"/>
      <c r="FOI38" s="16"/>
      <c r="FOJ38" s="16"/>
      <c r="FOK38" s="16"/>
      <c r="FOL38" s="16"/>
      <c r="FOM38" s="16"/>
      <c r="FON38" s="16"/>
      <c r="FOO38" s="16"/>
      <c r="FOP38" s="16"/>
      <c r="FOQ38" s="16"/>
      <c r="FOR38" s="16"/>
      <c r="FOS38" s="16"/>
      <c r="FOT38" s="16"/>
      <c r="FOU38" s="16"/>
      <c r="FOV38" s="16"/>
      <c r="FOW38" s="16"/>
      <c r="FOX38" s="16"/>
      <c r="FOY38" s="16"/>
      <c r="FOZ38" s="16"/>
      <c r="FPA38" s="16"/>
      <c r="FPB38" s="16"/>
      <c r="FPC38" s="16"/>
      <c r="FPD38" s="16"/>
      <c r="FPE38" s="16"/>
      <c r="FPF38" s="16"/>
      <c r="FPG38" s="16"/>
      <c r="FPH38" s="16"/>
      <c r="FPI38" s="16"/>
      <c r="FPJ38" s="16"/>
      <c r="FPK38" s="16"/>
      <c r="FPL38" s="16"/>
      <c r="FPM38" s="16"/>
      <c r="FPN38" s="16"/>
      <c r="FPO38" s="16"/>
      <c r="FPP38" s="16"/>
      <c r="FPQ38" s="16"/>
      <c r="FPR38" s="16"/>
      <c r="FPS38" s="16"/>
      <c r="FPT38" s="16"/>
      <c r="FPU38" s="16"/>
      <c r="FPV38" s="16"/>
      <c r="FPW38" s="16"/>
      <c r="FPX38" s="16"/>
      <c r="FPY38" s="16"/>
      <c r="FPZ38" s="16"/>
      <c r="FQA38" s="16"/>
      <c r="FQB38" s="16"/>
      <c r="FQC38" s="16"/>
      <c r="FQD38" s="16"/>
      <c r="FQE38" s="16"/>
      <c r="FQF38" s="16"/>
      <c r="FQG38" s="16"/>
      <c r="FQH38" s="16"/>
      <c r="FQI38" s="16"/>
      <c r="FQJ38" s="16"/>
      <c r="FQK38" s="16"/>
      <c r="FQL38" s="16"/>
      <c r="FQM38" s="16"/>
      <c r="FQN38" s="16"/>
      <c r="FQO38" s="16"/>
      <c r="FQP38" s="16"/>
      <c r="FQQ38" s="16"/>
      <c r="FQR38" s="16"/>
      <c r="FQS38" s="16"/>
      <c r="FQT38" s="16"/>
      <c r="FQU38" s="16"/>
      <c r="FQV38" s="16"/>
      <c r="FQW38" s="16"/>
      <c r="FQX38" s="16"/>
      <c r="FQY38" s="16"/>
      <c r="FQZ38" s="16"/>
      <c r="FRA38" s="16"/>
      <c r="FRB38" s="16"/>
      <c r="FRC38" s="16"/>
      <c r="FRD38" s="16"/>
      <c r="FRE38" s="16"/>
      <c r="FRF38" s="16"/>
      <c r="FRG38" s="16"/>
      <c r="FRH38" s="16"/>
      <c r="FRI38" s="16"/>
      <c r="FRJ38" s="16"/>
      <c r="FRK38" s="16"/>
      <c r="FRL38" s="16"/>
      <c r="FRM38" s="16"/>
      <c r="FRN38" s="16"/>
      <c r="FRO38" s="16"/>
      <c r="FRP38" s="16"/>
      <c r="FRQ38" s="16"/>
      <c r="FRR38" s="16"/>
      <c r="FRS38" s="16"/>
      <c r="FRT38" s="16"/>
      <c r="FRU38" s="16"/>
      <c r="FRV38" s="16"/>
      <c r="FRW38" s="16"/>
      <c r="FRX38" s="16"/>
      <c r="FRY38" s="16"/>
      <c r="FRZ38" s="16"/>
      <c r="FSA38" s="16"/>
      <c r="FSB38" s="16"/>
      <c r="FSC38" s="16"/>
      <c r="FSD38" s="16"/>
      <c r="FSE38" s="16"/>
      <c r="FSF38" s="16"/>
      <c r="FSG38" s="16"/>
      <c r="FSH38" s="16"/>
      <c r="FSI38" s="16"/>
      <c r="FSJ38" s="16"/>
      <c r="FSK38" s="16"/>
      <c r="FSL38" s="16"/>
      <c r="FSM38" s="16"/>
      <c r="FSN38" s="16"/>
      <c r="FSO38" s="16"/>
      <c r="FSP38" s="16"/>
      <c r="FSQ38" s="16"/>
      <c r="FSR38" s="16"/>
      <c r="FSS38" s="16"/>
      <c r="FST38" s="16"/>
      <c r="FSU38" s="16"/>
      <c r="FSV38" s="16"/>
      <c r="FSW38" s="16"/>
      <c r="FSX38" s="16"/>
      <c r="FSY38" s="16"/>
      <c r="FSZ38" s="16"/>
      <c r="FTA38" s="16"/>
      <c r="FTB38" s="16"/>
      <c r="FTC38" s="16"/>
      <c r="FTD38" s="16"/>
      <c r="FTE38" s="16"/>
      <c r="FTF38" s="16"/>
      <c r="FTG38" s="16"/>
      <c r="FTH38" s="16"/>
      <c r="FTI38" s="16"/>
      <c r="FTJ38" s="16"/>
      <c r="FTK38" s="16"/>
      <c r="FTL38" s="16"/>
      <c r="FTM38" s="16"/>
      <c r="FTN38" s="16"/>
      <c r="FTO38" s="16"/>
      <c r="FTP38" s="16"/>
      <c r="FTQ38" s="16"/>
      <c r="FTR38" s="16"/>
      <c r="FTS38" s="16"/>
      <c r="FTT38" s="16"/>
      <c r="FTU38" s="16"/>
      <c r="FTV38" s="16"/>
      <c r="FTW38" s="16"/>
      <c r="FTX38" s="16"/>
      <c r="FTY38" s="16"/>
      <c r="FTZ38" s="16"/>
      <c r="FUA38" s="16"/>
      <c r="FUB38" s="16"/>
      <c r="FUC38" s="16"/>
      <c r="FUD38" s="16"/>
      <c r="FUE38" s="16"/>
      <c r="FUF38" s="16"/>
      <c r="FUG38" s="16"/>
      <c r="FUH38" s="16"/>
      <c r="FUI38" s="16"/>
      <c r="FUJ38" s="16"/>
      <c r="FUK38" s="16"/>
      <c r="FUL38" s="16"/>
      <c r="FUM38" s="16"/>
      <c r="FUN38" s="16"/>
      <c r="FUO38" s="16"/>
      <c r="FUP38" s="16"/>
      <c r="FUQ38" s="16"/>
      <c r="FUR38" s="16"/>
      <c r="FUS38" s="16"/>
      <c r="FUT38" s="16"/>
      <c r="FUU38" s="16"/>
      <c r="FUV38" s="16"/>
      <c r="FUW38" s="16"/>
      <c r="FUX38" s="16"/>
      <c r="FUY38" s="16"/>
      <c r="FUZ38" s="16"/>
      <c r="FVA38" s="16"/>
      <c r="FVB38" s="16"/>
      <c r="FVC38" s="16"/>
      <c r="FVD38" s="16"/>
      <c r="FVE38" s="16"/>
      <c r="FVF38" s="16"/>
      <c r="FVG38" s="16"/>
      <c r="FVH38" s="16"/>
      <c r="FVI38" s="16"/>
      <c r="FVJ38" s="16"/>
      <c r="FVK38" s="16"/>
      <c r="FVL38" s="16"/>
      <c r="FVM38" s="16"/>
      <c r="FVN38" s="16"/>
      <c r="FVO38" s="16"/>
      <c r="FVP38" s="16"/>
      <c r="FVQ38" s="16"/>
      <c r="FVR38" s="16"/>
      <c r="FVS38" s="16"/>
      <c r="FVT38" s="16"/>
      <c r="FVU38" s="16"/>
      <c r="FVV38" s="16"/>
      <c r="FVW38" s="16"/>
      <c r="FVX38" s="16"/>
      <c r="FVY38" s="16"/>
      <c r="FVZ38" s="16"/>
      <c r="FWA38" s="16"/>
      <c r="FWB38" s="16"/>
      <c r="FWC38" s="16"/>
      <c r="FWD38" s="16"/>
      <c r="FWE38" s="16"/>
      <c r="FWF38" s="16"/>
      <c r="FWG38" s="16"/>
      <c r="FWH38" s="16"/>
      <c r="FWI38" s="16"/>
      <c r="FWJ38" s="16"/>
      <c r="FWK38" s="16"/>
      <c r="FWL38" s="16"/>
      <c r="FWM38" s="16"/>
      <c r="FWN38" s="16"/>
      <c r="FWO38" s="16"/>
      <c r="FWP38" s="16"/>
      <c r="FWQ38" s="16"/>
      <c r="FWR38" s="16"/>
      <c r="FWS38" s="16"/>
      <c r="FWT38" s="16"/>
      <c r="FWU38" s="16"/>
      <c r="FWV38" s="16"/>
      <c r="FWW38" s="16"/>
      <c r="FWX38" s="16"/>
      <c r="FWY38" s="16"/>
      <c r="FWZ38" s="16"/>
      <c r="FXA38" s="16"/>
      <c r="FXB38" s="16"/>
      <c r="FXC38" s="16"/>
      <c r="FXD38" s="16"/>
      <c r="FXE38" s="16"/>
      <c r="FXF38" s="16"/>
      <c r="FXG38" s="16"/>
      <c r="FXH38" s="16"/>
      <c r="FXI38" s="16"/>
      <c r="FXJ38" s="16"/>
      <c r="FXK38" s="16"/>
      <c r="FXL38" s="16"/>
      <c r="FXM38" s="16"/>
      <c r="FXN38" s="16"/>
      <c r="FXO38" s="16"/>
      <c r="FXP38" s="16"/>
      <c r="FXQ38" s="16"/>
      <c r="FXR38" s="16"/>
      <c r="FXS38" s="16"/>
      <c r="FXT38" s="16"/>
      <c r="FXU38" s="16"/>
      <c r="FXV38" s="16"/>
      <c r="FXW38" s="16"/>
      <c r="FXX38" s="16"/>
      <c r="FXY38" s="16"/>
      <c r="FXZ38" s="16"/>
      <c r="FYA38" s="16"/>
      <c r="FYB38" s="16"/>
      <c r="FYC38" s="16"/>
      <c r="FYD38" s="16"/>
      <c r="FYE38" s="16"/>
      <c r="FYF38" s="16"/>
      <c r="FYG38" s="16"/>
      <c r="FYH38" s="16"/>
      <c r="FYI38" s="16"/>
      <c r="FYJ38" s="16"/>
      <c r="FYK38" s="16"/>
      <c r="FYL38" s="16"/>
      <c r="FYM38" s="16"/>
      <c r="FYN38" s="16"/>
      <c r="FYO38" s="16"/>
      <c r="FYP38" s="16"/>
      <c r="FYQ38" s="16"/>
      <c r="FYR38" s="16"/>
      <c r="FYS38" s="16"/>
      <c r="FYT38" s="16"/>
      <c r="FYU38" s="16"/>
      <c r="FYV38" s="16"/>
      <c r="FYW38" s="16"/>
      <c r="FYX38" s="16"/>
      <c r="FYY38" s="16"/>
      <c r="FYZ38" s="16"/>
      <c r="FZA38" s="16"/>
      <c r="FZB38" s="16"/>
      <c r="FZC38" s="16"/>
      <c r="FZD38" s="16"/>
      <c r="FZE38" s="16"/>
      <c r="FZF38" s="16"/>
      <c r="FZG38" s="16"/>
      <c r="FZH38" s="16"/>
      <c r="FZI38" s="16"/>
      <c r="FZJ38" s="16"/>
      <c r="FZK38" s="16"/>
      <c r="FZL38" s="16"/>
      <c r="FZM38" s="16"/>
      <c r="FZN38" s="16"/>
      <c r="FZO38" s="16"/>
      <c r="FZP38" s="16"/>
      <c r="FZQ38" s="16"/>
      <c r="FZR38" s="16"/>
      <c r="FZS38" s="16"/>
      <c r="FZT38" s="16"/>
      <c r="FZU38" s="16"/>
      <c r="FZV38" s="16"/>
      <c r="FZW38" s="16"/>
      <c r="FZX38" s="16"/>
      <c r="FZY38" s="16"/>
      <c r="FZZ38" s="16"/>
      <c r="GAA38" s="16"/>
      <c r="GAB38" s="16"/>
      <c r="GAC38" s="16"/>
      <c r="GAD38" s="16"/>
      <c r="GAE38" s="16"/>
      <c r="GAF38" s="16"/>
      <c r="GAG38" s="16"/>
      <c r="GAH38" s="16"/>
      <c r="GAI38" s="16"/>
      <c r="GAJ38" s="16"/>
      <c r="GAK38" s="16"/>
      <c r="GAL38" s="16"/>
      <c r="GAM38" s="16"/>
      <c r="GAN38" s="16"/>
      <c r="GAO38" s="16"/>
      <c r="GAP38" s="16"/>
      <c r="GAQ38" s="16"/>
      <c r="GAR38" s="16"/>
      <c r="GAS38" s="16"/>
      <c r="GAT38" s="16"/>
      <c r="GAU38" s="16"/>
      <c r="GAV38" s="16"/>
      <c r="GAW38" s="16"/>
      <c r="GAX38" s="16"/>
      <c r="GAY38" s="16"/>
      <c r="GAZ38" s="16"/>
      <c r="GBA38" s="16"/>
      <c r="GBB38" s="16"/>
      <c r="GBC38" s="16"/>
      <c r="GBD38" s="16"/>
      <c r="GBE38" s="16"/>
      <c r="GBF38" s="16"/>
      <c r="GBG38" s="16"/>
      <c r="GBH38" s="16"/>
      <c r="GBI38" s="16"/>
      <c r="GBJ38" s="16"/>
      <c r="GBK38" s="16"/>
      <c r="GBL38" s="16"/>
      <c r="GBM38" s="16"/>
      <c r="GBN38" s="16"/>
      <c r="GBO38" s="16"/>
      <c r="GBP38" s="16"/>
      <c r="GBQ38" s="16"/>
      <c r="GBR38" s="16"/>
      <c r="GBS38" s="16"/>
      <c r="GBT38" s="16"/>
      <c r="GBU38" s="16"/>
      <c r="GBV38" s="16"/>
      <c r="GBW38" s="16"/>
      <c r="GBX38" s="16"/>
      <c r="GBY38" s="16"/>
      <c r="GBZ38" s="16"/>
      <c r="GCA38" s="16"/>
      <c r="GCB38" s="16"/>
      <c r="GCC38" s="16"/>
      <c r="GCD38" s="16"/>
      <c r="GCE38" s="16"/>
      <c r="GCF38" s="16"/>
      <c r="GCG38" s="16"/>
      <c r="GCH38" s="16"/>
      <c r="GCI38" s="16"/>
      <c r="GCJ38" s="16"/>
      <c r="GCK38" s="16"/>
      <c r="GCL38" s="16"/>
      <c r="GCM38" s="16"/>
      <c r="GCN38" s="16"/>
      <c r="GCO38" s="16"/>
      <c r="GCP38" s="16"/>
      <c r="GCQ38" s="16"/>
      <c r="GCR38" s="16"/>
      <c r="GCS38" s="16"/>
      <c r="GCT38" s="16"/>
      <c r="GCU38" s="16"/>
      <c r="GCV38" s="16"/>
      <c r="GCW38" s="16"/>
      <c r="GCX38" s="16"/>
      <c r="GCY38" s="16"/>
      <c r="GCZ38" s="16"/>
      <c r="GDA38" s="16"/>
      <c r="GDB38" s="16"/>
      <c r="GDC38" s="16"/>
      <c r="GDD38" s="16"/>
      <c r="GDE38" s="16"/>
      <c r="GDF38" s="16"/>
      <c r="GDG38" s="16"/>
      <c r="GDH38" s="16"/>
      <c r="GDI38" s="16"/>
      <c r="GDJ38" s="16"/>
      <c r="GDK38" s="16"/>
      <c r="GDL38" s="16"/>
      <c r="GDM38" s="16"/>
      <c r="GDN38" s="16"/>
      <c r="GDO38" s="16"/>
      <c r="GDP38" s="16"/>
      <c r="GDQ38" s="16"/>
      <c r="GDR38" s="16"/>
      <c r="GDS38" s="16"/>
      <c r="GDT38" s="16"/>
      <c r="GDU38" s="16"/>
      <c r="GDV38" s="16"/>
      <c r="GDW38" s="16"/>
      <c r="GDX38" s="16"/>
      <c r="GDY38" s="16"/>
      <c r="GDZ38" s="16"/>
      <c r="GEA38" s="16"/>
      <c r="GEB38" s="16"/>
      <c r="GEC38" s="16"/>
      <c r="GED38" s="16"/>
      <c r="GEE38" s="16"/>
      <c r="GEF38" s="16"/>
      <c r="GEG38" s="16"/>
      <c r="GEH38" s="16"/>
      <c r="GEI38" s="16"/>
      <c r="GEJ38" s="16"/>
      <c r="GEK38" s="16"/>
      <c r="GEL38" s="16"/>
      <c r="GEM38" s="16"/>
      <c r="GEN38" s="16"/>
      <c r="GEO38" s="16"/>
      <c r="GEP38" s="16"/>
      <c r="GEQ38" s="16"/>
      <c r="GER38" s="16"/>
      <c r="GES38" s="16"/>
      <c r="GET38" s="16"/>
      <c r="GEU38" s="16"/>
      <c r="GEV38" s="16"/>
      <c r="GEW38" s="16"/>
      <c r="GEX38" s="16"/>
      <c r="GEY38" s="16"/>
      <c r="GEZ38" s="16"/>
      <c r="GFA38" s="16"/>
      <c r="GFB38" s="16"/>
      <c r="GFC38" s="16"/>
      <c r="GFD38" s="16"/>
      <c r="GFE38" s="16"/>
      <c r="GFF38" s="16"/>
      <c r="GFG38" s="16"/>
      <c r="GFH38" s="16"/>
      <c r="GFI38" s="16"/>
      <c r="GFJ38" s="16"/>
      <c r="GFK38" s="16"/>
      <c r="GFL38" s="16"/>
      <c r="GFM38" s="16"/>
      <c r="GFN38" s="16"/>
      <c r="GFO38" s="16"/>
      <c r="GFP38" s="16"/>
      <c r="GFQ38" s="16"/>
      <c r="GFR38" s="16"/>
      <c r="GFS38" s="16"/>
      <c r="GFT38" s="16"/>
      <c r="GFU38" s="16"/>
      <c r="GFV38" s="16"/>
      <c r="GFW38" s="16"/>
      <c r="GFX38" s="16"/>
      <c r="GFY38" s="16"/>
      <c r="GFZ38" s="16"/>
      <c r="GGA38" s="16"/>
      <c r="GGB38" s="16"/>
      <c r="GGC38" s="16"/>
      <c r="GGD38" s="16"/>
      <c r="GGE38" s="16"/>
      <c r="GGF38" s="16"/>
      <c r="GGG38" s="16"/>
      <c r="GGH38" s="16"/>
      <c r="GGI38" s="16"/>
      <c r="GGJ38" s="16"/>
      <c r="GGK38" s="16"/>
      <c r="GGL38" s="16"/>
      <c r="GGM38" s="16"/>
      <c r="GGN38" s="16"/>
      <c r="GGO38" s="16"/>
      <c r="GGP38" s="16"/>
      <c r="GGQ38" s="16"/>
      <c r="GGR38" s="16"/>
      <c r="GGS38" s="16"/>
      <c r="GGT38" s="16"/>
      <c r="GGU38" s="16"/>
      <c r="GGV38" s="16"/>
      <c r="GGW38" s="16"/>
      <c r="GGX38" s="16"/>
      <c r="GGY38" s="16"/>
      <c r="GGZ38" s="16"/>
      <c r="GHA38" s="16"/>
      <c r="GHB38" s="16"/>
      <c r="GHC38" s="16"/>
      <c r="GHD38" s="16"/>
      <c r="GHE38" s="16"/>
      <c r="GHF38" s="16"/>
      <c r="GHG38" s="16"/>
      <c r="GHH38" s="16"/>
      <c r="GHI38" s="16"/>
      <c r="GHJ38" s="16"/>
      <c r="GHK38" s="16"/>
      <c r="GHL38" s="16"/>
      <c r="GHM38" s="16"/>
      <c r="GHN38" s="16"/>
      <c r="GHO38" s="16"/>
      <c r="GHP38" s="16"/>
      <c r="GHQ38" s="16"/>
      <c r="GHR38" s="16"/>
      <c r="GHS38" s="16"/>
      <c r="GHT38" s="16"/>
      <c r="GHU38" s="16"/>
      <c r="GHV38" s="16"/>
      <c r="GHW38" s="16"/>
      <c r="GHX38" s="16"/>
      <c r="GHY38" s="16"/>
      <c r="GHZ38" s="16"/>
      <c r="GIA38" s="16"/>
      <c r="GIB38" s="16"/>
      <c r="GIC38" s="16"/>
      <c r="GID38" s="16"/>
      <c r="GIE38" s="16"/>
      <c r="GIF38" s="16"/>
      <c r="GIG38" s="16"/>
      <c r="GIH38" s="16"/>
      <c r="GII38" s="16"/>
      <c r="GIJ38" s="16"/>
      <c r="GIK38" s="16"/>
      <c r="GIL38" s="16"/>
      <c r="GIM38" s="16"/>
      <c r="GIN38" s="16"/>
      <c r="GIO38" s="16"/>
      <c r="GIP38" s="16"/>
      <c r="GIQ38" s="16"/>
      <c r="GIR38" s="16"/>
      <c r="GIS38" s="16"/>
      <c r="GIT38" s="16"/>
      <c r="GIU38" s="16"/>
      <c r="GIV38" s="16"/>
      <c r="GIW38" s="16"/>
      <c r="GIX38" s="16"/>
      <c r="GIY38" s="16"/>
      <c r="GIZ38" s="16"/>
      <c r="GJA38" s="16"/>
      <c r="GJB38" s="16"/>
      <c r="GJC38" s="16"/>
      <c r="GJD38" s="16"/>
      <c r="GJE38" s="16"/>
      <c r="GJF38" s="16"/>
      <c r="GJG38" s="16"/>
      <c r="GJH38" s="16"/>
      <c r="GJI38" s="16"/>
      <c r="GJJ38" s="16"/>
      <c r="GJK38" s="16"/>
      <c r="GJL38" s="16"/>
      <c r="GJM38" s="16"/>
      <c r="GJN38" s="16"/>
      <c r="GJO38" s="16"/>
      <c r="GJP38" s="16"/>
      <c r="GJQ38" s="16"/>
      <c r="GJR38" s="16"/>
      <c r="GJS38" s="16"/>
      <c r="GJT38" s="16"/>
      <c r="GJU38" s="16"/>
      <c r="GJV38" s="16"/>
      <c r="GJW38" s="16"/>
      <c r="GJX38" s="16"/>
      <c r="GJY38" s="16"/>
      <c r="GJZ38" s="16"/>
      <c r="GKA38" s="16"/>
      <c r="GKB38" s="16"/>
      <c r="GKC38" s="16"/>
      <c r="GKD38" s="16"/>
      <c r="GKE38" s="16"/>
      <c r="GKF38" s="16"/>
      <c r="GKG38" s="16"/>
      <c r="GKH38" s="16"/>
      <c r="GKI38" s="16"/>
      <c r="GKJ38" s="16"/>
      <c r="GKK38" s="16"/>
      <c r="GKL38" s="16"/>
      <c r="GKM38" s="16"/>
      <c r="GKN38" s="16"/>
      <c r="GKO38" s="16"/>
      <c r="GKP38" s="16"/>
      <c r="GKQ38" s="16"/>
      <c r="GKR38" s="16"/>
      <c r="GKS38" s="16"/>
      <c r="GKT38" s="16"/>
      <c r="GKU38" s="16"/>
      <c r="GKV38" s="16"/>
      <c r="GKW38" s="16"/>
      <c r="GKX38" s="16"/>
      <c r="GKY38" s="16"/>
      <c r="GKZ38" s="16"/>
      <c r="GLA38" s="16"/>
      <c r="GLB38" s="16"/>
      <c r="GLC38" s="16"/>
      <c r="GLD38" s="16"/>
      <c r="GLE38" s="16"/>
      <c r="GLF38" s="16"/>
      <c r="GLG38" s="16"/>
      <c r="GLH38" s="16"/>
      <c r="GLI38" s="16"/>
      <c r="GLJ38" s="16"/>
      <c r="GLK38" s="16"/>
      <c r="GLL38" s="16"/>
      <c r="GLM38" s="16"/>
      <c r="GLN38" s="16"/>
      <c r="GLO38" s="16"/>
      <c r="GLP38" s="16"/>
      <c r="GLQ38" s="16"/>
      <c r="GLR38" s="16"/>
      <c r="GLS38" s="16"/>
      <c r="GLT38" s="16"/>
      <c r="GLU38" s="16"/>
      <c r="GLV38" s="16"/>
      <c r="GLW38" s="16"/>
      <c r="GLX38" s="16"/>
      <c r="GLY38" s="16"/>
      <c r="GLZ38" s="16"/>
      <c r="GMA38" s="16"/>
      <c r="GMB38" s="16"/>
      <c r="GMC38" s="16"/>
      <c r="GMD38" s="16"/>
      <c r="GME38" s="16"/>
      <c r="GMF38" s="16"/>
      <c r="GMG38" s="16"/>
      <c r="GMH38" s="16"/>
      <c r="GMI38" s="16"/>
      <c r="GMJ38" s="16"/>
      <c r="GMK38" s="16"/>
      <c r="GML38" s="16"/>
      <c r="GMM38" s="16"/>
      <c r="GMN38" s="16"/>
      <c r="GMO38" s="16"/>
      <c r="GMP38" s="16"/>
      <c r="GMQ38" s="16"/>
      <c r="GMR38" s="16"/>
      <c r="GMS38" s="16"/>
      <c r="GMT38" s="16"/>
      <c r="GMU38" s="16"/>
      <c r="GMV38" s="16"/>
      <c r="GMW38" s="16"/>
      <c r="GMX38" s="16"/>
      <c r="GMY38" s="16"/>
      <c r="GMZ38" s="16"/>
      <c r="GNA38" s="16"/>
      <c r="GNB38" s="16"/>
      <c r="GNC38" s="16"/>
      <c r="GND38" s="16"/>
      <c r="GNE38" s="16"/>
      <c r="GNF38" s="16"/>
      <c r="GNG38" s="16"/>
      <c r="GNH38" s="16"/>
      <c r="GNI38" s="16"/>
      <c r="GNJ38" s="16"/>
      <c r="GNK38" s="16"/>
      <c r="GNL38" s="16"/>
      <c r="GNM38" s="16"/>
      <c r="GNN38" s="16"/>
      <c r="GNO38" s="16"/>
      <c r="GNP38" s="16"/>
      <c r="GNQ38" s="16"/>
      <c r="GNR38" s="16"/>
      <c r="GNS38" s="16"/>
      <c r="GNT38" s="16"/>
      <c r="GNU38" s="16"/>
      <c r="GNV38" s="16"/>
      <c r="GNW38" s="16"/>
      <c r="GNX38" s="16"/>
      <c r="GNY38" s="16"/>
      <c r="GNZ38" s="16"/>
      <c r="GOA38" s="16"/>
      <c r="GOB38" s="16"/>
      <c r="GOC38" s="16"/>
      <c r="GOD38" s="16"/>
      <c r="GOE38" s="16"/>
      <c r="GOF38" s="16"/>
      <c r="GOG38" s="16"/>
      <c r="GOH38" s="16"/>
      <c r="GOI38" s="16"/>
      <c r="GOJ38" s="16"/>
      <c r="GOK38" s="16"/>
      <c r="GOL38" s="16"/>
      <c r="GOM38" s="16"/>
      <c r="GON38" s="16"/>
      <c r="GOO38" s="16"/>
      <c r="GOP38" s="16"/>
      <c r="GOQ38" s="16"/>
      <c r="GOR38" s="16"/>
      <c r="GOS38" s="16"/>
      <c r="GOT38" s="16"/>
      <c r="GOU38" s="16"/>
      <c r="GOV38" s="16"/>
      <c r="GOW38" s="16"/>
      <c r="GOX38" s="16"/>
      <c r="GOY38" s="16"/>
      <c r="GOZ38" s="16"/>
      <c r="GPA38" s="16"/>
      <c r="GPB38" s="16"/>
      <c r="GPC38" s="16"/>
      <c r="GPD38" s="16"/>
      <c r="GPE38" s="16"/>
      <c r="GPF38" s="16"/>
      <c r="GPG38" s="16"/>
      <c r="GPH38" s="16"/>
      <c r="GPI38" s="16"/>
      <c r="GPJ38" s="16"/>
      <c r="GPK38" s="16"/>
      <c r="GPL38" s="16"/>
      <c r="GPM38" s="16"/>
      <c r="GPN38" s="16"/>
      <c r="GPO38" s="16"/>
      <c r="GPP38" s="16"/>
      <c r="GPQ38" s="16"/>
      <c r="GPR38" s="16"/>
      <c r="GPS38" s="16"/>
      <c r="GPT38" s="16"/>
      <c r="GPU38" s="16"/>
      <c r="GPV38" s="16"/>
      <c r="GPW38" s="16"/>
      <c r="GPX38" s="16"/>
      <c r="GPY38" s="16"/>
      <c r="GPZ38" s="16"/>
      <c r="GQA38" s="16"/>
      <c r="GQB38" s="16"/>
      <c r="GQC38" s="16"/>
      <c r="GQD38" s="16"/>
      <c r="GQE38" s="16"/>
      <c r="GQF38" s="16"/>
      <c r="GQG38" s="16"/>
      <c r="GQH38" s="16"/>
      <c r="GQI38" s="16"/>
      <c r="GQJ38" s="16"/>
      <c r="GQK38" s="16"/>
      <c r="GQL38" s="16"/>
      <c r="GQM38" s="16"/>
      <c r="GQN38" s="16"/>
      <c r="GQO38" s="16"/>
      <c r="GQP38" s="16"/>
      <c r="GQQ38" s="16"/>
      <c r="GQR38" s="16"/>
      <c r="GQS38" s="16"/>
      <c r="GQT38" s="16"/>
      <c r="GQU38" s="16"/>
      <c r="GQV38" s="16"/>
      <c r="GQW38" s="16"/>
      <c r="GQX38" s="16"/>
      <c r="GQY38" s="16"/>
      <c r="GQZ38" s="16"/>
      <c r="GRA38" s="16"/>
      <c r="GRB38" s="16"/>
      <c r="GRC38" s="16"/>
      <c r="GRD38" s="16"/>
      <c r="GRE38" s="16"/>
      <c r="GRF38" s="16"/>
      <c r="GRG38" s="16"/>
      <c r="GRH38" s="16"/>
      <c r="GRI38" s="16"/>
      <c r="GRJ38" s="16"/>
      <c r="GRK38" s="16"/>
      <c r="GRL38" s="16"/>
      <c r="GRM38" s="16"/>
      <c r="GRN38" s="16"/>
      <c r="GRO38" s="16"/>
      <c r="GRP38" s="16"/>
      <c r="GRQ38" s="16"/>
      <c r="GRR38" s="16"/>
      <c r="GRS38" s="16"/>
      <c r="GRT38" s="16"/>
      <c r="GRU38" s="16"/>
      <c r="GRV38" s="16"/>
      <c r="GRW38" s="16"/>
      <c r="GRX38" s="16"/>
      <c r="GRY38" s="16"/>
      <c r="GRZ38" s="16"/>
      <c r="GSA38" s="16"/>
      <c r="GSB38" s="16"/>
      <c r="GSC38" s="16"/>
      <c r="GSD38" s="16"/>
      <c r="GSE38" s="16"/>
      <c r="GSF38" s="16"/>
      <c r="GSG38" s="16"/>
      <c r="GSH38" s="16"/>
      <c r="GSI38" s="16"/>
      <c r="GSJ38" s="16"/>
      <c r="GSK38" s="16"/>
      <c r="GSL38" s="16"/>
      <c r="GSM38" s="16"/>
      <c r="GSN38" s="16"/>
      <c r="GSO38" s="16"/>
      <c r="GSP38" s="16"/>
      <c r="GSQ38" s="16"/>
      <c r="GSR38" s="16"/>
      <c r="GSS38" s="16"/>
      <c r="GST38" s="16"/>
      <c r="GSU38" s="16"/>
      <c r="GSV38" s="16"/>
      <c r="GSW38" s="16"/>
      <c r="GSX38" s="16"/>
      <c r="GSY38" s="16"/>
      <c r="GSZ38" s="16"/>
      <c r="GTA38" s="16"/>
      <c r="GTB38" s="16"/>
      <c r="GTC38" s="16"/>
      <c r="GTD38" s="16"/>
      <c r="GTE38" s="16"/>
      <c r="GTF38" s="16"/>
      <c r="GTG38" s="16"/>
      <c r="GTH38" s="16"/>
      <c r="GTI38" s="16"/>
      <c r="GTJ38" s="16"/>
      <c r="GTK38" s="16"/>
      <c r="GTL38" s="16"/>
      <c r="GTM38" s="16"/>
      <c r="GTN38" s="16"/>
      <c r="GTO38" s="16"/>
      <c r="GTP38" s="16"/>
      <c r="GTQ38" s="16"/>
      <c r="GTR38" s="16"/>
      <c r="GTS38" s="16"/>
      <c r="GTT38" s="16"/>
      <c r="GTU38" s="16"/>
      <c r="GTV38" s="16"/>
      <c r="GTW38" s="16"/>
      <c r="GTX38" s="16"/>
      <c r="GTY38" s="16"/>
      <c r="GTZ38" s="16"/>
      <c r="GUA38" s="16"/>
      <c r="GUB38" s="16"/>
      <c r="GUC38" s="16"/>
      <c r="GUD38" s="16"/>
      <c r="GUE38" s="16"/>
      <c r="GUF38" s="16"/>
      <c r="GUG38" s="16"/>
      <c r="GUH38" s="16"/>
      <c r="GUI38" s="16"/>
      <c r="GUJ38" s="16"/>
      <c r="GUK38" s="16"/>
      <c r="GUL38" s="16"/>
      <c r="GUM38" s="16"/>
      <c r="GUN38" s="16"/>
      <c r="GUO38" s="16"/>
      <c r="GUP38" s="16"/>
      <c r="GUQ38" s="16"/>
      <c r="GUR38" s="16"/>
      <c r="GUS38" s="16"/>
      <c r="GUT38" s="16"/>
      <c r="GUU38" s="16"/>
      <c r="GUV38" s="16"/>
      <c r="GUW38" s="16"/>
      <c r="GUX38" s="16"/>
      <c r="GUY38" s="16"/>
      <c r="GUZ38" s="16"/>
      <c r="GVA38" s="16"/>
      <c r="GVB38" s="16"/>
      <c r="GVC38" s="16"/>
      <c r="GVD38" s="16"/>
      <c r="GVE38" s="16"/>
      <c r="GVF38" s="16"/>
      <c r="GVG38" s="16"/>
      <c r="GVH38" s="16"/>
      <c r="GVI38" s="16"/>
      <c r="GVJ38" s="16"/>
      <c r="GVK38" s="16"/>
      <c r="GVL38" s="16"/>
      <c r="GVM38" s="16"/>
      <c r="GVN38" s="16"/>
      <c r="GVO38" s="16"/>
      <c r="GVP38" s="16"/>
      <c r="GVQ38" s="16"/>
      <c r="GVR38" s="16"/>
      <c r="GVS38" s="16"/>
      <c r="GVT38" s="16"/>
      <c r="GVU38" s="16"/>
      <c r="GVV38" s="16"/>
      <c r="GVW38" s="16"/>
      <c r="GVX38" s="16"/>
      <c r="GVY38" s="16"/>
      <c r="GVZ38" s="16"/>
      <c r="GWA38" s="16"/>
      <c r="GWB38" s="16"/>
      <c r="GWC38" s="16"/>
      <c r="GWD38" s="16"/>
      <c r="GWE38" s="16"/>
      <c r="GWF38" s="16"/>
      <c r="GWG38" s="16"/>
      <c r="GWH38" s="16"/>
      <c r="GWI38" s="16"/>
      <c r="GWJ38" s="16"/>
      <c r="GWK38" s="16"/>
      <c r="GWL38" s="16"/>
      <c r="GWM38" s="16"/>
      <c r="GWN38" s="16"/>
      <c r="GWO38" s="16"/>
      <c r="GWP38" s="16"/>
      <c r="GWQ38" s="16"/>
      <c r="GWR38" s="16"/>
      <c r="GWS38" s="16"/>
      <c r="GWT38" s="16"/>
      <c r="GWU38" s="16"/>
      <c r="GWV38" s="16"/>
      <c r="GWW38" s="16"/>
      <c r="GWX38" s="16"/>
      <c r="GWY38" s="16"/>
      <c r="GWZ38" s="16"/>
      <c r="GXA38" s="16"/>
      <c r="GXB38" s="16"/>
      <c r="GXC38" s="16"/>
      <c r="GXD38" s="16"/>
      <c r="GXE38" s="16"/>
      <c r="GXF38" s="16"/>
      <c r="GXG38" s="16"/>
      <c r="GXH38" s="16"/>
      <c r="GXI38" s="16"/>
      <c r="GXJ38" s="16"/>
      <c r="GXK38" s="16"/>
      <c r="GXL38" s="16"/>
      <c r="GXM38" s="16"/>
      <c r="GXN38" s="16"/>
      <c r="GXO38" s="16"/>
      <c r="GXP38" s="16"/>
      <c r="GXQ38" s="16"/>
      <c r="GXR38" s="16"/>
      <c r="GXS38" s="16"/>
      <c r="GXT38" s="16"/>
      <c r="GXU38" s="16"/>
      <c r="GXV38" s="16"/>
      <c r="GXW38" s="16"/>
      <c r="GXX38" s="16"/>
      <c r="GXY38" s="16"/>
      <c r="GXZ38" s="16"/>
      <c r="GYA38" s="16"/>
      <c r="GYB38" s="16"/>
      <c r="GYC38" s="16"/>
      <c r="GYD38" s="16"/>
      <c r="GYE38" s="16"/>
      <c r="GYF38" s="16"/>
      <c r="GYG38" s="16"/>
      <c r="GYH38" s="16"/>
      <c r="GYI38" s="16"/>
      <c r="GYJ38" s="16"/>
      <c r="GYK38" s="16"/>
      <c r="GYL38" s="16"/>
      <c r="GYM38" s="16"/>
      <c r="GYN38" s="16"/>
      <c r="GYO38" s="16"/>
      <c r="GYP38" s="16"/>
      <c r="GYQ38" s="16"/>
      <c r="GYR38" s="16"/>
      <c r="GYS38" s="16"/>
      <c r="GYT38" s="16"/>
      <c r="GYU38" s="16"/>
      <c r="GYV38" s="16"/>
      <c r="GYW38" s="16"/>
      <c r="GYX38" s="16"/>
      <c r="GYY38" s="16"/>
      <c r="GYZ38" s="16"/>
      <c r="GZA38" s="16"/>
      <c r="GZB38" s="16"/>
      <c r="GZC38" s="16"/>
      <c r="GZD38" s="16"/>
      <c r="GZE38" s="16"/>
      <c r="GZF38" s="16"/>
      <c r="GZG38" s="16"/>
      <c r="GZH38" s="16"/>
      <c r="GZI38" s="16"/>
      <c r="GZJ38" s="16"/>
      <c r="GZK38" s="16"/>
      <c r="GZL38" s="16"/>
      <c r="GZM38" s="16"/>
      <c r="GZN38" s="16"/>
      <c r="GZO38" s="16"/>
      <c r="GZP38" s="16"/>
      <c r="GZQ38" s="16"/>
      <c r="GZR38" s="16"/>
      <c r="GZS38" s="16"/>
      <c r="GZT38" s="16"/>
      <c r="GZU38" s="16"/>
      <c r="GZV38" s="16"/>
      <c r="GZW38" s="16"/>
      <c r="GZX38" s="16"/>
      <c r="GZY38" s="16"/>
      <c r="GZZ38" s="16"/>
      <c r="HAA38" s="16"/>
      <c r="HAB38" s="16"/>
      <c r="HAC38" s="16"/>
      <c r="HAD38" s="16"/>
      <c r="HAE38" s="16"/>
      <c r="HAF38" s="16"/>
      <c r="HAG38" s="16"/>
      <c r="HAH38" s="16"/>
      <c r="HAI38" s="16"/>
      <c r="HAJ38" s="16"/>
      <c r="HAK38" s="16"/>
      <c r="HAL38" s="16"/>
      <c r="HAM38" s="16"/>
      <c r="HAN38" s="16"/>
      <c r="HAO38" s="16"/>
      <c r="HAP38" s="16"/>
      <c r="HAQ38" s="16"/>
      <c r="HAR38" s="16"/>
      <c r="HAS38" s="16"/>
      <c r="HAT38" s="16"/>
      <c r="HAU38" s="16"/>
      <c r="HAV38" s="16"/>
      <c r="HAW38" s="16"/>
      <c r="HAX38" s="16"/>
      <c r="HAY38" s="16"/>
      <c r="HAZ38" s="16"/>
      <c r="HBA38" s="16"/>
      <c r="HBB38" s="16"/>
      <c r="HBC38" s="16"/>
      <c r="HBD38" s="16"/>
      <c r="HBE38" s="16"/>
      <c r="HBF38" s="16"/>
      <c r="HBG38" s="16"/>
      <c r="HBH38" s="16"/>
      <c r="HBI38" s="16"/>
      <c r="HBJ38" s="16"/>
      <c r="HBK38" s="16"/>
      <c r="HBL38" s="16"/>
      <c r="HBM38" s="16"/>
      <c r="HBN38" s="16"/>
      <c r="HBO38" s="16"/>
      <c r="HBP38" s="16"/>
      <c r="HBQ38" s="16"/>
      <c r="HBR38" s="16"/>
      <c r="HBS38" s="16"/>
      <c r="HBT38" s="16"/>
      <c r="HBU38" s="16"/>
      <c r="HBV38" s="16"/>
      <c r="HBW38" s="16"/>
      <c r="HBX38" s="16"/>
      <c r="HBY38" s="16"/>
      <c r="HBZ38" s="16"/>
      <c r="HCA38" s="16"/>
      <c r="HCB38" s="16"/>
      <c r="HCC38" s="16"/>
      <c r="HCD38" s="16"/>
      <c r="HCE38" s="16"/>
      <c r="HCF38" s="16"/>
      <c r="HCG38" s="16"/>
      <c r="HCH38" s="16"/>
      <c r="HCI38" s="16"/>
      <c r="HCJ38" s="16"/>
      <c r="HCK38" s="16"/>
      <c r="HCL38" s="16"/>
      <c r="HCM38" s="16"/>
      <c r="HCN38" s="16"/>
      <c r="HCO38" s="16"/>
      <c r="HCP38" s="16"/>
      <c r="HCQ38" s="16"/>
      <c r="HCR38" s="16"/>
      <c r="HCS38" s="16"/>
      <c r="HCT38" s="16"/>
      <c r="HCU38" s="16"/>
      <c r="HCV38" s="16"/>
      <c r="HCW38" s="16"/>
      <c r="HCX38" s="16"/>
      <c r="HCY38" s="16"/>
      <c r="HCZ38" s="16"/>
      <c r="HDA38" s="16"/>
      <c r="HDB38" s="16"/>
      <c r="HDC38" s="16"/>
      <c r="HDD38" s="16"/>
      <c r="HDE38" s="16"/>
      <c r="HDF38" s="16"/>
      <c r="HDG38" s="16"/>
      <c r="HDH38" s="16"/>
      <c r="HDI38" s="16"/>
      <c r="HDJ38" s="16"/>
      <c r="HDK38" s="16"/>
      <c r="HDL38" s="16"/>
      <c r="HDM38" s="16"/>
      <c r="HDN38" s="16"/>
      <c r="HDO38" s="16"/>
      <c r="HDP38" s="16"/>
      <c r="HDQ38" s="16"/>
      <c r="HDR38" s="16"/>
      <c r="HDS38" s="16"/>
      <c r="HDT38" s="16"/>
      <c r="HDU38" s="16"/>
      <c r="HDV38" s="16"/>
      <c r="HDW38" s="16"/>
      <c r="HDX38" s="16"/>
      <c r="HDY38" s="16"/>
      <c r="HDZ38" s="16"/>
      <c r="HEA38" s="16"/>
      <c r="HEB38" s="16"/>
      <c r="HEC38" s="16"/>
      <c r="HED38" s="16"/>
      <c r="HEE38" s="16"/>
      <c r="HEF38" s="16"/>
      <c r="HEG38" s="16"/>
      <c r="HEH38" s="16"/>
      <c r="HEI38" s="16"/>
      <c r="HEJ38" s="16"/>
      <c r="HEK38" s="16"/>
      <c r="HEL38" s="16"/>
      <c r="HEM38" s="16"/>
      <c r="HEN38" s="16"/>
      <c r="HEO38" s="16"/>
      <c r="HEP38" s="16"/>
      <c r="HEQ38" s="16"/>
      <c r="HER38" s="16"/>
      <c r="HES38" s="16"/>
      <c r="HET38" s="16"/>
      <c r="HEU38" s="16"/>
      <c r="HEV38" s="16"/>
      <c r="HEW38" s="16"/>
      <c r="HEX38" s="16"/>
      <c r="HEY38" s="16"/>
      <c r="HEZ38" s="16"/>
      <c r="HFA38" s="16"/>
      <c r="HFB38" s="16"/>
      <c r="HFC38" s="16"/>
      <c r="HFD38" s="16"/>
      <c r="HFE38" s="16"/>
      <c r="HFF38" s="16"/>
      <c r="HFG38" s="16"/>
      <c r="HFH38" s="16"/>
      <c r="HFI38" s="16"/>
      <c r="HFJ38" s="16"/>
      <c r="HFK38" s="16"/>
      <c r="HFL38" s="16"/>
      <c r="HFM38" s="16"/>
      <c r="HFN38" s="16"/>
      <c r="HFO38" s="16"/>
      <c r="HFP38" s="16"/>
      <c r="HFQ38" s="16"/>
      <c r="HFR38" s="16"/>
      <c r="HFS38" s="16"/>
      <c r="HFT38" s="16"/>
      <c r="HFU38" s="16"/>
      <c r="HFV38" s="16"/>
      <c r="HFW38" s="16"/>
      <c r="HFX38" s="16"/>
      <c r="HFY38" s="16"/>
      <c r="HFZ38" s="16"/>
      <c r="HGA38" s="16"/>
      <c r="HGB38" s="16"/>
      <c r="HGC38" s="16"/>
      <c r="HGD38" s="16"/>
      <c r="HGE38" s="16"/>
      <c r="HGF38" s="16"/>
      <c r="HGG38" s="16"/>
      <c r="HGH38" s="16"/>
      <c r="HGI38" s="16"/>
      <c r="HGJ38" s="16"/>
      <c r="HGK38" s="16"/>
      <c r="HGL38" s="16"/>
      <c r="HGM38" s="16"/>
      <c r="HGN38" s="16"/>
      <c r="HGO38" s="16"/>
      <c r="HGP38" s="16"/>
      <c r="HGQ38" s="16"/>
      <c r="HGR38" s="16"/>
      <c r="HGS38" s="16"/>
      <c r="HGT38" s="16"/>
      <c r="HGU38" s="16"/>
      <c r="HGV38" s="16"/>
      <c r="HGW38" s="16"/>
      <c r="HGX38" s="16"/>
      <c r="HGY38" s="16"/>
      <c r="HGZ38" s="16"/>
      <c r="HHA38" s="16"/>
      <c r="HHB38" s="16"/>
      <c r="HHC38" s="16"/>
      <c r="HHD38" s="16"/>
      <c r="HHE38" s="16"/>
      <c r="HHF38" s="16"/>
      <c r="HHG38" s="16"/>
      <c r="HHH38" s="16"/>
      <c r="HHI38" s="16"/>
      <c r="HHJ38" s="16"/>
      <c r="HHK38" s="16"/>
      <c r="HHL38" s="16"/>
      <c r="HHM38" s="16"/>
      <c r="HHN38" s="16"/>
      <c r="HHO38" s="16"/>
      <c r="HHP38" s="16"/>
      <c r="HHQ38" s="16"/>
      <c r="HHR38" s="16"/>
      <c r="HHS38" s="16"/>
      <c r="HHT38" s="16"/>
      <c r="HHU38" s="16"/>
      <c r="HHV38" s="16"/>
      <c r="HHW38" s="16"/>
      <c r="HHX38" s="16"/>
      <c r="HHY38" s="16"/>
      <c r="HHZ38" s="16"/>
      <c r="HIA38" s="16"/>
      <c r="HIB38" s="16"/>
      <c r="HIC38" s="16"/>
      <c r="HID38" s="16"/>
      <c r="HIE38" s="16"/>
      <c r="HIF38" s="16"/>
      <c r="HIG38" s="16"/>
      <c r="HIH38" s="16"/>
      <c r="HII38" s="16"/>
      <c r="HIJ38" s="16"/>
      <c r="HIK38" s="16"/>
      <c r="HIL38" s="16"/>
      <c r="HIM38" s="16"/>
      <c r="HIN38" s="16"/>
      <c r="HIO38" s="16"/>
      <c r="HIP38" s="16"/>
      <c r="HIQ38" s="16"/>
      <c r="HIR38" s="16"/>
      <c r="HIS38" s="16"/>
      <c r="HIT38" s="16"/>
      <c r="HIU38" s="16"/>
      <c r="HIV38" s="16"/>
      <c r="HIW38" s="16"/>
      <c r="HIX38" s="16"/>
      <c r="HIY38" s="16"/>
      <c r="HIZ38" s="16"/>
      <c r="HJA38" s="16"/>
      <c r="HJB38" s="16"/>
      <c r="HJC38" s="16"/>
      <c r="HJD38" s="16"/>
      <c r="HJE38" s="16"/>
      <c r="HJF38" s="16"/>
      <c r="HJG38" s="16"/>
      <c r="HJH38" s="16"/>
      <c r="HJI38" s="16"/>
      <c r="HJJ38" s="16"/>
      <c r="HJK38" s="16"/>
      <c r="HJL38" s="16"/>
      <c r="HJM38" s="16"/>
      <c r="HJN38" s="16"/>
      <c r="HJO38" s="16"/>
      <c r="HJP38" s="16"/>
      <c r="HJQ38" s="16"/>
      <c r="HJR38" s="16"/>
      <c r="HJS38" s="16"/>
      <c r="HJT38" s="16"/>
      <c r="HJU38" s="16"/>
      <c r="HJV38" s="16"/>
      <c r="HJW38" s="16"/>
      <c r="HJX38" s="16"/>
      <c r="HJY38" s="16"/>
      <c r="HJZ38" s="16"/>
      <c r="HKA38" s="16"/>
      <c r="HKB38" s="16"/>
      <c r="HKC38" s="16"/>
      <c r="HKD38" s="16"/>
      <c r="HKE38" s="16"/>
      <c r="HKF38" s="16"/>
      <c r="HKG38" s="16"/>
      <c r="HKH38" s="16"/>
      <c r="HKI38" s="16"/>
      <c r="HKJ38" s="16"/>
      <c r="HKK38" s="16"/>
      <c r="HKL38" s="16"/>
      <c r="HKM38" s="16"/>
      <c r="HKN38" s="16"/>
      <c r="HKO38" s="16"/>
      <c r="HKP38" s="16"/>
      <c r="HKQ38" s="16"/>
      <c r="HKR38" s="16"/>
      <c r="HKS38" s="16"/>
      <c r="HKT38" s="16"/>
      <c r="HKU38" s="16"/>
      <c r="HKV38" s="16"/>
      <c r="HKW38" s="16"/>
      <c r="HKX38" s="16"/>
      <c r="HKY38" s="16"/>
      <c r="HKZ38" s="16"/>
      <c r="HLA38" s="16"/>
      <c r="HLB38" s="16"/>
      <c r="HLC38" s="16"/>
      <c r="HLD38" s="16"/>
      <c r="HLE38" s="16"/>
      <c r="HLF38" s="16"/>
      <c r="HLG38" s="16"/>
      <c r="HLH38" s="16"/>
      <c r="HLI38" s="16"/>
      <c r="HLJ38" s="16"/>
      <c r="HLK38" s="16"/>
      <c r="HLL38" s="16"/>
      <c r="HLM38" s="16"/>
      <c r="HLN38" s="16"/>
      <c r="HLO38" s="16"/>
      <c r="HLP38" s="16"/>
      <c r="HLQ38" s="16"/>
      <c r="HLR38" s="16"/>
      <c r="HLS38" s="16"/>
      <c r="HLT38" s="16"/>
      <c r="HLU38" s="16"/>
      <c r="HLV38" s="16"/>
      <c r="HLW38" s="16"/>
      <c r="HLX38" s="16"/>
      <c r="HLY38" s="16"/>
      <c r="HLZ38" s="16"/>
      <c r="HMA38" s="16"/>
      <c r="HMB38" s="16"/>
      <c r="HMC38" s="16"/>
      <c r="HMD38" s="16"/>
      <c r="HME38" s="16"/>
      <c r="HMF38" s="16"/>
      <c r="HMG38" s="16"/>
      <c r="HMH38" s="16"/>
      <c r="HMI38" s="16"/>
      <c r="HMJ38" s="16"/>
      <c r="HMK38" s="16"/>
      <c r="HML38" s="16"/>
      <c r="HMM38" s="16"/>
      <c r="HMN38" s="16"/>
      <c r="HMO38" s="16"/>
      <c r="HMP38" s="16"/>
      <c r="HMQ38" s="16"/>
      <c r="HMR38" s="16"/>
      <c r="HMS38" s="16"/>
      <c r="HMT38" s="16"/>
      <c r="HMU38" s="16"/>
      <c r="HMV38" s="16"/>
      <c r="HMW38" s="16"/>
      <c r="HMX38" s="16"/>
      <c r="HMY38" s="16"/>
      <c r="HMZ38" s="16"/>
      <c r="HNA38" s="16"/>
      <c r="HNB38" s="16"/>
      <c r="HNC38" s="16"/>
      <c r="HND38" s="16"/>
      <c r="HNE38" s="16"/>
      <c r="HNF38" s="16"/>
      <c r="HNG38" s="16"/>
      <c r="HNH38" s="16"/>
      <c r="HNI38" s="16"/>
      <c r="HNJ38" s="16"/>
      <c r="HNK38" s="16"/>
      <c r="HNL38" s="16"/>
      <c r="HNM38" s="16"/>
      <c r="HNN38" s="16"/>
      <c r="HNO38" s="16"/>
      <c r="HNP38" s="16"/>
      <c r="HNQ38" s="16"/>
      <c r="HNR38" s="16"/>
      <c r="HNS38" s="16"/>
      <c r="HNT38" s="16"/>
      <c r="HNU38" s="16"/>
      <c r="HNV38" s="16"/>
      <c r="HNW38" s="16"/>
      <c r="HNX38" s="16"/>
      <c r="HNY38" s="16"/>
      <c r="HNZ38" s="16"/>
      <c r="HOA38" s="16"/>
      <c r="HOB38" s="16"/>
      <c r="HOC38" s="16"/>
      <c r="HOD38" s="16"/>
      <c r="HOE38" s="16"/>
      <c r="HOF38" s="16"/>
      <c r="HOG38" s="16"/>
      <c r="HOH38" s="16"/>
      <c r="HOI38" s="16"/>
      <c r="HOJ38" s="16"/>
      <c r="HOK38" s="16"/>
      <c r="HOL38" s="16"/>
      <c r="HOM38" s="16"/>
      <c r="HON38" s="16"/>
      <c r="HOO38" s="16"/>
      <c r="HOP38" s="16"/>
      <c r="HOQ38" s="16"/>
      <c r="HOR38" s="16"/>
      <c r="HOS38" s="16"/>
      <c r="HOT38" s="16"/>
      <c r="HOU38" s="16"/>
      <c r="HOV38" s="16"/>
      <c r="HOW38" s="16"/>
      <c r="HOX38" s="16"/>
      <c r="HOY38" s="16"/>
      <c r="HOZ38" s="16"/>
      <c r="HPA38" s="16"/>
      <c r="HPB38" s="16"/>
      <c r="HPC38" s="16"/>
      <c r="HPD38" s="16"/>
      <c r="HPE38" s="16"/>
      <c r="HPF38" s="16"/>
      <c r="HPG38" s="16"/>
      <c r="HPH38" s="16"/>
      <c r="HPI38" s="16"/>
      <c r="HPJ38" s="16"/>
      <c r="HPK38" s="16"/>
      <c r="HPL38" s="16"/>
      <c r="HPM38" s="16"/>
      <c r="HPN38" s="16"/>
      <c r="HPO38" s="16"/>
      <c r="HPP38" s="16"/>
      <c r="HPQ38" s="16"/>
      <c r="HPR38" s="16"/>
      <c r="HPS38" s="16"/>
      <c r="HPT38" s="16"/>
      <c r="HPU38" s="16"/>
      <c r="HPV38" s="16"/>
      <c r="HPW38" s="16"/>
      <c r="HPX38" s="16"/>
      <c r="HPY38" s="16"/>
      <c r="HPZ38" s="16"/>
      <c r="HQA38" s="16"/>
      <c r="HQB38" s="16"/>
      <c r="HQC38" s="16"/>
      <c r="HQD38" s="16"/>
      <c r="HQE38" s="16"/>
      <c r="HQF38" s="16"/>
      <c r="HQG38" s="16"/>
      <c r="HQH38" s="16"/>
      <c r="HQI38" s="16"/>
      <c r="HQJ38" s="16"/>
      <c r="HQK38" s="16"/>
      <c r="HQL38" s="16"/>
      <c r="HQM38" s="16"/>
      <c r="HQN38" s="16"/>
      <c r="HQO38" s="16"/>
      <c r="HQP38" s="16"/>
      <c r="HQQ38" s="16"/>
      <c r="HQR38" s="16"/>
      <c r="HQS38" s="16"/>
      <c r="HQT38" s="16"/>
      <c r="HQU38" s="16"/>
      <c r="HQV38" s="16"/>
      <c r="HQW38" s="16"/>
      <c r="HQX38" s="16"/>
      <c r="HQY38" s="16"/>
      <c r="HQZ38" s="16"/>
      <c r="HRA38" s="16"/>
      <c r="HRB38" s="16"/>
      <c r="HRC38" s="16"/>
      <c r="HRD38" s="16"/>
      <c r="HRE38" s="16"/>
      <c r="HRF38" s="16"/>
      <c r="HRG38" s="16"/>
      <c r="HRH38" s="16"/>
      <c r="HRI38" s="16"/>
      <c r="HRJ38" s="16"/>
      <c r="HRK38" s="16"/>
      <c r="HRL38" s="16"/>
      <c r="HRM38" s="16"/>
      <c r="HRN38" s="16"/>
      <c r="HRO38" s="16"/>
      <c r="HRP38" s="16"/>
      <c r="HRQ38" s="16"/>
      <c r="HRR38" s="16"/>
      <c r="HRS38" s="16"/>
      <c r="HRT38" s="16"/>
      <c r="HRU38" s="16"/>
      <c r="HRV38" s="16"/>
      <c r="HRW38" s="16"/>
      <c r="HRX38" s="16"/>
      <c r="HRY38" s="16"/>
      <c r="HRZ38" s="16"/>
      <c r="HSA38" s="16"/>
      <c r="HSB38" s="16"/>
      <c r="HSC38" s="16"/>
      <c r="HSD38" s="16"/>
      <c r="HSE38" s="16"/>
      <c r="HSF38" s="16"/>
      <c r="HSG38" s="16"/>
      <c r="HSH38" s="16"/>
      <c r="HSI38" s="16"/>
      <c r="HSJ38" s="16"/>
      <c r="HSK38" s="16"/>
      <c r="HSL38" s="16"/>
      <c r="HSM38" s="16"/>
      <c r="HSN38" s="16"/>
      <c r="HSO38" s="16"/>
      <c r="HSP38" s="16"/>
      <c r="HSQ38" s="16"/>
      <c r="HSR38" s="16"/>
      <c r="HSS38" s="16"/>
      <c r="HST38" s="16"/>
      <c r="HSU38" s="16"/>
      <c r="HSV38" s="16"/>
      <c r="HSW38" s="16"/>
      <c r="HSX38" s="16"/>
      <c r="HSY38" s="16"/>
      <c r="HSZ38" s="16"/>
      <c r="HTA38" s="16"/>
      <c r="HTB38" s="16"/>
      <c r="HTC38" s="16"/>
      <c r="HTD38" s="16"/>
      <c r="HTE38" s="16"/>
      <c r="HTF38" s="16"/>
      <c r="HTG38" s="16"/>
      <c r="HTH38" s="16"/>
      <c r="HTI38" s="16"/>
      <c r="HTJ38" s="16"/>
      <c r="HTK38" s="16"/>
      <c r="HTL38" s="16"/>
      <c r="HTM38" s="16"/>
      <c r="HTN38" s="16"/>
      <c r="HTO38" s="16"/>
      <c r="HTP38" s="16"/>
      <c r="HTQ38" s="16"/>
      <c r="HTR38" s="16"/>
      <c r="HTS38" s="16"/>
      <c r="HTT38" s="16"/>
      <c r="HTU38" s="16"/>
      <c r="HTV38" s="16"/>
      <c r="HTW38" s="16"/>
      <c r="HTX38" s="16"/>
      <c r="HTY38" s="16"/>
      <c r="HTZ38" s="16"/>
      <c r="HUA38" s="16"/>
      <c r="HUB38" s="16"/>
      <c r="HUC38" s="16"/>
      <c r="HUD38" s="16"/>
      <c r="HUE38" s="16"/>
      <c r="HUF38" s="16"/>
      <c r="HUG38" s="16"/>
      <c r="HUH38" s="16"/>
      <c r="HUI38" s="16"/>
      <c r="HUJ38" s="16"/>
      <c r="HUK38" s="16"/>
      <c r="HUL38" s="16"/>
      <c r="HUM38" s="16"/>
      <c r="HUN38" s="16"/>
      <c r="HUO38" s="16"/>
      <c r="HUP38" s="16"/>
      <c r="HUQ38" s="16"/>
      <c r="HUR38" s="16"/>
      <c r="HUS38" s="16"/>
      <c r="HUT38" s="16"/>
      <c r="HUU38" s="16"/>
      <c r="HUV38" s="16"/>
      <c r="HUW38" s="16"/>
      <c r="HUX38" s="16"/>
      <c r="HUY38" s="16"/>
      <c r="HUZ38" s="16"/>
      <c r="HVA38" s="16"/>
      <c r="HVB38" s="16"/>
      <c r="HVC38" s="16"/>
      <c r="HVD38" s="16"/>
      <c r="HVE38" s="16"/>
      <c r="HVF38" s="16"/>
      <c r="HVG38" s="16"/>
      <c r="HVH38" s="16"/>
      <c r="HVI38" s="16"/>
      <c r="HVJ38" s="16"/>
      <c r="HVK38" s="16"/>
      <c r="HVL38" s="16"/>
      <c r="HVM38" s="16"/>
      <c r="HVN38" s="16"/>
      <c r="HVO38" s="16"/>
      <c r="HVP38" s="16"/>
      <c r="HVQ38" s="16"/>
      <c r="HVR38" s="16"/>
      <c r="HVS38" s="16"/>
      <c r="HVT38" s="16"/>
      <c r="HVU38" s="16"/>
      <c r="HVV38" s="16"/>
      <c r="HVW38" s="16"/>
      <c r="HVX38" s="16"/>
      <c r="HVY38" s="16"/>
      <c r="HVZ38" s="16"/>
      <c r="HWA38" s="16"/>
      <c r="HWB38" s="16"/>
      <c r="HWC38" s="16"/>
      <c r="HWD38" s="16"/>
      <c r="HWE38" s="16"/>
      <c r="HWF38" s="16"/>
      <c r="HWG38" s="16"/>
      <c r="HWH38" s="16"/>
      <c r="HWI38" s="16"/>
      <c r="HWJ38" s="16"/>
      <c r="HWK38" s="16"/>
      <c r="HWL38" s="16"/>
      <c r="HWM38" s="16"/>
      <c r="HWN38" s="16"/>
      <c r="HWO38" s="16"/>
      <c r="HWP38" s="16"/>
      <c r="HWQ38" s="16"/>
      <c r="HWR38" s="16"/>
      <c r="HWS38" s="16"/>
      <c r="HWT38" s="16"/>
      <c r="HWU38" s="16"/>
      <c r="HWV38" s="16"/>
      <c r="HWW38" s="16"/>
      <c r="HWX38" s="16"/>
      <c r="HWY38" s="16"/>
      <c r="HWZ38" s="16"/>
      <c r="HXA38" s="16"/>
      <c r="HXB38" s="16"/>
      <c r="HXC38" s="16"/>
      <c r="HXD38" s="16"/>
      <c r="HXE38" s="16"/>
      <c r="HXF38" s="16"/>
      <c r="HXG38" s="16"/>
      <c r="HXH38" s="16"/>
      <c r="HXI38" s="16"/>
      <c r="HXJ38" s="16"/>
      <c r="HXK38" s="16"/>
      <c r="HXL38" s="16"/>
      <c r="HXM38" s="16"/>
      <c r="HXN38" s="16"/>
      <c r="HXO38" s="16"/>
      <c r="HXP38" s="16"/>
      <c r="HXQ38" s="16"/>
      <c r="HXR38" s="16"/>
      <c r="HXS38" s="16"/>
      <c r="HXT38" s="16"/>
      <c r="HXU38" s="16"/>
      <c r="HXV38" s="16"/>
      <c r="HXW38" s="16"/>
      <c r="HXX38" s="16"/>
      <c r="HXY38" s="16"/>
      <c r="HXZ38" s="16"/>
      <c r="HYA38" s="16"/>
      <c r="HYB38" s="16"/>
      <c r="HYC38" s="16"/>
      <c r="HYD38" s="16"/>
      <c r="HYE38" s="16"/>
      <c r="HYF38" s="16"/>
      <c r="HYG38" s="16"/>
      <c r="HYH38" s="16"/>
      <c r="HYI38" s="16"/>
      <c r="HYJ38" s="16"/>
      <c r="HYK38" s="16"/>
      <c r="HYL38" s="16"/>
      <c r="HYM38" s="16"/>
      <c r="HYN38" s="16"/>
      <c r="HYO38" s="16"/>
      <c r="HYP38" s="16"/>
      <c r="HYQ38" s="16"/>
      <c r="HYR38" s="16"/>
      <c r="HYS38" s="16"/>
      <c r="HYT38" s="16"/>
      <c r="HYU38" s="16"/>
      <c r="HYV38" s="16"/>
      <c r="HYW38" s="16"/>
      <c r="HYX38" s="16"/>
      <c r="HYY38" s="16"/>
      <c r="HYZ38" s="16"/>
      <c r="HZA38" s="16"/>
      <c r="HZB38" s="16"/>
      <c r="HZC38" s="16"/>
      <c r="HZD38" s="16"/>
      <c r="HZE38" s="16"/>
      <c r="HZF38" s="16"/>
      <c r="HZG38" s="16"/>
      <c r="HZH38" s="16"/>
      <c r="HZI38" s="16"/>
      <c r="HZJ38" s="16"/>
      <c r="HZK38" s="16"/>
      <c r="HZL38" s="16"/>
      <c r="HZM38" s="16"/>
      <c r="HZN38" s="16"/>
      <c r="HZO38" s="16"/>
      <c r="HZP38" s="16"/>
      <c r="HZQ38" s="16"/>
      <c r="HZR38" s="16"/>
      <c r="HZS38" s="16"/>
      <c r="HZT38" s="16"/>
      <c r="HZU38" s="16"/>
      <c r="HZV38" s="16"/>
      <c r="HZW38" s="16"/>
      <c r="HZX38" s="16"/>
      <c r="HZY38" s="16"/>
      <c r="HZZ38" s="16"/>
      <c r="IAA38" s="16"/>
      <c r="IAB38" s="16"/>
      <c r="IAC38" s="16"/>
      <c r="IAD38" s="16"/>
      <c r="IAE38" s="16"/>
      <c r="IAF38" s="16"/>
      <c r="IAG38" s="16"/>
      <c r="IAH38" s="16"/>
      <c r="IAI38" s="16"/>
      <c r="IAJ38" s="16"/>
      <c r="IAK38" s="16"/>
      <c r="IAL38" s="16"/>
      <c r="IAM38" s="16"/>
      <c r="IAN38" s="16"/>
      <c r="IAO38" s="16"/>
      <c r="IAP38" s="16"/>
      <c r="IAQ38" s="16"/>
      <c r="IAR38" s="16"/>
      <c r="IAS38" s="16"/>
      <c r="IAT38" s="16"/>
      <c r="IAU38" s="16"/>
      <c r="IAV38" s="16"/>
      <c r="IAW38" s="16"/>
      <c r="IAX38" s="16"/>
      <c r="IAY38" s="16"/>
      <c r="IAZ38" s="16"/>
      <c r="IBA38" s="16"/>
      <c r="IBB38" s="16"/>
      <c r="IBC38" s="16"/>
      <c r="IBD38" s="16"/>
      <c r="IBE38" s="16"/>
      <c r="IBF38" s="16"/>
      <c r="IBG38" s="16"/>
      <c r="IBH38" s="16"/>
      <c r="IBI38" s="16"/>
      <c r="IBJ38" s="16"/>
      <c r="IBK38" s="16"/>
      <c r="IBL38" s="16"/>
      <c r="IBM38" s="16"/>
      <c r="IBN38" s="16"/>
      <c r="IBO38" s="16"/>
      <c r="IBP38" s="16"/>
      <c r="IBQ38" s="16"/>
      <c r="IBR38" s="16"/>
      <c r="IBS38" s="16"/>
      <c r="IBT38" s="16"/>
      <c r="IBU38" s="16"/>
      <c r="IBV38" s="16"/>
      <c r="IBW38" s="16"/>
      <c r="IBX38" s="16"/>
      <c r="IBY38" s="16"/>
      <c r="IBZ38" s="16"/>
      <c r="ICA38" s="16"/>
      <c r="ICB38" s="16"/>
      <c r="ICC38" s="16"/>
      <c r="ICD38" s="16"/>
      <c r="ICE38" s="16"/>
      <c r="ICF38" s="16"/>
      <c r="ICG38" s="16"/>
      <c r="ICH38" s="16"/>
      <c r="ICI38" s="16"/>
      <c r="ICJ38" s="16"/>
      <c r="ICK38" s="16"/>
      <c r="ICL38" s="16"/>
      <c r="ICM38" s="16"/>
      <c r="ICN38" s="16"/>
      <c r="ICO38" s="16"/>
      <c r="ICP38" s="16"/>
      <c r="ICQ38" s="16"/>
      <c r="ICR38" s="16"/>
      <c r="ICS38" s="16"/>
      <c r="ICT38" s="16"/>
      <c r="ICU38" s="16"/>
      <c r="ICV38" s="16"/>
      <c r="ICW38" s="16"/>
      <c r="ICX38" s="16"/>
      <c r="ICY38" s="16"/>
      <c r="ICZ38" s="16"/>
      <c r="IDA38" s="16"/>
      <c r="IDB38" s="16"/>
      <c r="IDC38" s="16"/>
      <c r="IDD38" s="16"/>
      <c r="IDE38" s="16"/>
      <c r="IDF38" s="16"/>
      <c r="IDG38" s="16"/>
      <c r="IDH38" s="16"/>
      <c r="IDI38" s="16"/>
      <c r="IDJ38" s="16"/>
      <c r="IDK38" s="16"/>
      <c r="IDL38" s="16"/>
      <c r="IDM38" s="16"/>
      <c r="IDN38" s="16"/>
      <c r="IDO38" s="16"/>
      <c r="IDP38" s="16"/>
      <c r="IDQ38" s="16"/>
      <c r="IDR38" s="16"/>
      <c r="IDS38" s="16"/>
      <c r="IDT38" s="16"/>
      <c r="IDU38" s="16"/>
      <c r="IDV38" s="16"/>
      <c r="IDW38" s="16"/>
      <c r="IDX38" s="16"/>
      <c r="IDY38" s="16"/>
      <c r="IDZ38" s="16"/>
      <c r="IEA38" s="16"/>
      <c r="IEB38" s="16"/>
      <c r="IEC38" s="16"/>
      <c r="IED38" s="16"/>
      <c r="IEE38" s="16"/>
      <c r="IEF38" s="16"/>
      <c r="IEG38" s="16"/>
      <c r="IEH38" s="16"/>
      <c r="IEI38" s="16"/>
      <c r="IEJ38" s="16"/>
      <c r="IEK38" s="16"/>
      <c r="IEL38" s="16"/>
      <c r="IEM38" s="16"/>
      <c r="IEN38" s="16"/>
      <c r="IEO38" s="16"/>
      <c r="IEP38" s="16"/>
      <c r="IEQ38" s="16"/>
      <c r="IER38" s="16"/>
      <c r="IES38" s="16"/>
      <c r="IET38" s="16"/>
      <c r="IEU38" s="16"/>
      <c r="IEV38" s="16"/>
      <c r="IEW38" s="16"/>
      <c r="IEX38" s="16"/>
      <c r="IEY38" s="16"/>
      <c r="IEZ38" s="16"/>
      <c r="IFA38" s="16"/>
      <c r="IFB38" s="16"/>
      <c r="IFC38" s="16"/>
      <c r="IFD38" s="16"/>
      <c r="IFE38" s="16"/>
      <c r="IFF38" s="16"/>
      <c r="IFG38" s="16"/>
      <c r="IFH38" s="16"/>
      <c r="IFI38" s="16"/>
      <c r="IFJ38" s="16"/>
      <c r="IFK38" s="16"/>
      <c r="IFL38" s="16"/>
      <c r="IFM38" s="16"/>
      <c r="IFN38" s="16"/>
      <c r="IFO38" s="16"/>
      <c r="IFP38" s="16"/>
      <c r="IFQ38" s="16"/>
      <c r="IFR38" s="16"/>
      <c r="IFS38" s="16"/>
      <c r="IFT38" s="16"/>
      <c r="IFU38" s="16"/>
      <c r="IFV38" s="16"/>
      <c r="IFW38" s="16"/>
      <c r="IFX38" s="16"/>
      <c r="IFY38" s="16"/>
      <c r="IFZ38" s="16"/>
      <c r="IGA38" s="16"/>
      <c r="IGB38" s="16"/>
      <c r="IGC38" s="16"/>
      <c r="IGD38" s="16"/>
      <c r="IGE38" s="16"/>
      <c r="IGF38" s="16"/>
      <c r="IGG38" s="16"/>
      <c r="IGH38" s="16"/>
      <c r="IGI38" s="16"/>
      <c r="IGJ38" s="16"/>
      <c r="IGK38" s="16"/>
      <c r="IGL38" s="16"/>
      <c r="IGM38" s="16"/>
      <c r="IGN38" s="16"/>
      <c r="IGO38" s="16"/>
      <c r="IGP38" s="16"/>
      <c r="IGQ38" s="16"/>
      <c r="IGR38" s="16"/>
      <c r="IGS38" s="16"/>
      <c r="IGT38" s="16"/>
      <c r="IGU38" s="16"/>
      <c r="IGV38" s="16"/>
      <c r="IGW38" s="16"/>
      <c r="IGX38" s="16"/>
      <c r="IGY38" s="16"/>
      <c r="IGZ38" s="16"/>
      <c r="IHA38" s="16"/>
      <c r="IHB38" s="16"/>
      <c r="IHC38" s="16"/>
      <c r="IHD38" s="16"/>
      <c r="IHE38" s="16"/>
      <c r="IHF38" s="16"/>
      <c r="IHG38" s="16"/>
      <c r="IHH38" s="16"/>
      <c r="IHI38" s="16"/>
      <c r="IHJ38" s="16"/>
      <c r="IHK38" s="16"/>
      <c r="IHL38" s="16"/>
      <c r="IHM38" s="16"/>
      <c r="IHN38" s="16"/>
      <c r="IHO38" s="16"/>
      <c r="IHP38" s="16"/>
      <c r="IHQ38" s="16"/>
      <c r="IHR38" s="16"/>
      <c r="IHS38" s="16"/>
      <c r="IHT38" s="16"/>
      <c r="IHU38" s="16"/>
      <c r="IHV38" s="16"/>
      <c r="IHW38" s="16"/>
      <c r="IHX38" s="16"/>
      <c r="IHY38" s="16"/>
      <c r="IHZ38" s="16"/>
      <c r="IIA38" s="16"/>
      <c r="IIB38" s="16"/>
      <c r="IIC38" s="16"/>
      <c r="IID38" s="16"/>
      <c r="IIE38" s="16"/>
      <c r="IIF38" s="16"/>
      <c r="IIG38" s="16"/>
      <c r="IIH38" s="16"/>
      <c r="III38" s="16"/>
      <c r="IIJ38" s="16"/>
      <c r="IIK38" s="16"/>
      <c r="IIL38" s="16"/>
      <c r="IIM38" s="16"/>
      <c r="IIN38" s="16"/>
      <c r="IIO38" s="16"/>
      <c r="IIP38" s="16"/>
      <c r="IIQ38" s="16"/>
      <c r="IIR38" s="16"/>
      <c r="IIS38" s="16"/>
      <c r="IIT38" s="16"/>
      <c r="IIU38" s="16"/>
      <c r="IIV38" s="16"/>
      <c r="IIW38" s="16"/>
      <c r="IIX38" s="16"/>
      <c r="IIY38" s="16"/>
      <c r="IIZ38" s="16"/>
      <c r="IJA38" s="16"/>
      <c r="IJB38" s="16"/>
      <c r="IJC38" s="16"/>
      <c r="IJD38" s="16"/>
      <c r="IJE38" s="16"/>
      <c r="IJF38" s="16"/>
      <c r="IJG38" s="16"/>
      <c r="IJH38" s="16"/>
      <c r="IJI38" s="16"/>
      <c r="IJJ38" s="16"/>
      <c r="IJK38" s="16"/>
      <c r="IJL38" s="16"/>
      <c r="IJM38" s="16"/>
      <c r="IJN38" s="16"/>
      <c r="IJO38" s="16"/>
      <c r="IJP38" s="16"/>
      <c r="IJQ38" s="16"/>
      <c r="IJR38" s="16"/>
      <c r="IJS38" s="16"/>
      <c r="IJT38" s="16"/>
      <c r="IJU38" s="16"/>
      <c r="IJV38" s="16"/>
      <c r="IJW38" s="16"/>
      <c r="IJX38" s="16"/>
      <c r="IJY38" s="16"/>
      <c r="IJZ38" s="16"/>
      <c r="IKA38" s="16"/>
      <c r="IKB38" s="16"/>
      <c r="IKC38" s="16"/>
      <c r="IKD38" s="16"/>
      <c r="IKE38" s="16"/>
      <c r="IKF38" s="16"/>
      <c r="IKG38" s="16"/>
      <c r="IKH38" s="16"/>
      <c r="IKI38" s="16"/>
      <c r="IKJ38" s="16"/>
      <c r="IKK38" s="16"/>
      <c r="IKL38" s="16"/>
      <c r="IKM38" s="16"/>
      <c r="IKN38" s="16"/>
      <c r="IKO38" s="16"/>
      <c r="IKP38" s="16"/>
      <c r="IKQ38" s="16"/>
      <c r="IKR38" s="16"/>
      <c r="IKS38" s="16"/>
      <c r="IKT38" s="16"/>
      <c r="IKU38" s="16"/>
      <c r="IKV38" s="16"/>
      <c r="IKW38" s="16"/>
      <c r="IKX38" s="16"/>
      <c r="IKY38" s="16"/>
      <c r="IKZ38" s="16"/>
      <c r="ILA38" s="16"/>
      <c r="ILB38" s="16"/>
      <c r="ILC38" s="16"/>
      <c r="ILD38" s="16"/>
      <c r="ILE38" s="16"/>
      <c r="ILF38" s="16"/>
      <c r="ILG38" s="16"/>
      <c r="ILH38" s="16"/>
      <c r="ILI38" s="16"/>
      <c r="ILJ38" s="16"/>
      <c r="ILK38" s="16"/>
      <c r="ILL38" s="16"/>
      <c r="ILM38" s="16"/>
      <c r="ILN38" s="16"/>
      <c r="ILO38" s="16"/>
      <c r="ILP38" s="16"/>
      <c r="ILQ38" s="16"/>
      <c r="ILR38" s="16"/>
      <c r="ILS38" s="16"/>
      <c r="ILT38" s="16"/>
      <c r="ILU38" s="16"/>
      <c r="ILV38" s="16"/>
      <c r="ILW38" s="16"/>
      <c r="ILX38" s="16"/>
      <c r="ILY38" s="16"/>
      <c r="ILZ38" s="16"/>
      <c r="IMA38" s="16"/>
      <c r="IMB38" s="16"/>
      <c r="IMC38" s="16"/>
      <c r="IMD38" s="16"/>
      <c r="IME38" s="16"/>
      <c r="IMF38" s="16"/>
      <c r="IMG38" s="16"/>
      <c r="IMH38" s="16"/>
      <c r="IMI38" s="16"/>
      <c r="IMJ38" s="16"/>
      <c r="IMK38" s="16"/>
      <c r="IML38" s="16"/>
      <c r="IMM38" s="16"/>
      <c r="IMN38" s="16"/>
      <c r="IMO38" s="16"/>
      <c r="IMP38" s="16"/>
      <c r="IMQ38" s="16"/>
      <c r="IMR38" s="16"/>
      <c r="IMS38" s="16"/>
      <c r="IMT38" s="16"/>
      <c r="IMU38" s="16"/>
      <c r="IMV38" s="16"/>
      <c r="IMW38" s="16"/>
      <c r="IMX38" s="16"/>
      <c r="IMY38" s="16"/>
      <c r="IMZ38" s="16"/>
      <c r="INA38" s="16"/>
      <c r="INB38" s="16"/>
      <c r="INC38" s="16"/>
      <c r="IND38" s="16"/>
      <c r="INE38" s="16"/>
      <c r="INF38" s="16"/>
      <c r="ING38" s="16"/>
      <c r="INH38" s="16"/>
      <c r="INI38" s="16"/>
      <c r="INJ38" s="16"/>
      <c r="INK38" s="16"/>
      <c r="INL38" s="16"/>
      <c r="INM38" s="16"/>
      <c r="INN38" s="16"/>
      <c r="INO38" s="16"/>
      <c r="INP38" s="16"/>
      <c r="INQ38" s="16"/>
      <c r="INR38" s="16"/>
      <c r="INS38" s="16"/>
      <c r="INT38" s="16"/>
      <c r="INU38" s="16"/>
      <c r="INV38" s="16"/>
      <c r="INW38" s="16"/>
      <c r="INX38" s="16"/>
      <c r="INY38" s="16"/>
      <c r="INZ38" s="16"/>
      <c r="IOA38" s="16"/>
      <c r="IOB38" s="16"/>
      <c r="IOC38" s="16"/>
      <c r="IOD38" s="16"/>
      <c r="IOE38" s="16"/>
      <c r="IOF38" s="16"/>
      <c r="IOG38" s="16"/>
      <c r="IOH38" s="16"/>
      <c r="IOI38" s="16"/>
      <c r="IOJ38" s="16"/>
      <c r="IOK38" s="16"/>
      <c r="IOL38" s="16"/>
      <c r="IOM38" s="16"/>
      <c r="ION38" s="16"/>
      <c r="IOO38" s="16"/>
      <c r="IOP38" s="16"/>
      <c r="IOQ38" s="16"/>
      <c r="IOR38" s="16"/>
      <c r="IOS38" s="16"/>
      <c r="IOT38" s="16"/>
      <c r="IOU38" s="16"/>
      <c r="IOV38" s="16"/>
      <c r="IOW38" s="16"/>
      <c r="IOX38" s="16"/>
      <c r="IOY38" s="16"/>
      <c r="IOZ38" s="16"/>
      <c r="IPA38" s="16"/>
      <c r="IPB38" s="16"/>
      <c r="IPC38" s="16"/>
      <c r="IPD38" s="16"/>
      <c r="IPE38" s="16"/>
      <c r="IPF38" s="16"/>
      <c r="IPG38" s="16"/>
      <c r="IPH38" s="16"/>
      <c r="IPI38" s="16"/>
      <c r="IPJ38" s="16"/>
      <c r="IPK38" s="16"/>
      <c r="IPL38" s="16"/>
      <c r="IPM38" s="16"/>
      <c r="IPN38" s="16"/>
      <c r="IPO38" s="16"/>
      <c r="IPP38" s="16"/>
      <c r="IPQ38" s="16"/>
      <c r="IPR38" s="16"/>
      <c r="IPS38" s="16"/>
      <c r="IPT38" s="16"/>
      <c r="IPU38" s="16"/>
      <c r="IPV38" s="16"/>
      <c r="IPW38" s="16"/>
      <c r="IPX38" s="16"/>
      <c r="IPY38" s="16"/>
      <c r="IPZ38" s="16"/>
      <c r="IQA38" s="16"/>
      <c r="IQB38" s="16"/>
      <c r="IQC38" s="16"/>
      <c r="IQD38" s="16"/>
      <c r="IQE38" s="16"/>
      <c r="IQF38" s="16"/>
      <c r="IQG38" s="16"/>
      <c r="IQH38" s="16"/>
      <c r="IQI38" s="16"/>
      <c r="IQJ38" s="16"/>
      <c r="IQK38" s="16"/>
      <c r="IQL38" s="16"/>
      <c r="IQM38" s="16"/>
      <c r="IQN38" s="16"/>
      <c r="IQO38" s="16"/>
      <c r="IQP38" s="16"/>
      <c r="IQQ38" s="16"/>
      <c r="IQR38" s="16"/>
      <c r="IQS38" s="16"/>
      <c r="IQT38" s="16"/>
      <c r="IQU38" s="16"/>
      <c r="IQV38" s="16"/>
      <c r="IQW38" s="16"/>
      <c r="IQX38" s="16"/>
      <c r="IQY38" s="16"/>
      <c r="IQZ38" s="16"/>
      <c r="IRA38" s="16"/>
      <c r="IRB38" s="16"/>
      <c r="IRC38" s="16"/>
      <c r="IRD38" s="16"/>
      <c r="IRE38" s="16"/>
      <c r="IRF38" s="16"/>
      <c r="IRG38" s="16"/>
      <c r="IRH38" s="16"/>
      <c r="IRI38" s="16"/>
      <c r="IRJ38" s="16"/>
      <c r="IRK38" s="16"/>
      <c r="IRL38" s="16"/>
      <c r="IRM38" s="16"/>
      <c r="IRN38" s="16"/>
      <c r="IRO38" s="16"/>
      <c r="IRP38" s="16"/>
      <c r="IRQ38" s="16"/>
      <c r="IRR38" s="16"/>
      <c r="IRS38" s="16"/>
      <c r="IRT38" s="16"/>
      <c r="IRU38" s="16"/>
      <c r="IRV38" s="16"/>
      <c r="IRW38" s="16"/>
      <c r="IRX38" s="16"/>
      <c r="IRY38" s="16"/>
      <c r="IRZ38" s="16"/>
      <c r="ISA38" s="16"/>
      <c r="ISB38" s="16"/>
      <c r="ISC38" s="16"/>
      <c r="ISD38" s="16"/>
      <c r="ISE38" s="16"/>
      <c r="ISF38" s="16"/>
      <c r="ISG38" s="16"/>
      <c r="ISH38" s="16"/>
      <c r="ISI38" s="16"/>
      <c r="ISJ38" s="16"/>
      <c r="ISK38" s="16"/>
      <c r="ISL38" s="16"/>
      <c r="ISM38" s="16"/>
      <c r="ISN38" s="16"/>
      <c r="ISO38" s="16"/>
      <c r="ISP38" s="16"/>
      <c r="ISQ38" s="16"/>
      <c r="ISR38" s="16"/>
      <c r="ISS38" s="16"/>
      <c r="IST38" s="16"/>
      <c r="ISU38" s="16"/>
      <c r="ISV38" s="16"/>
      <c r="ISW38" s="16"/>
      <c r="ISX38" s="16"/>
      <c r="ISY38" s="16"/>
      <c r="ISZ38" s="16"/>
      <c r="ITA38" s="16"/>
      <c r="ITB38" s="16"/>
      <c r="ITC38" s="16"/>
      <c r="ITD38" s="16"/>
      <c r="ITE38" s="16"/>
      <c r="ITF38" s="16"/>
      <c r="ITG38" s="16"/>
      <c r="ITH38" s="16"/>
      <c r="ITI38" s="16"/>
      <c r="ITJ38" s="16"/>
      <c r="ITK38" s="16"/>
      <c r="ITL38" s="16"/>
      <c r="ITM38" s="16"/>
      <c r="ITN38" s="16"/>
      <c r="ITO38" s="16"/>
      <c r="ITP38" s="16"/>
      <c r="ITQ38" s="16"/>
      <c r="ITR38" s="16"/>
      <c r="ITS38" s="16"/>
      <c r="ITT38" s="16"/>
      <c r="ITU38" s="16"/>
      <c r="ITV38" s="16"/>
      <c r="ITW38" s="16"/>
      <c r="ITX38" s="16"/>
      <c r="ITY38" s="16"/>
      <c r="ITZ38" s="16"/>
      <c r="IUA38" s="16"/>
      <c r="IUB38" s="16"/>
      <c r="IUC38" s="16"/>
      <c r="IUD38" s="16"/>
      <c r="IUE38" s="16"/>
      <c r="IUF38" s="16"/>
      <c r="IUG38" s="16"/>
      <c r="IUH38" s="16"/>
      <c r="IUI38" s="16"/>
      <c r="IUJ38" s="16"/>
      <c r="IUK38" s="16"/>
      <c r="IUL38" s="16"/>
      <c r="IUM38" s="16"/>
      <c r="IUN38" s="16"/>
      <c r="IUO38" s="16"/>
      <c r="IUP38" s="16"/>
      <c r="IUQ38" s="16"/>
      <c r="IUR38" s="16"/>
      <c r="IUS38" s="16"/>
      <c r="IUT38" s="16"/>
      <c r="IUU38" s="16"/>
      <c r="IUV38" s="16"/>
      <c r="IUW38" s="16"/>
      <c r="IUX38" s="16"/>
      <c r="IUY38" s="16"/>
      <c r="IUZ38" s="16"/>
      <c r="IVA38" s="16"/>
      <c r="IVB38" s="16"/>
      <c r="IVC38" s="16"/>
      <c r="IVD38" s="16"/>
      <c r="IVE38" s="16"/>
      <c r="IVF38" s="16"/>
      <c r="IVG38" s="16"/>
      <c r="IVH38" s="16"/>
      <c r="IVI38" s="16"/>
      <c r="IVJ38" s="16"/>
      <c r="IVK38" s="16"/>
      <c r="IVL38" s="16"/>
      <c r="IVM38" s="16"/>
      <c r="IVN38" s="16"/>
      <c r="IVO38" s="16"/>
      <c r="IVP38" s="16"/>
      <c r="IVQ38" s="16"/>
      <c r="IVR38" s="16"/>
      <c r="IVS38" s="16"/>
      <c r="IVT38" s="16"/>
      <c r="IVU38" s="16"/>
      <c r="IVV38" s="16"/>
      <c r="IVW38" s="16"/>
      <c r="IVX38" s="16"/>
      <c r="IVY38" s="16"/>
      <c r="IVZ38" s="16"/>
      <c r="IWA38" s="16"/>
      <c r="IWB38" s="16"/>
      <c r="IWC38" s="16"/>
      <c r="IWD38" s="16"/>
      <c r="IWE38" s="16"/>
      <c r="IWF38" s="16"/>
      <c r="IWG38" s="16"/>
      <c r="IWH38" s="16"/>
      <c r="IWI38" s="16"/>
      <c r="IWJ38" s="16"/>
      <c r="IWK38" s="16"/>
      <c r="IWL38" s="16"/>
      <c r="IWM38" s="16"/>
      <c r="IWN38" s="16"/>
      <c r="IWO38" s="16"/>
      <c r="IWP38" s="16"/>
      <c r="IWQ38" s="16"/>
      <c r="IWR38" s="16"/>
      <c r="IWS38" s="16"/>
      <c r="IWT38" s="16"/>
      <c r="IWU38" s="16"/>
      <c r="IWV38" s="16"/>
      <c r="IWW38" s="16"/>
      <c r="IWX38" s="16"/>
      <c r="IWY38" s="16"/>
      <c r="IWZ38" s="16"/>
      <c r="IXA38" s="16"/>
      <c r="IXB38" s="16"/>
      <c r="IXC38" s="16"/>
      <c r="IXD38" s="16"/>
      <c r="IXE38" s="16"/>
      <c r="IXF38" s="16"/>
      <c r="IXG38" s="16"/>
      <c r="IXH38" s="16"/>
      <c r="IXI38" s="16"/>
      <c r="IXJ38" s="16"/>
      <c r="IXK38" s="16"/>
      <c r="IXL38" s="16"/>
      <c r="IXM38" s="16"/>
      <c r="IXN38" s="16"/>
      <c r="IXO38" s="16"/>
      <c r="IXP38" s="16"/>
      <c r="IXQ38" s="16"/>
      <c r="IXR38" s="16"/>
      <c r="IXS38" s="16"/>
      <c r="IXT38" s="16"/>
      <c r="IXU38" s="16"/>
      <c r="IXV38" s="16"/>
      <c r="IXW38" s="16"/>
      <c r="IXX38" s="16"/>
      <c r="IXY38" s="16"/>
      <c r="IXZ38" s="16"/>
      <c r="IYA38" s="16"/>
      <c r="IYB38" s="16"/>
      <c r="IYC38" s="16"/>
      <c r="IYD38" s="16"/>
      <c r="IYE38" s="16"/>
      <c r="IYF38" s="16"/>
      <c r="IYG38" s="16"/>
      <c r="IYH38" s="16"/>
      <c r="IYI38" s="16"/>
      <c r="IYJ38" s="16"/>
      <c r="IYK38" s="16"/>
      <c r="IYL38" s="16"/>
      <c r="IYM38" s="16"/>
      <c r="IYN38" s="16"/>
      <c r="IYO38" s="16"/>
      <c r="IYP38" s="16"/>
      <c r="IYQ38" s="16"/>
      <c r="IYR38" s="16"/>
      <c r="IYS38" s="16"/>
      <c r="IYT38" s="16"/>
      <c r="IYU38" s="16"/>
      <c r="IYV38" s="16"/>
      <c r="IYW38" s="16"/>
      <c r="IYX38" s="16"/>
      <c r="IYY38" s="16"/>
      <c r="IYZ38" s="16"/>
      <c r="IZA38" s="16"/>
      <c r="IZB38" s="16"/>
      <c r="IZC38" s="16"/>
      <c r="IZD38" s="16"/>
      <c r="IZE38" s="16"/>
      <c r="IZF38" s="16"/>
      <c r="IZG38" s="16"/>
      <c r="IZH38" s="16"/>
      <c r="IZI38" s="16"/>
      <c r="IZJ38" s="16"/>
      <c r="IZK38" s="16"/>
      <c r="IZL38" s="16"/>
      <c r="IZM38" s="16"/>
      <c r="IZN38" s="16"/>
      <c r="IZO38" s="16"/>
      <c r="IZP38" s="16"/>
      <c r="IZQ38" s="16"/>
      <c r="IZR38" s="16"/>
      <c r="IZS38" s="16"/>
      <c r="IZT38" s="16"/>
      <c r="IZU38" s="16"/>
      <c r="IZV38" s="16"/>
      <c r="IZW38" s="16"/>
      <c r="IZX38" s="16"/>
      <c r="IZY38" s="16"/>
      <c r="IZZ38" s="16"/>
      <c r="JAA38" s="16"/>
      <c r="JAB38" s="16"/>
      <c r="JAC38" s="16"/>
      <c r="JAD38" s="16"/>
      <c r="JAE38" s="16"/>
      <c r="JAF38" s="16"/>
      <c r="JAG38" s="16"/>
      <c r="JAH38" s="16"/>
      <c r="JAI38" s="16"/>
      <c r="JAJ38" s="16"/>
      <c r="JAK38" s="16"/>
      <c r="JAL38" s="16"/>
      <c r="JAM38" s="16"/>
      <c r="JAN38" s="16"/>
      <c r="JAO38" s="16"/>
      <c r="JAP38" s="16"/>
      <c r="JAQ38" s="16"/>
      <c r="JAR38" s="16"/>
      <c r="JAS38" s="16"/>
      <c r="JAT38" s="16"/>
      <c r="JAU38" s="16"/>
      <c r="JAV38" s="16"/>
      <c r="JAW38" s="16"/>
      <c r="JAX38" s="16"/>
      <c r="JAY38" s="16"/>
      <c r="JAZ38" s="16"/>
      <c r="JBA38" s="16"/>
      <c r="JBB38" s="16"/>
      <c r="JBC38" s="16"/>
      <c r="JBD38" s="16"/>
      <c r="JBE38" s="16"/>
      <c r="JBF38" s="16"/>
      <c r="JBG38" s="16"/>
      <c r="JBH38" s="16"/>
      <c r="JBI38" s="16"/>
      <c r="JBJ38" s="16"/>
      <c r="JBK38" s="16"/>
      <c r="JBL38" s="16"/>
      <c r="JBM38" s="16"/>
      <c r="JBN38" s="16"/>
      <c r="JBO38" s="16"/>
      <c r="JBP38" s="16"/>
      <c r="JBQ38" s="16"/>
      <c r="JBR38" s="16"/>
      <c r="JBS38" s="16"/>
      <c r="JBT38" s="16"/>
      <c r="JBU38" s="16"/>
      <c r="JBV38" s="16"/>
      <c r="JBW38" s="16"/>
      <c r="JBX38" s="16"/>
      <c r="JBY38" s="16"/>
      <c r="JBZ38" s="16"/>
      <c r="JCA38" s="16"/>
      <c r="JCB38" s="16"/>
      <c r="JCC38" s="16"/>
      <c r="JCD38" s="16"/>
      <c r="JCE38" s="16"/>
      <c r="JCF38" s="16"/>
      <c r="JCG38" s="16"/>
      <c r="JCH38" s="16"/>
      <c r="JCI38" s="16"/>
      <c r="JCJ38" s="16"/>
      <c r="JCK38" s="16"/>
      <c r="JCL38" s="16"/>
      <c r="JCM38" s="16"/>
      <c r="JCN38" s="16"/>
      <c r="JCO38" s="16"/>
      <c r="JCP38" s="16"/>
      <c r="JCQ38" s="16"/>
      <c r="JCR38" s="16"/>
      <c r="JCS38" s="16"/>
      <c r="JCT38" s="16"/>
      <c r="JCU38" s="16"/>
      <c r="JCV38" s="16"/>
      <c r="JCW38" s="16"/>
      <c r="JCX38" s="16"/>
      <c r="JCY38" s="16"/>
      <c r="JCZ38" s="16"/>
      <c r="JDA38" s="16"/>
      <c r="JDB38" s="16"/>
      <c r="JDC38" s="16"/>
      <c r="JDD38" s="16"/>
      <c r="JDE38" s="16"/>
      <c r="JDF38" s="16"/>
      <c r="JDG38" s="16"/>
      <c r="JDH38" s="16"/>
      <c r="JDI38" s="16"/>
      <c r="JDJ38" s="16"/>
      <c r="JDK38" s="16"/>
      <c r="JDL38" s="16"/>
      <c r="JDM38" s="16"/>
      <c r="JDN38" s="16"/>
      <c r="JDO38" s="16"/>
      <c r="JDP38" s="16"/>
      <c r="JDQ38" s="16"/>
      <c r="JDR38" s="16"/>
      <c r="JDS38" s="16"/>
      <c r="JDT38" s="16"/>
      <c r="JDU38" s="16"/>
      <c r="JDV38" s="16"/>
      <c r="JDW38" s="16"/>
      <c r="JDX38" s="16"/>
      <c r="JDY38" s="16"/>
      <c r="JDZ38" s="16"/>
      <c r="JEA38" s="16"/>
      <c r="JEB38" s="16"/>
      <c r="JEC38" s="16"/>
      <c r="JED38" s="16"/>
      <c r="JEE38" s="16"/>
      <c r="JEF38" s="16"/>
      <c r="JEG38" s="16"/>
      <c r="JEH38" s="16"/>
      <c r="JEI38" s="16"/>
      <c r="JEJ38" s="16"/>
      <c r="JEK38" s="16"/>
      <c r="JEL38" s="16"/>
      <c r="JEM38" s="16"/>
      <c r="JEN38" s="16"/>
      <c r="JEO38" s="16"/>
      <c r="JEP38" s="16"/>
      <c r="JEQ38" s="16"/>
      <c r="JER38" s="16"/>
      <c r="JES38" s="16"/>
      <c r="JET38" s="16"/>
      <c r="JEU38" s="16"/>
      <c r="JEV38" s="16"/>
      <c r="JEW38" s="16"/>
      <c r="JEX38" s="16"/>
      <c r="JEY38" s="16"/>
      <c r="JEZ38" s="16"/>
      <c r="JFA38" s="16"/>
      <c r="JFB38" s="16"/>
      <c r="JFC38" s="16"/>
      <c r="JFD38" s="16"/>
      <c r="JFE38" s="16"/>
      <c r="JFF38" s="16"/>
      <c r="JFG38" s="16"/>
      <c r="JFH38" s="16"/>
      <c r="JFI38" s="16"/>
      <c r="JFJ38" s="16"/>
      <c r="JFK38" s="16"/>
      <c r="JFL38" s="16"/>
      <c r="JFM38" s="16"/>
      <c r="JFN38" s="16"/>
      <c r="JFO38" s="16"/>
      <c r="JFP38" s="16"/>
      <c r="JFQ38" s="16"/>
      <c r="JFR38" s="16"/>
      <c r="JFS38" s="16"/>
      <c r="JFT38" s="16"/>
      <c r="JFU38" s="16"/>
      <c r="JFV38" s="16"/>
      <c r="JFW38" s="16"/>
      <c r="JFX38" s="16"/>
      <c r="JFY38" s="16"/>
      <c r="JFZ38" s="16"/>
      <c r="JGA38" s="16"/>
      <c r="JGB38" s="16"/>
      <c r="JGC38" s="16"/>
      <c r="JGD38" s="16"/>
      <c r="JGE38" s="16"/>
      <c r="JGF38" s="16"/>
      <c r="JGG38" s="16"/>
      <c r="JGH38" s="16"/>
      <c r="JGI38" s="16"/>
      <c r="JGJ38" s="16"/>
      <c r="JGK38" s="16"/>
      <c r="JGL38" s="16"/>
      <c r="JGM38" s="16"/>
      <c r="JGN38" s="16"/>
      <c r="JGO38" s="16"/>
      <c r="JGP38" s="16"/>
      <c r="JGQ38" s="16"/>
      <c r="JGR38" s="16"/>
      <c r="JGS38" s="16"/>
      <c r="JGT38" s="16"/>
      <c r="JGU38" s="16"/>
      <c r="JGV38" s="16"/>
      <c r="JGW38" s="16"/>
      <c r="JGX38" s="16"/>
      <c r="JGY38" s="16"/>
      <c r="JGZ38" s="16"/>
      <c r="JHA38" s="16"/>
      <c r="JHB38" s="16"/>
      <c r="JHC38" s="16"/>
      <c r="JHD38" s="16"/>
      <c r="JHE38" s="16"/>
      <c r="JHF38" s="16"/>
      <c r="JHG38" s="16"/>
      <c r="JHH38" s="16"/>
      <c r="JHI38" s="16"/>
      <c r="JHJ38" s="16"/>
      <c r="JHK38" s="16"/>
      <c r="JHL38" s="16"/>
      <c r="JHM38" s="16"/>
      <c r="JHN38" s="16"/>
      <c r="JHO38" s="16"/>
      <c r="JHP38" s="16"/>
      <c r="JHQ38" s="16"/>
      <c r="JHR38" s="16"/>
      <c r="JHS38" s="16"/>
      <c r="JHT38" s="16"/>
      <c r="JHU38" s="16"/>
      <c r="JHV38" s="16"/>
      <c r="JHW38" s="16"/>
      <c r="JHX38" s="16"/>
      <c r="JHY38" s="16"/>
      <c r="JHZ38" s="16"/>
      <c r="JIA38" s="16"/>
      <c r="JIB38" s="16"/>
      <c r="JIC38" s="16"/>
      <c r="JID38" s="16"/>
      <c r="JIE38" s="16"/>
      <c r="JIF38" s="16"/>
      <c r="JIG38" s="16"/>
      <c r="JIH38" s="16"/>
      <c r="JII38" s="16"/>
      <c r="JIJ38" s="16"/>
      <c r="JIK38" s="16"/>
      <c r="JIL38" s="16"/>
      <c r="JIM38" s="16"/>
      <c r="JIN38" s="16"/>
      <c r="JIO38" s="16"/>
      <c r="JIP38" s="16"/>
      <c r="JIQ38" s="16"/>
      <c r="JIR38" s="16"/>
      <c r="JIS38" s="16"/>
      <c r="JIT38" s="16"/>
      <c r="JIU38" s="16"/>
      <c r="JIV38" s="16"/>
      <c r="JIW38" s="16"/>
      <c r="JIX38" s="16"/>
      <c r="JIY38" s="16"/>
      <c r="JIZ38" s="16"/>
      <c r="JJA38" s="16"/>
      <c r="JJB38" s="16"/>
      <c r="JJC38" s="16"/>
      <c r="JJD38" s="16"/>
      <c r="JJE38" s="16"/>
      <c r="JJF38" s="16"/>
      <c r="JJG38" s="16"/>
      <c r="JJH38" s="16"/>
      <c r="JJI38" s="16"/>
      <c r="JJJ38" s="16"/>
      <c r="JJK38" s="16"/>
      <c r="JJL38" s="16"/>
      <c r="JJM38" s="16"/>
      <c r="JJN38" s="16"/>
      <c r="JJO38" s="16"/>
      <c r="JJP38" s="16"/>
      <c r="JJQ38" s="16"/>
      <c r="JJR38" s="16"/>
      <c r="JJS38" s="16"/>
      <c r="JJT38" s="16"/>
      <c r="JJU38" s="16"/>
      <c r="JJV38" s="16"/>
      <c r="JJW38" s="16"/>
      <c r="JJX38" s="16"/>
      <c r="JJY38" s="16"/>
      <c r="JJZ38" s="16"/>
      <c r="JKA38" s="16"/>
      <c r="JKB38" s="16"/>
      <c r="JKC38" s="16"/>
      <c r="JKD38" s="16"/>
      <c r="JKE38" s="16"/>
      <c r="JKF38" s="16"/>
      <c r="JKG38" s="16"/>
      <c r="JKH38" s="16"/>
      <c r="JKI38" s="16"/>
      <c r="JKJ38" s="16"/>
      <c r="JKK38" s="16"/>
      <c r="JKL38" s="16"/>
      <c r="JKM38" s="16"/>
      <c r="JKN38" s="16"/>
      <c r="JKO38" s="16"/>
      <c r="JKP38" s="16"/>
      <c r="JKQ38" s="16"/>
      <c r="JKR38" s="16"/>
      <c r="JKS38" s="16"/>
      <c r="JKT38" s="16"/>
      <c r="JKU38" s="16"/>
      <c r="JKV38" s="16"/>
      <c r="JKW38" s="16"/>
      <c r="JKX38" s="16"/>
      <c r="JKY38" s="16"/>
      <c r="JKZ38" s="16"/>
      <c r="JLA38" s="16"/>
      <c r="JLB38" s="16"/>
      <c r="JLC38" s="16"/>
      <c r="JLD38" s="16"/>
      <c r="JLE38" s="16"/>
      <c r="JLF38" s="16"/>
      <c r="JLG38" s="16"/>
      <c r="JLH38" s="16"/>
      <c r="JLI38" s="16"/>
      <c r="JLJ38" s="16"/>
      <c r="JLK38" s="16"/>
      <c r="JLL38" s="16"/>
      <c r="JLM38" s="16"/>
      <c r="JLN38" s="16"/>
      <c r="JLO38" s="16"/>
      <c r="JLP38" s="16"/>
      <c r="JLQ38" s="16"/>
      <c r="JLR38" s="16"/>
      <c r="JLS38" s="16"/>
      <c r="JLT38" s="16"/>
      <c r="JLU38" s="16"/>
      <c r="JLV38" s="16"/>
      <c r="JLW38" s="16"/>
      <c r="JLX38" s="16"/>
      <c r="JLY38" s="16"/>
      <c r="JLZ38" s="16"/>
      <c r="JMA38" s="16"/>
      <c r="JMB38" s="16"/>
      <c r="JMC38" s="16"/>
      <c r="JMD38" s="16"/>
      <c r="JME38" s="16"/>
      <c r="JMF38" s="16"/>
      <c r="JMG38" s="16"/>
      <c r="JMH38" s="16"/>
      <c r="JMI38" s="16"/>
      <c r="JMJ38" s="16"/>
      <c r="JMK38" s="16"/>
      <c r="JML38" s="16"/>
      <c r="JMM38" s="16"/>
      <c r="JMN38" s="16"/>
      <c r="JMO38" s="16"/>
      <c r="JMP38" s="16"/>
      <c r="JMQ38" s="16"/>
      <c r="JMR38" s="16"/>
      <c r="JMS38" s="16"/>
      <c r="JMT38" s="16"/>
      <c r="JMU38" s="16"/>
      <c r="JMV38" s="16"/>
      <c r="JMW38" s="16"/>
      <c r="JMX38" s="16"/>
      <c r="JMY38" s="16"/>
      <c r="JMZ38" s="16"/>
      <c r="JNA38" s="16"/>
      <c r="JNB38" s="16"/>
      <c r="JNC38" s="16"/>
      <c r="JND38" s="16"/>
      <c r="JNE38" s="16"/>
      <c r="JNF38" s="16"/>
      <c r="JNG38" s="16"/>
      <c r="JNH38" s="16"/>
      <c r="JNI38" s="16"/>
      <c r="JNJ38" s="16"/>
      <c r="JNK38" s="16"/>
      <c r="JNL38" s="16"/>
      <c r="JNM38" s="16"/>
      <c r="JNN38" s="16"/>
      <c r="JNO38" s="16"/>
      <c r="JNP38" s="16"/>
      <c r="JNQ38" s="16"/>
      <c r="JNR38" s="16"/>
      <c r="JNS38" s="16"/>
      <c r="JNT38" s="16"/>
      <c r="JNU38" s="16"/>
      <c r="JNV38" s="16"/>
      <c r="JNW38" s="16"/>
      <c r="JNX38" s="16"/>
      <c r="JNY38" s="16"/>
      <c r="JNZ38" s="16"/>
      <c r="JOA38" s="16"/>
      <c r="JOB38" s="16"/>
      <c r="JOC38" s="16"/>
      <c r="JOD38" s="16"/>
      <c r="JOE38" s="16"/>
      <c r="JOF38" s="16"/>
      <c r="JOG38" s="16"/>
      <c r="JOH38" s="16"/>
      <c r="JOI38" s="16"/>
      <c r="JOJ38" s="16"/>
      <c r="JOK38" s="16"/>
      <c r="JOL38" s="16"/>
      <c r="JOM38" s="16"/>
      <c r="JON38" s="16"/>
      <c r="JOO38" s="16"/>
      <c r="JOP38" s="16"/>
      <c r="JOQ38" s="16"/>
      <c r="JOR38" s="16"/>
      <c r="JOS38" s="16"/>
      <c r="JOT38" s="16"/>
      <c r="JOU38" s="16"/>
      <c r="JOV38" s="16"/>
      <c r="JOW38" s="16"/>
      <c r="JOX38" s="16"/>
      <c r="JOY38" s="16"/>
      <c r="JOZ38" s="16"/>
      <c r="JPA38" s="16"/>
      <c r="JPB38" s="16"/>
      <c r="JPC38" s="16"/>
      <c r="JPD38" s="16"/>
      <c r="JPE38" s="16"/>
      <c r="JPF38" s="16"/>
      <c r="JPG38" s="16"/>
      <c r="JPH38" s="16"/>
      <c r="JPI38" s="16"/>
      <c r="JPJ38" s="16"/>
      <c r="JPK38" s="16"/>
      <c r="JPL38" s="16"/>
      <c r="JPM38" s="16"/>
      <c r="JPN38" s="16"/>
      <c r="JPO38" s="16"/>
      <c r="JPP38" s="16"/>
      <c r="JPQ38" s="16"/>
      <c r="JPR38" s="16"/>
      <c r="JPS38" s="16"/>
      <c r="JPT38" s="16"/>
      <c r="JPU38" s="16"/>
      <c r="JPV38" s="16"/>
      <c r="JPW38" s="16"/>
      <c r="JPX38" s="16"/>
      <c r="JPY38" s="16"/>
      <c r="JPZ38" s="16"/>
      <c r="JQA38" s="16"/>
      <c r="JQB38" s="16"/>
      <c r="JQC38" s="16"/>
      <c r="JQD38" s="16"/>
      <c r="JQE38" s="16"/>
      <c r="JQF38" s="16"/>
      <c r="JQG38" s="16"/>
      <c r="JQH38" s="16"/>
      <c r="JQI38" s="16"/>
      <c r="JQJ38" s="16"/>
      <c r="JQK38" s="16"/>
      <c r="JQL38" s="16"/>
      <c r="JQM38" s="16"/>
      <c r="JQN38" s="16"/>
      <c r="JQO38" s="16"/>
      <c r="JQP38" s="16"/>
      <c r="JQQ38" s="16"/>
      <c r="JQR38" s="16"/>
      <c r="JQS38" s="16"/>
      <c r="JQT38" s="16"/>
      <c r="JQU38" s="16"/>
      <c r="JQV38" s="16"/>
      <c r="JQW38" s="16"/>
      <c r="JQX38" s="16"/>
      <c r="JQY38" s="16"/>
      <c r="JQZ38" s="16"/>
      <c r="JRA38" s="16"/>
      <c r="JRB38" s="16"/>
      <c r="JRC38" s="16"/>
      <c r="JRD38" s="16"/>
      <c r="JRE38" s="16"/>
      <c r="JRF38" s="16"/>
      <c r="JRG38" s="16"/>
      <c r="JRH38" s="16"/>
      <c r="JRI38" s="16"/>
      <c r="JRJ38" s="16"/>
      <c r="JRK38" s="16"/>
      <c r="JRL38" s="16"/>
      <c r="JRM38" s="16"/>
      <c r="JRN38" s="16"/>
      <c r="JRO38" s="16"/>
      <c r="JRP38" s="16"/>
      <c r="JRQ38" s="16"/>
      <c r="JRR38" s="16"/>
      <c r="JRS38" s="16"/>
      <c r="JRT38" s="16"/>
      <c r="JRU38" s="16"/>
      <c r="JRV38" s="16"/>
      <c r="JRW38" s="16"/>
      <c r="JRX38" s="16"/>
      <c r="JRY38" s="16"/>
      <c r="JRZ38" s="16"/>
      <c r="JSA38" s="16"/>
      <c r="JSB38" s="16"/>
      <c r="JSC38" s="16"/>
      <c r="JSD38" s="16"/>
      <c r="JSE38" s="16"/>
      <c r="JSF38" s="16"/>
      <c r="JSG38" s="16"/>
      <c r="JSH38" s="16"/>
      <c r="JSI38" s="16"/>
      <c r="JSJ38" s="16"/>
      <c r="JSK38" s="16"/>
      <c r="JSL38" s="16"/>
      <c r="JSM38" s="16"/>
      <c r="JSN38" s="16"/>
      <c r="JSO38" s="16"/>
      <c r="JSP38" s="16"/>
      <c r="JSQ38" s="16"/>
      <c r="JSR38" s="16"/>
      <c r="JSS38" s="16"/>
      <c r="JST38" s="16"/>
      <c r="JSU38" s="16"/>
      <c r="JSV38" s="16"/>
      <c r="JSW38" s="16"/>
      <c r="JSX38" s="16"/>
      <c r="JSY38" s="16"/>
      <c r="JSZ38" s="16"/>
      <c r="JTA38" s="16"/>
      <c r="JTB38" s="16"/>
      <c r="JTC38" s="16"/>
      <c r="JTD38" s="16"/>
      <c r="JTE38" s="16"/>
      <c r="JTF38" s="16"/>
      <c r="JTG38" s="16"/>
      <c r="JTH38" s="16"/>
      <c r="JTI38" s="16"/>
      <c r="JTJ38" s="16"/>
      <c r="JTK38" s="16"/>
      <c r="JTL38" s="16"/>
      <c r="JTM38" s="16"/>
      <c r="JTN38" s="16"/>
      <c r="JTO38" s="16"/>
      <c r="JTP38" s="16"/>
      <c r="JTQ38" s="16"/>
      <c r="JTR38" s="16"/>
      <c r="JTS38" s="16"/>
      <c r="JTT38" s="16"/>
      <c r="JTU38" s="16"/>
      <c r="JTV38" s="16"/>
      <c r="JTW38" s="16"/>
      <c r="JTX38" s="16"/>
      <c r="JTY38" s="16"/>
      <c r="JTZ38" s="16"/>
      <c r="JUA38" s="16"/>
      <c r="JUB38" s="16"/>
      <c r="JUC38" s="16"/>
      <c r="JUD38" s="16"/>
      <c r="JUE38" s="16"/>
      <c r="JUF38" s="16"/>
      <c r="JUG38" s="16"/>
      <c r="JUH38" s="16"/>
      <c r="JUI38" s="16"/>
      <c r="JUJ38" s="16"/>
      <c r="JUK38" s="16"/>
      <c r="JUL38" s="16"/>
      <c r="JUM38" s="16"/>
      <c r="JUN38" s="16"/>
      <c r="JUO38" s="16"/>
      <c r="JUP38" s="16"/>
      <c r="JUQ38" s="16"/>
      <c r="JUR38" s="16"/>
      <c r="JUS38" s="16"/>
      <c r="JUT38" s="16"/>
      <c r="JUU38" s="16"/>
      <c r="JUV38" s="16"/>
      <c r="JUW38" s="16"/>
      <c r="JUX38" s="16"/>
      <c r="JUY38" s="16"/>
      <c r="JUZ38" s="16"/>
      <c r="JVA38" s="16"/>
      <c r="JVB38" s="16"/>
      <c r="JVC38" s="16"/>
      <c r="JVD38" s="16"/>
      <c r="JVE38" s="16"/>
      <c r="JVF38" s="16"/>
      <c r="JVG38" s="16"/>
      <c r="JVH38" s="16"/>
      <c r="JVI38" s="16"/>
      <c r="JVJ38" s="16"/>
      <c r="JVK38" s="16"/>
      <c r="JVL38" s="16"/>
      <c r="JVM38" s="16"/>
      <c r="JVN38" s="16"/>
      <c r="JVO38" s="16"/>
      <c r="JVP38" s="16"/>
      <c r="JVQ38" s="16"/>
      <c r="JVR38" s="16"/>
      <c r="JVS38" s="16"/>
      <c r="JVT38" s="16"/>
      <c r="JVU38" s="16"/>
      <c r="JVV38" s="16"/>
      <c r="JVW38" s="16"/>
      <c r="JVX38" s="16"/>
      <c r="JVY38" s="16"/>
      <c r="JVZ38" s="16"/>
      <c r="JWA38" s="16"/>
      <c r="JWB38" s="16"/>
      <c r="JWC38" s="16"/>
      <c r="JWD38" s="16"/>
      <c r="JWE38" s="16"/>
      <c r="JWF38" s="16"/>
      <c r="JWG38" s="16"/>
      <c r="JWH38" s="16"/>
      <c r="JWI38" s="16"/>
      <c r="JWJ38" s="16"/>
      <c r="JWK38" s="16"/>
      <c r="JWL38" s="16"/>
      <c r="JWM38" s="16"/>
      <c r="JWN38" s="16"/>
      <c r="JWO38" s="16"/>
      <c r="JWP38" s="16"/>
      <c r="JWQ38" s="16"/>
      <c r="JWR38" s="16"/>
      <c r="JWS38" s="16"/>
      <c r="JWT38" s="16"/>
      <c r="JWU38" s="16"/>
      <c r="JWV38" s="16"/>
      <c r="JWW38" s="16"/>
      <c r="JWX38" s="16"/>
      <c r="JWY38" s="16"/>
      <c r="JWZ38" s="16"/>
      <c r="JXA38" s="16"/>
      <c r="JXB38" s="16"/>
      <c r="JXC38" s="16"/>
      <c r="JXD38" s="16"/>
      <c r="JXE38" s="16"/>
      <c r="JXF38" s="16"/>
      <c r="JXG38" s="16"/>
      <c r="JXH38" s="16"/>
      <c r="JXI38" s="16"/>
      <c r="JXJ38" s="16"/>
      <c r="JXK38" s="16"/>
      <c r="JXL38" s="16"/>
      <c r="JXM38" s="16"/>
      <c r="JXN38" s="16"/>
      <c r="JXO38" s="16"/>
      <c r="JXP38" s="16"/>
      <c r="JXQ38" s="16"/>
      <c r="JXR38" s="16"/>
      <c r="JXS38" s="16"/>
      <c r="JXT38" s="16"/>
      <c r="JXU38" s="16"/>
      <c r="JXV38" s="16"/>
      <c r="JXW38" s="16"/>
      <c r="JXX38" s="16"/>
      <c r="JXY38" s="16"/>
      <c r="JXZ38" s="16"/>
      <c r="JYA38" s="16"/>
      <c r="JYB38" s="16"/>
      <c r="JYC38" s="16"/>
      <c r="JYD38" s="16"/>
      <c r="JYE38" s="16"/>
      <c r="JYF38" s="16"/>
      <c r="JYG38" s="16"/>
      <c r="JYH38" s="16"/>
      <c r="JYI38" s="16"/>
      <c r="JYJ38" s="16"/>
      <c r="JYK38" s="16"/>
      <c r="JYL38" s="16"/>
      <c r="JYM38" s="16"/>
      <c r="JYN38" s="16"/>
      <c r="JYO38" s="16"/>
      <c r="JYP38" s="16"/>
      <c r="JYQ38" s="16"/>
      <c r="JYR38" s="16"/>
      <c r="JYS38" s="16"/>
      <c r="JYT38" s="16"/>
      <c r="JYU38" s="16"/>
      <c r="JYV38" s="16"/>
      <c r="JYW38" s="16"/>
      <c r="JYX38" s="16"/>
      <c r="JYY38" s="16"/>
      <c r="JYZ38" s="16"/>
      <c r="JZA38" s="16"/>
      <c r="JZB38" s="16"/>
      <c r="JZC38" s="16"/>
      <c r="JZD38" s="16"/>
      <c r="JZE38" s="16"/>
      <c r="JZF38" s="16"/>
      <c r="JZG38" s="16"/>
      <c r="JZH38" s="16"/>
      <c r="JZI38" s="16"/>
      <c r="JZJ38" s="16"/>
      <c r="JZK38" s="16"/>
      <c r="JZL38" s="16"/>
      <c r="JZM38" s="16"/>
      <c r="JZN38" s="16"/>
      <c r="JZO38" s="16"/>
      <c r="JZP38" s="16"/>
      <c r="JZQ38" s="16"/>
      <c r="JZR38" s="16"/>
      <c r="JZS38" s="16"/>
      <c r="JZT38" s="16"/>
      <c r="JZU38" s="16"/>
      <c r="JZV38" s="16"/>
      <c r="JZW38" s="16"/>
      <c r="JZX38" s="16"/>
      <c r="JZY38" s="16"/>
      <c r="JZZ38" s="16"/>
      <c r="KAA38" s="16"/>
      <c r="KAB38" s="16"/>
      <c r="KAC38" s="16"/>
      <c r="KAD38" s="16"/>
      <c r="KAE38" s="16"/>
      <c r="KAF38" s="16"/>
      <c r="KAG38" s="16"/>
      <c r="KAH38" s="16"/>
      <c r="KAI38" s="16"/>
      <c r="KAJ38" s="16"/>
      <c r="KAK38" s="16"/>
      <c r="KAL38" s="16"/>
      <c r="KAM38" s="16"/>
      <c r="KAN38" s="16"/>
      <c r="KAO38" s="16"/>
      <c r="KAP38" s="16"/>
      <c r="KAQ38" s="16"/>
      <c r="KAR38" s="16"/>
      <c r="KAS38" s="16"/>
      <c r="KAT38" s="16"/>
      <c r="KAU38" s="16"/>
      <c r="KAV38" s="16"/>
      <c r="KAW38" s="16"/>
      <c r="KAX38" s="16"/>
      <c r="KAY38" s="16"/>
      <c r="KAZ38" s="16"/>
      <c r="KBA38" s="16"/>
      <c r="KBB38" s="16"/>
      <c r="KBC38" s="16"/>
      <c r="KBD38" s="16"/>
      <c r="KBE38" s="16"/>
      <c r="KBF38" s="16"/>
      <c r="KBG38" s="16"/>
      <c r="KBH38" s="16"/>
      <c r="KBI38" s="16"/>
      <c r="KBJ38" s="16"/>
      <c r="KBK38" s="16"/>
      <c r="KBL38" s="16"/>
      <c r="KBM38" s="16"/>
      <c r="KBN38" s="16"/>
      <c r="KBO38" s="16"/>
      <c r="KBP38" s="16"/>
      <c r="KBQ38" s="16"/>
      <c r="KBR38" s="16"/>
      <c r="KBS38" s="16"/>
      <c r="KBT38" s="16"/>
      <c r="KBU38" s="16"/>
      <c r="KBV38" s="16"/>
      <c r="KBW38" s="16"/>
      <c r="KBX38" s="16"/>
      <c r="KBY38" s="16"/>
      <c r="KBZ38" s="16"/>
      <c r="KCA38" s="16"/>
      <c r="KCB38" s="16"/>
      <c r="KCC38" s="16"/>
      <c r="KCD38" s="16"/>
      <c r="KCE38" s="16"/>
      <c r="KCF38" s="16"/>
      <c r="KCG38" s="16"/>
      <c r="KCH38" s="16"/>
      <c r="KCI38" s="16"/>
      <c r="KCJ38" s="16"/>
      <c r="KCK38" s="16"/>
      <c r="KCL38" s="16"/>
      <c r="KCM38" s="16"/>
      <c r="KCN38" s="16"/>
      <c r="KCO38" s="16"/>
      <c r="KCP38" s="16"/>
      <c r="KCQ38" s="16"/>
      <c r="KCR38" s="16"/>
      <c r="KCS38" s="16"/>
      <c r="KCT38" s="16"/>
      <c r="KCU38" s="16"/>
      <c r="KCV38" s="16"/>
      <c r="KCW38" s="16"/>
      <c r="KCX38" s="16"/>
      <c r="KCY38" s="16"/>
      <c r="KCZ38" s="16"/>
      <c r="KDA38" s="16"/>
      <c r="KDB38" s="16"/>
      <c r="KDC38" s="16"/>
      <c r="KDD38" s="16"/>
      <c r="KDE38" s="16"/>
      <c r="KDF38" s="16"/>
      <c r="KDG38" s="16"/>
      <c r="KDH38" s="16"/>
      <c r="KDI38" s="16"/>
      <c r="KDJ38" s="16"/>
      <c r="KDK38" s="16"/>
      <c r="KDL38" s="16"/>
      <c r="KDM38" s="16"/>
      <c r="KDN38" s="16"/>
      <c r="KDO38" s="16"/>
      <c r="KDP38" s="16"/>
      <c r="KDQ38" s="16"/>
      <c r="KDR38" s="16"/>
      <c r="KDS38" s="16"/>
      <c r="KDT38" s="16"/>
      <c r="KDU38" s="16"/>
      <c r="KDV38" s="16"/>
      <c r="KDW38" s="16"/>
      <c r="KDX38" s="16"/>
      <c r="KDY38" s="16"/>
      <c r="KDZ38" s="16"/>
      <c r="KEA38" s="16"/>
      <c r="KEB38" s="16"/>
      <c r="KEC38" s="16"/>
      <c r="KED38" s="16"/>
      <c r="KEE38" s="16"/>
      <c r="KEF38" s="16"/>
      <c r="KEG38" s="16"/>
      <c r="KEH38" s="16"/>
      <c r="KEI38" s="16"/>
      <c r="KEJ38" s="16"/>
      <c r="KEK38" s="16"/>
      <c r="KEL38" s="16"/>
      <c r="KEM38" s="16"/>
      <c r="KEN38" s="16"/>
      <c r="KEO38" s="16"/>
      <c r="KEP38" s="16"/>
      <c r="KEQ38" s="16"/>
      <c r="KER38" s="16"/>
      <c r="KES38" s="16"/>
      <c r="KET38" s="16"/>
      <c r="KEU38" s="16"/>
      <c r="KEV38" s="16"/>
      <c r="KEW38" s="16"/>
      <c r="KEX38" s="16"/>
      <c r="KEY38" s="16"/>
      <c r="KEZ38" s="16"/>
      <c r="KFA38" s="16"/>
      <c r="KFB38" s="16"/>
      <c r="KFC38" s="16"/>
      <c r="KFD38" s="16"/>
      <c r="KFE38" s="16"/>
      <c r="KFF38" s="16"/>
      <c r="KFG38" s="16"/>
      <c r="KFH38" s="16"/>
      <c r="KFI38" s="16"/>
      <c r="KFJ38" s="16"/>
      <c r="KFK38" s="16"/>
      <c r="KFL38" s="16"/>
      <c r="KFM38" s="16"/>
      <c r="KFN38" s="16"/>
      <c r="KFO38" s="16"/>
      <c r="KFP38" s="16"/>
      <c r="KFQ38" s="16"/>
      <c r="KFR38" s="16"/>
      <c r="KFS38" s="16"/>
      <c r="KFT38" s="16"/>
      <c r="KFU38" s="16"/>
      <c r="KFV38" s="16"/>
      <c r="KFW38" s="16"/>
      <c r="KFX38" s="16"/>
      <c r="KFY38" s="16"/>
      <c r="KFZ38" s="16"/>
      <c r="KGA38" s="16"/>
      <c r="KGB38" s="16"/>
      <c r="KGC38" s="16"/>
      <c r="KGD38" s="16"/>
      <c r="KGE38" s="16"/>
      <c r="KGF38" s="16"/>
      <c r="KGG38" s="16"/>
      <c r="KGH38" s="16"/>
      <c r="KGI38" s="16"/>
      <c r="KGJ38" s="16"/>
      <c r="KGK38" s="16"/>
      <c r="KGL38" s="16"/>
      <c r="KGM38" s="16"/>
      <c r="KGN38" s="16"/>
      <c r="KGO38" s="16"/>
      <c r="KGP38" s="16"/>
      <c r="KGQ38" s="16"/>
      <c r="KGR38" s="16"/>
      <c r="KGS38" s="16"/>
      <c r="KGT38" s="16"/>
      <c r="KGU38" s="16"/>
      <c r="KGV38" s="16"/>
      <c r="KGW38" s="16"/>
      <c r="KGX38" s="16"/>
      <c r="KGY38" s="16"/>
      <c r="KGZ38" s="16"/>
      <c r="KHA38" s="16"/>
      <c r="KHB38" s="16"/>
      <c r="KHC38" s="16"/>
      <c r="KHD38" s="16"/>
      <c r="KHE38" s="16"/>
      <c r="KHF38" s="16"/>
      <c r="KHG38" s="16"/>
      <c r="KHH38" s="16"/>
      <c r="KHI38" s="16"/>
      <c r="KHJ38" s="16"/>
      <c r="KHK38" s="16"/>
      <c r="KHL38" s="16"/>
      <c r="KHM38" s="16"/>
      <c r="KHN38" s="16"/>
      <c r="KHO38" s="16"/>
      <c r="KHP38" s="16"/>
      <c r="KHQ38" s="16"/>
      <c r="KHR38" s="16"/>
      <c r="KHS38" s="16"/>
      <c r="KHT38" s="16"/>
      <c r="KHU38" s="16"/>
      <c r="KHV38" s="16"/>
      <c r="KHW38" s="16"/>
      <c r="KHX38" s="16"/>
      <c r="KHY38" s="16"/>
      <c r="KHZ38" s="16"/>
      <c r="KIA38" s="16"/>
      <c r="KIB38" s="16"/>
      <c r="KIC38" s="16"/>
      <c r="KID38" s="16"/>
      <c r="KIE38" s="16"/>
      <c r="KIF38" s="16"/>
      <c r="KIG38" s="16"/>
      <c r="KIH38" s="16"/>
      <c r="KII38" s="16"/>
      <c r="KIJ38" s="16"/>
      <c r="KIK38" s="16"/>
      <c r="KIL38" s="16"/>
      <c r="KIM38" s="16"/>
      <c r="KIN38" s="16"/>
      <c r="KIO38" s="16"/>
      <c r="KIP38" s="16"/>
      <c r="KIQ38" s="16"/>
      <c r="KIR38" s="16"/>
      <c r="KIS38" s="16"/>
      <c r="KIT38" s="16"/>
      <c r="KIU38" s="16"/>
      <c r="KIV38" s="16"/>
      <c r="KIW38" s="16"/>
      <c r="KIX38" s="16"/>
      <c r="KIY38" s="16"/>
      <c r="KIZ38" s="16"/>
      <c r="KJA38" s="16"/>
      <c r="KJB38" s="16"/>
      <c r="KJC38" s="16"/>
      <c r="KJD38" s="16"/>
      <c r="KJE38" s="16"/>
      <c r="KJF38" s="16"/>
      <c r="KJG38" s="16"/>
      <c r="KJH38" s="16"/>
      <c r="KJI38" s="16"/>
      <c r="KJJ38" s="16"/>
      <c r="KJK38" s="16"/>
      <c r="KJL38" s="16"/>
      <c r="KJM38" s="16"/>
      <c r="KJN38" s="16"/>
      <c r="KJO38" s="16"/>
      <c r="KJP38" s="16"/>
      <c r="KJQ38" s="16"/>
      <c r="KJR38" s="16"/>
      <c r="KJS38" s="16"/>
      <c r="KJT38" s="16"/>
      <c r="KJU38" s="16"/>
      <c r="KJV38" s="16"/>
      <c r="KJW38" s="16"/>
      <c r="KJX38" s="16"/>
      <c r="KJY38" s="16"/>
      <c r="KJZ38" s="16"/>
      <c r="KKA38" s="16"/>
      <c r="KKB38" s="16"/>
      <c r="KKC38" s="16"/>
      <c r="KKD38" s="16"/>
      <c r="KKE38" s="16"/>
      <c r="KKF38" s="16"/>
      <c r="KKG38" s="16"/>
      <c r="KKH38" s="16"/>
      <c r="KKI38" s="16"/>
      <c r="KKJ38" s="16"/>
      <c r="KKK38" s="16"/>
      <c r="KKL38" s="16"/>
      <c r="KKM38" s="16"/>
      <c r="KKN38" s="16"/>
      <c r="KKO38" s="16"/>
      <c r="KKP38" s="16"/>
      <c r="KKQ38" s="16"/>
      <c r="KKR38" s="16"/>
      <c r="KKS38" s="16"/>
      <c r="KKT38" s="16"/>
      <c r="KKU38" s="16"/>
      <c r="KKV38" s="16"/>
      <c r="KKW38" s="16"/>
      <c r="KKX38" s="16"/>
      <c r="KKY38" s="16"/>
      <c r="KKZ38" s="16"/>
      <c r="KLA38" s="16"/>
      <c r="KLB38" s="16"/>
      <c r="KLC38" s="16"/>
      <c r="KLD38" s="16"/>
      <c r="KLE38" s="16"/>
      <c r="KLF38" s="16"/>
      <c r="KLG38" s="16"/>
      <c r="KLH38" s="16"/>
      <c r="KLI38" s="16"/>
      <c r="KLJ38" s="16"/>
      <c r="KLK38" s="16"/>
      <c r="KLL38" s="16"/>
      <c r="KLM38" s="16"/>
      <c r="KLN38" s="16"/>
      <c r="KLO38" s="16"/>
      <c r="KLP38" s="16"/>
      <c r="KLQ38" s="16"/>
      <c r="KLR38" s="16"/>
      <c r="KLS38" s="16"/>
      <c r="KLT38" s="16"/>
      <c r="KLU38" s="16"/>
      <c r="KLV38" s="16"/>
      <c r="KLW38" s="16"/>
      <c r="KLX38" s="16"/>
      <c r="KLY38" s="16"/>
      <c r="KLZ38" s="16"/>
      <c r="KMA38" s="16"/>
      <c r="KMB38" s="16"/>
      <c r="KMC38" s="16"/>
      <c r="KMD38" s="16"/>
      <c r="KME38" s="16"/>
      <c r="KMF38" s="16"/>
      <c r="KMG38" s="16"/>
      <c r="KMH38" s="16"/>
      <c r="KMI38" s="16"/>
      <c r="KMJ38" s="16"/>
      <c r="KMK38" s="16"/>
      <c r="KML38" s="16"/>
      <c r="KMM38" s="16"/>
      <c r="KMN38" s="16"/>
      <c r="KMO38" s="16"/>
      <c r="KMP38" s="16"/>
      <c r="KMQ38" s="16"/>
      <c r="KMR38" s="16"/>
      <c r="KMS38" s="16"/>
      <c r="KMT38" s="16"/>
      <c r="KMU38" s="16"/>
      <c r="KMV38" s="16"/>
      <c r="KMW38" s="16"/>
      <c r="KMX38" s="16"/>
      <c r="KMY38" s="16"/>
      <c r="KMZ38" s="16"/>
      <c r="KNA38" s="16"/>
      <c r="KNB38" s="16"/>
      <c r="KNC38" s="16"/>
      <c r="KND38" s="16"/>
      <c r="KNE38" s="16"/>
      <c r="KNF38" s="16"/>
      <c r="KNG38" s="16"/>
      <c r="KNH38" s="16"/>
      <c r="KNI38" s="16"/>
      <c r="KNJ38" s="16"/>
      <c r="KNK38" s="16"/>
      <c r="KNL38" s="16"/>
      <c r="KNM38" s="16"/>
      <c r="KNN38" s="16"/>
      <c r="KNO38" s="16"/>
      <c r="KNP38" s="16"/>
      <c r="KNQ38" s="16"/>
      <c r="KNR38" s="16"/>
      <c r="KNS38" s="16"/>
      <c r="KNT38" s="16"/>
      <c r="KNU38" s="16"/>
      <c r="KNV38" s="16"/>
      <c r="KNW38" s="16"/>
      <c r="KNX38" s="16"/>
      <c r="KNY38" s="16"/>
      <c r="KNZ38" s="16"/>
      <c r="KOA38" s="16"/>
      <c r="KOB38" s="16"/>
      <c r="KOC38" s="16"/>
      <c r="KOD38" s="16"/>
      <c r="KOE38" s="16"/>
      <c r="KOF38" s="16"/>
      <c r="KOG38" s="16"/>
      <c r="KOH38" s="16"/>
      <c r="KOI38" s="16"/>
      <c r="KOJ38" s="16"/>
      <c r="KOK38" s="16"/>
      <c r="KOL38" s="16"/>
      <c r="KOM38" s="16"/>
      <c r="KON38" s="16"/>
      <c r="KOO38" s="16"/>
      <c r="KOP38" s="16"/>
      <c r="KOQ38" s="16"/>
      <c r="KOR38" s="16"/>
      <c r="KOS38" s="16"/>
      <c r="KOT38" s="16"/>
      <c r="KOU38" s="16"/>
      <c r="KOV38" s="16"/>
      <c r="KOW38" s="16"/>
      <c r="KOX38" s="16"/>
      <c r="KOY38" s="16"/>
      <c r="KOZ38" s="16"/>
      <c r="KPA38" s="16"/>
      <c r="KPB38" s="16"/>
      <c r="KPC38" s="16"/>
      <c r="KPD38" s="16"/>
      <c r="KPE38" s="16"/>
      <c r="KPF38" s="16"/>
      <c r="KPG38" s="16"/>
      <c r="KPH38" s="16"/>
      <c r="KPI38" s="16"/>
      <c r="KPJ38" s="16"/>
      <c r="KPK38" s="16"/>
      <c r="KPL38" s="16"/>
      <c r="KPM38" s="16"/>
      <c r="KPN38" s="16"/>
      <c r="KPO38" s="16"/>
      <c r="KPP38" s="16"/>
      <c r="KPQ38" s="16"/>
      <c r="KPR38" s="16"/>
      <c r="KPS38" s="16"/>
      <c r="KPT38" s="16"/>
      <c r="KPU38" s="16"/>
      <c r="KPV38" s="16"/>
      <c r="KPW38" s="16"/>
      <c r="KPX38" s="16"/>
      <c r="KPY38" s="16"/>
      <c r="KPZ38" s="16"/>
      <c r="KQA38" s="16"/>
      <c r="KQB38" s="16"/>
      <c r="KQC38" s="16"/>
      <c r="KQD38" s="16"/>
      <c r="KQE38" s="16"/>
      <c r="KQF38" s="16"/>
      <c r="KQG38" s="16"/>
      <c r="KQH38" s="16"/>
      <c r="KQI38" s="16"/>
      <c r="KQJ38" s="16"/>
      <c r="KQK38" s="16"/>
      <c r="KQL38" s="16"/>
      <c r="KQM38" s="16"/>
      <c r="KQN38" s="16"/>
      <c r="KQO38" s="16"/>
      <c r="KQP38" s="16"/>
      <c r="KQQ38" s="16"/>
      <c r="KQR38" s="16"/>
      <c r="KQS38" s="16"/>
      <c r="KQT38" s="16"/>
      <c r="KQU38" s="16"/>
      <c r="KQV38" s="16"/>
      <c r="KQW38" s="16"/>
      <c r="KQX38" s="16"/>
      <c r="KQY38" s="16"/>
      <c r="KQZ38" s="16"/>
      <c r="KRA38" s="16"/>
      <c r="KRB38" s="16"/>
      <c r="KRC38" s="16"/>
      <c r="KRD38" s="16"/>
      <c r="KRE38" s="16"/>
      <c r="KRF38" s="16"/>
      <c r="KRG38" s="16"/>
      <c r="KRH38" s="16"/>
      <c r="KRI38" s="16"/>
      <c r="KRJ38" s="16"/>
      <c r="KRK38" s="16"/>
      <c r="KRL38" s="16"/>
      <c r="KRM38" s="16"/>
      <c r="KRN38" s="16"/>
      <c r="KRO38" s="16"/>
      <c r="KRP38" s="16"/>
      <c r="KRQ38" s="16"/>
      <c r="KRR38" s="16"/>
      <c r="KRS38" s="16"/>
      <c r="KRT38" s="16"/>
      <c r="KRU38" s="16"/>
      <c r="KRV38" s="16"/>
      <c r="KRW38" s="16"/>
      <c r="KRX38" s="16"/>
      <c r="KRY38" s="16"/>
      <c r="KRZ38" s="16"/>
      <c r="KSA38" s="16"/>
      <c r="KSB38" s="16"/>
      <c r="KSC38" s="16"/>
      <c r="KSD38" s="16"/>
      <c r="KSE38" s="16"/>
      <c r="KSF38" s="16"/>
      <c r="KSG38" s="16"/>
      <c r="KSH38" s="16"/>
      <c r="KSI38" s="16"/>
      <c r="KSJ38" s="16"/>
      <c r="KSK38" s="16"/>
      <c r="KSL38" s="16"/>
      <c r="KSM38" s="16"/>
      <c r="KSN38" s="16"/>
      <c r="KSO38" s="16"/>
      <c r="KSP38" s="16"/>
      <c r="KSQ38" s="16"/>
      <c r="KSR38" s="16"/>
      <c r="KSS38" s="16"/>
      <c r="KST38" s="16"/>
      <c r="KSU38" s="16"/>
      <c r="KSV38" s="16"/>
      <c r="KSW38" s="16"/>
      <c r="KSX38" s="16"/>
      <c r="KSY38" s="16"/>
      <c r="KSZ38" s="16"/>
      <c r="KTA38" s="16"/>
      <c r="KTB38" s="16"/>
      <c r="KTC38" s="16"/>
      <c r="KTD38" s="16"/>
      <c r="KTE38" s="16"/>
      <c r="KTF38" s="16"/>
      <c r="KTG38" s="16"/>
      <c r="KTH38" s="16"/>
      <c r="KTI38" s="16"/>
      <c r="KTJ38" s="16"/>
      <c r="KTK38" s="16"/>
      <c r="KTL38" s="16"/>
      <c r="KTM38" s="16"/>
      <c r="KTN38" s="16"/>
      <c r="KTO38" s="16"/>
      <c r="KTP38" s="16"/>
      <c r="KTQ38" s="16"/>
      <c r="KTR38" s="16"/>
      <c r="KTS38" s="16"/>
      <c r="KTT38" s="16"/>
      <c r="KTU38" s="16"/>
      <c r="KTV38" s="16"/>
      <c r="KTW38" s="16"/>
      <c r="KTX38" s="16"/>
      <c r="KTY38" s="16"/>
      <c r="KTZ38" s="16"/>
      <c r="KUA38" s="16"/>
      <c r="KUB38" s="16"/>
      <c r="KUC38" s="16"/>
      <c r="KUD38" s="16"/>
      <c r="KUE38" s="16"/>
      <c r="KUF38" s="16"/>
      <c r="KUG38" s="16"/>
      <c r="KUH38" s="16"/>
      <c r="KUI38" s="16"/>
      <c r="KUJ38" s="16"/>
      <c r="KUK38" s="16"/>
      <c r="KUL38" s="16"/>
      <c r="KUM38" s="16"/>
      <c r="KUN38" s="16"/>
      <c r="KUO38" s="16"/>
      <c r="KUP38" s="16"/>
      <c r="KUQ38" s="16"/>
      <c r="KUR38" s="16"/>
      <c r="KUS38" s="16"/>
      <c r="KUT38" s="16"/>
      <c r="KUU38" s="16"/>
      <c r="KUV38" s="16"/>
      <c r="KUW38" s="16"/>
      <c r="KUX38" s="16"/>
      <c r="KUY38" s="16"/>
      <c r="KUZ38" s="16"/>
      <c r="KVA38" s="16"/>
      <c r="KVB38" s="16"/>
      <c r="KVC38" s="16"/>
      <c r="KVD38" s="16"/>
      <c r="KVE38" s="16"/>
      <c r="KVF38" s="16"/>
      <c r="KVG38" s="16"/>
      <c r="KVH38" s="16"/>
      <c r="KVI38" s="16"/>
      <c r="KVJ38" s="16"/>
      <c r="KVK38" s="16"/>
      <c r="KVL38" s="16"/>
      <c r="KVM38" s="16"/>
      <c r="KVN38" s="16"/>
      <c r="KVO38" s="16"/>
      <c r="KVP38" s="16"/>
      <c r="KVQ38" s="16"/>
      <c r="KVR38" s="16"/>
      <c r="KVS38" s="16"/>
      <c r="KVT38" s="16"/>
      <c r="KVU38" s="16"/>
      <c r="KVV38" s="16"/>
      <c r="KVW38" s="16"/>
      <c r="KVX38" s="16"/>
      <c r="KVY38" s="16"/>
      <c r="KVZ38" s="16"/>
      <c r="KWA38" s="16"/>
      <c r="KWB38" s="16"/>
      <c r="KWC38" s="16"/>
      <c r="KWD38" s="16"/>
      <c r="KWE38" s="16"/>
      <c r="KWF38" s="16"/>
      <c r="KWG38" s="16"/>
      <c r="KWH38" s="16"/>
      <c r="KWI38" s="16"/>
      <c r="KWJ38" s="16"/>
      <c r="KWK38" s="16"/>
      <c r="KWL38" s="16"/>
      <c r="KWM38" s="16"/>
      <c r="KWN38" s="16"/>
      <c r="KWO38" s="16"/>
      <c r="KWP38" s="16"/>
      <c r="KWQ38" s="16"/>
      <c r="KWR38" s="16"/>
      <c r="KWS38" s="16"/>
      <c r="KWT38" s="16"/>
      <c r="KWU38" s="16"/>
      <c r="KWV38" s="16"/>
      <c r="KWW38" s="16"/>
      <c r="KWX38" s="16"/>
      <c r="KWY38" s="16"/>
      <c r="KWZ38" s="16"/>
      <c r="KXA38" s="16"/>
      <c r="KXB38" s="16"/>
      <c r="KXC38" s="16"/>
      <c r="KXD38" s="16"/>
      <c r="KXE38" s="16"/>
      <c r="KXF38" s="16"/>
      <c r="KXG38" s="16"/>
      <c r="KXH38" s="16"/>
      <c r="KXI38" s="16"/>
      <c r="KXJ38" s="16"/>
      <c r="KXK38" s="16"/>
      <c r="KXL38" s="16"/>
      <c r="KXM38" s="16"/>
      <c r="KXN38" s="16"/>
      <c r="KXO38" s="16"/>
      <c r="KXP38" s="16"/>
      <c r="KXQ38" s="16"/>
      <c r="KXR38" s="16"/>
      <c r="KXS38" s="16"/>
      <c r="KXT38" s="16"/>
      <c r="KXU38" s="16"/>
      <c r="KXV38" s="16"/>
      <c r="KXW38" s="16"/>
      <c r="KXX38" s="16"/>
      <c r="KXY38" s="16"/>
      <c r="KXZ38" s="16"/>
      <c r="KYA38" s="16"/>
      <c r="KYB38" s="16"/>
      <c r="KYC38" s="16"/>
      <c r="KYD38" s="16"/>
      <c r="KYE38" s="16"/>
      <c r="KYF38" s="16"/>
      <c r="KYG38" s="16"/>
      <c r="KYH38" s="16"/>
      <c r="KYI38" s="16"/>
      <c r="KYJ38" s="16"/>
      <c r="KYK38" s="16"/>
      <c r="KYL38" s="16"/>
      <c r="KYM38" s="16"/>
      <c r="KYN38" s="16"/>
      <c r="KYO38" s="16"/>
      <c r="KYP38" s="16"/>
      <c r="KYQ38" s="16"/>
      <c r="KYR38" s="16"/>
      <c r="KYS38" s="16"/>
      <c r="KYT38" s="16"/>
      <c r="KYU38" s="16"/>
      <c r="KYV38" s="16"/>
      <c r="KYW38" s="16"/>
      <c r="KYX38" s="16"/>
      <c r="KYY38" s="16"/>
      <c r="KYZ38" s="16"/>
      <c r="KZA38" s="16"/>
      <c r="KZB38" s="16"/>
      <c r="KZC38" s="16"/>
      <c r="KZD38" s="16"/>
      <c r="KZE38" s="16"/>
      <c r="KZF38" s="16"/>
      <c r="KZG38" s="16"/>
      <c r="KZH38" s="16"/>
      <c r="KZI38" s="16"/>
      <c r="KZJ38" s="16"/>
      <c r="KZK38" s="16"/>
      <c r="KZL38" s="16"/>
      <c r="KZM38" s="16"/>
      <c r="KZN38" s="16"/>
      <c r="KZO38" s="16"/>
      <c r="KZP38" s="16"/>
      <c r="KZQ38" s="16"/>
      <c r="KZR38" s="16"/>
      <c r="KZS38" s="16"/>
      <c r="KZT38" s="16"/>
      <c r="KZU38" s="16"/>
      <c r="KZV38" s="16"/>
      <c r="KZW38" s="16"/>
      <c r="KZX38" s="16"/>
      <c r="KZY38" s="16"/>
      <c r="KZZ38" s="16"/>
      <c r="LAA38" s="16"/>
      <c r="LAB38" s="16"/>
      <c r="LAC38" s="16"/>
      <c r="LAD38" s="16"/>
      <c r="LAE38" s="16"/>
      <c r="LAF38" s="16"/>
      <c r="LAG38" s="16"/>
      <c r="LAH38" s="16"/>
      <c r="LAI38" s="16"/>
      <c r="LAJ38" s="16"/>
      <c r="LAK38" s="16"/>
      <c r="LAL38" s="16"/>
      <c r="LAM38" s="16"/>
      <c r="LAN38" s="16"/>
      <c r="LAO38" s="16"/>
      <c r="LAP38" s="16"/>
      <c r="LAQ38" s="16"/>
      <c r="LAR38" s="16"/>
      <c r="LAS38" s="16"/>
      <c r="LAT38" s="16"/>
      <c r="LAU38" s="16"/>
      <c r="LAV38" s="16"/>
      <c r="LAW38" s="16"/>
      <c r="LAX38" s="16"/>
      <c r="LAY38" s="16"/>
      <c r="LAZ38" s="16"/>
      <c r="LBA38" s="16"/>
      <c r="LBB38" s="16"/>
      <c r="LBC38" s="16"/>
      <c r="LBD38" s="16"/>
      <c r="LBE38" s="16"/>
      <c r="LBF38" s="16"/>
      <c r="LBG38" s="16"/>
      <c r="LBH38" s="16"/>
      <c r="LBI38" s="16"/>
      <c r="LBJ38" s="16"/>
      <c r="LBK38" s="16"/>
      <c r="LBL38" s="16"/>
      <c r="LBM38" s="16"/>
      <c r="LBN38" s="16"/>
      <c r="LBO38" s="16"/>
      <c r="LBP38" s="16"/>
      <c r="LBQ38" s="16"/>
      <c r="LBR38" s="16"/>
      <c r="LBS38" s="16"/>
      <c r="LBT38" s="16"/>
      <c r="LBU38" s="16"/>
      <c r="LBV38" s="16"/>
      <c r="LBW38" s="16"/>
      <c r="LBX38" s="16"/>
      <c r="LBY38" s="16"/>
      <c r="LBZ38" s="16"/>
      <c r="LCA38" s="16"/>
      <c r="LCB38" s="16"/>
      <c r="LCC38" s="16"/>
      <c r="LCD38" s="16"/>
      <c r="LCE38" s="16"/>
      <c r="LCF38" s="16"/>
      <c r="LCG38" s="16"/>
      <c r="LCH38" s="16"/>
      <c r="LCI38" s="16"/>
      <c r="LCJ38" s="16"/>
      <c r="LCK38" s="16"/>
      <c r="LCL38" s="16"/>
      <c r="LCM38" s="16"/>
      <c r="LCN38" s="16"/>
      <c r="LCO38" s="16"/>
      <c r="LCP38" s="16"/>
      <c r="LCQ38" s="16"/>
      <c r="LCR38" s="16"/>
      <c r="LCS38" s="16"/>
      <c r="LCT38" s="16"/>
      <c r="LCU38" s="16"/>
      <c r="LCV38" s="16"/>
      <c r="LCW38" s="16"/>
      <c r="LCX38" s="16"/>
      <c r="LCY38" s="16"/>
      <c r="LCZ38" s="16"/>
      <c r="LDA38" s="16"/>
      <c r="LDB38" s="16"/>
      <c r="LDC38" s="16"/>
      <c r="LDD38" s="16"/>
      <c r="LDE38" s="16"/>
      <c r="LDF38" s="16"/>
      <c r="LDG38" s="16"/>
      <c r="LDH38" s="16"/>
      <c r="LDI38" s="16"/>
      <c r="LDJ38" s="16"/>
      <c r="LDK38" s="16"/>
      <c r="LDL38" s="16"/>
      <c r="LDM38" s="16"/>
      <c r="LDN38" s="16"/>
      <c r="LDO38" s="16"/>
      <c r="LDP38" s="16"/>
      <c r="LDQ38" s="16"/>
      <c r="LDR38" s="16"/>
      <c r="LDS38" s="16"/>
      <c r="LDT38" s="16"/>
      <c r="LDU38" s="16"/>
      <c r="LDV38" s="16"/>
      <c r="LDW38" s="16"/>
      <c r="LDX38" s="16"/>
      <c r="LDY38" s="16"/>
      <c r="LDZ38" s="16"/>
      <c r="LEA38" s="16"/>
      <c r="LEB38" s="16"/>
      <c r="LEC38" s="16"/>
      <c r="LED38" s="16"/>
      <c r="LEE38" s="16"/>
      <c r="LEF38" s="16"/>
      <c r="LEG38" s="16"/>
      <c r="LEH38" s="16"/>
      <c r="LEI38" s="16"/>
      <c r="LEJ38" s="16"/>
      <c r="LEK38" s="16"/>
      <c r="LEL38" s="16"/>
      <c r="LEM38" s="16"/>
      <c r="LEN38" s="16"/>
      <c r="LEO38" s="16"/>
      <c r="LEP38" s="16"/>
      <c r="LEQ38" s="16"/>
      <c r="LER38" s="16"/>
      <c r="LES38" s="16"/>
      <c r="LET38" s="16"/>
      <c r="LEU38" s="16"/>
      <c r="LEV38" s="16"/>
      <c r="LEW38" s="16"/>
      <c r="LEX38" s="16"/>
      <c r="LEY38" s="16"/>
      <c r="LEZ38" s="16"/>
      <c r="LFA38" s="16"/>
      <c r="LFB38" s="16"/>
      <c r="LFC38" s="16"/>
      <c r="LFD38" s="16"/>
      <c r="LFE38" s="16"/>
      <c r="LFF38" s="16"/>
      <c r="LFG38" s="16"/>
      <c r="LFH38" s="16"/>
      <c r="LFI38" s="16"/>
      <c r="LFJ38" s="16"/>
      <c r="LFK38" s="16"/>
      <c r="LFL38" s="16"/>
      <c r="LFM38" s="16"/>
      <c r="LFN38" s="16"/>
      <c r="LFO38" s="16"/>
      <c r="LFP38" s="16"/>
      <c r="LFQ38" s="16"/>
      <c r="LFR38" s="16"/>
      <c r="LFS38" s="16"/>
      <c r="LFT38" s="16"/>
      <c r="LFU38" s="16"/>
      <c r="LFV38" s="16"/>
      <c r="LFW38" s="16"/>
      <c r="LFX38" s="16"/>
      <c r="LFY38" s="16"/>
      <c r="LFZ38" s="16"/>
      <c r="LGA38" s="16"/>
      <c r="LGB38" s="16"/>
      <c r="LGC38" s="16"/>
      <c r="LGD38" s="16"/>
      <c r="LGE38" s="16"/>
      <c r="LGF38" s="16"/>
      <c r="LGG38" s="16"/>
      <c r="LGH38" s="16"/>
      <c r="LGI38" s="16"/>
      <c r="LGJ38" s="16"/>
      <c r="LGK38" s="16"/>
      <c r="LGL38" s="16"/>
      <c r="LGM38" s="16"/>
      <c r="LGN38" s="16"/>
      <c r="LGO38" s="16"/>
      <c r="LGP38" s="16"/>
      <c r="LGQ38" s="16"/>
      <c r="LGR38" s="16"/>
      <c r="LGS38" s="16"/>
      <c r="LGT38" s="16"/>
      <c r="LGU38" s="16"/>
      <c r="LGV38" s="16"/>
      <c r="LGW38" s="16"/>
      <c r="LGX38" s="16"/>
      <c r="LGY38" s="16"/>
      <c r="LGZ38" s="16"/>
      <c r="LHA38" s="16"/>
      <c r="LHB38" s="16"/>
      <c r="LHC38" s="16"/>
      <c r="LHD38" s="16"/>
      <c r="LHE38" s="16"/>
      <c r="LHF38" s="16"/>
      <c r="LHG38" s="16"/>
      <c r="LHH38" s="16"/>
      <c r="LHI38" s="16"/>
      <c r="LHJ38" s="16"/>
      <c r="LHK38" s="16"/>
      <c r="LHL38" s="16"/>
      <c r="LHM38" s="16"/>
      <c r="LHN38" s="16"/>
      <c r="LHO38" s="16"/>
      <c r="LHP38" s="16"/>
      <c r="LHQ38" s="16"/>
      <c r="LHR38" s="16"/>
      <c r="LHS38" s="16"/>
      <c r="LHT38" s="16"/>
      <c r="LHU38" s="16"/>
      <c r="LHV38" s="16"/>
      <c r="LHW38" s="16"/>
      <c r="LHX38" s="16"/>
      <c r="LHY38" s="16"/>
      <c r="LHZ38" s="16"/>
      <c r="LIA38" s="16"/>
      <c r="LIB38" s="16"/>
      <c r="LIC38" s="16"/>
      <c r="LID38" s="16"/>
      <c r="LIE38" s="16"/>
      <c r="LIF38" s="16"/>
      <c r="LIG38" s="16"/>
      <c r="LIH38" s="16"/>
      <c r="LII38" s="16"/>
      <c r="LIJ38" s="16"/>
      <c r="LIK38" s="16"/>
      <c r="LIL38" s="16"/>
      <c r="LIM38" s="16"/>
      <c r="LIN38" s="16"/>
      <c r="LIO38" s="16"/>
      <c r="LIP38" s="16"/>
      <c r="LIQ38" s="16"/>
      <c r="LIR38" s="16"/>
      <c r="LIS38" s="16"/>
      <c r="LIT38" s="16"/>
      <c r="LIU38" s="16"/>
      <c r="LIV38" s="16"/>
      <c r="LIW38" s="16"/>
      <c r="LIX38" s="16"/>
      <c r="LIY38" s="16"/>
      <c r="LIZ38" s="16"/>
      <c r="LJA38" s="16"/>
      <c r="LJB38" s="16"/>
      <c r="LJC38" s="16"/>
      <c r="LJD38" s="16"/>
      <c r="LJE38" s="16"/>
      <c r="LJF38" s="16"/>
      <c r="LJG38" s="16"/>
      <c r="LJH38" s="16"/>
      <c r="LJI38" s="16"/>
      <c r="LJJ38" s="16"/>
      <c r="LJK38" s="16"/>
      <c r="LJL38" s="16"/>
      <c r="LJM38" s="16"/>
      <c r="LJN38" s="16"/>
      <c r="LJO38" s="16"/>
      <c r="LJP38" s="16"/>
      <c r="LJQ38" s="16"/>
      <c r="LJR38" s="16"/>
      <c r="LJS38" s="16"/>
      <c r="LJT38" s="16"/>
      <c r="LJU38" s="16"/>
      <c r="LJV38" s="16"/>
      <c r="LJW38" s="16"/>
      <c r="LJX38" s="16"/>
      <c r="LJY38" s="16"/>
      <c r="LJZ38" s="16"/>
      <c r="LKA38" s="16"/>
      <c r="LKB38" s="16"/>
      <c r="LKC38" s="16"/>
      <c r="LKD38" s="16"/>
      <c r="LKE38" s="16"/>
      <c r="LKF38" s="16"/>
      <c r="LKG38" s="16"/>
      <c r="LKH38" s="16"/>
      <c r="LKI38" s="16"/>
      <c r="LKJ38" s="16"/>
      <c r="LKK38" s="16"/>
      <c r="LKL38" s="16"/>
      <c r="LKM38" s="16"/>
      <c r="LKN38" s="16"/>
      <c r="LKO38" s="16"/>
      <c r="LKP38" s="16"/>
      <c r="LKQ38" s="16"/>
      <c r="LKR38" s="16"/>
      <c r="LKS38" s="16"/>
      <c r="LKT38" s="16"/>
      <c r="LKU38" s="16"/>
      <c r="LKV38" s="16"/>
      <c r="LKW38" s="16"/>
      <c r="LKX38" s="16"/>
      <c r="LKY38" s="16"/>
      <c r="LKZ38" s="16"/>
      <c r="LLA38" s="16"/>
      <c r="LLB38" s="16"/>
      <c r="LLC38" s="16"/>
      <c r="LLD38" s="16"/>
      <c r="LLE38" s="16"/>
      <c r="LLF38" s="16"/>
      <c r="LLG38" s="16"/>
      <c r="LLH38" s="16"/>
      <c r="LLI38" s="16"/>
      <c r="LLJ38" s="16"/>
      <c r="LLK38" s="16"/>
      <c r="LLL38" s="16"/>
      <c r="LLM38" s="16"/>
      <c r="LLN38" s="16"/>
      <c r="LLO38" s="16"/>
      <c r="LLP38" s="16"/>
      <c r="LLQ38" s="16"/>
      <c r="LLR38" s="16"/>
      <c r="LLS38" s="16"/>
      <c r="LLT38" s="16"/>
      <c r="LLU38" s="16"/>
      <c r="LLV38" s="16"/>
      <c r="LLW38" s="16"/>
      <c r="LLX38" s="16"/>
      <c r="LLY38" s="16"/>
      <c r="LLZ38" s="16"/>
      <c r="LMA38" s="16"/>
      <c r="LMB38" s="16"/>
      <c r="LMC38" s="16"/>
      <c r="LMD38" s="16"/>
      <c r="LME38" s="16"/>
      <c r="LMF38" s="16"/>
      <c r="LMG38" s="16"/>
      <c r="LMH38" s="16"/>
      <c r="LMI38" s="16"/>
      <c r="LMJ38" s="16"/>
      <c r="LMK38" s="16"/>
      <c r="LML38" s="16"/>
      <c r="LMM38" s="16"/>
      <c r="LMN38" s="16"/>
      <c r="LMO38" s="16"/>
      <c r="LMP38" s="16"/>
      <c r="LMQ38" s="16"/>
      <c r="LMR38" s="16"/>
      <c r="LMS38" s="16"/>
      <c r="LMT38" s="16"/>
      <c r="LMU38" s="16"/>
      <c r="LMV38" s="16"/>
      <c r="LMW38" s="16"/>
      <c r="LMX38" s="16"/>
      <c r="LMY38" s="16"/>
      <c r="LMZ38" s="16"/>
      <c r="LNA38" s="16"/>
      <c r="LNB38" s="16"/>
      <c r="LNC38" s="16"/>
      <c r="LND38" s="16"/>
      <c r="LNE38" s="16"/>
      <c r="LNF38" s="16"/>
      <c r="LNG38" s="16"/>
      <c r="LNH38" s="16"/>
      <c r="LNI38" s="16"/>
      <c r="LNJ38" s="16"/>
      <c r="LNK38" s="16"/>
      <c r="LNL38" s="16"/>
      <c r="LNM38" s="16"/>
      <c r="LNN38" s="16"/>
      <c r="LNO38" s="16"/>
      <c r="LNP38" s="16"/>
      <c r="LNQ38" s="16"/>
      <c r="LNR38" s="16"/>
      <c r="LNS38" s="16"/>
      <c r="LNT38" s="16"/>
      <c r="LNU38" s="16"/>
      <c r="LNV38" s="16"/>
      <c r="LNW38" s="16"/>
      <c r="LNX38" s="16"/>
      <c r="LNY38" s="16"/>
      <c r="LNZ38" s="16"/>
      <c r="LOA38" s="16"/>
      <c r="LOB38" s="16"/>
      <c r="LOC38" s="16"/>
      <c r="LOD38" s="16"/>
      <c r="LOE38" s="16"/>
      <c r="LOF38" s="16"/>
      <c r="LOG38" s="16"/>
      <c r="LOH38" s="16"/>
      <c r="LOI38" s="16"/>
      <c r="LOJ38" s="16"/>
      <c r="LOK38" s="16"/>
      <c r="LOL38" s="16"/>
      <c r="LOM38" s="16"/>
      <c r="LON38" s="16"/>
      <c r="LOO38" s="16"/>
      <c r="LOP38" s="16"/>
      <c r="LOQ38" s="16"/>
      <c r="LOR38" s="16"/>
      <c r="LOS38" s="16"/>
      <c r="LOT38" s="16"/>
      <c r="LOU38" s="16"/>
      <c r="LOV38" s="16"/>
      <c r="LOW38" s="16"/>
      <c r="LOX38" s="16"/>
      <c r="LOY38" s="16"/>
      <c r="LOZ38" s="16"/>
      <c r="LPA38" s="16"/>
      <c r="LPB38" s="16"/>
      <c r="LPC38" s="16"/>
      <c r="LPD38" s="16"/>
      <c r="LPE38" s="16"/>
      <c r="LPF38" s="16"/>
      <c r="LPG38" s="16"/>
      <c r="LPH38" s="16"/>
      <c r="LPI38" s="16"/>
      <c r="LPJ38" s="16"/>
      <c r="LPK38" s="16"/>
      <c r="LPL38" s="16"/>
      <c r="LPM38" s="16"/>
      <c r="LPN38" s="16"/>
      <c r="LPO38" s="16"/>
      <c r="LPP38" s="16"/>
      <c r="LPQ38" s="16"/>
      <c r="LPR38" s="16"/>
      <c r="LPS38" s="16"/>
      <c r="LPT38" s="16"/>
      <c r="LPU38" s="16"/>
      <c r="LPV38" s="16"/>
      <c r="LPW38" s="16"/>
      <c r="LPX38" s="16"/>
      <c r="LPY38" s="16"/>
      <c r="LPZ38" s="16"/>
      <c r="LQA38" s="16"/>
      <c r="LQB38" s="16"/>
      <c r="LQC38" s="16"/>
      <c r="LQD38" s="16"/>
      <c r="LQE38" s="16"/>
      <c r="LQF38" s="16"/>
      <c r="LQG38" s="16"/>
      <c r="LQH38" s="16"/>
      <c r="LQI38" s="16"/>
      <c r="LQJ38" s="16"/>
      <c r="LQK38" s="16"/>
      <c r="LQL38" s="16"/>
      <c r="LQM38" s="16"/>
      <c r="LQN38" s="16"/>
      <c r="LQO38" s="16"/>
      <c r="LQP38" s="16"/>
      <c r="LQQ38" s="16"/>
      <c r="LQR38" s="16"/>
      <c r="LQS38" s="16"/>
      <c r="LQT38" s="16"/>
      <c r="LQU38" s="16"/>
      <c r="LQV38" s="16"/>
      <c r="LQW38" s="16"/>
      <c r="LQX38" s="16"/>
      <c r="LQY38" s="16"/>
      <c r="LQZ38" s="16"/>
      <c r="LRA38" s="16"/>
      <c r="LRB38" s="16"/>
      <c r="LRC38" s="16"/>
      <c r="LRD38" s="16"/>
      <c r="LRE38" s="16"/>
      <c r="LRF38" s="16"/>
      <c r="LRG38" s="16"/>
      <c r="LRH38" s="16"/>
      <c r="LRI38" s="16"/>
      <c r="LRJ38" s="16"/>
      <c r="LRK38" s="16"/>
      <c r="LRL38" s="16"/>
      <c r="LRM38" s="16"/>
      <c r="LRN38" s="16"/>
      <c r="LRO38" s="16"/>
      <c r="LRP38" s="16"/>
      <c r="LRQ38" s="16"/>
      <c r="LRR38" s="16"/>
      <c r="LRS38" s="16"/>
      <c r="LRT38" s="16"/>
      <c r="LRU38" s="16"/>
      <c r="LRV38" s="16"/>
      <c r="LRW38" s="16"/>
      <c r="LRX38" s="16"/>
      <c r="LRY38" s="16"/>
      <c r="LRZ38" s="16"/>
      <c r="LSA38" s="16"/>
      <c r="LSB38" s="16"/>
      <c r="LSC38" s="16"/>
      <c r="LSD38" s="16"/>
      <c r="LSE38" s="16"/>
      <c r="LSF38" s="16"/>
      <c r="LSG38" s="16"/>
      <c r="LSH38" s="16"/>
      <c r="LSI38" s="16"/>
      <c r="LSJ38" s="16"/>
      <c r="LSK38" s="16"/>
      <c r="LSL38" s="16"/>
      <c r="LSM38" s="16"/>
      <c r="LSN38" s="16"/>
      <c r="LSO38" s="16"/>
      <c r="LSP38" s="16"/>
      <c r="LSQ38" s="16"/>
      <c r="LSR38" s="16"/>
      <c r="LSS38" s="16"/>
      <c r="LST38" s="16"/>
      <c r="LSU38" s="16"/>
      <c r="LSV38" s="16"/>
      <c r="LSW38" s="16"/>
      <c r="LSX38" s="16"/>
      <c r="LSY38" s="16"/>
      <c r="LSZ38" s="16"/>
      <c r="LTA38" s="16"/>
      <c r="LTB38" s="16"/>
      <c r="LTC38" s="16"/>
      <c r="LTD38" s="16"/>
      <c r="LTE38" s="16"/>
      <c r="LTF38" s="16"/>
      <c r="LTG38" s="16"/>
      <c r="LTH38" s="16"/>
      <c r="LTI38" s="16"/>
      <c r="LTJ38" s="16"/>
      <c r="LTK38" s="16"/>
      <c r="LTL38" s="16"/>
      <c r="LTM38" s="16"/>
      <c r="LTN38" s="16"/>
      <c r="LTO38" s="16"/>
      <c r="LTP38" s="16"/>
      <c r="LTQ38" s="16"/>
      <c r="LTR38" s="16"/>
      <c r="LTS38" s="16"/>
      <c r="LTT38" s="16"/>
      <c r="LTU38" s="16"/>
      <c r="LTV38" s="16"/>
      <c r="LTW38" s="16"/>
      <c r="LTX38" s="16"/>
      <c r="LTY38" s="16"/>
      <c r="LTZ38" s="16"/>
      <c r="LUA38" s="16"/>
      <c r="LUB38" s="16"/>
      <c r="LUC38" s="16"/>
      <c r="LUD38" s="16"/>
      <c r="LUE38" s="16"/>
      <c r="LUF38" s="16"/>
      <c r="LUG38" s="16"/>
      <c r="LUH38" s="16"/>
      <c r="LUI38" s="16"/>
      <c r="LUJ38" s="16"/>
      <c r="LUK38" s="16"/>
      <c r="LUL38" s="16"/>
      <c r="LUM38" s="16"/>
      <c r="LUN38" s="16"/>
      <c r="LUO38" s="16"/>
      <c r="LUP38" s="16"/>
      <c r="LUQ38" s="16"/>
      <c r="LUR38" s="16"/>
      <c r="LUS38" s="16"/>
      <c r="LUT38" s="16"/>
      <c r="LUU38" s="16"/>
      <c r="LUV38" s="16"/>
      <c r="LUW38" s="16"/>
      <c r="LUX38" s="16"/>
      <c r="LUY38" s="16"/>
      <c r="LUZ38" s="16"/>
      <c r="LVA38" s="16"/>
      <c r="LVB38" s="16"/>
      <c r="LVC38" s="16"/>
      <c r="LVD38" s="16"/>
      <c r="LVE38" s="16"/>
      <c r="LVF38" s="16"/>
      <c r="LVG38" s="16"/>
      <c r="LVH38" s="16"/>
      <c r="LVI38" s="16"/>
      <c r="LVJ38" s="16"/>
      <c r="LVK38" s="16"/>
      <c r="LVL38" s="16"/>
      <c r="LVM38" s="16"/>
      <c r="LVN38" s="16"/>
      <c r="LVO38" s="16"/>
      <c r="LVP38" s="16"/>
      <c r="LVQ38" s="16"/>
      <c r="LVR38" s="16"/>
      <c r="LVS38" s="16"/>
      <c r="LVT38" s="16"/>
      <c r="LVU38" s="16"/>
      <c r="LVV38" s="16"/>
      <c r="LVW38" s="16"/>
      <c r="LVX38" s="16"/>
      <c r="LVY38" s="16"/>
      <c r="LVZ38" s="16"/>
      <c r="LWA38" s="16"/>
      <c r="LWB38" s="16"/>
      <c r="LWC38" s="16"/>
      <c r="LWD38" s="16"/>
      <c r="LWE38" s="16"/>
      <c r="LWF38" s="16"/>
      <c r="LWG38" s="16"/>
      <c r="LWH38" s="16"/>
      <c r="LWI38" s="16"/>
      <c r="LWJ38" s="16"/>
      <c r="LWK38" s="16"/>
      <c r="LWL38" s="16"/>
      <c r="LWM38" s="16"/>
      <c r="LWN38" s="16"/>
      <c r="LWO38" s="16"/>
      <c r="LWP38" s="16"/>
      <c r="LWQ38" s="16"/>
      <c r="LWR38" s="16"/>
      <c r="LWS38" s="16"/>
      <c r="LWT38" s="16"/>
      <c r="LWU38" s="16"/>
      <c r="LWV38" s="16"/>
      <c r="LWW38" s="16"/>
      <c r="LWX38" s="16"/>
      <c r="LWY38" s="16"/>
      <c r="LWZ38" s="16"/>
      <c r="LXA38" s="16"/>
      <c r="LXB38" s="16"/>
      <c r="LXC38" s="16"/>
      <c r="LXD38" s="16"/>
      <c r="LXE38" s="16"/>
      <c r="LXF38" s="16"/>
      <c r="LXG38" s="16"/>
      <c r="LXH38" s="16"/>
      <c r="LXI38" s="16"/>
      <c r="LXJ38" s="16"/>
      <c r="LXK38" s="16"/>
      <c r="LXL38" s="16"/>
      <c r="LXM38" s="16"/>
      <c r="LXN38" s="16"/>
      <c r="LXO38" s="16"/>
      <c r="LXP38" s="16"/>
      <c r="LXQ38" s="16"/>
      <c r="LXR38" s="16"/>
      <c r="LXS38" s="16"/>
      <c r="LXT38" s="16"/>
      <c r="LXU38" s="16"/>
      <c r="LXV38" s="16"/>
      <c r="LXW38" s="16"/>
      <c r="LXX38" s="16"/>
      <c r="LXY38" s="16"/>
      <c r="LXZ38" s="16"/>
      <c r="LYA38" s="16"/>
      <c r="LYB38" s="16"/>
      <c r="LYC38" s="16"/>
      <c r="LYD38" s="16"/>
      <c r="LYE38" s="16"/>
      <c r="LYF38" s="16"/>
      <c r="LYG38" s="16"/>
      <c r="LYH38" s="16"/>
      <c r="LYI38" s="16"/>
      <c r="LYJ38" s="16"/>
      <c r="LYK38" s="16"/>
      <c r="LYL38" s="16"/>
      <c r="LYM38" s="16"/>
      <c r="LYN38" s="16"/>
      <c r="LYO38" s="16"/>
      <c r="LYP38" s="16"/>
      <c r="LYQ38" s="16"/>
      <c r="LYR38" s="16"/>
      <c r="LYS38" s="16"/>
      <c r="LYT38" s="16"/>
      <c r="LYU38" s="16"/>
      <c r="LYV38" s="16"/>
      <c r="LYW38" s="16"/>
      <c r="LYX38" s="16"/>
      <c r="LYY38" s="16"/>
      <c r="LYZ38" s="16"/>
      <c r="LZA38" s="16"/>
      <c r="LZB38" s="16"/>
      <c r="LZC38" s="16"/>
      <c r="LZD38" s="16"/>
      <c r="LZE38" s="16"/>
      <c r="LZF38" s="16"/>
      <c r="LZG38" s="16"/>
      <c r="LZH38" s="16"/>
      <c r="LZI38" s="16"/>
      <c r="LZJ38" s="16"/>
      <c r="LZK38" s="16"/>
      <c r="LZL38" s="16"/>
      <c r="LZM38" s="16"/>
      <c r="LZN38" s="16"/>
      <c r="LZO38" s="16"/>
      <c r="LZP38" s="16"/>
      <c r="LZQ38" s="16"/>
      <c r="LZR38" s="16"/>
      <c r="LZS38" s="16"/>
      <c r="LZT38" s="16"/>
      <c r="LZU38" s="16"/>
      <c r="LZV38" s="16"/>
      <c r="LZW38" s="16"/>
      <c r="LZX38" s="16"/>
      <c r="LZY38" s="16"/>
      <c r="LZZ38" s="16"/>
      <c r="MAA38" s="16"/>
      <c r="MAB38" s="16"/>
      <c r="MAC38" s="16"/>
      <c r="MAD38" s="16"/>
      <c r="MAE38" s="16"/>
      <c r="MAF38" s="16"/>
      <c r="MAG38" s="16"/>
      <c r="MAH38" s="16"/>
      <c r="MAI38" s="16"/>
      <c r="MAJ38" s="16"/>
      <c r="MAK38" s="16"/>
      <c r="MAL38" s="16"/>
      <c r="MAM38" s="16"/>
      <c r="MAN38" s="16"/>
      <c r="MAO38" s="16"/>
      <c r="MAP38" s="16"/>
      <c r="MAQ38" s="16"/>
      <c r="MAR38" s="16"/>
      <c r="MAS38" s="16"/>
      <c r="MAT38" s="16"/>
      <c r="MAU38" s="16"/>
      <c r="MAV38" s="16"/>
      <c r="MAW38" s="16"/>
      <c r="MAX38" s="16"/>
      <c r="MAY38" s="16"/>
      <c r="MAZ38" s="16"/>
      <c r="MBA38" s="16"/>
      <c r="MBB38" s="16"/>
      <c r="MBC38" s="16"/>
      <c r="MBD38" s="16"/>
      <c r="MBE38" s="16"/>
      <c r="MBF38" s="16"/>
      <c r="MBG38" s="16"/>
      <c r="MBH38" s="16"/>
      <c r="MBI38" s="16"/>
      <c r="MBJ38" s="16"/>
      <c r="MBK38" s="16"/>
      <c r="MBL38" s="16"/>
      <c r="MBM38" s="16"/>
      <c r="MBN38" s="16"/>
      <c r="MBO38" s="16"/>
      <c r="MBP38" s="16"/>
      <c r="MBQ38" s="16"/>
      <c r="MBR38" s="16"/>
      <c r="MBS38" s="16"/>
      <c r="MBT38" s="16"/>
      <c r="MBU38" s="16"/>
      <c r="MBV38" s="16"/>
      <c r="MBW38" s="16"/>
      <c r="MBX38" s="16"/>
      <c r="MBY38" s="16"/>
      <c r="MBZ38" s="16"/>
      <c r="MCA38" s="16"/>
      <c r="MCB38" s="16"/>
      <c r="MCC38" s="16"/>
      <c r="MCD38" s="16"/>
      <c r="MCE38" s="16"/>
      <c r="MCF38" s="16"/>
      <c r="MCG38" s="16"/>
      <c r="MCH38" s="16"/>
      <c r="MCI38" s="16"/>
      <c r="MCJ38" s="16"/>
      <c r="MCK38" s="16"/>
      <c r="MCL38" s="16"/>
      <c r="MCM38" s="16"/>
      <c r="MCN38" s="16"/>
      <c r="MCO38" s="16"/>
      <c r="MCP38" s="16"/>
      <c r="MCQ38" s="16"/>
      <c r="MCR38" s="16"/>
      <c r="MCS38" s="16"/>
      <c r="MCT38" s="16"/>
      <c r="MCU38" s="16"/>
      <c r="MCV38" s="16"/>
      <c r="MCW38" s="16"/>
      <c r="MCX38" s="16"/>
      <c r="MCY38" s="16"/>
      <c r="MCZ38" s="16"/>
      <c r="MDA38" s="16"/>
      <c r="MDB38" s="16"/>
      <c r="MDC38" s="16"/>
      <c r="MDD38" s="16"/>
      <c r="MDE38" s="16"/>
      <c r="MDF38" s="16"/>
      <c r="MDG38" s="16"/>
      <c r="MDH38" s="16"/>
      <c r="MDI38" s="16"/>
      <c r="MDJ38" s="16"/>
      <c r="MDK38" s="16"/>
      <c r="MDL38" s="16"/>
      <c r="MDM38" s="16"/>
      <c r="MDN38" s="16"/>
      <c r="MDO38" s="16"/>
      <c r="MDP38" s="16"/>
      <c r="MDQ38" s="16"/>
      <c r="MDR38" s="16"/>
      <c r="MDS38" s="16"/>
      <c r="MDT38" s="16"/>
      <c r="MDU38" s="16"/>
      <c r="MDV38" s="16"/>
      <c r="MDW38" s="16"/>
      <c r="MDX38" s="16"/>
      <c r="MDY38" s="16"/>
      <c r="MDZ38" s="16"/>
      <c r="MEA38" s="16"/>
      <c r="MEB38" s="16"/>
      <c r="MEC38" s="16"/>
      <c r="MED38" s="16"/>
      <c r="MEE38" s="16"/>
      <c r="MEF38" s="16"/>
      <c r="MEG38" s="16"/>
      <c r="MEH38" s="16"/>
      <c r="MEI38" s="16"/>
      <c r="MEJ38" s="16"/>
      <c r="MEK38" s="16"/>
      <c r="MEL38" s="16"/>
      <c r="MEM38" s="16"/>
      <c r="MEN38" s="16"/>
      <c r="MEO38" s="16"/>
      <c r="MEP38" s="16"/>
      <c r="MEQ38" s="16"/>
      <c r="MER38" s="16"/>
      <c r="MES38" s="16"/>
      <c r="MET38" s="16"/>
      <c r="MEU38" s="16"/>
      <c r="MEV38" s="16"/>
      <c r="MEW38" s="16"/>
      <c r="MEX38" s="16"/>
      <c r="MEY38" s="16"/>
      <c r="MEZ38" s="16"/>
      <c r="MFA38" s="16"/>
      <c r="MFB38" s="16"/>
      <c r="MFC38" s="16"/>
      <c r="MFD38" s="16"/>
      <c r="MFE38" s="16"/>
      <c r="MFF38" s="16"/>
      <c r="MFG38" s="16"/>
      <c r="MFH38" s="16"/>
      <c r="MFI38" s="16"/>
      <c r="MFJ38" s="16"/>
      <c r="MFK38" s="16"/>
      <c r="MFL38" s="16"/>
      <c r="MFM38" s="16"/>
      <c r="MFN38" s="16"/>
      <c r="MFO38" s="16"/>
      <c r="MFP38" s="16"/>
      <c r="MFQ38" s="16"/>
      <c r="MFR38" s="16"/>
      <c r="MFS38" s="16"/>
      <c r="MFT38" s="16"/>
      <c r="MFU38" s="16"/>
      <c r="MFV38" s="16"/>
      <c r="MFW38" s="16"/>
      <c r="MFX38" s="16"/>
      <c r="MFY38" s="16"/>
      <c r="MFZ38" s="16"/>
      <c r="MGA38" s="16"/>
      <c r="MGB38" s="16"/>
      <c r="MGC38" s="16"/>
      <c r="MGD38" s="16"/>
      <c r="MGE38" s="16"/>
      <c r="MGF38" s="16"/>
      <c r="MGG38" s="16"/>
      <c r="MGH38" s="16"/>
      <c r="MGI38" s="16"/>
      <c r="MGJ38" s="16"/>
      <c r="MGK38" s="16"/>
      <c r="MGL38" s="16"/>
      <c r="MGM38" s="16"/>
      <c r="MGN38" s="16"/>
      <c r="MGO38" s="16"/>
      <c r="MGP38" s="16"/>
      <c r="MGQ38" s="16"/>
      <c r="MGR38" s="16"/>
      <c r="MGS38" s="16"/>
      <c r="MGT38" s="16"/>
      <c r="MGU38" s="16"/>
      <c r="MGV38" s="16"/>
      <c r="MGW38" s="16"/>
      <c r="MGX38" s="16"/>
      <c r="MGY38" s="16"/>
      <c r="MGZ38" s="16"/>
      <c r="MHA38" s="16"/>
      <c r="MHB38" s="16"/>
      <c r="MHC38" s="16"/>
      <c r="MHD38" s="16"/>
      <c r="MHE38" s="16"/>
      <c r="MHF38" s="16"/>
      <c r="MHG38" s="16"/>
      <c r="MHH38" s="16"/>
      <c r="MHI38" s="16"/>
      <c r="MHJ38" s="16"/>
      <c r="MHK38" s="16"/>
      <c r="MHL38" s="16"/>
      <c r="MHM38" s="16"/>
      <c r="MHN38" s="16"/>
      <c r="MHO38" s="16"/>
      <c r="MHP38" s="16"/>
      <c r="MHQ38" s="16"/>
      <c r="MHR38" s="16"/>
      <c r="MHS38" s="16"/>
      <c r="MHT38" s="16"/>
      <c r="MHU38" s="16"/>
      <c r="MHV38" s="16"/>
      <c r="MHW38" s="16"/>
      <c r="MHX38" s="16"/>
      <c r="MHY38" s="16"/>
      <c r="MHZ38" s="16"/>
      <c r="MIA38" s="16"/>
      <c r="MIB38" s="16"/>
      <c r="MIC38" s="16"/>
      <c r="MID38" s="16"/>
      <c r="MIE38" s="16"/>
      <c r="MIF38" s="16"/>
      <c r="MIG38" s="16"/>
      <c r="MIH38" s="16"/>
      <c r="MII38" s="16"/>
      <c r="MIJ38" s="16"/>
      <c r="MIK38" s="16"/>
      <c r="MIL38" s="16"/>
      <c r="MIM38" s="16"/>
      <c r="MIN38" s="16"/>
      <c r="MIO38" s="16"/>
      <c r="MIP38" s="16"/>
      <c r="MIQ38" s="16"/>
      <c r="MIR38" s="16"/>
      <c r="MIS38" s="16"/>
      <c r="MIT38" s="16"/>
      <c r="MIU38" s="16"/>
      <c r="MIV38" s="16"/>
      <c r="MIW38" s="16"/>
      <c r="MIX38" s="16"/>
      <c r="MIY38" s="16"/>
      <c r="MIZ38" s="16"/>
      <c r="MJA38" s="16"/>
      <c r="MJB38" s="16"/>
      <c r="MJC38" s="16"/>
      <c r="MJD38" s="16"/>
      <c r="MJE38" s="16"/>
      <c r="MJF38" s="16"/>
      <c r="MJG38" s="16"/>
      <c r="MJH38" s="16"/>
      <c r="MJI38" s="16"/>
      <c r="MJJ38" s="16"/>
      <c r="MJK38" s="16"/>
      <c r="MJL38" s="16"/>
      <c r="MJM38" s="16"/>
      <c r="MJN38" s="16"/>
      <c r="MJO38" s="16"/>
      <c r="MJP38" s="16"/>
      <c r="MJQ38" s="16"/>
      <c r="MJR38" s="16"/>
      <c r="MJS38" s="16"/>
      <c r="MJT38" s="16"/>
      <c r="MJU38" s="16"/>
      <c r="MJV38" s="16"/>
      <c r="MJW38" s="16"/>
      <c r="MJX38" s="16"/>
      <c r="MJY38" s="16"/>
      <c r="MJZ38" s="16"/>
      <c r="MKA38" s="16"/>
      <c r="MKB38" s="16"/>
      <c r="MKC38" s="16"/>
      <c r="MKD38" s="16"/>
      <c r="MKE38" s="16"/>
      <c r="MKF38" s="16"/>
      <c r="MKG38" s="16"/>
      <c r="MKH38" s="16"/>
      <c r="MKI38" s="16"/>
      <c r="MKJ38" s="16"/>
      <c r="MKK38" s="16"/>
      <c r="MKL38" s="16"/>
      <c r="MKM38" s="16"/>
      <c r="MKN38" s="16"/>
      <c r="MKO38" s="16"/>
      <c r="MKP38" s="16"/>
      <c r="MKQ38" s="16"/>
      <c r="MKR38" s="16"/>
      <c r="MKS38" s="16"/>
      <c r="MKT38" s="16"/>
      <c r="MKU38" s="16"/>
      <c r="MKV38" s="16"/>
      <c r="MKW38" s="16"/>
      <c r="MKX38" s="16"/>
      <c r="MKY38" s="16"/>
      <c r="MKZ38" s="16"/>
      <c r="MLA38" s="16"/>
      <c r="MLB38" s="16"/>
      <c r="MLC38" s="16"/>
      <c r="MLD38" s="16"/>
      <c r="MLE38" s="16"/>
      <c r="MLF38" s="16"/>
      <c r="MLG38" s="16"/>
      <c r="MLH38" s="16"/>
      <c r="MLI38" s="16"/>
      <c r="MLJ38" s="16"/>
      <c r="MLK38" s="16"/>
      <c r="MLL38" s="16"/>
      <c r="MLM38" s="16"/>
      <c r="MLN38" s="16"/>
      <c r="MLO38" s="16"/>
      <c r="MLP38" s="16"/>
      <c r="MLQ38" s="16"/>
      <c r="MLR38" s="16"/>
      <c r="MLS38" s="16"/>
      <c r="MLT38" s="16"/>
      <c r="MLU38" s="16"/>
      <c r="MLV38" s="16"/>
      <c r="MLW38" s="16"/>
      <c r="MLX38" s="16"/>
      <c r="MLY38" s="16"/>
      <c r="MLZ38" s="16"/>
      <c r="MMA38" s="16"/>
      <c r="MMB38" s="16"/>
      <c r="MMC38" s="16"/>
      <c r="MMD38" s="16"/>
      <c r="MME38" s="16"/>
      <c r="MMF38" s="16"/>
      <c r="MMG38" s="16"/>
      <c r="MMH38" s="16"/>
      <c r="MMI38" s="16"/>
      <c r="MMJ38" s="16"/>
      <c r="MMK38" s="16"/>
      <c r="MML38" s="16"/>
      <c r="MMM38" s="16"/>
      <c r="MMN38" s="16"/>
      <c r="MMO38" s="16"/>
      <c r="MMP38" s="16"/>
      <c r="MMQ38" s="16"/>
      <c r="MMR38" s="16"/>
      <c r="MMS38" s="16"/>
      <c r="MMT38" s="16"/>
      <c r="MMU38" s="16"/>
      <c r="MMV38" s="16"/>
      <c r="MMW38" s="16"/>
      <c r="MMX38" s="16"/>
      <c r="MMY38" s="16"/>
      <c r="MMZ38" s="16"/>
      <c r="MNA38" s="16"/>
      <c r="MNB38" s="16"/>
      <c r="MNC38" s="16"/>
      <c r="MND38" s="16"/>
      <c r="MNE38" s="16"/>
      <c r="MNF38" s="16"/>
      <c r="MNG38" s="16"/>
      <c r="MNH38" s="16"/>
      <c r="MNI38" s="16"/>
      <c r="MNJ38" s="16"/>
      <c r="MNK38" s="16"/>
      <c r="MNL38" s="16"/>
      <c r="MNM38" s="16"/>
      <c r="MNN38" s="16"/>
      <c r="MNO38" s="16"/>
      <c r="MNP38" s="16"/>
      <c r="MNQ38" s="16"/>
      <c r="MNR38" s="16"/>
      <c r="MNS38" s="16"/>
      <c r="MNT38" s="16"/>
      <c r="MNU38" s="16"/>
      <c r="MNV38" s="16"/>
      <c r="MNW38" s="16"/>
      <c r="MNX38" s="16"/>
      <c r="MNY38" s="16"/>
      <c r="MNZ38" s="16"/>
      <c r="MOA38" s="16"/>
      <c r="MOB38" s="16"/>
      <c r="MOC38" s="16"/>
      <c r="MOD38" s="16"/>
      <c r="MOE38" s="16"/>
      <c r="MOF38" s="16"/>
      <c r="MOG38" s="16"/>
      <c r="MOH38" s="16"/>
      <c r="MOI38" s="16"/>
      <c r="MOJ38" s="16"/>
      <c r="MOK38" s="16"/>
      <c r="MOL38" s="16"/>
      <c r="MOM38" s="16"/>
      <c r="MON38" s="16"/>
      <c r="MOO38" s="16"/>
      <c r="MOP38" s="16"/>
      <c r="MOQ38" s="16"/>
      <c r="MOR38" s="16"/>
      <c r="MOS38" s="16"/>
      <c r="MOT38" s="16"/>
      <c r="MOU38" s="16"/>
      <c r="MOV38" s="16"/>
      <c r="MOW38" s="16"/>
      <c r="MOX38" s="16"/>
      <c r="MOY38" s="16"/>
      <c r="MOZ38" s="16"/>
      <c r="MPA38" s="16"/>
      <c r="MPB38" s="16"/>
      <c r="MPC38" s="16"/>
      <c r="MPD38" s="16"/>
      <c r="MPE38" s="16"/>
      <c r="MPF38" s="16"/>
      <c r="MPG38" s="16"/>
      <c r="MPH38" s="16"/>
      <c r="MPI38" s="16"/>
      <c r="MPJ38" s="16"/>
      <c r="MPK38" s="16"/>
      <c r="MPL38" s="16"/>
      <c r="MPM38" s="16"/>
      <c r="MPN38" s="16"/>
      <c r="MPO38" s="16"/>
      <c r="MPP38" s="16"/>
      <c r="MPQ38" s="16"/>
      <c r="MPR38" s="16"/>
      <c r="MPS38" s="16"/>
      <c r="MPT38" s="16"/>
      <c r="MPU38" s="16"/>
      <c r="MPV38" s="16"/>
      <c r="MPW38" s="16"/>
      <c r="MPX38" s="16"/>
      <c r="MPY38" s="16"/>
      <c r="MPZ38" s="16"/>
      <c r="MQA38" s="16"/>
      <c r="MQB38" s="16"/>
      <c r="MQC38" s="16"/>
      <c r="MQD38" s="16"/>
      <c r="MQE38" s="16"/>
      <c r="MQF38" s="16"/>
      <c r="MQG38" s="16"/>
      <c r="MQH38" s="16"/>
      <c r="MQI38" s="16"/>
      <c r="MQJ38" s="16"/>
      <c r="MQK38" s="16"/>
      <c r="MQL38" s="16"/>
      <c r="MQM38" s="16"/>
      <c r="MQN38" s="16"/>
      <c r="MQO38" s="16"/>
      <c r="MQP38" s="16"/>
      <c r="MQQ38" s="16"/>
      <c r="MQR38" s="16"/>
      <c r="MQS38" s="16"/>
      <c r="MQT38" s="16"/>
      <c r="MQU38" s="16"/>
      <c r="MQV38" s="16"/>
      <c r="MQW38" s="16"/>
      <c r="MQX38" s="16"/>
      <c r="MQY38" s="16"/>
      <c r="MQZ38" s="16"/>
      <c r="MRA38" s="16"/>
      <c r="MRB38" s="16"/>
      <c r="MRC38" s="16"/>
      <c r="MRD38" s="16"/>
      <c r="MRE38" s="16"/>
      <c r="MRF38" s="16"/>
      <c r="MRG38" s="16"/>
      <c r="MRH38" s="16"/>
      <c r="MRI38" s="16"/>
      <c r="MRJ38" s="16"/>
      <c r="MRK38" s="16"/>
      <c r="MRL38" s="16"/>
      <c r="MRM38" s="16"/>
      <c r="MRN38" s="16"/>
      <c r="MRO38" s="16"/>
      <c r="MRP38" s="16"/>
      <c r="MRQ38" s="16"/>
      <c r="MRR38" s="16"/>
      <c r="MRS38" s="16"/>
      <c r="MRT38" s="16"/>
      <c r="MRU38" s="16"/>
      <c r="MRV38" s="16"/>
      <c r="MRW38" s="16"/>
      <c r="MRX38" s="16"/>
      <c r="MRY38" s="16"/>
      <c r="MRZ38" s="16"/>
      <c r="MSA38" s="16"/>
      <c r="MSB38" s="16"/>
      <c r="MSC38" s="16"/>
      <c r="MSD38" s="16"/>
      <c r="MSE38" s="16"/>
      <c r="MSF38" s="16"/>
      <c r="MSG38" s="16"/>
      <c r="MSH38" s="16"/>
      <c r="MSI38" s="16"/>
      <c r="MSJ38" s="16"/>
      <c r="MSK38" s="16"/>
      <c r="MSL38" s="16"/>
      <c r="MSM38" s="16"/>
      <c r="MSN38" s="16"/>
      <c r="MSO38" s="16"/>
      <c r="MSP38" s="16"/>
      <c r="MSQ38" s="16"/>
      <c r="MSR38" s="16"/>
      <c r="MSS38" s="16"/>
      <c r="MST38" s="16"/>
      <c r="MSU38" s="16"/>
      <c r="MSV38" s="16"/>
      <c r="MSW38" s="16"/>
      <c r="MSX38" s="16"/>
      <c r="MSY38" s="16"/>
      <c r="MSZ38" s="16"/>
      <c r="MTA38" s="16"/>
      <c r="MTB38" s="16"/>
      <c r="MTC38" s="16"/>
      <c r="MTD38" s="16"/>
      <c r="MTE38" s="16"/>
      <c r="MTF38" s="16"/>
      <c r="MTG38" s="16"/>
      <c r="MTH38" s="16"/>
      <c r="MTI38" s="16"/>
      <c r="MTJ38" s="16"/>
      <c r="MTK38" s="16"/>
      <c r="MTL38" s="16"/>
      <c r="MTM38" s="16"/>
      <c r="MTN38" s="16"/>
      <c r="MTO38" s="16"/>
      <c r="MTP38" s="16"/>
      <c r="MTQ38" s="16"/>
      <c r="MTR38" s="16"/>
      <c r="MTS38" s="16"/>
      <c r="MTT38" s="16"/>
      <c r="MTU38" s="16"/>
      <c r="MTV38" s="16"/>
      <c r="MTW38" s="16"/>
      <c r="MTX38" s="16"/>
      <c r="MTY38" s="16"/>
      <c r="MTZ38" s="16"/>
      <c r="MUA38" s="16"/>
      <c r="MUB38" s="16"/>
      <c r="MUC38" s="16"/>
      <c r="MUD38" s="16"/>
      <c r="MUE38" s="16"/>
      <c r="MUF38" s="16"/>
      <c r="MUG38" s="16"/>
      <c r="MUH38" s="16"/>
      <c r="MUI38" s="16"/>
      <c r="MUJ38" s="16"/>
      <c r="MUK38" s="16"/>
      <c r="MUL38" s="16"/>
      <c r="MUM38" s="16"/>
      <c r="MUN38" s="16"/>
      <c r="MUO38" s="16"/>
      <c r="MUP38" s="16"/>
      <c r="MUQ38" s="16"/>
      <c r="MUR38" s="16"/>
      <c r="MUS38" s="16"/>
      <c r="MUT38" s="16"/>
      <c r="MUU38" s="16"/>
      <c r="MUV38" s="16"/>
      <c r="MUW38" s="16"/>
      <c r="MUX38" s="16"/>
      <c r="MUY38" s="16"/>
      <c r="MUZ38" s="16"/>
      <c r="MVA38" s="16"/>
      <c r="MVB38" s="16"/>
      <c r="MVC38" s="16"/>
      <c r="MVD38" s="16"/>
      <c r="MVE38" s="16"/>
      <c r="MVF38" s="16"/>
      <c r="MVG38" s="16"/>
      <c r="MVH38" s="16"/>
      <c r="MVI38" s="16"/>
      <c r="MVJ38" s="16"/>
      <c r="MVK38" s="16"/>
      <c r="MVL38" s="16"/>
      <c r="MVM38" s="16"/>
      <c r="MVN38" s="16"/>
      <c r="MVO38" s="16"/>
      <c r="MVP38" s="16"/>
      <c r="MVQ38" s="16"/>
      <c r="MVR38" s="16"/>
      <c r="MVS38" s="16"/>
      <c r="MVT38" s="16"/>
      <c r="MVU38" s="16"/>
      <c r="MVV38" s="16"/>
      <c r="MVW38" s="16"/>
      <c r="MVX38" s="16"/>
      <c r="MVY38" s="16"/>
      <c r="MVZ38" s="16"/>
      <c r="MWA38" s="16"/>
      <c r="MWB38" s="16"/>
      <c r="MWC38" s="16"/>
      <c r="MWD38" s="16"/>
      <c r="MWE38" s="16"/>
      <c r="MWF38" s="16"/>
      <c r="MWG38" s="16"/>
      <c r="MWH38" s="16"/>
      <c r="MWI38" s="16"/>
      <c r="MWJ38" s="16"/>
      <c r="MWK38" s="16"/>
      <c r="MWL38" s="16"/>
      <c r="MWM38" s="16"/>
      <c r="MWN38" s="16"/>
      <c r="MWO38" s="16"/>
      <c r="MWP38" s="16"/>
      <c r="MWQ38" s="16"/>
      <c r="MWR38" s="16"/>
      <c r="MWS38" s="16"/>
      <c r="MWT38" s="16"/>
      <c r="MWU38" s="16"/>
      <c r="MWV38" s="16"/>
      <c r="MWW38" s="16"/>
      <c r="MWX38" s="16"/>
      <c r="MWY38" s="16"/>
      <c r="MWZ38" s="16"/>
      <c r="MXA38" s="16"/>
      <c r="MXB38" s="16"/>
      <c r="MXC38" s="16"/>
      <c r="MXD38" s="16"/>
      <c r="MXE38" s="16"/>
      <c r="MXF38" s="16"/>
      <c r="MXG38" s="16"/>
      <c r="MXH38" s="16"/>
      <c r="MXI38" s="16"/>
      <c r="MXJ38" s="16"/>
      <c r="MXK38" s="16"/>
      <c r="MXL38" s="16"/>
      <c r="MXM38" s="16"/>
      <c r="MXN38" s="16"/>
      <c r="MXO38" s="16"/>
      <c r="MXP38" s="16"/>
      <c r="MXQ38" s="16"/>
      <c r="MXR38" s="16"/>
      <c r="MXS38" s="16"/>
      <c r="MXT38" s="16"/>
      <c r="MXU38" s="16"/>
      <c r="MXV38" s="16"/>
      <c r="MXW38" s="16"/>
      <c r="MXX38" s="16"/>
      <c r="MXY38" s="16"/>
      <c r="MXZ38" s="16"/>
      <c r="MYA38" s="16"/>
      <c r="MYB38" s="16"/>
      <c r="MYC38" s="16"/>
      <c r="MYD38" s="16"/>
      <c r="MYE38" s="16"/>
      <c r="MYF38" s="16"/>
      <c r="MYG38" s="16"/>
      <c r="MYH38" s="16"/>
      <c r="MYI38" s="16"/>
      <c r="MYJ38" s="16"/>
      <c r="MYK38" s="16"/>
      <c r="MYL38" s="16"/>
      <c r="MYM38" s="16"/>
      <c r="MYN38" s="16"/>
      <c r="MYO38" s="16"/>
      <c r="MYP38" s="16"/>
      <c r="MYQ38" s="16"/>
      <c r="MYR38" s="16"/>
      <c r="MYS38" s="16"/>
      <c r="MYT38" s="16"/>
      <c r="MYU38" s="16"/>
      <c r="MYV38" s="16"/>
      <c r="MYW38" s="16"/>
      <c r="MYX38" s="16"/>
      <c r="MYY38" s="16"/>
      <c r="MYZ38" s="16"/>
      <c r="MZA38" s="16"/>
      <c r="MZB38" s="16"/>
      <c r="MZC38" s="16"/>
      <c r="MZD38" s="16"/>
      <c r="MZE38" s="16"/>
      <c r="MZF38" s="16"/>
      <c r="MZG38" s="16"/>
      <c r="MZH38" s="16"/>
      <c r="MZI38" s="16"/>
      <c r="MZJ38" s="16"/>
      <c r="MZK38" s="16"/>
      <c r="MZL38" s="16"/>
      <c r="MZM38" s="16"/>
      <c r="MZN38" s="16"/>
      <c r="MZO38" s="16"/>
      <c r="MZP38" s="16"/>
      <c r="MZQ38" s="16"/>
      <c r="MZR38" s="16"/>
      <c r="MZS38" s="16"/>
      <c r="MZT38" s="16"/>
      <c r="MZU38" s="16"/>
      <c r="MZV38" s="16"/>
      <c r="MZW38" s="16"/>
      <c r="MZX38" s="16"/>
      <c r="MZY38" s="16"/>
      <c r="MZZ38" s="16"/>
      <c r="NAA38" s="16"/>
      <c r="NAB38" s="16"/>
      <c r="NAC38" s="16"/>
      <c r="NAD38" s="16"/>
      <c r="NAE38" s="16"/>
      <c r="NAF38" s="16"/>
      <c r="NAG38" s="16"/>
      <c r="NAH38" s="16"/>
      <c r="NAI38" s="16"/>
      <c r="NAJ38" s="16"/>
      <c r="NAK38" s="16"/>
      <c r="NAL38" s="16"/>
      <c r="NAM38" s="16"/>
      <c r="NAN38" s="16"/>
      <c r="NAO38" s="16"/>
      <c r="NAP38" s="16"/>
      <c r="NAQ38" s="16"/>
      <c r="NAR38" s="16"/>
      <c r="NAS38" s="16"/>
      <c r="NAT38" s="16"/>
      <c r="NAU38" s="16"/>
      <c r="NAV38" s="16"/>
      <c r="NAW38" s="16"/>
      <c r="NAX38" s="16"/>
      <c r="NAY38" s="16"/>
      <c r="NAZ38" s="16"/>
      <c r="NBA38" s="16"/>
      <c r="NBB38" s="16"/>
      <c r="NBC38" s="16"/>
      <c r="NBD38" s="16"/>
      <c r="NBE38" s="16"/>
      <c r="NBF38" s="16"/>
      <c r="NBG38" s="16"/>
      <c r="NBH38" s="16"/>
      <c r="NBI38" s="16"/>
      <c r="NBJ38" s="16"/>
      <c r="NBK38" s="16"/>
      <c r="NBL38" s="16"/>
      <c r="NBM38" s="16"/>
      <c r="NBN38" s="16"/>
      <c r="NBO38" s="16"/>
      <c r="NBP38" s="16"/>
      <c r="NBQ38" s="16"/>
      <c r="NBR38" s="16"/>
      <c r="NBS38" s="16"/>
      <c r="NBT38" s="16"/>
      <c r="NBU38" s="16"/>
      <c r="NBV38" s="16"/>
      <c r="NBW38" s="16"/>
      <c r="NBX38" s="16"/>
      <c r="NBY38" s="16"/>
      <c r="NBZ38" s="16"/>
      <c r="NCA38" s="16"/>
      <c r="NCB38" s="16"/>
      <c r="NCC38" s="16"/>
      <c r="NCD38" s="16"/>
      <c r="NCE38" s="16"/>
      <c r="NCF38" s="16"/>
      <c r="NCG38" s="16"/>
      <c r="NCH38" s="16"/>
      <c r="NCI38" s="16"/>
      <c r="NCJ38" s="16"/>
      <c r="NCK38" s="16"/>
      <c r="NCL38" s="16"/>
      <c r="NCM38" s="16"/>
      <c r="NCN38" s="16"/>
      <c r="NCO38" s="16"/>
      <c r="NCP38" s="16"/>
      <c r="NCQ38" s="16"/>
      <c r="NCR38" s="16"/>
      <c r="NCS38" s="16"/>
      <c r="NCT38" s="16"/>
      <c r="NCU38" s="16"/>
      <c r="NCV38" s="16"/>
      <c r="NCW38" s="16"/>
      <c r="NCX38" s="16"/>
      <c r="NCY38" s="16"/>
      <c r="NCZ38" s="16"/>
      <c r="NDA38" s="16"/>
      <c r="NDB38" s="16"/>
      <c r="NDC38" s="16"/>
      <c r="NDD38" s="16"/>
      <c r="NDE38" s="16"/>
      <c r="NDF38" s="16"/>
      <c r="NDG38" s="16"/>
      <c r="NDH38" s="16"/>
      <c r="NDI38" s="16"/>
      <c r="NDJ38" s="16"/>
      <c r="NDK38" s="16"/>
      <c r="NDL38" s="16"/>
      <c r="NDM38" s="16"/>
      <c r="NDN38" s="16"/>
      <c r="NDO38" s="16"/>
      <c r="NDP38" s="16"/>
      <c r="NDQ38" s="16"/>
      <c r="NDR38" s="16"/>
      <c r="NDS38" s="16"/>
      <c r="NDT38" s="16"/>
      <c r="NDU38" s="16"/>
      <c r="NDV38" s="16"/>
      <c r="NDW38" s="16"/>
      <c r="NDX38" s="16"/>
      <c r="NDY38" s="16"/>
      <c r="NDZ38" s="16"/>
      <c r="NEA38" s="16"/>
      <c r="NEB38" s="16"/>
      <c r="NEC38" s="16"/>
      <c r="NED38" s="16"/>
      <c r="NEE38" s="16"/>
      <c r="NEF38" s="16"/>
      <c r="NEG38" s="16"/>
      <c r="NEH38" s="16"/>
      <c r="NEI38" s="16"/>
      <c r="NEJ38" s="16"/>
      <c r="NEK38" s="16"/>
      <c r="NEL38" s="16"/>
      <c r="NEM38" s="16"/>
      <c r="NEN38" s="16"/>
      <c r="NEO38" s="16"/>
      <c r="NEP38" s="16"/>
      <c r="NEQ38" s="16"/>
      <c r="NER38" s="16"/>
      <c r="NES38" s="16"/>
      <c r="NET38" s="16"/>
      <c r="NEU38" s="16"/>
      <c r="NEV38" s="16"/>
      <c r="NEW38" s="16"/>
      <c r="NEX38" s="16"/>
      <c r="NEY38" s="16"/>
      <c r="NEZ38" s="16"/>
      <c r="NFA38" s="16"/>
      <c r="NFB38" s="16"/>
      <c r="NFC38" s="16"/>
      <c r="NFD38" s="16"/>
      <c r="NFE38" s="16"/>
      <c r="NFF38" s="16"/>
      <c r="NFG38" s="16"/>
      <c r="NFH38" s="16"/>
      <c r="NFI38" s="16"/>
      <c r="NFJ38" s="16"/>
      <c r="NFK38" s="16"/>
      <c r="NFL38" s="16"/>
      <c r="NFM38" s="16"/>
      <c r="NFN38" s="16"/>
      <c r="NFO38" s="16"/>
      <c r="NFP38" s="16"/>
      <c r="NFQ38" s="16"/>
      <c r="NFR38" s="16"/>
      <c r="NFS38" s="16"/>
      <c r="NFT38" s="16"/>
      <c r="NFU38" s="16"/>
      <c r="NFV38" s="16"/>
      <c r="NFW38" s="16"/>
      <c r="NFX38" s="16"/>
      <c r="NFY38" s="16"/>
      <c r="NFZ38" s="16"/>
      <c r="NGA38" s="16"/>
      <c r="NGB38" s="16"/>
      <c r="NGC38" s="16"/>
      <c r="NGD38" s="16"/>
      <c r="NGE38" s="16"/>
      <c r="NGF38" s="16"/>
      <c r="NGG38" s="16"/>
      <c r="NGH38" s="16"/>
      <c r="NGI38" s="16"/>
      <c r="NGJ38" s="16"/>
      <c r="NGK38" s="16"/>
      <c r="NGL38" s="16"/>
      <c r="NGM38" s="16"/>
      <c r="NGN38" s="16"/>
      <c r="NGO38" s="16"/>
      <c r="NGP38" s="16"/>
      <c r="NGQ38" s="16"/>
      <c r="NGR38" s="16"/>
      <c r="NGS38" s="16"/>
      <c r="NGT38" s="16"/>
      <c r="NGU38" s="16"/>
      <c r="NGV38" s="16"/>
      <c r="NGW38" s="16"/>
      <c r="NGX38" s="16"/>
      <c r="NGY38" s="16"/>
      <c r="NGZ38" s="16"/>
      <c r="NHA38" s="16"/>
      <c r="NHB38" s="16"/>
      <c r="NHC38" s="16"/>
      <c r="NHD38" s="16"/>
      <c r="NHE38" s="16"/>
      <c r="NHF38" s="16"/>
      <c r="NHG38" s="16"/>
      <c r="NHH38" s="16"/>
      <c r="NHI38" s="16"/>
      <c r="NHJ38" s="16"/>
      <c r="NHK38" s="16"/>
      <c r="NHL38" s="16"/>
      <c r="NHM38" s="16"/>
      <c r="NHN38" s="16"/>
      <c r="NHO38" s="16"/>
      <c r="NHP38" s="16"/>
      <c r="NHQ38" s="16"/>
      <c r="NHR38" s="16"/>
      <c r="NHS38" s="16"/>
      <c r="NHT38" s="16"/>
      <c r="NHU38" s="16"/>
      <c r="NHV38" s="16"/>
      <c r="NHW38" s="16"/>
      <c r="NHX38" s="16"/>
      <c r="NHY38" s="16"/>
      <c r="NHZ38" s="16"/>
      <c r="NIA38" s="16"/>
      <c r="NIB38" s="16"/>
      <c r="NIC38" s="16"/>
      <c r="NID38" s="16"/>
      <c r="NIE38" s="16"/>
      <c r="NIF38" s="16"/>
      <c r="NIG38" s="16"/>
      <c r="NIH38" s="16"/>
      <c r="NII38" s="16"/>
      <c r="NIJ38" s="16"/>
      <c r="NIK38" s="16"/>
      <c r="NIL38" s="16"/>
      <c r="NIM38" s="16"/>
      <c r="NIN38" s="16"/>
      <c r="NIO38" s="16"/>
      <c r="NIP38" s="16"/>
      <c r="NIQ38" s="16"/>
      <c r="NIR38" s="16"/>
      <c r="NIS38" s="16"/>
      <c r="NIT38" s="16"/>
      <c r="NIU38" s="16"/>
      <c r="NIV38" s="16"/>
      <c r="NIW38" s="16"/>
      <c r="NIX38" s="16"/>
      <c r="NIY38" s="16"/>
      <c r="NIZ38" s="16"/>
      <c r="NJA38" s="16"/>
      <c r="NJB38" s="16"/>
      <c r="NJC38" s="16"/>
      <c r="NJD38" s="16"/>
      <c r="NJE38" s="16"/>
      <c r="NJF38" s="16"/>
      <c r="NJG38" s="16"/>
      <c r="NJH38" s="16"/>
      <c r="NJI38" s="16"/>
      <c r="NJJ38" s="16"/>
      <c r="NJK38" s="16"/>
      <c r="NJL38" s="16"/>
      <c r="NJM38" s="16"/>
      <c r="NJN38" s="16"/>
      <c r="NJO38" s="16"/>
      <c r="NJP38" s="16"/>
      <c r="NJQ38" s="16"/>
      <c r="NJR38" s="16"/>
      <c r="NJS38" s="16"/>
      <c r="NJT38" s="16"/>
      <c r="NJU38" s="16"/>
      <c r="NJV38" s="16"/>
      <c r="NJW38" s="16"/>
      <c r="NJX38" s="16"/>
      <c r="NJY38" s="16"/>
      <c r="NJZ38" s="16"/>
      <c r="NKA38" s="16"/>
      <c r="NKB38" s="16"/>
      <c r="NKC38" s="16"/>
      <c r="NKD38" s="16"/>
      <c r="NKE38" s="16"/>
      <c r="NKF38" s="16"/>
      <c r="NKG38" s="16"/>
      <c r="NKH38" s="16"/>
      <c r="NKI38" s="16"/>
      <c r="NKJ38" s="16"/>
      <c r="NKK38" s="16"/>
      <c r="NKL38" s="16"/>
      <c r="NKM38" s="16"/>
      <c r="NKN38" s="16"/>
      <c r="NKO38" s="16"/>
      <c r="NKP38" s="16"/>
      <c r="NKQ38" s="16"/>
      <c r="NKR38" s="16"/>
      <c r="NKS38" s="16"/>
      <c r="NKT38" s="16"/>
      <c r="NKU38" s="16"/>
      <c r="NKV38" s="16"/>
      <c r="NKW38" s="16"/>
      <c r="NKX38" s="16"/>
      <c r="NKY38" s="16"/>
      <c r="NKZ38" s="16"/>
      <c r="NLA38" s="16"/>
      <c r="NLB38" s="16"/>
      <c r="NLC38" s="16"/>
      <c r="NLD38" s="16"/>
      <c r="NLE38" s="16"/>
      <c r="NLF38" s="16"/>
      <c r="NLG38" s="16"/>
      <c r="NLH38" s="16"/>
      <c r="NLI38" s="16"/>
      <c r="NLJ38" s="16"/>
      <c r="NLK38" s="16"/>
      <c r="NLL38" s="16"/>
      <c r="NLM38" s="16"/>
      <c r="NLN38" s="16"/>
      <c r="NLO38" s="16"/>
      <c r="NLP38" s="16"/>
      <c r="NLQ38" s="16"/>
      <c r="NLR38" s="16"/>
      <c r="NLS38" s="16"/>
      <c r="NLT38" s="16"/>
      <c r="NLU38" s="16"/>
      <c r="NLV38" s="16"/>
      <c r="NLW38" s="16"/>
      <c r="NLX38" s="16"/>
      <c r="NLY38" s="16"/>
      <c r="NLZ38" s="16"/>
      <c r="NMA38" s="16"/>
      <c r="NMB38" s="16"/>
      <c r="NMC38" s="16"/>
      <c r="NMD38" s="16"/>
      <c r="NME38" s="16"/>
      <c r="NMF38" s="16"/>
      <c r="NMG38" s="16"/>
      <c r="NMH38" s="16"/>
      <c r="NMI38" s="16"/>
      <c r="NMJ38" s="16"/>
      <c r="NMK38" s="16"/>
      <c r="NML38" s="16"/>
      <c r="NMM38" s="16"/>
      <c r="NMN38" s="16"/>
      <c r="NMO38" s="16"/>
      <c r="NMP38" s="16"/>
      <c r="NMQ38" s="16"/>
      <c r="NMR38" s="16"/>
      <c r="NMS38" s="16"/>
      <c r="NMT38" s="16"/>
      <c r="NMU38" s="16"/>
      <c r="NMV38" s="16"/>
      <c r="NMW38" s="16"/>
      <c r="NMX38" s="16"/>
      <c r="NMY38" s="16"/>
      <c r="NMZ38" s="16"/>
      <c r="NNA38" s="16"/>
      <c r="NNB38" s="16"/>
      <c r="NNC38" s="16"/>
      <c r="NND38" s="16"/>
      <c r="NNE38" s="16"/>
      <c r="NNF38" s="16"/>
      <c r="NNG38" s="16"/>
      <c r="NNH38" s="16"/>
      <c r="NNI38" s="16"/>
      <c r="NNJ38" s="16"/>
      <c r="NNK38" s="16"/>
      <c r="NNL38" s="16"/>
      <c r="NNM38" s="16"/>
      <c r="NNN38" s="16"/>
      <c r="NNO38" s="16"/>
      <c r="NNP38" s="16"/>
      <c r="NNQ38" s="16"/>
      <c r="NNR38" s="16"/>
      <c r="NNS38" s="16"/>
      <c r="NNT38" s="16"/>
      <c r="NNU38" s="16"/>
      <c r="NNV38" s="16"/>
      <c r="NNW38" s="16"/>
      <c r="NNX38" s="16"/>
      <c r="NNY38" s="16"/>
      <c r="NNZ38" s="16"/>
      <c r="NOA38" s="16"/>
      <c r="NOB38" s="16"/>
      <c r="NOC38" s="16"/>
      <c r="NOD38" s="16"/>
      <c r="NOE38" s="16"/>
      <c r="NOF38" s="16"/>
      <c r="NOG38" s="16"/>
      <c r="NOH38" s="16"/>
      <c r="NOI38" s="16"/>
      <c r="NOJ38" s="16"/>
      <c r="NOK38" s="16"/>
      <c r="NOL38" s="16"/>
      <c r="NOM38" s="16"/>
      <c r="NON38" s="16"/>
      <c r="NOO38" s="16"/>
      <c r="NOP38" s="16"/>
      <c r="NOQ38" s="16"/>
      <c r="NOR38" s="16"/>
      <c r="NOS38" s="16"/>
      <c r="NOT38" s="16"/>
      <c r="NOU38" s="16"/>
      <c r="NOV38" s="16"/>
      <c r="NOW38" s="16"/>
      <c r="NOX38" s="16"/>
      <c r="NOY38" s="16"/>
      <c r="NOZ38" s="16"/>
      <c r="NPA38" s="16"/>
      <c r="NPB38" s="16"/>
      <c r="NPC38" s="16"/>
      <c r="NPD38" s="16"/>
      <c r="NPE38" s="16"/>
      <c r="NPF38" s="16"/>
      <c r="NPG38" s="16"/>
      <c r="NPH38" s="16"/>
      <c r="NPI38" s="16"/>
      <c r="NPJ38" s="16"/>
      <c r="NPK38" s="16"/>
      <c r="NPL38" s="16"/>
      <c r="NPM38" s="16"/>
      <c r="NPN38" s="16"/>
      <c r="NPO38" s="16"/>
      <c r="NPP38" s="16"/>
      <c r="NPQ38" s="16"/>
      <c r="NPR38" s="16"/>
      <c r="NPS38" s="16"/>
      <c r="NPT38" s="16"/>
      <c r="NPU38" s="16"/>
      <c r="NPV38" s="16"/>
      <c r="NPW38" s="16"/>
      <c r="NPX38" s="16"/>
      <c r="NPY38" s="16"/>
      <c r="NPZ38" s="16"/>
      <c r="NQA38" s="16"/>
      <c r="NQB38" s="16"/>
      <c r="NQC38" s="16"/>
      <c r="NQD38" s="16"/>
      <c r="NQE38" s="16"/>
      <c r="NQF38" s="16"/>
      <c r="NQG38" s="16"/>
      <c r="NQH38" s="16"/>
      <c r="NQI38" s="16"/>
      <c r="NQJ38" s="16"/>
      <c r="NQK38" s="16"/>
      <c r="NQL38" s="16"/>
      <c r="NQM38" s="16"/>
      <c r="NQN38" s="16"/>
      <c r="NQO38" s="16"/>
      <c r="NQP38" s="16"/>
      <c r="NQQ38" s="16"/>
      <c r="NQR38" s="16"/>
      <c r="NQS38" s="16"/>
      <c r="NQT38" s="16"/>
      <c r="NQU38" s="16"/>
      <c r="NQV38" s="16"/>
      <c r="NQW38" s="16"/>
      <c r="NQX38" s="16"/>
      <c r="NQY38" s="16"/>
      <c r="NQZ38" s="16"/>
      <c r="NRA38" s="16"/>
      <c r="NRB38" s="16"/>
      <c r="NRC38" s="16"/>
      <c r="NRD38" s="16"/>
      <c r="NRE38" s="16"/>
      <c r="NRF38" s="16"/>
      <c r="NRG38" s="16"/>
      <c r="NRH38" s="16"/>
      <c r="NRI38" s="16"/>
      <c r="NRJ38" s="16"/>
      <c r="NRK38" s="16"/>
      <c r="NRL38" s="16"/>
      <c r="NRM38" s="16"/>
      <c r="NRN38" s="16"/>
      <c r="NRO38" s="16"/>
      <c r="NRP38" s="16"/>
      <c r="NRQ38" s="16"/>
      <c r="NRR38" s="16"/>
      <c r="NRS38" s="16"/>
      <c r="NRT38" s="16"/>
      <c r="NRU38" s="16"/>
      <c r="NRV38" s="16"/>
      <c r="NRW38" s="16"/>
      <c r="NRX38" s="16"/>
      <c r="NRY38" s="16"/>
      <c r="NRZ38" s="16"/>
      <c r="NSA38" s="16"/>
      <c r="NSB38" s="16"/>
      <c r="NSC38" s="16"/>
      <c r="NSD38" s="16"/>
      <c r="NSE38" s="16"/>
      <c r="NSF38" s="16"/>
      <c r="NSG38" s="16"/>
      <c r="NSH38" s="16"/>
      <c r="NSI38" s="16"/>
      <c r="NSJ38" s="16"/>
      <c r="NSK38" s="16"/>
      <c r="NSL38" s="16"/>
      <c r="NSM38" s="16"/>
      <c r="NSN38" s="16"/>
      <c r="NSO38" s="16"/>
      <c r="NSP38" s="16"/>
      <c r="NSQ38" s="16"/>
      <c r="NSR38" s="16"/>
      <c r="NSS38" s="16"/>
      <c r="NST38" s="16"/>
      <c r="NSU38" s="16"/>
      <c r="NSV38" s="16"/>
      <c r="NSW38" s="16"/>
      <c r="NSX38" s="16"/>
      <c r="NSY38" s="16"/>
      <c r="NSZ38" s="16"/>
      <c r="NTA38" s="16"/>
      <c r="NTB38" s="16"/>
      <c r="NTC38" s="16"/>
      <c r="NTD38" s="16"/>
      <c r="NTE38" s="16"/>
      <c r="NTF38" s="16"/>
      <c r="NTG38" s="16"/>
      <c r="NTH38" s="16"/>
      <c r="NTI38" s="16"/>
      <c r="NTJ38" s="16"/>
      <c r="NTK38" s="16"/>
      <c r="NTL38" s="16"/>
      <c r="NTM38" s="16"/>
      <c r="NTN38" s="16"/>
      <c r="NTO38" s="16"/>
      <c r="NTP38" s="16"/>
      <c r="NTQ38" s="16"/>
      <c r="NTR38" s="16"/>
      <c r="NTS38" s="16"/>
      <c r="NTT38" s="16"/>
      <c r="NTU38" s="16"/>
      <c r="NTV38" s="16"/>
      <c r="NTW38" s="16"/>
      <c r="NTX38" s="16"/>
      <c r="NTY38" s="16"/>
      <c r="NTZ38" s="16"/>
      <c r="NUA38" s="16"/>
      <c r="NUB38" s="16"/>
      <c r="NUC38" s="16"/>
      <c r="NUD38" s="16"/>
      <c r="NUE38" s="16"/>
      <c r="NUF38" s="16"/>
      <c r="NUG38" s="16"/>
      <c r="NUH38" s="16"/>
      <c r="NUI38" s="16"/>
      <c r="NUJ38" s="16"/>
      <c r="NUK38" s="16"/>
      <c r="NUL38" s="16"/>
      <c r="NUM38" s="16"/>
      <c r="NUN38" s="16"/>
      <c r="NUO38" s="16"/>
      <c r="NUP38" s="16"/>
      <c r="NUQ38" s="16"/>
      <c r="NUR38" s="16"/>
      <c r="NUS38" s="16"/>
      <c r="NUT38" s="16"/>
      <c r="NUU38" s="16"/>
      <c r="NUV38" s="16"/>
      <c r="NUW38" s="16"/>
      <c r="NUX38" s="16"/>
      <c r="NUY38" s="16"/>
      <c r="NUZ38" s="16"/>
      <c r="NVA38" s="16"/>
      <c r="NVB38" s="16"/>
      <c r="NVC38" s="16"/>
      <c r="NVD38" s="16"/>
      <c r="NVE38" s="16"/>
      <c r="NVF38" s="16"/>
      <c r="NVG38" s="16"/>
      <c r="NVH38" s="16"/>
      <c r="NVI38" s="16"/>
      <c r="NVJ38" s="16"/>
      <c r="NVK38" s="16"/>
      <c r="NVL38" s="16"/>
      <c r="NVM38" s="16"/>
      <c r="NVN38" s="16"/>
      <c r="NVO38" s="16"/>
      <c r="NVP38" s="16"/>
      <c r="NVQ38" s="16"/>
      <c r="NVR38" s="16"/>
      <c r="NVS38" s="16"/>
      <c r="NVT38" s="16"/>
      <c r="NVU38" s="16"/>
      <c r="NVV38" s="16"/>
      <c r="NVW38" s="16"/>
      <c r="NVX38" s="16"/>
      <c r="NVY38" s="16"/>
      <c r="NVZ38" s="16"/>
      <c r="NWA38" s="16"/>
      <c r="NWB38" s="16"/>
      <c r="NWC38" s="16"/>
      <c r="NWD38" s="16"/>
      <c r="NWE38" s="16"/>
      <c r="NWF38" s="16"/>
      <c r="NWG38" s="16"/>
      <c r="NWH38" s="16"/>
      <c r="NWI38" s="16"/>
      <c r="NWJ38" s="16"/>
      <c r="NWK38" s="16"/>
      <c r="NWL38" s="16"/>
      <c r="NWM38" s="16"/>
      <c r="NWN38" s="16"/>
      <c r="NWO38" s="16"/>
      <c r="NWP38" s="16"/>
      <c r="NWQ38" s="16"/>
      <c r="NWR38" s="16"/>
      <c r="NWS38" s="16"/>
      <c r="NWT38" s="16"/>
      <c r="NWU38" s="16"/>
      <c r="NWV38" s="16"/>
      <c r="NWW38" s="16"/>
      <c r="NWX38" s="16"/>
      <c r="NWY38" s="16"/>
      <c r="NWZ38" s="16"/>
      <c r="NXA38" s="16"/>
      <c r="NXB38" s="16"/>
      <c r="NXC38" s="16"/>
      <c r="NXD38" s="16"/>
      <c r="NXE38" s="16"/>
      <c r="NXF38" s="16"/>
      <c r="NXG38" s="16"/>
      <c r="NXH38" s="16"/>
      <c r="NXI38" s="16"/>
      <c r="NXJ38" s="16"/>
      <c r="NXK38" s="16"/>
      <c r="NXL38" s="16"/>
      <c r="NXM38" s="16"/>
      <c r="NXN38" s="16"/>
      <c r="NXO38" s="16"/>
      <c r="NXP38" s="16"/>
      <c r="NXQ38" s="16"/>
      <c r="NXR38" s="16"/>
      <c r="NXS38" s="16"/>
      <c r="NXT38" s="16"/>
      <c r="NXU38" s="16"/>
      <c r="NXV38" s="16"/>
      <c r="NXW38" s="16"/>
      <c r="NXX38" s="16"/>
      <c r="NXY38" s="16"/>
      <c r="NXZ38" s="16"/>
      <c r="NYA38" s="16"/>
      <c r="NYB38" s="16"/>
      <c r="NYC38" s="16"/>
      <c r="NYD38" s="16"/>
      <c r="NYE38" s="16"/>
      <c r="NYF38" s="16"/>
      <c r="NYG38" s="16"/>
      <c r="NYH38" s="16"/>
      <c r="NYI38" s="16"/>
      <c r="NYJ38" s="16"/>
      <c r="NYK38" s="16"/>
      <c r="NYL38" s="16"/>
      <c r="NYM38" s="16"/>
      <c r="NYN38" s="16"/>
      <c r="NYO38" s="16"/>
      <c r="NYP38" s="16"/>
      <c r="NYQ38" s="16"/>
      <c r="NYR38" s="16"/>
      <c r="NYS38" s="16"/>
      <c r="NYT38" s="16"/>
      <c r="NYU38" s="16"/>
      <c r="NYV38" s="16"/>
      <c r="NYW38" s="16"/>
      <c r="NYX38" s="16"/>
      <c r="NYY38" s="16"/>
      <c r="NYZ38" s="16"/>
      <c r="NZA38" s="16"/>
      <c r="NZB38" s="16"/>
      <c r="NZC38" s="16"/>
      <c r="NZD38" s="16"/>
      <c r="NZE38" s="16"/>
      <c r="NZF38" s="16"/>
      <c r="NZG38" s="16"/>
      <c r="NZH38" s="16"/>
      <c r="NZI38" s="16"/>
      <c r="NZJ38" s="16"/>
      <c r="NZK38" s="16"/>
      <c r="NZL38" s="16"/>
      <c r="NZM38" s="16"/>
      <c r="NZN38" s="16"/>
      <c r="NZO38" s="16"/>
      <c r="NZP38" s="16"/>
      <c r="NZQ38" s="16"/>
      <c r="NZR38" s="16"/>
      <c r="NZS38" s="16"/>
      <c r="NZT38" s="16"/>
      <c r="NZU38" s="16"/>
      <c r="NZV38" s="16"/>
      <c r="NZW38" s="16"/>
      <c r="NZX38" s="16"/>
      <c r="NZY38" s="16"/>
      <c r="NZZ38" s="16"/>
      <c r="OAA38" s="16"/>
      <c r="OAB38" s="16"/>
      <c r="OAC38" s="16"/>
      <c r="OAD38" s="16"/>
      <c r="OAE38" s="16"/>
      <c r="OAF38" s="16"/>
      <c r="OAG38" s="16"/>
      <c r="OAH38" s="16"/>
      <c r="OAI38" s="16"/>
      <c r="OAJ38" s="16"/>
      <c r="OAK38" s="16"/>
      <c r="OAL38" s="16"/>
      <c r="OAM38" s="16"/>
      <c r="OAN38" s="16"/>
      <c r="OAO38" s="16"/>
      <c r="OAP38" s="16"/>
      <c r="OAQ38" s="16"/>
      <c r="OAR38" s="16"/>
      <c r="OAS38" s="16"/>
      <c r="OAT38" s="16"/>
      <c r="OAU38" s="16"/>
      <c r="OAV38" s="16"/>
      <c r="OAW38" s="16"/>
      <c r="OAX38" s="16"/>
      <c r="OAY38" s="16"/>
      <c r="OAZ38" s="16"/>
      <c r="OBA38" s="16"/>
      <c r="OBB38" s="16"/>
      <c r="OBC38" s="16"/>
      <c r="OBD38" s="16"/>
      <c r="OBE38" s="16"/>
      <c r="OBF38" s="16"/>
      <c r="OBG38" s="16"/>
      <c r="OBH38" s="16"/>
      <c r="OBI38" s="16"/>
      <c r="OBJ38" s="16"/>
      <c r="OBK38" s="16"/>
      <c r="OBL38" s="16"/>
      <c r="OBM38" s="16"/>
      <c r="OBN38" s="16"/>
      <c r="OBO38" s="16"/>
      <c r="OBP38" s="16"/>
      <c r="OBQ38" s="16"/>
      <c r="OBR38" s="16"/>
      <c r="OBS38" s="16"/>
      <c r="OBT38" s="16"/>
      <c r="OBU38" s="16"/>
      <c r="OBV38" s="16"/>
      <c r="OBW38" s="16"/>
      <c r="OBX38" s="16"/>
      <c r="OBY38" s="16"/>
      <c r="OBZ38" s="16"/>
      <c r="OCA38" s="16"/>
      <c r="OCB38" s="16"/>
      <c r="OCC38" s="16"/>
      <c r="OCD38" s="16"/>
      <c r="OCE38" s="16"/>
      <c r="OCF38" s="16"/>
      <c r="OCG38" s="16"/>
      <c r="OCH38" s="16"/>
      <c r="OCI38" s="16"/>
      <c r="OCJ38" s="16"/>
      <c r="OCK38" s="16"/>
      <c r="OCL38" s="16"/>
      <c r="OCM38" s="16"/>
      <c r="OCN38" s="16"/>
      <c r="OCO38" s="16"/>
      <c r="OCP38" s="16"/>
      <c r="OCQ38" s="16"/>
      <c r="OCR38" s="16"/>
      <c r="OCS38" s="16"/>
      <c r="OCT38" s="16"/>
      <c r="OCU38" s="16"/>
      <c r="OCV38" s="16"/>
      <c r="OCW38" s="16"/>
      <c r="OCX38" s="16"/>
      <c r="OCY38" s="16"/>
      <c r="OCZ38" s="16"/>
      <c r="ODA38" s="16"/>
      <c r="ODB38" s="16"/>
      <c r="ODC38" s="16"/>
      <c r="ODD38" s="16"/>
      <c r="ODE38" s="16"/>
      <c r="ODF38" s="16"/>
      <c r="ODG38" s="16"/>
      <c r="ODH38" s="16"/>
      <c r="ODI38" s="16"/>
      <c r="ODJ38" s="16"/>
      <c r="ODK38" s="16"/>
      <c r="ODL38" s="16"/>
      <c r="ODM38" s="16"/>
      <c r="ODN38" s="16"/>
      <c r="ODO38" s="16"/>
      <c r="ODP38" s="16"/>
      <c r="ODQ38" s="16"/>
      <c r="ODR38" s="16"/>
      <c r="ODS38" s="16"/>
      <c r="ODT38" s="16"/>
      <c r="ODU38" s="16"/>
      <c r="ODV38" s="16"/>
      <c r="ODW38" s="16"/>
      <c r="ODX38" s="16"/>
      <c r="ODY38" s="16"/>
      <c r="ODZ38" s="16"/>
      <c r="OEA38" s="16"/>
      <c r="OEB38" s="16"/>
      <c r="OEC38" s="16"/>
      <c r="OED38" s="16"/>
      <c r="OEE38" s="16"/>
      <c r="OEF38" s="16"/>
      <c r="OEG38" s="16"/>
      <c r="OEH38" s="16"/>
      <c r="OEI38" s="16"/>
      <c r="OEJ38" s="16"/>
      <c r="OEK38" s="16"/>
      <c r="OEL38" s="16"/>
      <c r="OEM38" s="16"/>
      <c r="OEN38" s="16"/>
      <c r="OEO38" s="16"/>
      <c r="OEP38" s="16"/>
      <c r="OEQ38" s="16"/>
      <c r="OER38" s="16"/>
      <c r="OES38" s="16"/>
      <c r="OET38" s="16"/>
      <c r="OEU38" s="16"/>
      <c r="OEV38" s="16"/>
      <c r="OEW38" s="16"/>
      <c r="OEX38" s="16"/>
      <c r="OEY38" s="16"/>
      <c r="OEZ38" s="16"/>
      <c r="OFA38" s="16"/>
      <c r="OFB38" s="16"/>
      <c r="OFC38" s="16"/>
      <c r="OFD38" s="16"/>
      <c r="OFE38" s="16"/>
      <c r="OFF38" s="16"/>
      <c r="OFG38" s="16"/>
      <c r="OFH38" s="16"/>
      <c r="OFI38" s="16"/>
      <c r="OFJ38" s="16"/>
      <c r="OFK38" s="16"/>
      <c r="OFL38" s="16"/>
      <c r="OFM38" s="16"/>
      <c r="OFN38" s="16"/>
      <c r="OFO38" s="16"/>
      <c r="OFP38" s="16"/>
      <c r="OFQ38" s="16"/>
      <c r="OFR38" s="16"/>
      <c r="OFS38" s="16"/>
      <c r="OFT38" s="16"/>
      <c r="OFU38" s="16"/>
      <c r="OFV38" s="16"/>
      <c r="OFW38" s="16"/>
      <c r="OFX38" s="16"/>
      <c r="OFY38" s="16"/>
      <c r="OFZ38" s="16"/>
      <c r="OGA38" s="16"/>
      <c r="OGB38" s="16"/>
      <c r="OGC38" s="16"/>
      <c r="OGD38" s="16"/>
      <c r="OGE38" s="16"/>
      <c r="OGF38" s="16"/>
      <c r="OGG38" s="16"/>
      <c r="OGH38" s="16"/>
      <c r="OGI38" s="16"/>
      <c r="OGJ38" s="16"/>
      <c r="OGK38" s="16"/>
      <c r="OGL38" s="16"/>
      <c r="OGM38" s="16"/>
      <c r="OGN38" s="16"/>
      <c r="OGO38" s="16"/>
      <c r="OGP38" s="16"/>
      <c r="OGQ38" s="16"/>
      <c r="OGR38" s="16"/>
      <c r="OGS38" s="16"/>
      <c r="OGT38" s="16"/>
      <c r="OGU38" s="16"/>
      <c r="OGV38" s="16"/>
      <c r="OGW38" s="16"/>
      <c r="OGX38" s="16"/>
      <c r="OGY38" s="16"/>
      <c r="OGZ38" s="16"/>
      <c r="OHA38" s="16"/>
      <c r="OHB38" s="16"/>
      <c r="OHC38" s="16"/>
      <c r="OHD38" s="16"/>
      <c r="OHE38" s="16"/>
      <c r="OHF38" s="16"/>
      <c r="OHG38" s="16"/>
      <c r="OHH38" s="16"/>
      <c r="OHI38" s="16"/>
      <c r="OHJ38" s="16"/>
      <c r="OHK38" s="16"/>
      <c r="OHL38" s="16"/>
      <c r="OHM38" s="16"/>
      <c r="OHN38" s="16"/>
      <c r="OHO38" s="16"/>
      <c r="OHP38" s="16"/>
      <c r="OHQ38" s="16"/>
      <c r="OHR38" s="16"/>
      <c r="OHS38" s="16"/>
      <c r="OHT38" s="16"/>
      <c r="OHU38" s="16"/>
      <c r="OHV38" s="16"/>
      <c r="OHW38" s="16"/>
      <c r="OHX38" s="16"/>
      <c r="OHY38" s="16"/>
      <c r="OHZ38" s="16"/>
      <c r="OIA38" s="16"/>
      <c r="OIB38" s="16"/>
      <c r="OIC38" s="16"/>
      <c r="OID38" s="16"/>
      <c r="OIE38" s="16"/>
      <c r="OIF38" s="16"/>
      <c r="OIG38" s="16"/>
      <c r="OIH38" s="16"/>
      <c r="OII38" s="16"/>
      <c r="OIJ38" s="16"/>
      <c r="OIK38" s="16"/>
      <c r="OIL38" s="16"/>
      <c r="OIM38" s="16"/>
      <c r="OIN38" s="16"/>
      <c r="OIO38" s="16"/>
      <c r="OIP38" s="16"/>
      <c r="OIQ38" s="16"/>
      <c r="OIR38" s="16"/>
      <c r="OIS38" s="16"/>
      <c r="OIT38" s="16"/>
      <c r="OIU38" s="16"/>
      <c r="OIV38" s="16"/>
      <c r="OIW38" s="16"/>
      <c r="OIX38" s="16"/>
      <c r="OIY38" s="16"/>
      <c r="OIZ38" s="16"/>
      <c r="OJA38" s="16"/>
      <c r="OJB38" s="16"/>
      <c r="OJC38" s="16"/>
      <c r="OJD38" s="16"/>
      <c r="OJE38" s="16"/>
      <c r="OJF38" s="16"/>
      <c r="OJG38" s="16"/>
      <c r="OJH38" s="16"/>
      <c r="OJI38" s="16"/>
      <c r="OJJ38" s="16"/>
      <c r="OJK38" s="16"/>
      <c r="OJL38" s="16"/>
      <c r="OJM38" s="16"/>
      <c r="OJN38" s="16"/>
      <c r="OJO38" s="16"/>
      <c r="OJP38" s="16"/>
      <c r="OJQ38" s="16"/>
      <c r="OJR38" s="16"/>
      <c r="OJS38" s="16"/>
      <c r="OJT38" s="16"/>
      <c r="OJU38" s="16"/>
      <c r="OJV38" s="16"/>
      <c r="OJW38" s="16"/>
      <c r="OJX38" s="16"/>
      <c r="OJY38" s="16"/>
      <c r="OJZ38" s="16"/>
      <c r="OKA38" s="16"/>
      <c r="OKB38" s="16"/>
      <c r="OKC38" s="16"/>
      <c r="OKD38" s="16"/>
      <c r="OKE38" s="16"/>
      <c r="OKF38" s="16"/>
      <c r="OKG38" s="16"/>
      <c r="OKH38" s="16"/>
      <c r="OKI38" s="16"/>
      <c r="OKJ38" s="16"/>
      <c r="OKK38" s="16"/>
      <c r="OKL38" s="16"/>
      <c r="OKM38" s="16"/>
      <c r="OKN38" s="16"/>
      <c r="OKO38" s="16"/>
      <c r="OKP38" s="16"/>
      <c r="OKQ38" s="16"/>
      <c r="OKR38" s="16"/>
      <c r="OKS38" s="16"/>
      <c r="OKT38" s="16"/>
      <c r="OKU38" s="16"/>
      <c r="OKV38" s="16"/>
      <c r="OKW38" s="16"/>
      <c r="OKX38" s="16"/>
      <c r="OKY38" s="16"/>
      <c r="OKZ38" s="16"/>
      <c r="OLA38" s="16"/>
      <c r="OLB38" s="16"/>
      <c r="OLC38" s="16"/>
      <c r="OLD38" s="16"/>
      <c r="OLE38" s="16"/>
      <c r="OLF38" s="16"/>
      <c r="OLG38" s="16"/>
      <c r="OLH38" s="16"/>
      <c r="OLI38" s="16"/>
      <c r="OLJ38" s="16"/>
      <c r="OLK38" s="16"/>
      <c r="OLL38" s="16"/>
      <c r="OLM38" s="16"/>
      <c r="OLN38" s="16"/>
      <c r="OLO38" s="16"/>
      <c r="OLP38" s="16"/>
      <c r="OLQ38" s="16"/>
      <c r="OLR38" s="16"/>
      <c r="OLS38" s="16"/>
      <c r="OLT38" s="16"/>
      <c r="OLU38" s="16"/>
      <c r="OLV38" s="16"/>
      <c r="OLW38" s="16"/>
      <c r="OLX38" s="16"/>
      <c r="OLY38" s="16"/>
      <c r="OLZ38" s="16"/>
      <c r="OMA38" s="16"/>
      <c r="OMB38" s="16"/>
      <c r="OMC38" s="16"/>
      <c r="OMD38" s="16"/>
      <c r="OME38" s="16"/>
      <c r="OMF38" s="16"/>
      <c r="OMG38" s="16"/>
      <c r="OMH38" s="16"/>
      <c r="OMI38" s="16"/>
      <c r="OMJ38" s="16"/>
      <c r="OMK38" s="16"/>
      <c r="OML38" s="16"/>
      <c r="OMM38" s="16"/>
      <c r="OMN38" s="16"/>
      <c r="OMO38" s="16"/>
      <c r="OMP38" s="16"/>
      <c r="OMQ38" s="16"/>
      <c r="OMR38" s="16"/>
      <c r="OMS38" s="16"/>
      <c r="OMT38" s="16"/>
      <c r="OMU38" s="16"/>
      <c r="OMV38" s="16"/>
      <c r="OMW38" s="16"/>
      <c r="OMX38" s="16"/>
      <c r="OMY38" s="16"/>
      <c r="OMZ38" s="16"/>
      <c r="ONA38" s="16"/>
      <c r="ONB38" s="16"/>
      <c r="ONC38" s="16"/>
      <c r="OND38" s="16"/>
      <c r="ONE38" s="16"/>
      <c r="ONF38" s="16"/>
      <c r="ONG38" s="16"/>
      <c r="ONH38" s="16"/>
      <c r="ONI38" s="16"/>
      <c r="ONJ38" s="16"/>
      <c r="ONK38" s="16"/>
      <c r="ONL38" s="16"/>
      <c r="ONM38" s="16"/>
      <c r="ONN38" s="16"/>
      <c r="ONO38" s="16"/>
      <c r="ONP38" s="16"/>
      <c r="ONQ38" s="16"/>
      <c r="ONR38" s="16"/>
      <c r="ONS38" s="16"/>
      <c r="ONT38" s="16"/>
      <c r="ONU38" s="16"/>
      <c r="ONV38" s="16"/>
      <c r="ONW38" s="16"/>
      <c r="ONX38" s="16"/>
      <c r="ONY38" s="16"/>
      <c r="ONZ38" s="16"/>
      <c r="OOA38" s="16"/>
      <c r="OOB38" s="16"/>
      <c r="OOC38" s="16"/>
      <c r="OOD38" s="16"/>
      <c r="OOE38" s="16"/>
      <c r="OOF38" s="16"/>
      <c r="OOG38" s="16"/>
      <c r="OOH38" s="16"/>
      <c r="OOI38" s="16"/>
      <c r="OOJ38" s="16"/>
      <c r="OOK38" s="16"/>
      <c r="OOL38" s="16"/>
      <c r="OOM38" s="16"/>
      <c r="OON38" s="16"/>
      <c r="OOO38" s="16"/>
      <c r="OOP38" s="16"/>
      <c r="OOQ38" s="16"/>
      <c r="OOR38" s="16"/>
      <c r="OOS38" s="16"/>
      <c r="OOT38" s="16"/>
      <c r="OOU38" s="16"/>
      <c r="OOV38" s="16"/>
      <c r="OOW38" s="16"/>
      <c r="OOX38" s="16"/>
      <c r="OOY38" s="16"/>
      <c r="OOZ38" s="16"/>
      <c r="OPA38" s="16"/>
      <c r="OPB38" s="16"/>
      <c r="OPC38" s="16"/>
      <c r="OPD38" s="16"/>
      <c r="OPE38" s="16"/>
      <c r="OPF38" s="16"/>
      <c r="OPG38" s="16"/>
      <c r="OPH38" s="16"/>
      <c r="OPI38" s="16"/>
      <c r="OPJ38" s="16"/>
      <c r="OPK38" s="16"/>
      <c r="OPL38" s="16"/>
      <c r="OPM38" s="16"/>
      <c r="OPN38" s="16"/>
      <c r="OPO38" s="16"/>
      <c r="OPP38" s="16"/>
      <c r="OPQ38" s="16"/>
      <c r="OPR38" s="16"/>
      <c r="OPS38" s="16"/>
      <c r="OPT38" s="16"/>
      <c r="OPU38" s="16"/>
      <c r="OPV38" s="16"/>
      <c r="OPW38" s="16"/>
      <c r="OPX38" s="16"/>
      <c r="OPY38" s="16"/>
      <c r="OPZ38" s="16"/>
      <c r="OQA38" s="16"/>
      <c r="OQB38" s="16"/>
      <c r="OQC38" s="16"/>
      <c r="OQD38" s="16"/>
      <c r="OQE38" s="16"/>
      <c r="OQF38" s="16"/>
      <c r="OQG38" s="16"/>
      <c r="OQH38" s="16"/>
      <c r="OQI38" s="16"/>
      <c r="OQJ38" s="16"/>
      <c r="OQK38" s="16"/>
      <c r="OQL38" s="16"/>
      <c r="OQM38" s="16"/>
      <c r="OQN38" s="16"/>
      <c r="OQO38" s="16"/>
      <c r="OQP38" s="16"/>
      <c r="OQQ38" s="16"/>
      <c r="OQR38" s="16"/>
      <c r="OQS38" s="16"/>
      <c r="OQT38" s="16"/>
      <c r="OQU38" s="16"/>
      <c r="OQV38" s="16"/>
      <c r="OQW38" s="16"/>
      <c r="OQX38" s="16"/>
      <c r="OQY38" s="16"/>
      <c r="OQZ38" s="16"/>
      <c r="ORA38" s="16"/>
      <c r="ORB38" s="16"/>
      <c r="ORC38" s="16"/>
      <c r="ORD38" s="16"/>
      <c r="ORE38" s="16"/>
      <c r="ORF38" s="16"/>
      <c r="ORG38" s="16"/>
      <c r="ORH38" s="16"/>
      <c r="ORI38" s="16"/>
      <c r="ORJ38" s="16"/>
      <c r="ORK38" s="16"/>
      <c r="ORL38" s="16"/>
      <c r="ORM38" s="16"/>
      <c r="ORN38" s="16"/>
      <c r="ORO38" s="16"/>
      <c r="ORP38" s="16"/>
      <c r="ORQ38" s="16"/>
      <c r="ORR38" s="16"/>
      <c r="ORS38" s="16"/>
      <c r="ORT38" s="16"/>
      <c r="ORU38" s="16"/>
      <c r="ORV38" s="16"/>
      <c r="ORW38" s="16"/>
      <c r="ORX38" s="16"/>
      <c r="ORY38" s="16"/>
      <c r="ORZ38" s="16"/>
      <c r="OSA38" s="16"/>
      <c r="OSB38" s="16"/>
      <c r="OSC38" s="16"/>
      <c r="OSD38" s="16"/>
      <c r="OSE38" s="16"/>
      <c r="OSF38" s="16"/>
      <c r="OSG38" s="16"/>
      <c r="OSH38" s="16"/>
      <c r="OSI38" s="16"/>
      <c r="OSJ38" s="16"/>
      <c r="OSK38" s="16"/>
      <c r="OSL38" s="16"/>
      <c r="OSM38" s="16"/>
      <c r="OSN38" s="16"/>
      <c r="OSO38" s="16"/>
      <c r="OSP38" s="16"/>
      <c r="OSQ38" s="16"/>
      <c r="OSR38" s="16"/>
      <c r="OSS38" s="16"/>
      <c r="OST38" s="16"/>
      <c r="OSU38" s="16"/>
      <c r="OSV38" s="16"/>
      <c r="OSW38" s="16"/>
      <c r="OSX38" s="16"/>
      <c r="OSY38" s="16"/>
      <c r="OSZ38" s="16"/>
      <c r="OTA38" s="16"/>
      <c r="OTB38" s="16"/>
      <c r="OTC38" s="16"/>
      <c r="OTD38" s="16"/>
      <c r="OTE38" s="16"/>
      <c r="OTF38" s="16"/>
      <c r="OTG38" s="16"/>
      <c r="OTH38" s="16"/>
      <c r="OTI38" s="16"/>
      <c r="OTJ38" s="16"/>
      <c r="OTK38" s="16"/>
      <c r="OTL38" s="16"/>
      <c r="OTM38" s="16"/>
      <c r="OTN38" s="16"/>
      <c r="OTO38" s="16"/>
      <c r="OTP38" s="16"/>
      <c r="OTQ38" s="16"/>
      <c r="OTR38" s="16"/>
      <c r="OTS38" s="16"/>
      <c r="OTT38" s="16"/>
      <c r="OTU38" s="16"/>
      <c r="OTV38" s="16"/>
      <c r="OTW38" s="16"/>
      <c r="OTX38" s="16"/>
      <c r="OTY38" s="16"/>
      <c r="OTZ38" s="16"/>
      <c r="OUA38" s="16"/>
      <c r="OUB38" s="16"/>
      <c r="OUC38" s="16"/>
      <c r="OUD38" s="16"/>
      <c r="OUE38" s="16"/>
      <c r="OUF38" s="16"/>
      <c r="OUG38" s="16"/>
      <c r="OUH38" s="16"/>
      <c r="OUI38" s="16"/>
      <c r="OUJ38" s="16"/>
      <c r="OUK38" s="16"/>
      <c r="OUL38" s="16"/>
      <c r="OUM38" s="16"/>
      <c r="OUN38" s="16"/>
      <c r="OUO38" s="16"/>
      <c r="OUP38" s="16"/>
      <c r="OUQ38" s="16"/>
      <c r="OUR38" s="16"/>
      <c r="OUS38" s="16"/>
      <c r="OUT38" s="16"/>
      <c r="OUU38" s="16"/>
      <c r="OUV38" s="16"/>
      <c r="OUW38" s="16"/>
      <c r="OUX38" s="16"/>
      <c r="OUY38" s="16"/>
      <c r="OUZ38" s="16"/>
      <c r="OVA38" s="16"/>
      <c r="OVB38" s="16"/>
      <c r="OVC38" s="16"/>
      <c r="OVD38" s="16"/>
      <c r="OVE38" s="16"/>
      <c r="OVF38" s="16"/>
      <c r="OVG38" s="16"/>
      <c r="OVH38" s="16"/>
      <c r="OVI38" s="16"/>
      <c r="OVJ38" s="16"/>
      <c r="OVK38" s="16"/>
      <c r="OVL38" s="16"/>
      <c r="OVM38" s="16"/>
      <c r="OVN38" s="16"/>
      <c r="OVO38" s="16"/>
      <c r="OVP38" s="16"/>
      <c r="OVQ38" s="16"/>
      <c r="OVR38" s="16"/>
      <c r="OVS38" s="16"/>
      <c r="OVT38" s="16"/>
      <c r="OVU38" s="16"/>
      <c r="OVV38" s="16"/>
      <c r="OVW38" s="16"/>
      <c r="OVX38" s="16"/>
      <c r="OVY38" s="16"/>
      <c r="OVZ38" s="16"/>
      <c r="OWA38" s="16"/>
      <c r="OWB38" s="16"/>
      <c r="OWC38" s="16"/>
      <c r="OWD38" s="16"/>
      <c r="OWE38" s="16"/>
      <c r="OWF38" s="16"/>
      <c r="OWG38" s="16"/>
      <c r="OWH38" s="16"/>
      <c r="OWI38" s="16"/>
      <c r="OWJ38" s="16"/>
      <c r="OWK38" s="16"/>
      <c r="OWL38" s="16"/>
      <c r="OWM38" s="16"/>
      <c r="OWN38" s="16"/>
      <c r="OWO38" s="16"/>
      <c r="OWP38" s="16"/>
      <c r="OWQ38" s="16"/>
      <c r="OWR38" s="16"/>
      <c r="OWS38" s="16"/>
      <c r="OWT38" s="16"/>
      <c r="OWU38" s="16"/>
      <c r="OWV38" s="16"/>
      <c r="OWW38" s="16"/>
      <c r="OWX38" s="16"/>
      <c r="OWY38" s="16"/>
      <c r="OWZ38" s="16"/>
      <c r="OXA38" s="16"/>
      <c r="OXB38" s="16"/>
      <c r="OXC38" s="16"/>
      <c r="OXD38" s="16"/>
      <c r="OXE38" s="16"/>
      <c r="OXF38" s="16"/>
      <c r="OXG38" s="16"/>
      <c r="OXH38" s="16"/>
      <c r="OXI38" s="16"/>
      <c r="OXJ38" s="16"/>
      <c r="OXK38" s="16"/>
      <c r="OXL38" s="16"/>
      <c r="OXM38" s="16"/>
      <c r="OXN38" s="16"/>
      <c r="OXO38" s="16"/>
      <c r="OXP38" s="16"/>
      <c r="OXQ38" s="16"/>
      <c r="OXR38" s="16"/>
      <c r="OXS38" s="16"/>
      <c r="OXT38" s="16"/>
      <c r="OXU38" s="16"/>
      <c r="OXV38" s="16"/>
      <c r="OXW38" s="16"/>
      <c r="OXX38" s="16"/>
      <c r="OXY38" s="16"/>
      <c r="OXZ38" s="16"/>
      <c r="OYA38" s="16"/>
      <c r="OYB38" s="16"/>
      <c r="OYC38" s="16"/>
      <c r="OYD38" s="16"/>
      <c r="OYE38" s="16"/>
      <c r="OYF38" s="16"/>
      <c r="OYG38" s="16"/>
      <c r="OYH38" s="16"/>
      <c r="OYI38" s="16"/>
      <c r="OYJ38" s="16"/>
      <c r="OYK38" s="16"/>
      <c r="OYL38" s="16"/>
      <c r="OYM38" s="16"/>
      <c r="OYN38" s="16"/>
      <c r="OYO38" s="16"/>
      <c r="OYP38" s="16"/>
      <c r="OYQ38" s="16"/>
      <c r="OYR38" s="16"/>
      <c r="OYS38" s="16"/>
      <c r="OYT38" s="16"/>
      <c r="OYU38" s="16"/>
      <c r="OYV38" s="16"/>
      <c r="OYW38" s="16"/>
      <c r="OYX38" s="16"/>
      <c r="OYY38" s="16"/>
      <c r="OYZ38" s="16"/>
      <c r="OZA38" s="16"/>
      <c r="OZB38" s="16"/>
      <c r="OZC38" s="16"/>
      <c r="OZD38" s="16"/>
      <c r="OZE38" s="16"/>
      <c r="OZF38" s="16"/>
      <c r="OZG38" s="16"/>
      <c r="OZH38" s="16"/>
      <c r="OZI38" s="16"/>
      <c r="OZJ38" s="16"/>
      <c r="OZK38" s="16"/>
      <c r="OZL38" s="16"/>
      <c r="OZM38" s="16"/>
      <c r="OZN38" s="16"/>
      <c r="OZO38" s="16"/>
      <c r="OZP38" s="16"/>
      <c r="OZQ38" s="16"/>
      <c r="OZR38" s="16"/>
      <c r="OZS38" s="16"/>
      <c r="OZT38" s="16"/>
      <c r="OZU38" s="16"/>
      <c r="OZV38" s="16"/>
      <c r="OZW38" s="16"/>
      <c r="OZX38" s="16"/>
      <c r="OZY38" s="16"/>
      <c r="OZZ38" s="16"/>
      <c r="PAA38" s="16"/>
      <c r="PAB38" s="16"/>
      <c r="PAC38" s="16"/>
      <c r="PAD38" s="16"/>
      <c r="PAE38" s="16"/>
      <c r="PAF38" s="16"/>
      <c r="PAG38" s="16"/>
      <c r="PAH38" s="16"/>
      <c r="PAI38" s="16"/>
      <c r="PAJ38" s="16"/>
      <c r="PAK38" s="16"/>
      <c r="PAL38" s="16"/>
      <c r="PAM38" s="16"/>
      <c r="PAN38" s="16"/>
      <c r="PAO38" s="16"/>
      <c r="PAP38" s="16"/>
      <c r="PAQ38" s="16"/>
      <c r="PAR38" s="16"/>
      <c r="PAS38" s="16"/>
      <c r="PAT38" s="16"/>
      <c r="PAU38" s="16"/>
      <c r="PAV38" s="16"/>
      <c r="PAW38" s="16"/>
      <c r="PAX38" s="16"/>
      <c r="PAY38" s="16"/>
      <c r="PAZ38" s="16"/>
      <c r="PBA38" s="16"/>
      <c r="PBB38" s="16"/>
      <c r="PBC38" s="16"/>
      <c r="PBD38" s="16"/>
      <c r="PBE38" s="16"/>
      <c r="PBF38" s="16"/>
      <c r="PBG38" s="16"/>
      <c r="PBH38" s="16"/>
      <c r="PBI38" s="16"/>
      <c r="PBJ38" s="16"/>
      <c r="PBK38" s="16"/>
      <c r="PBL38" s="16"/>
      <c r="PBM38" s="16"/>
      <c r="PBN38" s="16"/>
      <c r="PBO38" s="16"/>
      <c r="PBP38" s="16"/>
      <c r="PBQ38" s="16"/>
      <c r="PBR38" s="16"/>
      <c r="PBS38" s="16"/>
      <c r="PBT38" s="16"/>
      <c r="PBU38" s="16"/>
      <c r="PBV38" s="16"/>
      <c r="PBW38" s="16"/>
      <c r="PBX38" s="16"/>
      <c r="PBY38" s="16"/>
      <c r="PBZ38" s="16"/>
      <c r="PCA38" s="16"/>
      <c r="PCB38" s="16"/>
      <c r="PCC38" s="16"/>
      <c r="PCD38" s="16"/>
      <c r="PCE38" s="16"/>
      <c r="PCF38" s="16"/>
      <c r="PCG38" s="16"/>
      <c r="PCH38" s="16"/>
      <c r="PCI38" s="16"/>
      <c r="PCJ38" s="16"/>
      <c r="PCK38" s="16"/>
      <c r="PCL38" s="16"/>
      <c r="PCM38" s="16"/>
      <c r="PCN38" s="16"/>
      <c r="PCO38" s="16"/>
      <c r="PCP38" s="16"/>
      <c r="PCQ38" s="16"/>
      <c r="PCR38" s="16"/>
      <c r="PCS38" s="16"/>
      <c r="PCT38" s="16"/>
      <c r="PCU38" s="16"/>
      <c r="PCV38" s="16"/>
      <c r="PCW38" s="16"/>
      <c r="PCX38" s="16"/>
      <c r="PCY38" s="16"/>
      <c r="PCZ38" s="16"/>
      <c r="PDA38" s="16"/>
      <c r="PDB38" s="16"/>
      <c r="PDC38" s="16"/>
      <c r="PDD38" s="16"/>
      <c r="PDE38" s="16"/>
      <c r="PDF38" s="16"/>
      <c r="PDG38" s="16"/>
      <c r="PDH38" s="16"/>
      <c r="PDI38" s="16"/>
      <c r="PDJ38" s="16"/>
      <c r="PDK38" s="16"/>
      <c r="PDL38" s="16"/>
      <c r="PDM38" s="16"/>
      <c r="PDN38" s="16"/>
      <c r="PDO38" s="16"/>
      <c r="PDP38" s="16"/>
      <c r="PDQ38" s="16"/>
      <c r="PDR38" s="16"/>
      <c r="PDS38" s="16"/>
      <c r="PDT38" s="16"/>
      <c r="PDU38" s="16"/>
      <c r="PDV38" s="16"/>
      <c r="PDW38" s="16"/>
      <c r="PDX38" s="16"/>
      <c r="PDY38" s="16"/>
      <c r="PDZ38" s="16"/>
      <c r="PEA38" s="16"/>
      <c r="PEB38" s="16"/>
      <c r="PEC38" s="16"/>
      <c r="PED38" s="16"/>
      <c r="PEE38" s="16"/>
      <c r="PEF38" s="16"/>
      <c r="PEG38" s="16"/>
      <c r="PEH38" s="16"/>
      <c r="PEI38" s="16"/>
      <c r="PEJ38" s="16"/>
      <c r="PEK38" s="16"/>
      <c r="PEL38" s="16"/>
      <c r="PEM38" s="16"/>
      <c r="PEN38" s="16"/>
      <c r="PEO38" s="16"/>
      <c r="PEP38" s="16"/>
      <c r="PEQ38" s="16"/>
      <c r="PER38" s="16"/>
      <c r="PES38" s="16"/>
      <c r="PET38" s="16"/>
      <c r="PEU38" s="16"/>
      <c r="PEV38" s="16"/>
      <c r="PEW38" s="16"/>
      <c r="PEX38" s="16"/>
      <c r="PEY38" s="16"/>
      <c r="PEZ38" s="16"/>
      <c r="PFA38" s="16"/>
      <c r="PFB38" s="16"/>
      <c r="PFC38" s="16"/>
      <c r="PFD38" s="16"/>
      <c r="PFE38" s="16"/>
      <c r="PFF38" s="16"/>
      <c r="PFG38" s="16"/>
      <c r="PFH38" s="16"/>
      <c r="PFI38" s="16"/>
      <c r="PFJ38" s="16"/>
      <c r="PFK38" s="16"/>
      <c r="PFL38" s="16"/>
      <c r="PFM38" s="16"/>
      <c r="PFN38" s="16"/>
      <c r="PFO38" s="16"/>
      <c r="PFP38" s="16"/>
      <c r="PFQ38" s="16"/>
      <c r="PFR38" s="16"/>
      <c r="PFS38" s="16"/>
      <c r="PFT38" s="16"/>
      <c r="PFU38" s="16"/>
      <c r="PFV38" s="16"/>
      <c r="PFW38" s="16"/>
      <c r="PFX38" s="16"/>
      <c r="PFY38" s="16"/>
      <c r="PFZ38" s="16"/>
      <c r="PGA38" s="16"/>
      <c r="PGB38" s="16"/>
      <c r="PGC38" s="16"/>
      <c r="PGD38" s="16"/>
      <c r="PGE38" s="16"/>
      <c r="PGF38" s="16"/>
      <c r="PGG38" s="16"/>
      <c r="PGH38" s="16"/>
      <c r="PGI38" s="16"/>
      <c r="PGJ38" s="16"/>
      <c r="PGK38" s="16"/>
      <c r="PGL38" s="16"/>
      <c r="PGM38" s="16"/>
      <c r="PGN38" s="16"/>
      <c r="PGO38" s="16"/>
      <c r="PGP38" s="16"/>
      <c r="PGQ38" s="16"/>
      <c r="PGR38" s="16"/>
      <c r="PGS38" s="16"/>
      <c r="PGT38" s="16"/>
      <c r="PGU38" s="16"/>
      <c r="PGV38" s="16"/>
      <c r="PGW38" s="16"/>
      <c r="PGX38" s="16"/>
      <c r="PGY38" s="16"/>
      <c r="PGZ38" s="16"/>
      <c r="PHA38" s="16"/>
      <c r="PHB38" s="16"/>
      <c r="PHC38" s="16"/>
      <c r="PHD38" s="16"/>
      <c r="PHE38" s="16"/>
      <c r="PHF38" s="16"/>
      <c r="PHG38" s="16"/>
      <c r="PHH38" s="16"/>
      <c r="PHI38" s="16"/>
      <c r="PHJ38" s="16"/>
      <c r="PHK38" s="16"/>
      <c r="PHL38" s="16"/>
      <c r="PHM38" s="16"/>
      <c r="PHN38" s="16"/>
      <c r="PHO38" s="16"/>
      <c r="PHP38" s="16"/>
      <c r="PHQ38" s="16"/>
      <c r="PHR38" s="16"/>
      <c r="PHS38" s="16"/>
      <c r="PHT38" s="16"/>
      <c r="PHU38" s="16"/>
      <c r="PHV38" s="16"/>
      <c r="PHW38" s="16"/>
      <c r="PHX38" s="16"/>
      <c r="PHY38" s="16"/>
      <c r="PHZ38" s="16"/>
      <c r="PIA38" s="16"/>
      <c r="PIB38" s="16"/>
      <c r="PIC38" s="16"/>
      <c r="PID38" s="16"/>
      <c r="PIE38" s="16"/>
      <c r="PIF38" s="16"/>
      <c r="PIG38" s="16"/>
      <c r="PIH38" s="16"/>
      <c r="PII38" s="16"/>
      <c r="PIJ38" s="16"/>
      <c r="PIK38" s="16"/>
      <c r="PIL38" s="16"/>
      <c r="PIM38" s="16"/>
      <c r="PIN38" s="16"/>
      <c r="PIO38" s="16"/>
      <c r="PIP38" s="16"/>
      <c r="PIQ38" s="16"/>
      <c r="PIR38" s="16"/>
      <c r="PIS38" s="16"/>
      <c r="PIT38" s="16"/>
      <c r="PIU38" s="16"/>
      <c r="PIV38" s="16"/>
      <c r="PIW38" s="16"/>
      <c r="PIX38" s="16"/>
      <c r="PIY38" s="16"/>
      <c r="PIZ38" s="16"/>
      <c r="PJA38" s="16"/>
      <c r="PJB38" s="16"/>
      <c r="PJC38" s="16"/>
      <c r="PJD38" s="16"/>
      <c r="PJE38" s="16"/>
      <c r="PJF38" s="16"/>
      <c r="PJG38" s="16"/>
      <c r="PJH38" s="16"/>
      <c r="PJI38" s="16"/>
      <c r="PJJ38" s="16"/>
      <c r="PJK38" s="16"/>
      <c r="PJL38" s="16"/>
      <c r="PJM38" s="16"/>
      <c r="PJN38" s="16"/>
      <c r="PJO38" s="16"/>
      <c r="PJP38" s="16"/>
      <c r="PJQ38" s="16"/>
      <c r="PJR38" s="16"/>
      <c r="PJS38" s="16"/>
      <c r="PJT38" s="16"/>
      <c r="PJU38" s="16"/>
      <c r="PJV38" s="16"/>
      <c r="PJW38" s="16"/>
      <c r="PJX38" s="16"/>
      <c r="PJY38" s="16"/>
      <c r="PJZ38" s="16"/>
      <c r="PKA38" s="16"/>
      <c r="PKB38" s="16"/>
      <c r="PKC38" s="16"/>
      <c r="PKD38" s="16"/>
      <c r="PKE38" s="16"/>
      <c r="PKF38" s="16"/>
      <c r="PKG38" s="16"/>
      <c r="PKH38" s="16"/>
      <c r="PKI38" s="16"/>
      <c r="PKJ38" s="16"/>
      <c r="PKK38" s="16"/>
      <c r="PKL38" s="16"/>
      <c r="PKM38" s="16"/>
      <c r="PKN38" s="16"/>
      <c r="PKO38" s="16"/>
      <c r="PKP38" s="16"/>
      <c r="PKQ38" s="16"/>
      <c r="PKR38" s="16"/>
      <c r="PKS38" s="16"/>
      <c r="PKT38" s="16"/>
      <c r="PKU38" s="16"/>
      <c r="PKV38" s="16"/>
      <c r="PKW38" s="16"/>
      <c r="PKX38" s="16"/>
      <c r="PKY38" s="16"/>
      <c r="PKZ38" s="16"/>
      <c r="PLA38" s="16"/>
      <c r="PLB38" s="16"/>
      <c r="PLC38" s="16"/>
      <c r="PLD38" s="16"/>
      <c r="PLE38" s="16"/>
      <c r="PLF38" s="16"/>
      <c r="PLG38" s="16"/>
      <c r="PLH38" s="16"/>
      <c r="PLI38" s="16"/>
      <c r="PLJ38" s="16"/>
      <c r="PLK38" s="16"/>
      <c r="PLL38" s="16"/>
      <c r="PLM38" s="16"/>
      <c r="PLN38" s="16"/>
      <c r="PLO38" s="16"/>
      <c r="PLP38" s="16"/>
      <c r="PLQ38" s="16"/>
      <c r="PLR38" s="16"/>
      <c r="PLS38" s="16"/>
      <c r="PLT38" s="16"/>
      <c r="PLU38" s="16"/>
      <c r="PLV38" s="16"/>
      <c r="PLW38" s="16"/>
      <c r="PLX38" s="16"/>
      <c r="PLY38" s="16"/>
      <c r="PLZ38" s="16"/>
      <c r="PMA38" s="16"/>
      <c r="PMB38" s="16"/>
      <c r="PMC38" s="16"/>
      <c r="PMD38" s="16"/>
      <c r="PME38" s="16"/>
      <c r="PMF38" s="16"/>
      <c r="PMG38" s="16"/>
      <c r="PMH38" s="16"/>
      <c r="PMI38" s="16"/>
      <c r="PMJ38" s="16"/>
      <c r="PMK38" s="16"/>
      <c r="PML38" s="16"/>
      <c r="PMM38" s="16"/>
      <c r="PMN38" s="16"/>
      <c r="PMO38" s="16"/>
      <c r="PMP38" s="16"/>
      <c r="PMQ38" s="16"/>
      <c r="PMR38" s="16"/>
      <c r="PMS38" s="16"/>
      <c r="PMT38" s="16"/>
      <c r="PMU38" s="16"/>
      <c r="PMV38" s="16"/>
      <c r="PMW38" s="16"/>
      <c r="PMX38" s="16"/>
      <c r="PMY38" s="16"/>
      <c r="PMZ38" s="16"/>
      <c r="PNA38" s="16"/>
      <c r="PNB38" s="16"/>
      <c r="PNC38" s="16"/>
      <c r="PND38" s="16"/>
      <c r="PNE38" s="16"/>
      <c r="PNF38" s="16"/>
      <c r="PNG38" s="16"/>
      <c r="PNH38" s="16"/>
      <c r="PNI38" s="16"/>
      <c r="PNJ38" s="16"/>
      <c r="PNK38" s="16"/>
      <c r="PNL38" s="16"/>
      <c r="PNM38" s="16"/>
      <c r="PNN38" s="16"/>
      <c r="PNO38" s="16"/>
      <c r="PNP38" s="16"/>
      <c r="PNQ38" s="16"/>
      <c r="PNR38" s="16"/>
      <c r="PNS38" s="16"/>
      <c r="PNT38" s="16"/>
      <c r="PNU38" s="16"/>
      <c r="PNV38" s="16"/>
      <c r="PNW38" s="16"/>
      <c r="PNX38" s="16"/>
      <c r="PNY38" s="16"/>
      <c r="PNZ38" s="16"/>
      <c r="POA38" s="16"/>
      <c r="POB38" s="16"/>
      <c r="POC38" s="16"/>
      <c r="POD38" s="16"/>
      <c r="POE38" s="16"/>
      <c r="POF38" s="16"/>
      <c r="POG38" s="16"/>
      <c r="POH38" s="16"/>
      <c r="POI38" s="16"/>
      <c r="POJ38" s="16"/>
      <c r="POK38" s="16"/>
      <c r="POL38" s="16"/>
      <c r="POM38" s="16"/>
      <c r="PON38" s="16"/>
      <c r="POO38" s="16"/>
      <c r="POP38" s="16"/>
      <c r="POQ38" s="16"/>
      <c r="POR38" s="16"/>
      <c r="POS38" s="16"/>
      <c r="POT38" s="16"/>
      <c r="POU38" s="16"/>
      <c r="POV38" s="16"/>
      <c r="POW38" s="16"/>
      <c r="POX38" s="16"/>
      <c r="POY38" s="16"/>
      <c r="POZ38" s="16"/>
      <c r="PPA38" s="16"/>
      <c r="PPB38" s="16"/>
      <c r="PPC38" s="16"/>
      <c r="PPD38" s="16"/>
      <c r="PPE38" s="16"/>
      <c r="PPF38" s="16"/>
      <c r="PPG38" s="16"/>
      <c r="PPH38" s="16"/>
      <c r="PPI38" s="16"/>
      <c r="PPJ38" s="16"/>
      <c r="PPK38" s="16"/>
      <c r="PPL38" s="16"/>
      <c r="PPM38" s="16"/>
      <c r="PPN38" s="16"/>
      <c r="PPO38" s="16"/>
      <c r="PPP38" s="16"/>
      <c r="PPQ38" s="16"/>
      <c r="PPR38" s="16"/>
      <c r="PPS38" s="16"/>
      <c r="PPT38" s="16"/>
      <c r="PPU38" s="16"/>
      <c r="PPV38" s="16"/>
      <c r="PPW38" s="16"/>
      <c r="PPX38" s="16"/>
      <c r="PPY38" s="16"/>
      <c r="PPZ38" s="16"/>
      <c r="PQA38" s="16"/>
      <c r="PQB38" s="16"/>
      <c r="PQC38" s="16"/>
      <c r="PQD38" s="16"/>
      <c r="PQE38" s="16"/>
      <c r="PQF38" s="16"/>
      <c r="PQG38" s="16"/>
      <c r="PQH38" s="16"/>
      <c r="PQI38" s="16"/>
      <c r="PQJ38" s="16"/>
      <c r="PQK38" s="16"/>
      <c r="PQL38" s="16"/>
      <c r="PQM38" s="16"/>
      <c r="PQN38" s="16"/>
      <c r="PQO38" s="16"/>
      <c r="PQP38" s="16"/>
      <c r="PQQ38" s="16"/>
      <c r="PQR38" s="16"/>
      <c r="PQS38" s="16"/>
      <c r="PQT38" s="16"/>
      <c r="PQU38" s="16"/>
      <c r="PQV38" s="16"/>
      <c r="PQW38" s="16"/>
      <c r="PQX38" s="16"/>
      <c r="PQY38" s="16"/>
      <c r="PQZ38" s="16"/>
      <c r="PRA38" s="16"/>
      <c r="PRB38" s="16"/>
      <c r="PRC38" s="16"/>
      <c r="PRD38" s="16"/>
      <c r="PRE38" s="16"/>
      <c r="PRF38" s="16"/>
      <c r="PRG38" s="16"/>
      <c r="PRH38" s="16"/>
      <c r="PRI38" s="16"/>
      <c r="PRJ38" s="16"/>
      <c r="PRK38" s="16"/>
      <c r="PRL38" s="16"/>
      <c r="PRM38" s="16"/>
      <c r="PRN38" s="16"/>
      <c r="PRO38" s="16"/>
      <c r="PRP38" s="16"/>
      <c r="PRQ38" s="16"/>
      <c r="PRR38" s="16"/>
      <c r="PRS38" s="16"/>
      <c r="PRT38" s="16"/>
      <c r="PRU38" s="16"/>
      <c r="PRV38" s="16"/>
      <c r="PRW38" s="16"/>
      <c r="PRX38" s="16"/>
      <c r="PRY38" s="16"/>
      <c r="PRZ38" s="16"/>
      <c r="PSA38" s="16"/>
      <c r="PSB38" s="16"/>
      <c r="PSC38" s="16"/>
      <c r="PSD38" s="16"/>
      <c r="PSE38" s="16"/>
      <c r="PSF38" s="16"/>
      <c r="PSG38" s="16"/>
      <c r="PSH38" s="16"/>
      <c r="PSI38" s="16"/>
      <c r="PSJ38" s="16"/>
      <c r="PSK38" s="16"/>
      <c r="PSL38" s="16"/>
      <c r="PSM38" s="16"/>
      <c r="PSN38" s="16"/>
      <c r="PSO38" s="16"/>
      <c r="PSP38" s="16"/>
      <c r="PSQ38" s="16"/>
      <c r="PSR38" s="16"/>
      <c r="PSS38" s="16"/>
      <c r="PST38" s="16"/>
      <c r="PSU38" s="16"/>
      <c r="PSV38" s="16"/>
      <c r="PSW38" s="16"/>
      <c r="PSX38" s="16"/>
      <c r="PSY38" s="16"/>
      <c r="PSZ38" s="16"/>
      <c r="PTA38" s="16"/>
      <c r="PTB38" s="16"/>
      <c r="PTC38" s="16"/>
      <c r="PTD38" s="16"/>
      <c r="PTE38" s="16"/>
      <c r="PTF38" s="16"/>
      <c r="PTG38" s="16"/>
      <c r="PTH38" s="16"/>
      <c r="PTI38" s="16"/>
      <c r="PTJ38" s="16"/>
      <c r="PTK38" s="16"/>
      <c r="PTL38" s="16"/>
      <c r="PTM38" s="16"/>
      <c r="PTN38" s="16"/>
      <c r="PTO38" s="16"/>
      <c r="PTP38" s="16"/>
      <c r="PTQ38" s="16"/>
      <c r="PTR38" s="16"/>
      <c r="PTS38" s="16"/>
      <c r="PTT38" s="16"/>
      <c r="PTU38" s="16"/>
      <c r="PTV38" s="16"/>
      <c r="PTW38" s="16"/>
      <c r="PTX38" s="16"/>
      <c r="PTY38" s="16"/>
      <c r="PTZ38" s="16"/>
      <c r="PUA38" s="16"/>
      <c r="PUB38" s="16"/>
      <c r="PUC38" s="16"/>
      <c r="PUD38" s="16"/>
      <c r="PUE38" s="16"/>
      <c r="PUF38" s="16"/>
      <c r="PUG38" s="16"/>
      <c r="PUH38" s="16"/>
      <c r="PUI38" s="16"/>
      <c r="PUJ38" s="16"/>
      <c r="PUK38" s="16"/>
      <c r="PUL38" s="16"/>
      <c r="PUM38" s="16"/>
      <c r="PUN38" s="16"/>
      <c r="PUO38" s="16"/>
      <c r="PUP38" s="16"/>
      <c r="PUQ38" s="16"/>
      <c r="PUR38" s="16"/>
      <c r="PUS38" s="16"/>
      <c r="PUT38" s="16"/>
      <c r="PUU38" s="16"/>
      <c r="PUV38" s="16"/>
      <c r="PUW38" s="16"/>
      <c r="PUX38" s="16"/>
      <c r="PUY38" s="16"/>
      <c r="PUZ38" s="16"/>
      <c r="PVA38" s="16"/>
      <c r="PVB38" s="16"/>
      <c r="PVC38" s="16"/>
      <c r="PVD38" s="16"/>
      <c r="PVE38" s="16"/>
      <c r="PVF38" s="16"/>
      <c r="PVG38" s="16"/>
      <c r="PVH38" s="16"/>
      <c r="PVI38" s="16"/>
      <c r="PVJ38" s="16"/>
      <c r="PVK38" s="16"/>
      <c r="PVL38" s="16"/>
      <c r="PVM38" s="16"/>
      <c r="PVN38" s="16"/>
      <c r="PVO38" s="16"/>
      <c r="PVP38" s="16"/>
      <c r="PVQ38" s="16"/>
      <c r="PVR38" s="16"/>
      <c r="PVS38" s="16"/>
      <c r="PVT38" s="16"/>
      <c r="PVU38" s="16"/>
      <c r="PVV38" s="16"/>
      <c r="PVW38" s="16"/>
      <c r="PVX38" s="16"/>
      <c r="PVY38" s="16"/>
      <c r="PVZ38" s="16"/>
      <c r="PWA38" s="16"/>
      <c r="PWB38" s="16"/>
      <c r="PWC38" s="16"/>
      <c r="PWD38" s="16"/>
      <c r="PWE38" s="16"/>
      <c r="PWF38" s="16"/>
      <c r="PWG38" s="16"/>
      <c r="PWH38" s="16"/>
      <c r="PWI38" s="16"/>
      <c r="PWJ38" s="16"/>
      <c r="PWK38" s="16"/>
      <c r="PWL38" s="16"/>
      <c r="PWM38" s="16"/>
      <c r="PWN38" s="16"/>
      <c r="PWO38" s="16"/>
      <c r="PWP38" s="16"/>
      <c r="PWQ38" s="16"/>
      <c r="PWR38" s="16"/>
      <c r="PWS38" s="16"/>
      <c r="PWT38" s="16"/>
      <c r="PWU38" s="16"/>
      <c r="PWV38" s="16"/>
      <c r="PWW38" s="16"/>
      <c r="PWX38" s="16"/>
      <c r="PWY38" s="16"/>
      <c r="PWZ38" s="16"/>
      <c r="PXA38" s="16"/>
      <c r="PXB38" s="16"/>
      <c r="PXC38" s="16"/>
      <c r="PXD38" s="16"/>
      <c r="PXE38" s="16"/>
      <c r="PXF38" s="16"/>
      <c r="PXG38" s="16"/>
      <c r="PXH38" s="16"/>
      <c r="PXI38" s="16"/>
      <c r="PXJ38" s="16"/>
      <c r="PXK38" s="16"/>
      <c r="PXL38" s="16"/>
      <c r="PXM38" s="16"/>
      <c r="PXN38" s="16"/>
      <c r="PXO38" s="16"/>
      <c r="PXP38" s="16"/>
      <c r="PXQ38" s="16"/>
      <c r="PXR38" s="16"/>
      <c r="PXS38" s="16"/>
      <c r="PXT38" s="16"/>
      <c r="PXU38" s="16"/>
      <c r="PXV38" s="16"/>
      <c r="PXW38" s="16"/>
      <c r="PXX38" s="16"/>
      <c r="PXY38" s="16"/>
      <c r="PXZ38" s="16"/>
      <c r="PYA38" s="16"/>
      <c r="PYB38" s="16"/>
      <c r="PYC38" s="16"/>
      <c r="PYD38" s="16"/>
      <c r="PYE38" s="16"/>
      <c r="PYF38" s="16"/>
      <c r="PYG38" s="16"/>
      <c r="PYH38" s="16"/>
      <c r="PYI38" s="16"/>
      <c r="PYJ38" s="16"/>
      <c r="PYK38" s="16"/>
      <c r="PYL38" s="16"/>
      <c r="PYM38" s="16"/>
      <c r="PYN38" s="16"/>
      <c r="PYO38" s="16"/>
      <c r="PYP38" s="16"/>
      <c r="PYQ38" s="16"/>
      <c r="PYR38" s="16"/>
      <c r="PYS38" s="16"/>
      <c r="PYT38" s="16"/>
      <c r="PYU38" s="16"/>
      <c r="PYV38" s="16"/>
      <c r="PYW38" s="16"/>
      <c r="PYX38" s="16"/>
      <c r="PYY38" s="16"/>
      <c r="PYZ38" s="16"/>
      <c r="PZA38" s="16"/>
      <c r="PZB38" s="16"/>
      <c r="PZC38" s="16"/>
      <c r="PZD38" s="16"/>
      <c r="PZE38" s="16"/>
      <c r="PZF38" s="16"/>
      <c r="PZG38" s="16"/>
      <c r="PZH38" s="16"/>
      <c r="PZI38" s="16"/>
      <c r="PZJ38" s="16"/>
      <c r="PZK38" s="16"/>
      <c r="PZL38" s="16"/>
      <c r="PZM38" s="16"/>
      <c r="PZN38" s="16"/>
      <c r="PZO38" s="16"/>
      <c r="PZP38" s="16"/>
      <c r="PZQ38" s="16"/>
      <c r="PZR38" s="16"/>
      <c r="PZS38" s="16"/>
      <c r="PZT38" s="16"/>
      <c r="PZU38" s="16"/>
      <c r="PZV38" s="16"/>
      <c r="PZW38" s="16"/>
      <c r="PZX38" s="16"/>
      <c r="PZY38" s="16"/>
      <c r="PZZ38" s="16"/>
      <c r="QAA38" s="16"/>
      <c r="QAB38" s="16"/>
      <c r="QAC38" s="16"/>
      <c r="QAD38" s="16"/>
      <c r="QAE38" s="16"/>
      <c r="QAF38" s="16"/>
      <c r="QAG38" s="16"/>
      <c r="QAH38" s="16"/>
      <c r="QAI38" s="16"/>
      <c r="QAJ38" s="16"/>
      <c r="QAK38" s="16"/>
      <c r="QAL38" s="16"/>
      <c r="QAM38" s="16"/>
      <c r="QAN38" s="16"/>
      <c r="QAO38" s="16"/>
      <c r="QAP38" s="16"/>
      <c r="QAQ38" s="16"/>
      <c r="QAR38" s="16"/>
      <c r="QAS38" s="16"/>
      <c r="QAT38" s="16"/>
      <c r="QAU38" s="16"/>
      <c r="QAV38" s="16"/>
      <c r="QAW38" s="16"/>
      <c r="QAX38" s="16"/>
      <c r="QAY38" s="16"/>
      <c r="QAZ38" s="16"/>
      <c r="QBA38" s="16"/>
      <c r="QBB38" s="16"/>
      <c r="QBC38" s="16"/>
      <c r="QBD38" s="16"/>
      <c r="QBE38" s="16"/>
      <c r="QBF38" s="16"/>
      <c r="QBG38" s="16"/>
      <c r="QBH38" s="16"/>
      <c r="QBI38" s="16"/>
      <c r="QBJ38" s="16"/>
      <c r="QBK38" s="16"/>
      <c r="QBL38" s="16"/>
      <c r="QBM38" s="16"/>
      <c r="QBN38" s="16"/>
      <c r="QBO38" s="16"/>
      <c r="QBP38" s="16"/>
      <c r="QBQ38" s="16"/>
      <c r="QBR38" s="16"/>
      <c r="QBS38" s="16"/>
      <c r="QBT38" s="16"/>
      <c r="QBU38" s="16"/>
      <c r="QBV38" s="16"/>
      <c r="QBW38" s="16"/>
      <c r="QBX38" s="16"/>
      <c r="QBY38" s="16"/>
      <c r="QBZ38" s="16"/>
      <c r="QCA38" s="16"/>
      <c r="QCB38" s="16"/>
      <c r="QCC38" s="16"/>
      <c r="QCD38" s="16"/>
      <c r="QCE38" s="16"/>
      <c r="QCF38" s="16"/>
      <c r="QCG38" s="16"/>
      <c r="QCH38" s="16"/>
      <c r="QCI38" s="16"/>
      <c r="QCJ38" s="16"/>
      <c r="QCK38" s="16"/>
      <c r="QCL38" s="16"/>
      <c r="QCM38" s="16"/>
      <c r="QCN38" s="16"/>
      <c r="QCO38" s="16"/>
      <c r="QCP38" s="16"/>
      <c r="QCQ38" s="16"/>
      <c r="QCR38" s="16"/>
      <c r="QCS38" s="16"/>
      <c r="QCT38" s="16"/>
      <c r="QCU38" s="16"/>
      <c r="QCV38" s="16"/>
      <c r="QCW38" s="16"/>
      <c r="QCX38" s="16"/>
      <c r="QCY38" s="16"/>
      <c r="QCZ38" s="16"/>
      <c r="QDA38" s="16"/>
      <c r="QDB38" s="16"/>
      <c r="QDC38" s="16"/>
      <c r="QDD38" s="16"/>
      <c r="QDE38" s="16"/>
      <c r="QDF38" s="16"/>
      <c r="QDG38" s="16"/>
      <c r="QDH38" s="16"/>
      <c r="QDI38" s="16"/>
      <c r="QDJ38" s="16"/>
      <c r="QDK38" s="16"/>
      <c r="QDL38" s="16"/>
      <c r="QDM38" s="16"/>
      <c r="QDN38" s="16"/>
      <c r="QDO38" s="16"/>
      <c r="QDP38" s="16"/>
      <c r="QDQ38" s="16"/>
      <c r="QDR38" s="16"/>
      <c r="QDS38" s="16"/>
      <c r="QDT38" s="16"/>
      <c r="QDU38" s="16"/>
      <c r="QDV38" s="16"/>
      <c r="QDW38" s="16"/>
      <c r="QDX38" s="16"/>
      <c r="QDY38" s="16"/>
      <c r="QDZ38" s="16"/>
      <c r="QEA38" s="16"/>
      <c r="QEB38" s="16"/>
      <c r="QEC38" s="16"/>
      <c r="QED38" s="16"/>
      <c r="QEE38" s="16"/>
      <c r="QEF38" s="16"/>
      <c r="QEG38" s="16"/>
      <c r="QEH38" s="16"/>
      <c r="QEI38" s="16"/>
      <c r="QEJ38" s="16"/>
      <c r="QEK38" s="16"/>
      <c r="QEL38" s="16"/>
      <c r="QEM38" s="16"/>
      <c r="QEN38" s="16"/>
      <c r="QEO38" s="16"/>
      <c r="QEP38" s="16"/>
      <c r="QEQ38" s="16"/>
      <c r="QER38" s="16"/>
      <c r="QES38" s="16"/>
      <c r="QET38" s="16"/>
      <c r="QEU38" s="16"/>
      <c r="QEV38" s="16"/>
      <c r="QEW38" s="16"/>
      <c r="QEX38" s="16"/>
      <c r="QEY38" s="16"/>
      <c r="QEZ38" s="16"/>
      <c r="QFA38" s="16"/>
      <c r="QFB38" s="16"/>
      <c r="QFC38" s="16"/>
      <c r="QFD38" s="16"/>
      <c r="QFE38" s="16"/>
      <c r="QFF38" s="16"/>
      <c r="QFG38" s="16"/>
      <c r="QFH38" s="16"/>
      <c r="QFI38" s="16"/>
      <c r="QFJ38" s="16"/>
      <c r="QFK38" s="16"/>
      <c r="QFL38" s="16"/>
      <c r="QFM38" s="16"/>
      <c r="QFN38" s="16"/>
      <c r="QFO38" s="16"/>
      <c r="QFP38" s="16"/>
      <c r="QFQ38" s="16"/>
      <c r="QFR38" s="16"/>
      <c r="QFS38" s="16"/>
      <c r="QFT38" s="16"/>
      <c r="QFU38" s="16"/>
      <c r="QFV38" s="16"/>
      <c r="QFW38" s="16"/>
      <c r="QFX38" s="16"/>
      <c r="QFY38" s="16"/>
      <c r="QFZ38" s="16"/>
      <c r="QGA38" s="16"/>
      <c r="QGB38" s="16"/>
      <c r="QGC38" s="16"/>
      <c r="QGD38" s="16"/>
      <c r="QGE38" s="16"/>
      <c r="QGF38" s="16"/>
      <c r="QGG38" s="16"/>
      <c r="QGH38" s="16"/>
      <c r="QGI38" s="16"/>
      <c r="QGJ38" s="16"/>
      <c r="QGK38" s="16"/>
      <c r="QGL38" s="16"/>
      <c r="QGM38" s="16"/>
      <c r="QGN38" s="16"/>
      <c r="QGO38" s="16"/>
      <c r="QGP38" s="16"/>
      <c r="QGQ38" s="16"/>
      <c r="QGR38" s="16"/>
      <c r="QGS38" s="16"/>
      <c r="QGT38" s="16"/>
      <c r="QGU38" s="16"/>
      <c r="QGV38" s="16"/>
      <c r="QGW38" s="16"/>
      <c r="QGX38" s="16"/>
      <c r="QGY38" s="16"/>
      <c r="QGZ38" s="16"/>
      <c r="QHA38" s="16"/>
      <c r="QHB38" s="16"/>
      <c r="QHC38" s="16"/>
      <c r="QHD38" s="16"/>
      <c r="QHE38" s="16"/>
      <c r="QHF38" s="16"/>
      <c r="QHG38" s="16"/>
      <c r="QHH38" s="16"/>
      <c r="QHI38" s="16"/>
      <c r="QHJ38" s="16"/>
      <c r="QHK38" s="16"/>
      <c r="QHL38" s="16"/>
      <c r="QHM38" s="16"/>
      <c r="QHN38" s="16"/>
      <c r="QHO38" s="16"/>
      <c r="QHP38" s="16"/>
      <c r="QHQ38" s="16"/>
      <c r="QHR38" s="16"/>
      <c r="QHS38" s="16"/>
      <c r="QHT38" s="16"/>
      <c r="QHU38" s="16"/>
      <c r="QHV38" s="16"/>
      <c r="QHW38" s="16"/>
      <c r="QHX38" s="16"/>
      <c r="QHY38" s="16"/>
      <c r="QHZ38" s="16"/>
      <c r="QIA38" s="16"/>
      <c r="QIB38" s="16"/>
      <c r="QIC38" s="16"/>
      <c r="QID38" s="16"/>
      <c r="QIE38" s="16"/>
      <c r="QIF38" s="16"/>
      <c r="QIG38" s="16"/>
      <c r="QIH38" s="16"/>
      <c r="QII38" s="16"/>
      <c r="QIJ38" s="16"/>
      <c r="QIK38" s="16"/>
      <c r="QIL38" s="16"/>
      <c r="QIM38" s="16"/>
      <c r="QIN38" s="16"/>
      <c r="QIO38" s="16"/>
      <c r="QIP38" s="16"/>
      <c r="QIQ38" s="16"/>
      <c r="QIR38" s="16"/>
      <c r="QIS38" s="16"/>
      <c r="QIT38" s="16"/>
      <c r="QIU38" s="16"/>
      <c r="QIV38" s="16"/>
      <c r="QIW38" s="16"/>
      <c r="QIX38" s="16"/>
      <c r="QIY38" s="16"/>
      <c r="QIZ38" s="16"/>
      <c r="QJA38" s="16"/>
      <c r="QJB38" s="16"/>
      <c r="QJC38" s="16"/>
      <c r="QJD38" s="16"/>
      <c r="QJE38" s="16"/>
      <c r="QJF38" s="16"/>
      <c r="QJG38" s="16"/>
      <c r="QJH38" s="16"/>
      <c r="QJI38" s="16"/>
      <c r="QJJ38" s="16"/>
      <c r="QJK38" s="16"/>
      <c r="QJL38" s="16"/>
      <c r="QJM38" s="16"/>
      <c r="QJN38" s="16"/>
      <c r="QJO38" s="16"/>
      <c r="QJP38" s="16"/>
      <c r="QJQ38" s="16"/>
      <c r="QJR38" s="16"/>
      <c r="QJS38" s="16"/>
      <c r="QJT38" s="16"/>
      <c r="QJU38" s="16"/>
      <c r="QJV38" s="16"/>
      <c r="QJW38" s="16"/>
      <c r="QJX38" s="16"/>
      <c r="QJY38" s="16"/>
      <c r="QJZ38" s="16"/>
      <c r="QKA38" s="16"/>
      <c r="QKB38" s="16"/>
      <c r="QKC38" s="16"/>
      <c r="QKD38" s="16"/>
      <c r="QKE38" s="16"/>
      <c r="QKF38" s="16"/>
      <c r="QKG38" s="16"/>
      <c r="QKH38" s="16"/>
      <c r="QKI38" s="16"/>
      <c r="QKJ38" s="16"/>
      <c r="QKK38" s="16"/>
      <c r="QKL38" s="16"/>
      <c r="QKM38" s="16"/>
      <c r="QKN38" s="16"/>
      <c r="QKO38" s="16"/>
      <c r="QKP38" s="16"/>
      <c r="QKQ38" s="16"/>
      <c r="QKR38" s="16"/>
      <c r="QKS38" s="16"/>
      <c r="QKT38" s="16"/>
      <c r="QKU38" s="16"/>
      <c r="QKV38" s="16"/>
      <c r="QKW38" s="16"/>
      <c r="QKX38" s="16"/>
      <c r="QKY38" s="16"/>
      <c r="QKZ38" s="16"/>
      <c r="QLA38" s="16"/>
      <c r="QLB38" s="16"/>
      <c r="QLC38" s="16"/>
      <c r="QLD38" s="16"/>
      <c r="QLE38" s="16"/>
      <c r="QLF38" s="16"/>
      <c r="QLG38" s="16"/>
      <c r="QLH38" s="16"/>
      <c r="QLI38" s="16"/>
      <c r="QLJ38" s="16"/>
      <c r="QLK38" s="16"/>
      <c r="QLL38" s="16"/>
      <c r="QLM38" s="16"/>
      <c r="QLN38" s="16"/>
      <c r="QLO38" s="16"/>
      <c r="QLP38" s="16"/>
      <c r="QLQ38" s="16"/>
      <c r="QLR38" s="16"/>
      <c r="QLS38" s="16"/>
      <c r="QLT38" s="16"/>
      <c r="QLU38" s="16"/>
      <c r="QLV38" s="16"/>
      <c r="QLW38" s="16"/>
      <c r="QLX38" s="16"/>
      <c r="QLY38" s="16"/>
      <c r="QLZ38" s="16"/>
      <c r="QMA38" s="16"/>
      <c r="QMB38" s="16"/>
      <c r="QMC38" s="16"/>
      <c r="QMD38" s="16"/>
      <c r="QME38" s="16"/>
      <c r="QMF38" s="16"/>
      <c r="QMG38" s="16"/>
      <c r="QMH38" s="16"/>
      <c r="QMI38" s="16"/>
      <c r="QMJ38" s="16"/>
      <c r="QMK38" s="16"/>
      <c r="QML38" s="16"/>
      <c r="QMM38" s="16"/>
      <c r="QMN38" s="16"/>
      <c r="QMO38" s="16"/>
      <c r="QMP38" s="16"/>
      <c r="QMQ38" s="16"/>
      <c r="QMR38" s="16"/>
      <c r="QMS38" s="16"/>
      <c r="QMT38" s="16"/>
      <c r="QMU38" s="16"/>
      <c r="QMV38" s="16"/>
      <c r="QMW38" s="16"/>
      <c r="QMX38" s="16"/>
      <c r="QMY38" s="16"/>
      <c r="QMZ38" s="16"/>
      <c r="QNA38" s="16"/>
      <c r="QNB38" s="16"/>
      <c r="QNC38" s="16"/>
      <c r="QND38" s="16"/>
      <c r="QNE38" s="16"/>
      <c r="QNF38" s="16"/>
      <c r="QNG38" s="16"/>
      <c r="QNH38" s="16"/>
      <c r="QNI38" s="16"/>
      <c r="QNJ38" s="16"/>
      <c r="QNK38" s="16"/>
      <c r="QNL38" s="16"/>
      <c r="QNM38" s="16"/>
      <c r="QNN38" s="16"/>
      <c r="QNO38" s="16"/>
      <c r="QNP38" s="16"/>
      <c r="QNQ38" s="16"/>
      <c r="QNR38" s="16"/>
      <c r="QNS38" s="16"/>
      <c r="QNT38" s="16"/>
      <c r="QNU38" s="16"/>
      <c r="QNV38" s="16"/>
      <c r="QNW38" s="16"/>
      <c r="QNX38" s="16"/>
      <c r="QNY38" s="16"/>
      <c r="QNZ38" s="16"/>
      <c r="QOA38" s="16"/>
      <c r="QOB38" s="16"/>
      <c r="QOC38" s="16"/>
      <c r="QOD38" s="16"/>
      <c r="QOE38" s="16"/>
      <c r="QOF38" s="16"/>
      <c r="QOG38" s="16"/>
      <c r="QOH38" s="16"/>
      <c r="QOI38" s="16"/>
      <c r="QOJ38" s="16"/>
      <c r="QOK38" s="16"/>
      <c r="QOL38" s="16"/>
      <c r="QOM38" s="16"/>
      <c r="QON38" s="16"/>
      <c r="QOO38" s="16"/>
      <c r="QOP38" s="16"/>
      <c r="QOQ38" s="16"/>
      <c r="QOR38" s="16"/>
      <c r="QOS38" s="16"/>
      <c r="QOT38" s="16"/>
      <c r="QOU38" s="16"/>
      <c r="QOV38" s="16"/>
      <c r="QOW38" s="16"/>
      <c r="QOX38" s="16"/>
      <c r="QOY38" s="16"/>
      <c r="QOZ38" s="16"/>
      <c r="QPA38" s="16"/>
      <c r="QPB38" s="16"/>
      <c r="QPC38" s="16"/>
      <c r="QPD38" s="16"/>
      <c r="QPE38" s="16"/>
      <c r="QPF38" s="16"/>
      <c r="QPG38" s="16"/>
      <c r="QPH38" s="16"/>
      <c r="QPI38" s="16"/>
      <c r="QPJ38" s="16"/>
      <c r="QPK38" s="16"/>
      <c r="QPL38" s="16"/>
      <c r="QPM38" s="16"/>
      <c r="QPN38" s="16"/>
      <c r="QPO38" s="16"/>
      <c r="QPP38" s="16"/>
      <c r="QPQ38" s="16"/>
      <c r="QPR38" s="16"/>
      <c r="QPS38" s="16"/>
      <c r="QPT38" s="16"/>
      <c r="QPU38" s="16"/>
      <c r="QPV38" s="16"/>
      <c r="QPW38" s="16"/>
      <c r="QPX38" s="16"/>
      <c r="QPY38" s="16"/>
      <c r="QPZ38" s="16"/>
      <c r="QQA38" s="16"/>
      <c r="QQB38" s="16"/>
      <c r="QQC38" s="16"/>
      <c r="QQD38" s="16"/>
      <c r="QQE38" s="16"/>
      <c r="QQF38" s="16"/>
      <c r="QQG38" s="16"/>
      <c r="QQH38" s="16"/>
      <c r="QQI38" s="16"/>
      <c r="QQJ38" s="16"/>
      <c r="QQK38" s="16"/>
      <c r="QQL38" s="16"/>
      <c r="QQM38" s="16"/>
      <c r="QQN38" s="16"/>
      <c r="QQO38" s="16"/>
      <c r="QQP38" s="16"/>
      <c r="QQQ38" s="16"/>
      <c r="QQR38" s="16"/>
      <c r="QQS38" s="16"/>
      <c r="QQT38" s="16"/>
      <c r="QQU38" s="16"/>
      <c r="QQV38" s="16"/>
      <c r="QQW38" s="16"/>
      <c r="QQX38" s="16"/>
      <c r="QQY38" s="16"/>
      <c r="QQZ38" s="16"/>
      <c r="QRA38" s="16"/>
      <c r="QRB38" s="16"/>
      <c r="QRC38" s="16"/>
      <c r="QRD38" s="16"/>
      <c r="QRE38" s="16"/>
      <c r="QRF38" s="16"/>
      <c r="QRG38" s="16"/>
      <c r="QRH38" s="16"/>
      <c r="QRI38" s="16"/>
      <c r="QRJ38" s="16"/>
      <c r="QRK38" s="16"/>
      <c r="QRL38" s="16"/>
      <c r="QRM38" s="16"/>
      <c r="QRN38" s="16"/>
      <c r="QRO38" s="16"/>
      <c r="QRP38" s="16"/>
      <c r="QRQ38" s="16"/>
      <c r="QRR38" s="16"/>
      <c r="QRS38" s="16"/>
      <c r="QRT38" s="16"/>
      <c r="QRU38" s="16"/>
      <c r="QRV38" s="16"/>
      <c r="QRW38" s="16"/>
      <c r="QRX38" s="16"/>
      <c r="QRY38" s="16"/>
      <c r="QRZ38" s="16"/>
      <c r="QSA38" s="16"/>
      <c r="QSB38" s="16"/>
      <c r="QSC38" s="16"/>
      <c r="QSD38" s="16"/>
      <c r="QSE38" s="16"/>
      <c r="QSF38" s="16"/>
      <c r="QSG38" s="16"/>
      <c r="QSH38" s="16"/>
      <c r="QSI38" s="16"/>
      <c r="QSJ38" s="16"/>
      <c r="QSK38" s="16"/>
      <c r="QSL38" s="16"/>
      <c r="QSM38" s="16"/>
      <c r="QSN38" s="16"/>
      <c r="QSO38" s="16"/>
      <c r="QSP38" s="16"/>
      <c r="QSQ38" s="16"/>
      <c r="QSR38" s="16"/>
      <c r="QSS38" s="16"/>
      <c r="QST38" s="16"/>
      <c r="QSU38" s="16"/>
      <c r="QSV38" s="16"/>
      <c r="QSW38" s="16"/>
      <c r="QSX38" s="16"/>
      <c r="QSY38" s="16"/>
      <c r="QSZ38" s="16"/>
      <c r="QTA38" s="16"/>
      <c r="QTB38" s="16"/>
      <c r="QTC38" s="16"/>
      <c r="QTD38" s="16"/>
      <c r="QTE38" s="16"/>
      <c r="QTF38" s="16"/>
      <c r="QTG38" s="16"/>
      <c r="QTH38" s="16"/>
      <c r="QTI38" s="16"/>
      <c r="QTJ38" s="16"/>
      <c r="QTK38" s="16"/>
      <c r="QTL38" s="16"/>
      <c r="QTM38" s="16"/>
      <c r="QTN38" s="16"/>
      <c r="QTO38" s="16"/>
      <c r="QTP38" s="16"/>
      <c r="QTQ38" s="16"/>
      <c r="QTR38" s="16"/>
      <c r="QTS38" s="16"/>
      <c r="QTT38" s="16"/>
      <c r="QTU38" s="16"/>
      <c r="QTV38" s="16"/>
      <c r="QTW38" s="16"/>
      <c r="QTX38" s="16"/>
      <c r="QTY38" s="16"/>
      <c r="QTZ38" s="16"/>
      <c r="QUA38" s="16"/>
      <c r="QUB38" s="16"/>
      <c r="QUC38" s="16"/>
      <c r="QUD38" s="16"/>
      <c r="QUE38" s="16"/>
      <c r="QUF38" s="16"/>
      <c r="QUG38" s="16"/>
      <c r="QUH38" s="16"/>
      <c r="QUI38" s="16"/>
      <c r="QUJ38" s="16"/>
      <c r="QUK38" s="16"/>
      <c r="QUL38" s="16"/>
      <c r="QUM38" s="16"/>
      <c r="QUN38" s="16"/>
      <c r="QUO38" s="16"/>
      <c r="QUP38" s="16"/>
      <c r="QUQ38" s="16"/>
      <c r="QUR38" s="16"/>
      <c r="QUS38" s="16"/>
      <c r="QUT38" s="16"/>
      <c r="QUU38" s="16"/>
      <c r="QUV38" s="16"/>
      <c r="QUW38" s="16"/>
      <c r="QUX38" s="16"/>
      <c r="QUY38" s="16"/>
      <c r="QUZ38" s="16"/>
      <c r="QVA38" s="16"/>
      <c r="QVB38" s="16"/>
      <c r="QVC38" s="16"/>
      <c r="QVD38" s="16"/>
      <c r="QVE38" s="16"/>
      <c r="QVF38" s="16"/>
      <c r="QVG38" s="16"/>
      <c r="QVH38" s="16"/>
      <c r="QVI38" s="16"/>
      <c r="QVJ38" s="16"/>
      <c r="QVK38" s="16"/>
      <c r="QVL38" s="16"/>
      <c r="QVM38" s="16"/>
      <c r="QVN38" s="16"/>
      <c r="QVO38" s="16"/>
      <c r="QVP38" s="16"/>
      <c r="QVQ38" s="16"/>
      <c r="QVR38" s="16"/>
      <c r="QVS38" s="16"/>
      <c r="QVT38" s="16"/>
      <c r="QVU38" s="16"/>
      <c r="QVV38" s="16"/>
      <c r="QVW38" s="16"/>
      <c r="QVX38" s="16"/>
      <c r="QVY38" s="16"/>
      <c r="QVZ38" s="16"/>
      <c r="QWA38" s="16"/>
      <c r="QWB38" s="16"/>
      <c r="QWC38" s="16"/>
      <c r="QWD38" s="16"/>
      <c r="QWE38" s="16"/>
      <c r="QWF38" s="16"/>
      <c r="QWG38" s="16"/>
      <c r="QWH38" s="16"/>
      <c r="QWI38" s="16"/>
      <c r="QWJ38" s="16"/>
      <c r="QWK38" s="16"/>
      <c r="QWL38" s="16"/>
      <c r="QWM38" s="16"/>
      <c r="QWN38" s="16"/>
      <c r="QWO38" s="16"/>
      <c r="QWP38" s="16"/>
      <c r="QWQ38" s="16"/>
      <c r="QWR38" s="16"/>
      <c r="QWS38" s="16"/>
      <c r="QWT38" s="16"/>
      <c r="QWU38" s="16"/>
      <c r="QWV38" s="16"/>
      <c r="QWW38" s="16"/>
      <c r="QWX38" s="16"/>
      <c r="QWY38" s="16"/>
      <c r="QWZ38" s="16"/>
      <c r="QXA38" s="16"/>
      <c r="QXB38" s="16"/>
      <c r="QXC38" s="16"/>
      <c r="QXD38" s="16"/>
      <c r="QXE38" s="16"/>
      <c r="QXF38" s="16"/>
      <c r="QXG38" s="16"/>
      <c r="QXH38" s="16"/>
      <c r="QXI38" s="16"/>
      <c r="QXJ38" s="16"/>
      <c r="QXK38" s="16"/>
      <c r="QXL38" s="16"/>
      <c r="QXM38" s="16"/>
      <c r="QXN38" s="16"/>
      <c r="QXO38" s="16"/>
      <c r="QXP38" s="16"/>
      <c r="QXQ38" s="16"/>
      <c r="QXR38" s="16"/>
      <c r="QXS38" s="16"/>
      <c r="QXT38" s="16"/>
      <c r="QXU38" s="16"/>
      <c r="QXV38" s="16"/>
      <c r="QXW38" s="16"/>
      <c r="QXX38" s="16"/>
      <c r="QXY38" s="16"/>
      <c r="QXZ38" s="16"/>
      <c r="QYA38" s="16"/>
      <c r="QYB38" s="16"/>
      <c r="QYC38" s="16"/>
      <c r="QYD38" s="16"/>
      <c r="QYE38" s="16"/>
      <c r="QYF38" s="16"/>
      <c r="QYG38" s="16"/>
      <c r="QYH38" s="16"/>
      <c r="QYI38" s="16"/>
      <c r="QYJ38" s="16"/>
      <c r="QYK38" s="16"/>
      <c r="QYL38" s="16"/>
      <c r="QYM38" s="16"/>
      <c r="QYN38" s="16"/>
      <c r="QYO38" s="16"/>
      <c r="QYP38" s="16"/>
      <c r="QYQ38" s="16"/>
      <c r="QYR38" s="16"/>
      <c r="QYS38" s="16"/>
      <c r="QYT38" s="16"/>
      <c r="QYU38" s="16"/>
      <c r="QYV38" s="16"/>
      <c r="QYW38" s="16"/>
      <c r="QYX38" s="16"/>
      <c r="QYY38" s="16"/>
      <c r="QYZ38" s="16"/>
      <c r="QZA38" s="16"/>
      <c r="QZB38" s="16"/>
      <c r="QZC38" s="16"/>
      <c r="QZD38" s="16"/>
      <c r="QZE38" s="16"/>
      <c r="QZF38" s="16"/>
      <c r="QZG38" s="16"/>
      <c r="QZH38" s="16"/>
      <c r="QZI38" s="16"/>
      <c r="QZJ38" s="16"/>
      <c r="QZK38" s="16"/>
      <c r="QZL38" s="16"/>
      <c r="QZM38" s="16"/>
      <c r="QZN38" s="16"/>
      <c r="QZO38" s="16"/>
      <c r="QZP38" s="16"/>
      <c r="QZQ38" s="16"/>
      <c r="QZR38" s="16"/>
      <c r="QZS38" s="16"/>
      <c r="QZT38" s="16"/>
      <c r="QZU38" s="16"/>
      <c r="QZV38" s="16"/>
      <c r="QZW38" s="16"/>
      <c r="QZX38" s="16"/>
      <c r="QZY38" s="16"/>
      <c r="QZZ38" s="16"/>
      <c r="RAA38" s="16"/>
      <c r="RAB38" s="16"/>
      <c r="RAC38" s="16"/>
      <c r="RAD38" s="16"/>
      <c r="RAE38" s="16"/>
      <c r="RAF38" s="16"/>
      <c r="RAG38" s="16"/>
      <c r="RAH38" s="16"/>
      <c r="RAI38" s="16"/>
      <c r="RAJ38" s="16"/>
      <c r="RAK38" s="16"/>
      <c r="RAL38" s="16"/>
      <c r="RAM38" s="16"/>
      <c r="RAN38" s="16"/>
      <c r="RAO38" s="16"/>
      <c r="RAP38" s="16"/>
      <c r="RAQ38" s="16"/>
      <c r="RAR38" s="16"/>
      <c r="RAS38" s="16"/>
      <c r="RAT38" s="16"/>
      <c r="RAU38" s="16"/>
      <c r="RAV38" s="16"/>
      <c r="RAW38" s="16"/>
      <c r="RAX38" s="16"/>
      <c r="RAY38" s="16"/>
      <c r="RAZ38" s="16"/>
      <c r="RBA38" s="16"/>
      <c r="RBB38" s="16"/>
      <c r="RBC38" s="16"/>
      <c r="RBD38" s="16"/>
      <c r="RBE38" s="16"/>
      <c r="RBF38" s="16"/>
      <c r="RBG38" s="16"/>
      <c r="RBH38" s="16"/>
      <c r="RBI38" s="16"/>
      <c r="RBJ38" s="16"/>
      <c r="RBK38" s="16"/>
      <c r="RBL38" s="16"/>
      <c r="RBM38" s="16"/>
      <c r="RBN38" s="16"/>
      <c r="RBO38" s="16"/>
      <c r="RBP38" s="16"/>
      <c r="RBQ38" s="16"/>
      <c r="RBR38" s="16"/>
      <c r="RBS38" s="16"/>
      <c r="RBT38" s="16"/>
      <c r="RBU38" s="16"/>
      <c r="RBV38" s="16"/>
      <c r="RBW38" s="16"/>
      <c r="RBX38" s="16"/>
      <c r="RBY38" s="16"/>
      <c r="RBZ38" s="16"/>
      <c r="RCA38" s="16"/>
      <c r="RCB38" s="16"/>
      <c r="RCC38" s="16"/>
      <c r="RCD38" s="16"/>
      <c r="RCE38" s="16"/>
      <c r="RCF38" s="16"/>
      <c r="RCG38" s="16"/>
      <c r="RCH38" s="16"/>
      <c r="RCI38" s="16"/>
      <c r="RCJ38" s="16"/>
      <c r="RCK38" s="16"/>
      <c r="RCL38" s="16"/>
      <c r="RCM38" s="16"/>
      <c r="RCN38" s="16"/>
      <c r="RCO38" s="16"/>
      <c r="RCP38" s="16"/>
      <c r="RCQ38" s="16"/>
      <c r="RCR38" s="16"/>
      <c r="RCS38" s="16"/>
      <c r="RCT38" s="16"/>
      <c r="RCU38" s="16"/>
      <c r="RCV38" s="16"/>
      <c r="RCW38" s="16"/>
      <c r="RCX38" s="16"/>
      <c r="RCY38" s="16"/>
      <c r="RCZ38" s="16"/>
      <c r="RDA38" s="16"/>
      <c r="RDB38" s="16"/>
      <c r="RDC38" s="16"/>
      <c r="RDD38" s="16"/>
      <c r="RDE38" s="16"/>
      <c r="RDF38" s="16"/>
      <c r="RDG38" s="16"/>
      <c r="RDH38" s="16"/>
      <c r="RDI38" s="16"/>
      <c r="RDJ38" s="16"/>
      <c r="RDK38" s="16"/>
      <c r="RDL38" s="16"/>
      <c r="RDM38" s="16"/>
      <c r="RDN38" s="16"/>
      <c r="RDO38" s="16"/>
      <c r="RDP38" s="16"/>
      <c r="RDQ38" s="16"/>
      <c r="RDR38" s="16"/>
      <c r="RDS38" s="16"/>
      <c r="RDT38" s="16"/>
      <c r="RDU38" s="16"/>
      <c r="RDV38" s="16"/>
      <c r="RDW38" s="16"/>
      <c r="RDX38" s="16"/>
      <c r="RDY38" s="16"/>
      <c r="RDZ38" s="16"/>
      <c r="REA38" s="16"/>
      <c r="REB38" s="16"/>
      <c r="REC38" s="16"/>
      <c r="RED38" s="16"/>
      <c r="REE38" s="16"/>
      <c r="REF38" s="16"/>
      <c r="REG38" s="16"/>
      <c r="REH38" s="16"/>
      <c r="REI38" s="16"/>
      <c r="REJ38" s="16"/>
      <c r="REK38" s="16"/>
      <c r="REL38" s="16"/>
      <c r="REM38" s="16"/>
      <c r="REN38" s="16"/>
      <c r="REO38" s="16"/>
      <c r="REP38" s="16"/>
      <c r="REQ38" s="16"/>
      <c r="RER38" s="16"/>
      <c r="RES38" s="16"/>
      <c r="RET38" s="16"/>
      <c r="REU38" s="16"/>
      <c r="REV38" s="16"/>
      <c r="REW38" s="16"/>
      <c r="REX38" s="16"/>
      <c r="REY38" s="16"/>
      <c r="REZ38" s="16"/>
      <c r="RFA38" s="16"/>
      <c r="RFB38" s="16"/>
      <c r="RFC38" s="16"/>
      <c r="RFD38" s="16"/>
      <c r="RFE38" s="16"/>
      <c r="RFF38" s="16"/>
      <c r="RFG38" s="16"/>
      <c r="RFH38" s="16"/>
      <c r="RFI38" s="16"/>
      <c r="RFJ38" s="16"/>
      <c r="RFK38" s="16"/>
      <c r="RFL38" s="16"/>
      <c r="RFM38" s="16"/>
      <c r="RFN38" s="16"/>
      <c r="RFO38" s="16"/>
      <c r="RFP38" s="16"/>
      <c r="RFQ38" s="16"/>
      <c r="RFR38" s="16"/>
      <c r="RFS38" s="16"/>
      <c r="RFT38" s="16"/>
      <c r="RFU38" s="16"/>
      <c r="RFV38" s="16"/>
      <c r="RFW38" s="16"/>
      <c r="RFX38" s="16"/>
      <c r="RFY38" s="16"/>
      <c r="RFZ38" s="16"/>
      <c r="RGA38" s="16"/>
      <c r="RGB38" s="16"/>
      <c r="RGC38" s="16"/>
      <c r="RGD38" s="16"/>
      <c r="RGE38" s="16"/>
      <c r="RGF38" s="16"/>
      <c r="RGG38" s="16"/>
      <c r="RGH38" s="16"/>
      <c r="RGI38" s="16"/>
      <c r="RGJ38" s="16"/>
      <c r="RGK38" s="16"/>
      <c r="RGL38" s="16"/>
      <c r="RGM38" s="16"/>
      <c r="RGN38" s="16"/>
      <c r="RGO38" s="16"/>
      <c r="RGP38" s="16"/>
      <c r="RGQ38" s="16"/>
      <c r="RGR38" s="16"/>
      <c r="RGS38" s="16"/>
      <c r="RGT38" s="16"/>
      <c r="RGU38" s="16"/>
      <c r="RGV38" s="16"/>
      <c r="RGW38" s="16"/>
      <c r="RGX38" s="16"/>
      <c r="RGY38" s="16"/>
      <c r="RGZ38" s="16"/>
      <c r="RHA38" s="16"/>
      <c r="RHB38" s="16"/>
      <c r="RHC38" s="16"/>
      <c r="RHD38" s="16"/>
      <c r="RHE38" s="16"/>
      <c r="RHF38" s="16"/>
      <c r="RHG38" s="16"/>
      <c r="RHH38" s="16"/>
      <c r="RHI38" s="16"/>
      <c r="RHJ38" s="16"/>
      <c r="RHK38" s="16"/>
      <c r="RHL38" s="16"/>
      <c r="RHM38" s="16"/>
      <c r="RHN38" s="16"/>
      <c r="RHO38" s="16"/>
      <c r="RHP38" s="16"/>
      <c r="RHQ38" s="16"/>
      <c r="RHR38" s="16"/>
      <c r="RHS38" s="16"/>
      <c r="RHT38" s="16"/>
      <c r="RHU38" s="16"/>
      <c r="RHV38" s="16"/>
      <c r="RHW38" s="16"/>
      <c r="RHX38" s="16"/>
      <c r="RHY38" s="16"/>
      <c r="RHZ38" s="16"/>
      <c r="RIA38" s="16"/>
      <c r="RIB38" s="16"/>
      <c r="RIC38" s="16"/>
      <c r="RID38" s="16"/>
      <c r="RIE38" s="16"/>
      <c r="RIF38" s="16"/>
      <c r="RIG38" s="16"/>
      <c r="RIH38" s="16"/>
      <c r="RII38" s="16"/>
      <c r="RIJ38" s="16"/>
      <c r="RIK38" s="16"/>
      <c r="RIL38" s="16"/>
      <c r="RIM38" s="16"/>
      <c r="RIN38" s="16"/>
      <c r="RIO38" s="16"/>
      <c r="RIP38" s="16"/>
      <c r="RIQ38" s="16"/>
      <c r="RIR38" s="16"/>
      <c r="RIS38" s="16"/>
      <c r="RIT38" s="16"/>
      <c r="RIU38" s="16"/>
      <c r="RIV38" s="16"/>
      <c r="RIW38" s="16"/>
      <c r="RIX38" s="16"/>
      <c r="RIY38" s="16"/>
      <c r="RIZ38" s="16"/>
      <c r="RJA38" s="16"/>
      <c r="RJB38" s="16"/>
      <c r="RJC38" s="16"/>
      <c r="RJD38" s="16"/>
      <c r="RJE38" s="16"/>
      <c r="RJF38" s="16"/>
      <c r="RJG38" s="16"/>
      <c r="RJH38" s="16"/>
      <c r="RJI38" s="16"/>
      <c r="RJJ38" s="16"/>
      <c r="RJK38" s="16"/>
      <c r="RJL38" s="16"/>
      <c r="RJM38" s="16"/>
      <c r="RJN38" s="16"/>
      <c r="RJO38" s="16"/>
      <c r="RJP38" s="16"/>
      <c r="RJQ38" s="16"/>
      <c r="RJR38" s="16"/>
      <c r="RJS38" s="16"/>
      <c r="RJT38" s="16"/>
      <c r="RJU38" s="16"/>
      <c r="RJV38" s="16"/>
      <c r="RJW38" s="16"/>
      <c r="RJX38" s="16"/>
      <c r="RJY38" s="16"/>
      <c r="RJZ38" s="16"/>
      <c r="RKA38" s="16"/>
      <c r="RKB38" s="16"/>
      <c r="RKC38" s="16"/>
      <c r="RKD38" s="16"/>
      <c r="RKE38" s="16"/>
      <c r="RKF38" s="16"/>
      <c r="RKG38" s="16"/>
      <c r="RKH38" s="16"/>
      <c r="RKI38" s="16"/>
      <c r="RKJ38" s="16"/>
      <c r="RKK38" s="16"/>
      <c r="RKL38" s="16"/>
      <c r="RKM38" s="16"/>
      <c r="RKN38" s="16"/>
      <c r="RKO38" s="16"/>
      <c r="RKP38" s="16"/>
      <c r="RKQ38" s="16"/>
      <c r="RKR38" s="16"/>
      <c r="RKS38" s="16"/>
      <c r="RKT38" s="16"/>
      <c r="RKU38" s="16"/>
      <c r="RKV38" s="16"/>
      <c r="RKW38" s="16"/>
      <c r="RKX38" s="16"/>
      <c r="RKY38" s="16"/>
      <c r="RKZ38" s="16"/>
      <c r="RLA38" s="16"/>
      <c r="RLB38" s="16"/>
      <c r="RLC38" s="16"/>
      <c r="RLD38" s="16"/>
      <c r="RLE38" s="16"/>
      <c r="RLF38" s="16"/>
      <c r="RLG38" s="16"/>
      <c r="RLH38" s="16"/>
      <c r="RLI38" s="16"/>
      <c r="RLJ38" s="16"/>
      <c r="RLK38" s="16"/>
      <c r="RLL38" s="16"/>
      <c r="RLM38" s="16"/>
      <c r="RLN38" s="16"/>
      <c r="RLO38" s="16"/>
      <c r="RLP38" s="16"/>
      <c r="RLQ38" s="16"/>
      <c r="RLR38" s="16"/>
      <c r="RLS38" s="16"/>
      <c r="RLT38" s="16"/>
      <c r="RLU38" s="16"/>
      <c r="RLV38" s="16"/>
      <c r="RLW38" s="16"/>
      <c r="RLX38" s="16"/>
      <c r="RLY38" s="16"/>
      <c r="RLZ38" s="16"/>
      <c r="RMA38" s="16"/>
      <c r="RMB38" s="16"/>
      <c r="RMC38" s="16"/>
      <c r="RMD38" s="16"/>
      <c r="RME38" s="16"/>
      <c r="RMF38" s="16"/>
      <c r="RMG38" s="16"/>
      <c r="RMH38" s="16"/>
      <c r="RMI38" s="16"/>
      <c r="RMJ38" s="16"/>
      <c r="RMK38" s="16"/>
      <c r="RML38" s="16"/>
      <c r="RMM38" s="16"/>
      <c r="RMN38" s="16"/>
      <c r="RMO38" s="16"/>
      <c r="RMP38" s="16"/>
      <c r="RMQ38" s="16"/>
      <c r="RMR38" s="16"/>
      <c r="RMS38" s="16"/>
      <c r="RMT38" s="16"/>
      <c r="RMU38" s="16"/>
      <c r="RMV38" s="16"/>
      <c r="RMW38" s="16"/>
      <c r="RMX38" s="16"/>
      <c r="RMY38" s="16"/>
      <c r="RMZ38" s="16"/>
      <c r="RNA38" s="16"/>
      <c r="RNB38" s="16"/>
      <c r="RNC38" s="16"/>
      <c r="RND38" s="16"/>
      <c r="RNE38" s="16"/>
      <c r="RNF38" s="16"/>
      <c r="RNG38" s="16"/>
      <c r="RNH38" s="16"/>
      <c r="RNI38" s="16"/>
      <c r="RNJ38" s="16"/>
      <c r="RNK38" s="16"/>
      <c r="RNL38" s="16"/>
      <c r="RNM38" s="16"/>
      <c r="RNN38" s="16"/>
      <c r="RNO38" s="16"/>
      <c r="RNP38" s="16"/>
      <c r="RNQ38" s="16"/>
      <c r="RNR38" s="16"/>
      <c r="RNS38" s="16"/>
      <c r="RNT38" s="16"/>
      <c r="RNU38" s="16"/>
      <c r="RNV38" s="16"/>
      <c r="RNW38" s="16"/>
      <c r="RNX38" s="16"/>
      <c r="RNY38" s="16"/>
      <c r="RNZ38" s="16"/>
      <c r="ROA38" s="16"/>
      <c r="ROB38" s="16"/>
      <c r="ROC38" s="16"/>
      <c r="ROD38" s="16"/>
      <c r="ROE38" s="16"/>
      <c r="ROF38" s="16"/>
      <c r="ROG38" s="16"/>
      <c r="ROH38" s="16"/>
      <c r="ROI38" s="16"/>
      <c r="ROJ38" s="16"/>
      <c r="ROK38" s="16"/>
      <c r="ROL38" s="16"/>
      <c r="ROM38" s="16"/>
      <c r="RON38" s="16"/>
      <c r="ROO38" s="16"/>
      <c r="ROP38" s="16"/>
      <c r="ROQ38" s="16"/>
      <c r="ROR38" s="16"/>
      <c r="ROS38" s="16"/>
      <c r="ROT38" s="16"/>
      <c r="ROU38" s="16"/>
      <c r="ROV38" s="16"/>
      <c r="ROW38" s="16"/>
      <c r="ROX38" s="16"/>
      <c r="ROY38" s="16"/>
      <c r="ROZ38" s="16"/>
      <c r="RPA38" s="16"/>
      <c r="RPB38" s="16"/>
      <c r="RPC38" s="16"/>
      <c r="RPD38" s="16"/>
      <c r="RPE38" s="16"/>
      <c r="RPF38" s="16"/>
      <c r="RPG38" s="16"/>
      <c r="RPH38" s="16"/>
      <c r="RPI38" s="16"/>
      <c r="RPJ38" s="16"/>
      <c r="RPK38" s="16"/>
      <c r="RPL38" s="16"/>
      <c r="RPM38" s="16"/>
      <c r="RPN38" s="16"/>
      <c r="RPO38" s="16"/>
      <c r="RPP38" s="16"/>
      <c r="RPQ38" s="16"/>
      <c r="RPR38" s="16"/>
      <c r="RPS38" s="16"/>
      <c r="RPT38" s="16"/>
      <c r="RPU38" s="16"/>
      <c r="RPV38" s="16"/>
      <c r="RPW38" s="16"/>
      <c r="RPX38" s="16"/>
      <c r="RPY38" s="16"/>
      <c r="RPZ38" s="16"/>
      <c r="RQA38" s="16"/>
      <c r="RQB38" s="16"/>
      <c r="RQC38" s="16"/>
      <c r="RQD38" s="16"/>
      <c r="RQE38" s="16"/>
      <c r="RQF38" s="16"/>
      <c r="RQG38" s="16"/>
      <c r="RQH38" s="16"/>
      <c r="RQI38" s="16"/>
      <c r="RQJ38" s="16"/>
      <c r="RQK38" s="16"/>
      <c r="RQL38" s="16"/>
      <c r="RQM38" s="16"/>
      <c r="RQN38" s="16"/>
      <c r="RQO38" s="16"/>
      <c r="RQP38" s="16"/>
      <c r="RQQ38" s="16"/>
      <c r="RQR38" s="16"/>
      <c r="RQS38" s="16"/>
      <c r="RQT38" s="16"/>
      <c r="RQU38" s="16"/>
      <c r="RQV38" s="16"/>
      <c r="RQW38" s="16"/>
      <c r="RQX38" s="16"/>
      <c r="RQY38" s="16"/>
      <c r="RQZ38" s="16"/>
      <c r="RRA38" s="16"/>
      <c r="RRB38" s="16"/>
      <c r="RRC38" s="16"/>
      <c r="RRD38" s="16"/>
      <c r="RRE38" s="16"/>
      <c r="RRF38" s="16"/>
      <c r="RRG38" s="16"/>
      <c r="RRH38" s="16"/>
      <c r="RRI38" s="16"/>
      <c r="RRJ38" s="16"/>
      <c r="RRK38" s="16"/>
      <c r="RRL38" s="16"/>
      <c r="RRM38" s="16"/>
      <c r="RRN38" s="16"/>
      <c r="RRO38" s="16"/>
      <c r="RRP38" s="16"/>
      <c r="RRQ38" s="16"/>
      <c r="RRR38" s="16"/>
      <c r="RRS38" s="16"/>
      <c r="RRT38" s="16"/>
      <c r="RRU38" s="16"/>
      <c r="RRV38" s="16"/>
      <c r="RRW38" s="16"/>
      <c r="RRX38" s="16"/>
      <c r="RRY38" s="16"/>
      <c r="RRZ38" s="16"/>
      <c r="RSA38" s="16"/>
      <c r="RSB38" s="16"/>
      <c r="RSC38" s="16"/>
      <c r="RSD38" s="16"/>
      <c r="RSE38" s="16"/>
      <c r="RSF38" s="16"/>
      <c r="RSG38" s="16"/>
      <c r="RSH38" s="16"/>
      <c r="RSI38" s="16"/>
      <c r="RSJ38" s="16"/>
      <c r="RSK38" s="16"/>
      <c r="RSL38" s="16"/>
      <c r="RSM38" s="16"/>
      <c r="RSN38" s="16"/>
      <c r="RSO38" s="16"/>
      <c r="RSP38" s="16"/>
      <c r="RSQ38" s="16"/>
      <c r="RSR38" s="16"/>
      <c r="RSS38" s="16"/>
      <c r="RST38" s="16"/>
      <c r="RSU38" s="16"/>
      <c r="RSV38" s="16"/>
      <c r="RSW38" s="16"/>
      <c r="RSX38" s="16"/>
      <c r="RSY38" s="16"/>
      <c r="RSZ38" s="16"/>
      <c r="RTA38" s="16"/>
      <c r="RTB38" s="16"/>
      <c r="RTC38" s="16"/>
      <c r="RTD38" s="16"/>
      <c r="RTE38" s="16"/>
      <c r="RTF38" s="16"/>
      <c r="RTG38" s="16"/>
      <c r="RTH38" s="16"/>
      <c r="RTI38" s="16"/>
      <c r="RTJ38" s="16"/>
      <c r="RTK38" s="16"/>
      <c r="RTL38" s="16"/>
      <c r="RTM38" s="16"/>
      <c r="RTN38" s="16"/>
      <c r="RTO38" s="16"/>
      <c r="RTP38" s="16"/>
      <c r="RTQ38" s="16"/>
      <c r="RTR38" s="16"/>
      <c r="RTS38" s="16"/>
      <c r="RTT38" s="16"/>
      <c r="RTU38" s="16"/>
      <c r="RTV38" s="16"/>
      <c r="RTW38" s="16"/>
      <c r="RTX38" s="16"/>
      <c r="RTY38" s="16"/>
      <c r="RTZ38" s="16"/>
      <c r="RUA38" s="16"/>
      <c r="RUB38" s="16"/>
      <c r="RUC38" s="16"/>
      <c r="RUD38" s="16"/>
      <c r="RUE38" s="16"/>
      <c r="RUF38" s="16"/>
      <c r="RUG38" s="16"/>
      <c r="RUH38" s="16"/>
      <c r="RUI38" s="16"/>
      <c r="RUJ38" s="16"/>
      <c r="RUK38" s="16"/>
      <c r="RUL38" s="16"/>
      <c r="RUM38" s="16"/>
      <c r="RUN38" s="16"/>
      <c r="RUO38" s="16"/>
      <c r="RUP38" s="16"/>
      <c r="RUQ38" s="16"/>
      <c r="RUR38" s="16"/>
      <c r="RUS38" s="16"/>
      <c r="RUT38" s="16"/>
      <c r="RUU38" s="16"/>
      <c r="RUV38" s="16"/>
      <c r="RUW38" s="16"/>
      <c r="RUX38" s="16"/>
      <c r="RUY38" s="16"/>
      <c r="RUZ38" s="16"/>
      <c r="RVA38" s="16"/>
      <c r="RVB38" s="16"/>
      <c r="RVC38" s="16"/>
      <c r="RVD38" s="16"/>
      <c r="RVE38" s="16"/>
      <c r="RVF38" s="16"/>
      <c r="RVG38" s="16"/>
      <c r="RVH38" s="16"/>
      <c r="RVI38" s="16"/>
      <c r="RVJ38" s="16"/>
      <c r="RVK38" s="16"/>
      <c r="RVL38" s="16"/>
      <c r="RVM38" s="16"/>
      <c r="RVN38" s="16"/>
      <c r="RVO38" s="16"/>
      <c r="RVP38" s="16"/>
      <c r="RVQ38" s="16"/>
      <c r="RVR38" s="16"/>
      <c r="RVS38" s="16"/>
      <c r="RVT38" s="16"/>
      <c r="RVU38" s="16"/>
      <c r="RVV38" s="16"/>
      <c r="RVW38" s="16"/>
      <c r="RVX38" s="16"/>
      <c r="RVY38" s="16"/>
      <c r="RVZ38" s="16"/>
      <c r="RWA38" s="16"/>
      <c r="RWB38" s="16"/>
      <c r="RWC38" s="16"/>
      <c r="RWD38" s="16"/>
      <c r="RWE38" s="16"/>
      <c r="RWF38" s="16"/>
      <c r="RWG38" s="16"/>
      <c r="RWH38" s="16"/>
      <c r="RWI38" s="16"/>
      <c r="RWJ38" s="16"/>
      <c r="RWK38" s="16"/>
      <c r="RWL38" s="16"/>
      <c r="RWM38" s="16"/>
      <c r="RWN38" s="16"/>
      <c r="RWO38" s="16"/>
      <c r="RWP38" s="16"/>
      <c r="RWQ38" s="16"/>
      <c r="RWR38" s="16"/>
      <c r="RWS38" s="16"/>
      <c r="RWT38" s="16"/>
      <c r="RWU38" s="16"/>
      <c r="RWV38" s="16"/>
      <c r="RWW38" s="16"/>
      <c r="RWX38" s="16"/>
      <c r="RWY38" s="16"/>
      <c r="RWZ38" s="16"/>
      <c r="RXA38" s="16"/>
      <c r="RXB38" s="16"/>
      <c r="RXC38" s="16"/>
      <c r="RXD38" s="16"/>
      <c r="RXE38" s="16"/>
      <c r="RXF38" s="16"/>
      <c r="RXG38" s="16"/>
      <c r="RXH38" s="16"/>
      <c r="RXI38" s="16"/>
      <c r="RXJ38" s="16"/>
      <c r="RXK38" s="16"/>
      <c r="RXL38" s="16"/>
      <c r="RXM38" s="16"/>
      <c r="RXN38" s="16"/>
      <c r="RXO38" s="16"/>
      <c r="RXP38" s="16"/>
      <c r="RXQ38" s="16"/>
      <c r="RXR38" s="16"/>
      <c r="RXS38" s="16"/>
      <c r="RXT38" s="16"/>
      <c r="RXU38" s="16"/>
      <c r="RXV38" s="16"/>
      <c r="RXW38" s="16"/>
      <c r="RXX38" s="16"/>
      <c r="RXY38" s="16"/>
      <c r="RXZ38" s="16"/>
      <c r="RYA38" s="16"/>
      <c r="RYB38" s="16"/>
      <c r="RYC38" s="16"/>
      <c r="RYD38" s="16"/>
      <c r="RYE38" s="16"/>
      <c r="RYF38" s="16"/>
      <c r="RYG38" s="16"/>
      <c r="RYH38" s="16"/>
      <c r="RYI38" s="16"/>
      <c r="RYJ38" s="16"/>
      <c r="RYK38" s="16"/>
      <c r="RYL38" s="16"/>
      <c r="RYM38" s="16"/>
      <c r="RYN38" s="16"/>
      <c r="RYO38" s="16"/>
      <c r="RYP38" s="16"/>
      <c r="RYQ38" s="16"/>
      <c r="RYR38" s="16"/>
      <c r="RYS38" s="16"/>
      <c r="RYT38" s="16"/>
      <c r="RYU38" s="16"/>
      <c r="RYV38" s="16"/>
      <c r="RYW38" s="16"/>
      <c r="RYX38" s="16"/>
      <c r="RYY38" s="16"/>
      <c r="RYZ38" s="16"/>
      <c r="RZA38" s="16"/>
      <c r="RZB38" s="16"/>
      <c r="RZC38" s="16"/>
      <c r="RZD38" s="16"/>
      <c r="RZE38" s="16"/>
      <c r="RZF38" s="16"/>
      <c r="RZG38" s="16"/>
      <c r="RZH38" s="16"/>
      <c r="RZI38" s="16"/>
      <c r="RZJ38" s="16"/>
      <c r="RZK38" s="16"/>
      <c r="RZL38" s="16"/>
      <c r="RZM38" s="16"/>
      <c r="RZN38" s="16"/>
      <c r="RZO38" s="16"/>
      <c r="RZP38" s="16"/>
      <c r="RZQ38" s="16"/>
      <c r="RZR38" s="16"/>
      <c r="RZS38" s="16"/>
      <c r="RZT38" s="16"/>
      <c r="RZU38" s="16"/>
      <c r="RZV38" s="16"/>
      <c r="RZW38" s="16"/>
      <c r="RZX38" s="16"/>
      <c r="RZY38" s="16"/>
      <c r="RZZ38" s="16"/>
      <c r="SAA38" s="16"/>
      <c r="SAB38" s="16"/>
      <c r="SAC38" s="16"/>
      <c r="SAD38" s="16"/>
      <c r="SAE38" s="16"/>
      <c r="SAF38" s="16"/>
      <c r="SAG38" s="16"/>
      <c r="SAH38" s="16"/>
      <c r="SAI38" s="16"/>
      <c r="SAJ38" s="16"/>
      <c r="SAK38" s="16"/>
      <c r="SAL38" s="16"/>
      <c r="SAM38" s="16"/>
      <c r="SAN38" s="16"/>
      <c r="SAO38" s="16"/>
      <c r="SAP38" s="16"/>
      <c r="SAQ38" s="16"/>
      <c r="SAR38" s="16"/>
      <c r="SAS38" s="16"/>
      <c r="SAT38" s="16"/>
      <c r="SAU38" s="16"/>
      <c r="SAV38" s="16"/>
      <c r="SAW38" s="16"/>
      <c r="SAX38" s="16"/>
      <c r="SAY38" s="16"/>
      <c r="SAZ38" s="16"/>
      <c r="SBA38" s="16"/>
      <c r="SBB38" s="16"/>
      <c r="SBC38" s="16"/>
      <c r="SBD38" s="16"/>
      <c r="SBE38" s="16"/>
      <c r="SBF38" s="16"/>
      <c r="SBG38" s="16"/>
      <c r="SBH38" s="16"/>
      <c r="SBI38" s="16"/>
      <c r="SBJ38" s="16"/>
      <c r="SBK38" s="16"/>
      <c r="SBL38" s="16"/>
      <c r="SBM38" s="16"/>
      <c r="SBN38" s="16"/>
      <c r="SBO38" s="16"/>
      <c r="SBP38" s="16"/>
      <c r="SBQ38" s="16"/>
      <c r="SBR38" s="16"/>
      <c r="SBS38" s="16"/>
      <c r="SBT38" s="16"/>
      <c r="SBU38" s="16"/>
      <c r="SBV38" s="16"/>
      <c r="SBW38" s="16"/>
      <c r="SBX38" s="16"/>
      <c r="SBY38" s="16"/>
      <c r="SBZ38" s="16"/>
      <c r="SCA38" s="16"/>
      <c r="SCB38" s="16"/>
      <c r="SCC38" s="16"/>
      <c r="SCD38" s="16"/>
      <c r="SCE38" s="16"/>
      <c r="SCF38" s="16"/>
      <c r="SCG38" s="16"/>
      <c r="SCH38" s="16"/>
      <c r="SCI38" s="16"/>
      <c r="SCJ38" s="16"/>
      <c r="SCK38" s="16"/>
      <c r="SCL38" s="16"/>
      <c r="SCM38" s="16"/>
      <c r="SCN38" s="16"/>
      <c r="SCO38" s="16"/>
      <c r="SCP38" s="16"/>
      <c r="SCQ38" s="16"/>
      <c r="SCR38" s="16"/>
      <c r="SCS38" s="16"/>
      <c r="SCT38" s="16"/>
      <c r="SCU38" s="16"/>
      <c r="SCV38" s="16"/>
      <c r="SCW38" s="16"/>
      <c r="SCX38" s="16"/>
      <c r="SCY38" s="16"/>
      <c r="SCZ38" s="16"/>
      <c r="SDA38" s="16"/>
      <c r="SDB38" s="16"/>
      <c r="SDC38" s="16"/>
      <c r="SDD38" s="16"/>
      <c r="SDE38" s="16"/>
      <c r="SDF38" s="16"/>
      <c r="SDG38" s="16"/>
      <c r="SDH38" s="16"/>
      <c r="SDI38" s="16"/>
      <c r="SDJ38" s="16"/>
      <c r="SDK38" s="16"/>
      <c r="SDL38" s="16"/>
      <c r="SDM38" s="16"/>
      <c r="SDN38" s="16"/>
      <c r="SDO38" s="16"/>
      <c r="SDP38" s="16"/>
      <c r="SDQ38" s="16"/>
      <c r="SDR38" s="16"/>
      <c r="SDS38" s="16"/>
      <c r="SDT38" s="16"/>
      <c r="SDU38" s="16"/>
      <c r="SDV38" s="16"/>
      <c r="SDW38" s="16"/>
      <c r="SDX38" s="16"/>
      <c r="SDY38" s="16"/>
      <c r="SDZ38" s="16"/>
      <c r="SEA38" s="16"/>
      <c r="SEB38" s="16"/>
      <c r="SEC38" s="16"/>
      <c r="SED38" s="16"/>
      <c r="SEE38" s="16"/>
      <c r="SEF38" s="16"/>
      <c r="SEG38" s="16"/>
      <c r="SEH38" s="16"/>
      <c r="SEI38" s="16"/>
      <c r="SEJ38" s="16"/>
      <c r="SEK38" s="16"/>
      <c r="SEL38" s="16"/>
      <c r="SEM38" s="16"/>
      <c r="SEN38" s="16"/>
      <c r="SEO38" s="16"/>
      <c r="SEP38" s="16"/>
      <c r="SEQ38" s="16"/>
      <c r="SER38" s="16"/>
      <c r="SES38" s="16"/>
      <c r="SET38" s="16"/>
      <c r="SEU38" s="16"/>
      <c r="SEV38" s="16"/>
      <c r="SEW38" s="16"/>
      <c r="SEX38" s="16"/>
      <c r="SEY38" s="16"/>
      <c r="SEZ38" s="16"/>
      <c r="SFA38" s="16"/>
      <c r="SFB38" s="16"/>
      <c r="SFC38" s="16"/>
      <c r="SFD38" s="16"/>
      <c r="SFE38" s="16"/>
      <c r="SFF38" s="16"/>
      <c r="SFG38" s="16"/>
      <c r="SFH38" s="16"/>
      <c r="SFI38" s="16"/>
      <c r="SFJ38" s="16"/>
      <c r="SFK38" s="16"/>
      <c r="SFL38" s="16"/>
      <c r="SFM38" s="16"/>
      <c r="SFN38" s="16"/>
      <c r="SFO38" s="16"/>
      <c r="SFP38" s="16"/>
      <c r="SFQ38" s="16"/>
      <c r="SFR38" s="16"/>
      <c r="SFS38" s="16"/>
      <c r="SFT38" s="16"/>
      <c r="SFU38" s="16"/>
      <c r="SFV38" s="16"/>
      <c r="SFW38" s="16"/>
      <c r="SFX38" s="16"/>
      <c r="SFY38" s="16"/>
      <c r="SFZ38" s="16"/>
      <c r="SGA38" s="16"/>
      <c r="SGB38" s="16"/>
      <c r="SGC38" s="16"/>
      <c r="SGD38" s="16"/>
      <c r="SGE38" s="16"/>
      <c r="SGF38" s="16"/>
      <c r="SGG38" s="16"/>
      <c r="SGH38" s="16"/>
      <c r="SGI38" s="16"/>
      <c r="SGJ38" s="16"/>
      <c r="SGK38" s="16"/>
      <c r="SGL38" s="16"/>
      <c r="SGM38" s="16"/>
      <c r="SGN38" s="16"/>
      <c r="SGO38" s="16"/>
      <c r="SGP38" s="16"/>
      <c r="SGQ38" s="16"/>
      <c r="SGR38" s="16"/>
      <c r="SGS38" s="16"/>
      <c r="SGT38" s="16"/>
      <c r="SGU38" s="16"/>
      <c r="SGV38" s="16"/>
      <c r="SGW38" s="16"/>
      <c r="SGX38" s="16"/>
      <c r="SGY38" s="16"/>
      <c r="SGZ38" s="16"/>
      <c r="SHA38" s="16"/>
      <c r="SHB38" s="16"/>
      <c r="SHC38" s="16"/>
      <c r="SHD38" s="16"/>
      <c r="SHE38" s="16"/>
      <c r="SHF38" s="16"/>
      <c r="SHG38" s="16"/>
      <c r="SHH38" s="16"/>
      <c r="SHI38" s="16"/>
      <c r="SHJ38" s="16"/>
      <c r="SHK38" s="16"/>
      <c r="SHL38" s="16"/>
      <c r="SHM38" s="16"/>
      <c r="SHN38" s="16"/>
      <c r="SHO38" s="16"/>
      <c r="SHP38" s="16"/>
      <c r="SHQ38" s="16"/>
      <c r="SHR38" s="16"/>
      <c r="SHS38" s="16"/>
      <c r="SHT38" s="16"/>
      <c r="SHU38" s="16"/>
      <c r="SHV38" s="16"/>
      <c r="SHW38" s="16"/>
      <c r="SHX38" s="16"/>
      <c r="SHY38" s="16"/>
      <c r="SHZ38" s="16"/>
      <c r="SIA38" s="16"/>
      <c r="SIB38" s="16"/>
      <c r="SIC38" s="16"/>
      <c r="SID38" s="16"/>
      <c r="SIE38" s="16"/>
      <c r="SIF38" s="16"/>
      <c r="SIG38" s="16"/>
      <c r="SIH38" s="16"/>
      <c r="SII38" s="16"/>
      <c r="SIJ38" s="16"/>
      <c r="SIK38" s="16"/>
      <c r="SIL38" s="16"/>
      <c r="SIM38" s="16"/>
      <c r="SIN38" s="16"/>
      <c r="SIO38" s="16"/>
      <c r="SIP38" s="16"/>
      <c r="SIQ38" s="16"/>
      <c r="SIR38" s="16"/>
      <c r="SIS38" s="16"/>
      <c r="SIT38" s="16"/>
      <c r="SIU38" s="16"/>
      <c r="SIV38" s="16"/>
      <c r="SIW38" s="16"/>
      <c r="SIX38" s="16"/>
      <c r="SIY38" s="16"/>
      <c r="SIZ38" s="16"/>
      <c r="SJA38" s="16"/>
      <c r="SJB38" s="16"/>
      <c r="SJC38" s="16"/>
      <c r="SJD38" s="16"/>
      <c r="SJE38" s="16"/>
      <c r="SJF38" s="16"/>
      <c r="SJG38" s="16"/>
      <c r="SJH38" s="16"/>
      <c r="SJI38" s="16"/>
      <c r="SJJ38" s="16"/>
      <c r="SJK38" s="16"/>
      <c r="SJL38" s="16"/>
      <c r="SJM38" s="16"/>
      <c r="SJN38" s="16"/>
      <c r="SJO38" s="16"/>
      <c r="SJP38" s="16"/>
      <c r="SJQ38" s="16"/>
      <c r="SJR38" s="16"/>
      <c r="SJS38" s="16"/>
      <c r="SJT38" s="16"/>
      <c r="SJU38" s="16"/>
      <c r="SJV38" s="16"/>
      <c r="SJW38" s="16"/>
      <c r="SJX38" s="16"/>
      <c r="SJY38" s="16"/>
      <c r="SJZ38" s="16"/>
      <c r="SKA38" s="16"/>
      <c r="SKB38" s="16"/>
      <c r="SKC38" s="16"/>
      <c r="SKD38" s="16"/>
      <c r="SKE38" s="16"/>
      <c r="SKF38" s="16"/>
      <c r="SKG38" s="16"/>
      <c r="SKH38" s="16"/>
      <c r="SKI38" s="16"/>
      <c r="SKJ38" s="16"/>
      <c r="SKK38" s="16"/>
      <c r="SKL38" s="16"/>
      <c r="SKM38" s="16"/>
      <c r="SKN38" s="16"/>
      <c r="SKO38" s="16"/>
      <c r="SKP38" s="16"/>
      <c r="SKQ38" s="16"/>
      <c r="SKR38" s="16"/>
      <c r="SKS38" s="16"/>
      <c r="SKT38" s="16"/>
      <c r="SKU38" s="16"/>
      <c r="SKV38" s="16"/>
      <c r="SKW38" s="16"/>
      <c r="SKX38" s="16"/>
      <c r="SKY38" s="16"/>
      <c r="SKZ38" s="16"/>
      <c r="SLA38" s="16"/>
      <c r="SLB38" s="16"/>
      <c r="SLC38" s="16"/>
      <c r="SLD38" s="16"/>
      <c r="SLE38" s="16"/>
      <c r="SLF38" s="16"/>
      <c r="SLG38" s="16"/>
      <c r="SLH38" s="16"/>
      <c r="SLI38" s="16"/>
      <c r="SLJ38" s="16"/>
      <c r="SLK38" s="16"/>
      <c r="SLL38" s="16"/>
      <c r="SLM38" s="16"/>
      <c r="SLN38" s="16"/>
      <c r="SLO38" s="16"/>
      <c r="SLP38" s="16"/>
      <c r="SLQ38" s="16"/>
      <c r="SLR38" s="16"/>
      <c r="SLS38" s="16"/>
      <c r="SLT38" s="16"/>
      <c r="SLU38" s="16"/>
      <c r="SLV38" s="16"/>
      <c r="SLW38" s="16"/>
      <c r="SLX38" s="16"/>
      <c r="SLY38" s="16"/>
      <c r="SLZ38" s="16"/>
      <c r="SMA38" s="16"/>
      <c r="SMB38" s="16"/>
      <c r="SMC38" s="16"/>
      <c r="SMD38" s="16"/>
      <c r="SME38" s="16"/>
      <c r="SMF38" s="16"/>
      <c r="SMG38" s="16"/>
      <c r="SMH38" s="16"/>
      <c r="SMI38" s="16"/>
      <c r="SMJ38" s="16"/>
      <c r="SMK38" s="16"/>
      <c r="SML38" s="16"/>
      <c r="SMM38" s="16"/>
      <c r="SMN38" s="16"/>
      <c r="SMO38" s="16"/>
      <c r="SMP38" s="16"/>
      <c r="SMQ38" s="16"/>
      <c r="SMR38" s="16"/>
      <c r="SMS38" s="16"/>
      <c r="SMT38" s="16"/>
      <c r="SMU38" s="16"/>
      <c r="SMV38" s="16"/>
      <c r="SMW38" s="16"/>
      <c r="SMX38" s="16"/>
      <c r="SMY38" s="16"/>
      <c r="SMZ38" s="16"/>
      <c r="SNA38" s="16"/>
      <c r="SNB38" s="16"/>
      <c r="SNC38" s="16"/>
      <c r="SND38" s="16"/>
      <c r="SNE38" s="16"/>
      <c r="SNF38" s="16"/>
      <c r="SNG38" s="16"/>
      <c r="SNH38" s="16"/>
      <c r="SNI38" s="16"/>
      <c r="SNJ38" s="16"/>
      <c r="SNK38" s="16"/>
      <c r="SNL38" s="16"/>
      <c r="SNM38" s="16"/>
      <c r="SNN38" s="16"/>
      <c r="SNO38" s="16"/>
      <c r="SNP38" s="16"/>
      <c r="SNQ38" s="16"/>
      <c r="SNR38" s="16"/>
      <c r="SNS38" s="16"/>
      <c r="SNT38" s="16"/>
      <c r="SNU38" s="16"/>
      <c r="SNV38" s="16"/>
      <c r="SNW38" s="16"/>
      <c r="SNX38" s="16"/>
      <c r="SNY38" s="16"/>
      <c r="SNZ38" s="16"/>
      <c r="SOA38" s="16"/>
      <c r="SOB38" s="16"/>
      <c r="SOC38" s="16"/>
      <c r="SOD38" s="16"/>
      <c r="SOE38" s="16"/>
      <c r="SOF38" s="16"/>
      <c r="SOG38" s="16"/>
      <c r="SOH38" s="16"/>
      <c r="SOI38" s="16"/>
      <c r="SOJ38" s="16"/>
      <c r="SOK38" s="16"/>
      <c r="SOL38" s="16"/>
      <c r="SOM38" s="16"/>
      <c r="SON38" s="16"/>
      <c r="SOO38" s="16"/>
      <c r="SOP38" s="16"/>
      <c r="SOQ38" s="16"/>
      <c r="SOR38" s="16"/>
      <c r="SOS38" s="16"/>
      <c r="SOT38" s="16"/>
      <c r="SOU38" s="16"/>
      <c r="SOV38" s="16"/>
      <c r="SOW38" s="16"/>
      <c r="SOX38" s="16"/>
      <c r="SOY38" s="16"/>
      <c r="SOZ38" s="16"/>
      <c r="SPA38" s="16"/>
      <c r="SPB38" s="16"/>
      <c r="SPC38" s="16"/>
      <c r="SPD38" s="16"/>
      <c r="SPE38" s="16"/>
      <c r="SPF38" s="16"/>
      <c r="SPG38" s="16"/>
      <c r="SPH38" s="16"/>
      <c r="SPI38" s="16"/>
      <c r="SPJ38" s="16"/>
      <c r="SPK38" s="16"/>
      <c r="SPL38" s="16"/>
      <c r="SPM38" s="16"/>
      <c r="SPN38" s="16"/>
      <c r="SPO38" s="16"/>
      <c r="SPP38" s="16"/>
      <c r="SPQ38" s="16"/>
      <c r="SPR38" s="16"/>
      <c r="SPS38" s="16"/>
      <c r="SPT38" s="16"/>
      <c r="SPU38" s="16"/>
      <c r="SPV38" s="16"/>
      <c r="SPW38" s="16"/>
      <c r="SPX38" s="16"/>
      <c r="SPY38" s="16"/>
      <c r="SPZ38" s="16"/>
      <c r="SQA38" s="16"/>
      <c r="SQB38" s="16"/>
      <c r="SQC38" s="16"/>
      <c r="SQD38" s="16"/>
      <c r="SQE38" s="16"/>
      <c r="SQF38" s="16"/>
      <c r="SQG38" s="16"/>
      <c r="SQH38" s="16"/>
      <c r="SQI38" s="16"/>
      <c r="SQJ38" s="16"/>
      <c r="SQK38" s="16"/>
      <c r="SQL38" s="16"/>
      <c r="SQM38" s="16"/>
      <c r="SQN38" s="16"/>
      <c r="SQO38" s="16"/>
      <c r="SQP38" s="16"/>
      <c r="SQQ38" s="16"/>
      <c r="SQR38" s="16"/>
      <c r="SQS38" s="16"/>
      <c r="SQT38" s="16"/>
      <c r="SQU38" s="16"/>
      <c r="SQV38" s="16"/>
      <c r="SQW38" s="16"/>
      <c r="SQX38" s="16"/>
      <c r="SQY38" s="16"/>
      <c r="SQZ38" s="16"/>
      <c r="SRA38" s="16"/>
      <c r="SRB38" s="16"/>
      <c r="SRC38" s="16"/>
      <c r="SRD38" s="16"/>
      <c r="SRE38" s="16"/>
      <c r="SRF38" s="16"/>
      <c r="SRG38" s="16"/>
      <c r="SRH38" s="16"/>
      <c r="SRI38" s="16"/>
      <c r="SRJ38" s="16"/>
      <c r="SRK38" s="16"/>
      <c r="SRL38" s="16"/>
      <c r="SRM38" s="16"/>
      <c r="SRN38" s="16"/>
      <c r="SRO38" s="16"/>
      <c r="SRP38" s="16"/>
      <c r="SRQ38" s="16"/>
      <c r="SRR38" s="16"/>
      <c r="SRS38" s="16"/>
      <c r="SRT38" s="16"/>
      <c r="SRU38" s="16"/>
      <c r="SRV38" s="16"/>
      <c r="SRW38" s="16"/>
      <c r="SRX38" s="16"/>
      <c r="SRY38" s="16"/>
      <c r="SRZ38" s="16"/>
      <c r="SSA38" s="16"/>
      <c r="SSB38" s="16"/>
      <c r="SSC38" s="16"/>
      <c r="SSD38" s="16"/>
      <c r="SSE38" s="16"/>
      <c r="SSF38" s="16"/>
      <c r="SSG38" s="16"/>
      <c r="SSH38" s="16"/>
      <c r="SSI38" s="16"/>
      <c r="SSJ38" s="16"/>
      <c r="SSK38" s="16"/>
      <c r="SSL38" s="16"/>
      <c r="SSM38" s="16"/>
      <c r="SSN38" s="16"/>
      <c r="SSO38" s="16"/>
      <c r="SSP38" s="16"/>
      <c r="SSQ38" s="16"/>
      <c r="SSR38" s="16"/>
      <c r="SSS38" s="16"/>
      <c r="SST38" s="16"/>
      <c r="SSU38" s="16"/>
      <c r="SSV38" s="16"/>
      <c r="SSW38" s="16"/>
      <c r="SSX38" s="16"/>
      <c r="SSY38" s="16"/>
      <c r="SSZ38" s="16"/>
      <c r="STA38" s="16"/>
      <c r="STB38" s="16"/>
      <c r="STC38" s="16"/>
      <c r="STD38" s="16"/>
      <c r="STE38" s="16"/>
      <c r="STF38" s="16"/>
      <c r="STG38" s="16"/>
      <c r="STH38" s="16"/>
      <c r="STI38" s="16"/>
      <c r="STJ38" s="16"/>
      <c r="STK38" s="16"/>
      <c r="STL38" s="16"/>
      <c r="STM38" s="16"/>
      <c r="STN38" s="16"/>
      <c r="STO38" s="16"/>
      <c r="STP38" s="16"/>
      <c r="STQ38" s="16"/>
      <c r="STR38" s="16"/>
      <c r="STS38" s="16"/>
      <c r="STT38" s="16"/>
      <c r="STU38" s="16"/>
      <c r="STV38" s="16"/>
      <c r="STW38" s="16"/>
      <c r="STX38" s="16"/>
      <c r="STY38" s="16"/>
      <c r="STZ38" s="16"/>
      <c r="SUA38" s="16"/>
      <c r="SUB38" s="16"/>
      <c r="SUC38" s="16"/>
      <c r="SUD38" s="16"/>
      <c r="SUE38" s="16"/>
      <c r="SUF38" s="16"/>
      <c r="SUG38" s="16"/>
      <c r="SUH38" s="16"/>
      <c r="SUI38" s="16"/>
      <c r="SUJ38" s="16"/>
      <c r="SUK38" s="16"/>
      <c r="SUL38" s="16"/>
      <c r="SUM38" s="16"/>
      <c r="SUN38" s="16"/>
      <c r="SUO38" s="16"/>
      <c r="SUP38" s="16"/>
      <c r="SUQ38" s="16"/>
      <c r="SUR38" s="16"/>
      <c r="SUS38" s="16"/>
      <c r="SUT38" s="16"/>
      <c r="SUU38" s="16"/>
      <c r="SUV38" s="16"/>
      <c r="SUW38" s="16"/>
      <c r="SUX38" s="16"/>
      <c r="SUY38" s="16"/>
      <c r="SUZ38" s="16"/>
      <c r="SVA38" s="16"/>
      <c r="SVB38" s="16"/>
      <c r="SVC38" s="16"/>
      <c r="SVD38" s="16"/>
      <c r="SVE38" s="16"/>
      <c r="SVF38" s="16"/>
      <c r="SVG38" s="16"/>
      <c r="SVH38" s="16"/>
      <c r="SVI38" s="16"/>
      <c r="SVJ38" s="16"/>
      <c r="SVK38" s="16"/>
      <c r="SVL38" s="16"/>
      <c r="SVM38" s="16"/>
      <c r="SVN38" s="16"/>
      <c r="SVO38" s="16"/>
      <c r="SVP38" s="16"/>
      <c r="SVQ38" s="16"/>
      <c r="SVR38" s="16"/>
      <c r="SVS38" s="16"/>
      <c r="SVT38" s="16"/>
      <c r="SVU38" s="16"/>
      <c r="SVV38" s="16"/>
      <c r="SVW38" s="16"/>
      <c r="SVX38" s="16"/>
      <c r="SVY38" s="16"/>
      <c r="SVZ38" s="16"/>
      <c r="SWA38" s="16"/>
      <c r="SWB38" s="16"/>
      <c r="SWC38" s="16"/>
      <c r="SWD38" s="16"/>
      <c r="SWE38" s="16"/>
      <c r="SWF38" s="16"/>
      <c r="SWG38" s="16"/>
      <c r="SWH38" s="16"/>
      <c r="SWI38" s="16"/>
      <c r="SWJ38" s="16"/>
      <c r="SWK38" s="16"/>
      <c r="SWL38" s="16"/>
      <c r="SWM38" s="16"/>
      <c r="SWN38" s="16"/>
      <c r="SWO38" s="16"/>
      <c r="SWP38" s="16"/>
      <c r="SWQ38" s="16"/>
      <c r="SWR38" s="16"/>
      <c r="SWS38" s="16"/>
      <c r="SWT38" s="16"/>
      <c r="SWU38" s="16"/>
      <c r="SWV38" s="16"/>
      <c r="SWW38" s="16"/>
      <c r="SWX38" s="16"/>
      <c r="SWY38" s="16"/>
      <c r="SWZ38" s="16"/>
      <c r="SXA38" s="16"/>
      <c r="SXB38" s="16"/>
      <c r="SXC38" s="16"/>
      <c r="SXD38" s="16"/>
      <c r="SXE38" s="16"/>
      <c r="SXF38" s="16"/>
      <c r="SXG38" s="16"/>
      <c r="SXH38" s="16"/>
      <c r="SXI38" s="16"/>
      <c r="SXJ38" s="16"/>
      <c r="SXK38" s="16"/>
      <c r="SXL38" s="16"/>
      <c r="SXM38" s="16"/>
      <c r="SXN38" s="16"/>
      <c r="SXO38" s="16"/>
      <c r="SXP38" s="16"/>
      <c r="SXQ38" s="16"/>
      <c r="SXR38" s="16"/>
      <c r="SXS38" s="16"/>
      <c r="SXT38" s="16"/>
      <c r="SXU38" s="16"/>
      <c r="SXV38" s="16"/>
      <c r="SXW38" s="16"/>
      <c r="SXX38" s="16"/>
      <c r="SXY38" s="16"/>
      <c r="SXZ38" s="16"/>
      <c r="SYA38" s="16"/>
      <c r="SYB38" s="16"/>
      <c r="SYC38" s="16"/>
      <c r="SYD38" s="16"/>
      <c r="SYE38" s="16"/>
      <c r="SYF38" s="16"/>
      <c r="SYG38" s="16"/>
      <c r="SYH38" s="16"/>
      <c r="SYI38" s="16"/>
      <c r="SYJ38" s="16"/>
      <c r="SYK38" s="16"/>
      <c r="SYL38" s="16"/>
      <c r="SYM38" s="16"/>
      <c r="SYN38" s="16"/>
      <c r="SYO38" s="16"/>
      <c r="SYP38" s="16"/>
      <c r="SYQ38" s="16"/>
      <c r="SYR38" s="16"/>
      <c r="SYS38" s="16"/>
      <c r="SYT38" s="16"/>
      <c r="SYU38" s="16"/>
      <c r="SYV38" s="16"/>
      <c r="SYW38" s="16"/>
      <c r="SYX38" s="16"/>
      <c r="SYY38" s="16"/>
      <c r="SYZ38" s="16"/>
      <c r="SZA38" s="16"/>
      <c r="SZB38" s="16"/>
      <c r="SZC38" s="16"/>
      <c r="SZD38" s="16"/>
      <c r="SZE38" s="16"/>
      <c r="SZF38" s="16"/>
      <c r="SZG38" s="16"/>
      <c r="SZH38" s="16"/>
      <c r="SZI38" s="16"/>
      <c r="SZJ38" s="16"/>
      <c r="SZK38" s="16"/>
      <c r="SZL38" s="16"/>
      <c r="SZM38" s="16"/>
      <c r="SZN38" s="16"/>
      <c r="SZO38" s="16"/>
      <c r="SZP38" s="16"/>
      <c r="SZQ38" s="16"/>
      <c r="SZR38" s="16"/>
      <c r="SZS38" s="16"/>
      <c r="SZT38" s="16"/>
      <c r="SZU38" s="16"/>
      <c r="SZV38" s="16"/>
      <c r="SZW38" s="16"/>
      <c r="SZX38" s="16"/>
      <c r="SZY38" s="16"/>
      <c r="SZZ38" s="16"/>
      <c r="TAA38" s="16"/>
      <c r="TAB38" s="16"/>
      <c r="TAC38" s="16"/>
      <c r="TAD38" s="16"/>
      <c r="TAE38" s="16"/>
      <c r="TAF38" s="16"/>
      <c r="TAG38" s="16"/>
      <c r="TAH38" s="16"/>
      <c r="TAI38" s="16"/>
      <c r="TAJ38" s="16"/>
      <c r="TAK38" s="16"/>
      <c r="TAL38" s="16"/>
      <c r="TAM38" s="16"/>
      <c r="TAN38" s="16"/>
      <c r="TAO38" s="16"/>
      <c r="TAP38" s="16"/>
      <c r="TAQ38" s="16"/>
      <c r="TAR38" s="16"/>
      <c r="TAS38" s="16"/>
      <c r="TAT38" s="16"/>
      <c r="TAU38" s="16"/>
      <c r="TAV38" s="16"/>
      <c r="TAW38" s="16"/>
      <c r="TAX38" s="16"/>
      <c r="TAY38" s="16"/>
      <c r="TAZ38" s="16"/>
      <c r="TBA38" s="16"/>
      <c r="TBB38" s="16"/>
      <c r="TBC38" s="16"/>
      <c r="TBD38" s="16"/>
      <c r="TBE38" s="16"/>
      <c r="TBF38" s="16"/>
      <c r="TBG38" s="16"/>
      <c r="TBH38" s="16"/>
      <c r="TBI38" s="16"/>
      <c r="TBJ38" s="16"/>
      <c r="TBK38" s="16"/>
      <c r="TBL38" s="16"/>
      <c r="TBM38" s="16"/>
      <c r="TBN38" s="16"/>
      <c r="TBO38" s="16"/>
      <c r="TBP38" s="16"/>
      <c r="TBQ38" s="16"/>
      <c r="TBR38" s="16"/>
      <c r="TBS38" s="16"/>
      <c r="TBT38" s="16"/>
      <c r="TBU38" s="16"/>
      <c r="TBV38" s="16"/>
      <c r="TBW38" s="16"/>
      <c r="TBX38" s="16"/>
      <c r="TBY38" s="16"/>
      <c r="TBZ38" s="16"/>
      <c r="TCA38" s="16"/>
      <c r="TCB38" s="16"/>
      <c r="TCC38" s="16"/>
      <c r="TCD38" s="16"/>
      <c r="TCE38" s="16"/>
      <c r="TCF38" s="16"/>
      <c r="TCG38" s="16"/>
      <c r="TCH38" s="16"/>
      <c r="TCI38" s="16"/>
      <c r="TCJ38" s="16"/>
      <c r="TCK38" s="16"/>
      <c r="TCL38" s="16"/>
      <c r="TCM38" s="16"/>
      <c r="TCN38" s="16"/>
      <c r="TCO38" s="16"/>
      <c r="TCP38" s="16"/>
      <c r="TCQ38" s="16"/>
      <c r="TCR38" s="16"/>
      <c r="TCS38" s="16"/>
      <c r="TCT38" s="16"/>
      <c r="TCU38" s="16"/>
      <c r="TCV38" s="16"/>
      <c r="TCW38" s="16"/>
      <c r="TCX38" s="16"/>
      <c r="TCY38" s="16"/>
      <c r="TCZ38" s="16"/>
      <c r="TDA38" s="16"/>
      <c r="TDB38" s="16"/>
      <c r="TDC38" s="16"/>
      <c r="TDD38" s="16"/>
      <c r="TDE38" s="16"/>
      <c r="TDF38" s="16"/>
      <c r="TDG38" s="16"/>
      <c r="TDH38" s="16"/>
      <c r="TDI38" s="16"/>
      <c r="TDJ38" s="16"/>
      <c r="TDK38" s="16"/>
      <c r="TDL38" s="16"/>
      <c r="TDM38" s="16"/>
      <c r="TDN38" s="16"/>
      <c r="TDO38" s="16"/>
      <c r="TDP38" s="16"/>
      <c r="TDQ38" s="16"/>
      <c r="TDR38" s="16"/>
      <c r="TDS38" s="16"/>
      <c r="TDT38" s="16"/>
      <c r="TDU38" s="16"/>
      <c r="TDV38" s="16"/>
      <c r="TDW38" s="16"/>
      <c r="TDX38" s="16"/>
      <c r="TDY38" s="16"/>
      <c r="TDZ38" s="16"/>
      <c r="TEA38" s="16"/>
      <c r="TEB38" s="16"/>
      <c r="TEC38" s="16"/>
      <c r="TED38" s="16"/>
      <c r="TEE38" s="16"/>
      <c r="TEF38" s="16"/>
      <c r="TEG38" s="16"/>
      <c r="TEH38" s="16"/>
      <c r="TEI38" s="16"/>
      <c r="TEJ38" s="16"/>
      <c r="TEK38" s="16"/>
      <c r="TEL38" s="16"/>
      <c r="TEM38" s="16"/>
      <c r="TEN38" s="16"/>
      <c r="TEO38" s="16"/>
      <c r="TEP38" s="16"/>
      <c r="TEQ38" s="16"/>
      <c r="TER38" s="16"/>
      <c r="TES38" s="16"/>
      <c r="TET38" s="16"/>
      <c r="TEU38" s="16"/>
      <c r="TEV38" s="16"/>
      <c r="TEW38" s="16"/>
      <c r="TEX38" s="16"/>
      <c r="TEY38" s="16"/>
      <c r="TEZ38" s="16"/>
      <c r="TFA38" s="16"/>
      <c r="TFB38" s="16"/>
      <c r="TFC38" s="16"/>
      <c r="TFD38" s="16"/>
      <c r="TFE38" s="16"/>
      <c r="TFF38" s="16"/>
      <c r="TFG38" s="16"/>
      <c r="TFH38" s="16"/>
      <c r="TFI38" s="16"/>
      <c r="TFJ38" s="16"/>
      <c r="TFK38" s="16"/>
      <c r="TFL38" s="16"/>
      <c r="TFM38" s="16"/>
      <c r="TFN38" s="16"/>
      <c r="TFO38" s="16"/>
      <c r="TFP38" s="16"/>
      <c r="TFQ38" s="16"/>
      <c r="TFR38" s="16"/>
      <c r="TFS38" s="16"/>
      <c r="TFT38" s="16"/>
      <c r="TFU38" s="16"/>
      <c r="TFV38" s="16"/>
      <c r="TFW38" s="16"/>
      <c r="TFX38" s="16"/>
      <c r="TFY38" s="16"/>
      <c r="TFZ38" s="16"/>
      <c r="TGA38" s="16"/>
      <c r="TGB38" s="16"/>
      <c r="TGC38" s="16"/>
      <c r="TGD38" s="16"/>
      <c r="TGE38" s="16"/>
      <c r="TGF38" s="16"/>
      <c r="TGG38" s="16"/>
      <c r="TGH38" s="16"/>
      <c r="TGI38" s="16"/>
      <c r="TGJ38" s="16"/>
      <c r="TGK38" s="16"/>
      <c r="TGL38" s="16"/>
      <c r="TGM38" s="16"/>
      <c r="TGN38" s="16"/>
      <c r="TGO38" s="16"/>
      <c r="TGP38" s="16"/>
      <c r="TGQ38" s="16"/>
      <c r="TGR38" s="16"/>
      <c r="TGS38" s="16"/>
      <c r="TGT38" s="16"/>
      <c r="TGU38" s="16"/>
      <c r="TGV38" s="16"/>
      <c r="TGW38" s="16"/>
      <c r="TGX38" s="16"/>
      <c r="TGY38" s="16"/>
      <c r="TGZ38" s="16"/>
      <c r="THA38" s="16"/>
      <c r="THB38" s="16"/>
      <c r="THC38" s="16"/>
      <c r="THD38" s="16"/>
      <c r="THE38" s="16"/>
      <c r="THF38" s="16"/>
      <c r="THG38" s="16"/>
      <c r="THH38" s="16"/>
      <c r="THI38" s="16"/>
      <c r="THJ38" s="16"/>
      <c r="THK38" s="16"/>
      <c r="THL38" s="16"/>
      <c r="THM38" s="16"/>
      <c r="THN38" s="16"/>
      <c r="THO38" s="16"/>
      <c r="THP38" s="16"/>
      <c r="THQ38" s="16"/>
      <c r="THR38" s="16"/>
      <c r="THS38" s="16"/>
      <c r="THT38" s="16"/>
      <c r="THU38" s="16"/>
      <c r="THV38" s="16"/>
      <c r="THW38" s="16"/>
      <c r="THX38" s="16"/>
      <c r="THY38" s="16"/>
      <c r="THZ38" s="16"/>
      <c r="TIA38" s="16"/>
      <c r="TIB38" s="16"/>
      <c r="TIC38" s="16"/>
      <c r="TID38" s="16"/>
      <c r="TIE38" s="16"/>
      <c r="TIF38" s="16"/>
      <c r="TIG38" s="16"/>
      <c r="TIH38" s="16"/>
      <c r="TII38" s="16"/>
      <c r="TIJ38" s="16"/>
      <c r="TIK38" s="16"/>
      <c r="TIL38" s="16"/>
      <c r="TIM38" s="16"/>
      <c r="TIN38" s="16"/>
      <c r="TIO38" s="16"/>
      <c r="TIP38" s="16"/>
      <c r="TIQ38" s="16"/>
      <c r="TIR38" s="16"/>
      <c r="TIS38" s="16"/>
      <c r="TIT38" s="16"/>
      <c r="TIU38" s="16"/>
      <c r="TIV38" s="16"/>
      <c r="TIW38" s="16"/>
      <c r="TIX38" s="16"/>
      <c r="TIY38" s="16"/>
      <c r="TIZ38" s="16"/>
      <c r="TJA38" s="16"/>
      <c r="TJB38" s="16"/>
      <c r="TJC38" s="16"/>
      <c r="TJD38" s="16"/>
      <c r="TJE38" s="16"/>
      <c r="TJF38" s="16"/>
      <c r="TJG38" s="16"/>
      <c r="TJH38" s="16"/>
      <c r="TJI38" s="16"/>
      <c r="TJJ38" s="16"/>
      <c r="TJK38" s="16"/>
      <c r="TJL38" s="16"/>
      <c r="TJM38" s="16"/>
      <c r="TJN38" s="16"/>
      <c r="TJO38" s="16"/>
      <c r="TJP38" s="16"/>
      <c r="TJQ38" s="16"/>
      <c r="TJR38" s="16"/>
      <c r="TJS38" s="16"/>
      <c r="TJT38" s="16"/>
      <c r="TJU38" s="16"/>
      <c r="TJV38" s="16"/>
      <c r="TJW38" s="16"/>
      <c r="TJX38" s="16"/>
      <c r="TJY38" s="16"/>
      <c r="TJZ38" s="16"/>
      <c r="TKA38" s="16"/>
      <c r="TKB38" s="16"/>
      <c r="TKC38" s="16"/>
      <c r="TKD38" s="16"/>
      <c r="TKE38" s="16"/>
      <c r="TKF38" s="16"/>
      <c r="TKG38" s="16"/>
      <c r="TKH38" s="16"/>
      <c r="TKI38" s="16"/>
      <c r="TKJ38" s="16"/>
      <c r="TKK38" s="16"/>
      <c r="TKL38" s="16"/>
      <c r="TKM38" s="16"/>
      <c r="TKN38" s="16"/>
      <c r="TKO38" s="16"/>
      <c r="TKP38" s="16"/>
      <c r="TKQ38" s="16"/>
      <c r="TKR38" s="16"/>
      <c r="TKS38" s="16"/>
      <c r="TKT38" s="16"/>
      <c r="TKU38" s="16"/>
      <c r="TKV38" s="16"/>
      <c r="TKW38" s="16"/>
      <c r="TKX38" s="16"/>
      <c r="TKY38" s="16"/>
      <c r="TKZ38" s="16"/>
      <c r="TLA38" s="16"/>
      <c r="TLB38" s="16"/>
      <c r="TLC38" s="16"/>
      <c r="TLD38" s="16"/>
      <c r="TLE38" s="16"/>
      <c r="TLF38" s="16"/>
      <c r="TLG38" s="16"/>
      <c r="TLH38" s="16"/>
      <c r="TLI38" s="16"/>
      <c r="TLJ38" s="16"/>
      <c r="TLK38" s="16"/>
      <c r="TLL38" s="16"/>
      <c r="TLM38" s="16"/>
      <c r="TLN38" s="16"/>
      <c r="TLO38" s="16"/>
      <c r="TLP38" s="16"/>
      <c r="TLQ38" s="16"/>
      <c r="TLR38" s="16"/>
      <c r="TLS38" s="16"/>
      <c r="TLT38" s="16"/>
      <c r="TLU38" s="16"/>
      <c r="TLV38" s="16"/>
      <c r="TLW38" s="16"/>
      <c r="TLX38" s="16"/>
      <c r="TLY38" s="16"/>
      <c r="TLZ38" s="16"/>
      <c r="TMA38" s="16"/>
      <c r="TMB38" s="16"/>
      <c r="TMC38" s="16"/>
      <c r="TMD38" s="16"/>
      <c r="TME38" s="16"/>
      <c r="TMF38" s="16"/>
      <c r="TMG38" s="16"/>
      <c r="TMH38" s="16"/>
      <c r="TMI38" s="16"/>
      <c r="TMJ38" s="16"/>
      <c r="TMK38" s="16"/>
      <c r="TML38" s="16"/>
      <c r="TMM38" s="16"/>
      <c r="TMN38" s="16"/>
      <c r="TMO38" s="16"/>
      <c r="TMP38" s="16"/>
      <c r="TMQ38" s="16"/>
      <c r="TMR38" s="16"/>
      <c r="TMS38" s="16"/>
      <c r="TMT38" s="16"/>
      <c r="TMU38" s="16"/>
      <c r="TMV38" s="16"/>
      <c r="TMW38" s="16"/>
      <c r="TMX38" s="16"/>
      <c r="TMY38" s="16"/>
      <c r="TMZ38" s="16"/>
      <c r="TNA38" s="16"/>
      <c r="TNB38" s="16"/>
      <c r="TNC38" s="16"/>
      <c r="TND38" s="16"/>
      <c r="TNE38" s="16"/>
      <c r="TNF38" s="16"/>
      <c r="TNG38" s="16"/>
      <c r="TNH38" s="16"/>
      <c r="TNI38" s="16"/>
      <c r="TNJ38" s="16"/>
      <c r="TNK38" s="16"/>
      <c r="TNL38" s="16"/>
      <c r="TNM38" s="16"/>
      <c r="TNN38" s="16"/>
      <c r="TNO38" s="16"/>
      <c r="TNP38" s="16"/>
      <c r="TNQ38" s="16"/>
      <c r="TNR38" s="16"/>
      <c r="TNS38" s="16"/>
      <c r="TNT38" s="16"/>
      <c r="TNU38" s="16"/>
      <c r="TNV38" s="16"/>
      <c r="TNW38" s="16"/>
      <c r="TNX38" s="16"/>
      <c r="TNY38" s="16"/>
      <c r="TNZ38" s="16"/>
      <c r="TOA38" s="16"/>
      <c r="TOB38" s="16"/>
      <c r="TOC38" s="16"/>
      <c r="TOD38" s="16"/>
      <c r="TOE38" s="16"/>
      <c r="TOF38" s="16"/>
      <c r="TOG38" s="16"/>
      <c r="TOH38" s="16"/>
      <c r="TOI38" s="16"/>
      <c r="TOJ38" s="16"/>
      <c r="TOK38" s="16"/>
      <c r="TOL38" s="16"/>
      <c r="TOM38" s="16"/>
      <c r="TON38" s="16"/>
      <c r="TOO38" s="16"/>
      <c r="TOP38" s="16"/>
      <c r="TOQ38" s="16"/>
      <c r="TOR38" s="16"/>
      <c r="TOS38" s="16"/>
      <c r="TOT38" s="16"/>
      <c r="TOU38" s="16"/>
      <c r="TOV38" s="16"/>
      <c r="TOW38" s="16"/>
      <c r="TOX38" s="16"/>
      <c r="TOY38" s="16"/>
      <c r="TOZ38" s="16"/>
      <c r="TPA38" s="16"/>
      <c r="TPB38" s="16"/>
      <c r="TPC38" s="16"/>
      <c r="TPD38" s="16"/>
      <c r="TPE38" s="16"/>
      <c r="TPF38" s="16"/>
      <c r="TPG38" s="16"/>
      <c r="TPH38" s="16"/>
      <c r="TPI38" s="16"/>
      <c r="TPJ38" s="16"/>
      <c r="TPK38" s="16"/>
      <c r="TPL38" s="16"/>
      <c r="TPM38" s="16"/>
      <c r="TPN38" s="16"/>
      <c r="TPO38" s="16"/>
      <c r="TPP38" s="16"/>
      <c r="TPQ38" s="16"/>
      <c r="TPR38" s="16"/>
      <c r="TPS38" s="16"/>
      <c r="TPT38" s="16"/>
      <c r="TPU38" s="16"/>
      <c r="TPV38" s="16"/>
      <c r="TPW38" s="16"/>
      <c r="TPX38" s="16"/>
      <c r="TPY38" s="16"/>
      <c r="TPZ38" s="16"/>
      <c r="TQA38" s="16"/>
      <c r="TQB38" s="16"/>
      <c r="TQC38" s="16"/>
      <c r="TQD38" s="16"/>
      <c r="TQE38" s="16"/>
      <c r="TQF38" s="16"/>
      <c r="TQG38" s="16"/>
      <c r="TQH38" s="16"/>
      <c r="TQI38" s="16"/>
      <c r="TQJ38" s="16"/>
      <c r="TQK38" s="16"/>
      <c r="TQL38" s="16"/>
      <c r="TQM38" s="16"/>
      <c r="TQN38" s="16"/>
      <c r="TQO38" s="16"/>
      <c r="TQP38" s="16"/>
      <c r="TQQ38" s="16"/>
      <c r="TQR38" s="16"/>
      <c r="TQS38" s="16"/>
      <c r="TQT38" s="16"/>
      <c r="TQU38" s="16"/>
      <c r="TQV38" s="16"/>
      <c r="TQW38" s="16"/>
      <c r="TQX38" s="16"/>
      <c r="TQY38" s="16"/>
      <c r="TQZ38" s="16"/>
      <c r="TRA38" s="16"/>
      <c r="TRB38" s="16"/>
      <c r="TRC38" s="16"/>
      <c r="TRD38" s="16"/>
      <c r="TRE38" s="16"/>
      <c r="TRF38" s="16"/>
      <c r="TRG38" s="16"/>
      <c r="TRH38" s="16"/>
      <c r="TRI38" s="16"/>
      <c r="TRJ38" s="16"/>
      <c r="TRK38" s="16"/>
      <c r="TRL38" s="16"/>
      <c r="TRM38" s="16"/>
      <c r="TRN38" s="16"/>
      <c r="TRO38" s="16"/>
      <c r="TRP38" s="16"/>
      <c r="TRQ38" s="16"/>
      <c r="TRR38" s="16"/>
      <c r="TRS38" s="16"/>
      <c r="TRT38" s="16"/>
      <c r="TRU38" s="16"/>
      <c r="TRV38" s="16"/>
      <c r="TRW38" s="16"/>
      <c r="TRX38" s="16"/>
      <c r="TRY38" s="16"/>
      <c r="TRZ38" s="16"/>
      <c r="TSA38" s="16"/>
      <c r="TSB38" s="16"/>
      <c r="TSC38" s="16"/>
      <c r="TSD38" s="16"/>
      <c r="TSE38" s="16"/>
      <c r="TSF38" s="16"/>
      <c r="TSG38" s="16"/>
      <c r="TSH38" s="16"/>
      <c r="TSI38" s="16"/>
      <c r="TSJ38" s="16"/>
      <c r="TSK38" s="16"/>
      <c r="TSL38" s="16"/>
      <c r="TSM38" s="16"/>
      <c r="TSN38" s="16"/>
      <c r="TSO38" s="16"/>
      <c r="TSP38" s="16"/>
      <c r="TSQ38" s="16"/>
      <c r="TSR38" s="16"/>
      <c r="TSS38" s="16"/>
      <c r="TST38" s="16"/>
      <c r="TSU38" s="16"/>
      <c r="TSV38" s="16"/>
      <c r="TSW38" s="16"/>
      <c r="TSX38" s="16"/>
      <c r="TSY38" s="16"/>
      <c r="TSZ38" s="16"/>
      <c r="TTA38" s="16"/>
      <c r="TTB38" s="16"/>
      <c r="TTC38" s="16"/>
      <c r="TTD38" s="16"/>
      <c r="TTE38" s="16"/>
      <c r="TTF38" s="16"/>
      <c r="TTG38" s="16"/>
      <c r="TTH38" s="16"/>
      <c r="TTI38" s="16"/>
      <c r="TTJ38" s="16"/>
      <c r="TTK38" s="16"/>
      <c r="TTL38" s="16"/>
      <c r="TTM38" s="16"/>
      <c r="TTN38" s="16"/>
      <c r="TTO38" s="16"/>
      <c r="TTP38" s="16"/>
      <c r="TTQ38" s="16"/>
      <c r="TTR38" s="16"/>
      <c r="TTS38" s="16"/>
      <c r="TTT38" s="16"/>
      <c r="TTU38" s="16"/>
      <c r="TTV38" s="16"/>
      <c r="TTW38" s="16"/>
      <c r="TTX38" s="16"/>
      <c r="TTY38" s="16"/>
      <c r="TTZ38" s="16"/>
      <c r="TUA38" s="16"/>
      <c r="TUB38" s="16"/>
      <c r="TUC38" s="16"/>
      <c r="TUD38" s="16"/>
      <c r="TUE38" s="16"/>
      <c r="TUF38" s="16"/>
      <c r="TUG38" s="16"/>
      <c r="TUH38" s="16"/>
      <c r="TUI38" s="16"/>
      <c r="TUJ38" s="16"/>
      <c r="TUK38" s="16"/>
      <c r="TUL38" s="16"/>
      <c r="TUM38" s="16"/>
      <c r="TUN38" s="16"/>
      <c r="TUO38" s="16"/>
      <c r="TUP38" s="16"/>
      <c r="TUQ38" s="16"/>
      <c r="TUR38" s="16"/>
      <c r="TUS38" s="16"/>
      <c r="TUT38" s="16"/>
      <c r="TUU38" s="16"/>
      <c r="TUV38" s="16"/>
      <c r="TUW38" s="16"/>
      <c r="TUX38" s="16"/>
      <c r="TUY38" s="16"/>
      <c r="TUZ38" s="16"/>
      <c r="TVA38" s="16"/>
      <c r="TVB38" s="16"/>
      <c r="TVC38" s="16"/>
      <c r="TVD38" s="16"/>
      <c r="TVE38" s="16"/>
      <c r="TVF38" s="16"/>
      <c r="TVG38" s="16"/>
      <c r="TVH38" s="16"/>
      <c r="TVI38" s="16"/>
      <c r="TVJ38" s="16"/>
      <c r="TVK38" s="16"/>
      <c r="TVL38" s="16"/>
      <c r="TVM38" s="16"/>
      <c r="TVN38" s="16"/>
      <c r="TVO38" s="16"/>
      <c r="TVP38" s="16"/>
      <c r="TVQ38" s="16"/>
      <c r="TVR38" s="16"/>
      <c r="TVS38" s="16"/>
      <c r="TVT38" s="16"/>
      <c r="TVU38" s="16"/>
      <c r="TVV38" s="16"/>
      <c r="TVW38" s="16"/>
      <c r="TVX38" s="16"/>
      <c r="TVY38" s="16"/>
      <c r="TVZ38" s="16"/>
      <c r="TWA38" s="16"/>
      <c r="TWB38" s="16"/>
      <c r="TWC38" s="16"/>
      <c r="TWD38" s="16"/>
      <c r="TWE38" s="16"/>
      <c r="TWF38" s="16"/>
      <c r="TWG38" s="16"/>
      <c r="TWH38" s="16"/>
      <c r="TWI38" s="16"/>
      <c r="TWJ38" s="16"/>
      <c r="TWK38" s="16"/>
      <c r="TWL38" s="16"/>
      <c r="TWM38" s="16"/>
      <c r="TWN38" s="16"/>
      <c r="TWO38" s="16"/>
      <c r="TWP38" s="16"/>
      <c r="TWQ38" s="16"/>
      <c r="TWR38" s="16"/>
      <c r="TWS38" s="16"/>
      <c r="TWT38" s="16"/>
      <c r="TWU38" s="16"/>
      <c r="TWV38" s="16"/>
      <c r="TWW38" s="16"/>
      <c r="TWX38" s="16"/>
      <c r="TWY38" s="16"/>
      <c r="TWZ38" s="16"/>
      <c r="TXA38" s="16"/>
      <c r="TXB38" s="16"/>
      <c r="TXC38" s="16"/>
      <c r="TXD38" s="16"/>
      <c r="TXE38" s="16"/>
      <c r="TXF38" s="16"/>
      <c r="TXG38" s="16"/>
      <c r="TXH38" s="16"/>
      <c r="TXI38" s="16"/>
      <c r="TXJ38" s="16"/>
      <c r="TXK38" s="16"/>
      <c r="TXL38" s="16"/>
      <c r="TXM38" s="16"/>
      <c r="TXN38" s="16"/>
      <c r="TXO38" s="16"/>
      <c r="TXP38" s="16"/>
      <c r="TXQ38" s="16"/>
      <c r="TXR38" s="16"/>
      <c r="TXS38" s="16"/>
      <c r="TXT38" s="16"/>
      <c r="TXU38" s="16"/>
      <c r="TXV38" s="16"/>
      <c r="TXW38" s="16"/>
      <c r="TXX38" s="16"/>
      <c r="TXY38" s="16"/>
      <c r="TXZ38" s="16"/>
      <c r="TYA38" s="16"/>
      <c r="TYB38" s="16"/>
      <c r="TYC38" s="16"/>
      <c r="TYD38" s="16"/>
      <c r="TYE38" s="16"/>
      <c r="TYF38" s="16"/>
      <c r="TYG38" s="16"/>
      <c r="TYH38" s="16"/>
      <c r="TYI38" s="16"/>
      <c r="TYJ38" s="16"/>
      <c r="TYK38" s="16"/>
      <c r="TYL38" s="16"/>
      <c r="TYM38" s="16"/>
      <c r="TYN38" s="16"/>
      <c r="TYO38" s="16"/>
      <c r="TYP38" s="16"/>
      <c r="TYQ38" s="16"/>
      <c r="TYR38" s="16"/>
      <c r="TYS38" s="16"/>
      <c r="TYT38" s="16"/>
      <c r="TYU38" s="16"/>
      <c r="TYV38" s="16"/>
      <c r="TYW38" s="16"/>
      <c r="TYX38" s="16"/>
      <c r="TYY38" s="16"/>
      <c r="TYZ38" s="16"/>
      <c r="TZA38" s="16"/>
      <c r="TZB38" s="16"/>
      <c r="TZC38" s="16"/>
      <c r="TZD38" s="16"/>
      <c r="TZE38" s="16"/>
      <c r="TZF38" s="16"/>
      <c r="TZG38" s="16"/>
      <c r="TZH38" s="16"/>
      <c r="TZI38" s="16"/>
      <c r="TZJ38" s="16"/>
      <c r="TZK38" s="16"/>
      <c r="TZL38" s="16"/>
      <c r="TZM38" s="16"/>
      <c r="TZN38" s="16"/>
      <c r="TZO38" s="16"/>
      <c r="TZP38" s="16"/>
      <c r="TZQ38" s="16"/>
      <c r="TZR38" s="16"/>
      <c r="TZS38" s="16"/>
      <c r="TZT38" s="16"/>
      <c r="TZU38" s="16"/>
      <c r="TZV38" s="16"/>
      <c r="TZW38" s="16"/>
      <c r="TZX38" s="16"/>
      <c r="TZY38" s="16"/>
      <c r="TZZ38" s="16"/>
      <c r="UAA38" s="16"/>
      <c r="UAB38" s="16"/>
      <c r="UAC38" s="16"/>
      <c r="UAD38" s="16"/>
      <c r="UAE38" s="16"/>
      <c r="UAF38" s="16"/>
      <c r="UAG38" s="16"/>
      <c r="UAH38" s="16"/>
      <c r="UAI38" s="16"/>
      <c r="UAJ38" s="16"/>
      <c r="UAK38" s="16"/>
      <c r="UAL38" s="16"/>
      <c r="UAM38" s="16"/>
      <c r="UAN38" s="16"/>
      <c r="UAO38" s="16"/>
      <c r="UAP38" s="16"/>
      <c r="UAQ38" s="16"/>
      <c r="UAR38" s="16"/>
      <c r="UAS38" s="16"/>
      <c r="UAT38" s="16"/>
      <c r="UAU38" s="16"/>
      <c r="UAV38" s="16"/>
      <c r="UAW38" s="16"/>
      <c r="UAX38" s="16"/>
      <c r="UAY38" s="16"/>
      <c r="UAZ38" s="16"/>
      <c r="UBA38" s="16"/>
      <c r="UBB38" s="16"/>
      <c r="UBC38" s="16"/>
      <c r="UBD38" s="16"/>
      <c r="UBE38" s="16"/>
      <c r="UBF38" s="16"/>
      <c r="UBG38" s="16"/>
      <c r="UBH38" s="16"/>
      <c r="UBI38" s="16"/>
      <c r="UBJ38" s="16"/>
      <c r="UBK38" s="16"/>
      <c r="UBL38" s="16"/>
      <c r="UBM38" s="16"/>
      <c r="UBN38" s="16"/>
      <c r="UBO38" s="16"/>
      <c r="UBP38" s="16"/>
      <c r="UBQ38" s="16"/>
      <c r="UBR38" s="16"/>
      <c r="UBS38" s="16"/>
      <c r="UBT38" s="16"/>
      <c r="UBU38" s="16"/>
      <c r="UBV38" s="16"/>
      <c r="UBW38" s="16"/>
      <c r="UBX38" s="16"/>
      <c r="UBY38" s="16"/>
      <c r="UBZ38" s="16"/>
      <c r="UCA38" s="16"/>
      <c r="UCB38" s="16"/>
      <c r="UCC38" s="16"/>
      <c r="UCD38" s="16"/>
      <c r="UCE38" s="16"/>
      <c r="UCF38" s="16"/>
      <c r="UCG38" s="16"/>
      <c r="UCH38" s="16"/>
      <c r="UCI38" s="16"/>
      <c r="UCJ38" s="16"/>
      <c r="UCK38" s="16"/>
      <c r="UCL38" s="16"/>
      <c r="UCM38" s="16"/>
      <c r="UCN38" s="16"/>
      <c r="UCO38" s="16"/>
      <c r="UCP38" s="16"/>
      <c r="UCQ38" s="16"/>
      <c r="UCR38" s="16"/>
      <c r="UCS38" s="16"/>
      <c r="UCT38" s="16"/>
      <c r="UCU38" s="16"/>
      <c r="UCV38" s="16"/>
      <c r="UCW38" s="16"/>
      <c r="UCX38" s="16"/>
      <c r="UCY38" s="16"/>
      <c r="UCZ38" s="16"/>
      <c r="UDA38" s="16"/>
      <c r="UDB38" s="16"/>
      <c r="UDC38" s="16"/>
      <c r="UDD38" s="16"/>
      <c r="UDE38" s="16"/>
      <c r="UDF38" s="16"/>
      <c r="UDG38" s="16"/>
      <c r="UDH38" s="16"/>
      <c r="UDI38" s="16"/>
      <c r="UDJ38" s="16"/>
      <c r="UDK38" s="16"/>
      <c r="UDL38" s="16"/>
      <c r="UDM38" s="16"/>
      <c r="UDN38" s="16"/>
      <c r="UDO38" s="16"/>
      <c r="UDP38" s="16"/>
      <c r="UDQ38" s="16"/>
      <c r="UDR38" s="16"/>
      <c r="UDS38" s="16"/>
      <c r="UDT38" s="16"/>
      <c r="UDU38" s="16"/>
      <c r="UDV38" s="16"/>
      <c r="UDW38" s="16"/>
      <c r="UDX38" s="16"/>
      <c r="UDY38" s="16"/>
      <c r="UDZ38" s="16"/>
      <c r="UEA38" s="16"/>
      <c r="UEB38" s="16"/>
      <c r="UEC38" s="16"/>
      <c r="UED38" s="16"/>
      <c r="UEE38" s="16"/>
      <c r="UEF38" s="16"/>
      <c r="UEG38" s="16"/>
      <c r="UEH38" s="16"/>
      <c r="UEI38" s="16"/>
      <c r="UEJ38" s="16"/>
      <c r="UEK38" s="16"/>
      <c r="UEL38" s="16"/>
      <c r="UEM38" s="16"/>
      <c r="UEN38" s="16"/>
      <c r="UEO38" s="16"/>
      <c r="UEP38" s="16"/>
      <c r="UEQ38" s="16"/>
      <c r="UER38" s="16"/>
      <c r="UES38" s="16"/>
      <c r="UET38" s="16"/>
      <c r="UEU38" s="16"/>
      <c r="UEV38" s="16"/>
      <c r="UEW38" s="16"/>
      <c r="UEX38" s="16"/>
      <c r="UEY38" s="16"/>
      <c r="UEZ38" s="16"/>
      <c r="UFA38" s="16"/>
      <c r="UFB38" s="16"/>
      <c r="UFC38" s="16"/>
      <c r="UFD38" s="16"/>
      <c r="UFE38" s="16"/>
      <c r="UFF38" s="16"/>
      <c r="UFG38" s="16"/>
      <c r="UFH38" s="16"/>
      <c r="UFI38" s="16"/>
      <c r="UFJ38" s="16"/>
      <c r="UFK38" s="16"/>
      <c r="UFL38" s="16"/>
      <c r="UFM38" s="16"/>
      <c r="UFN38" s="16"/>
      <c r="UFO38" s="16"/>
      <c r="UFP38" s="16"/>
      <c r="UFQ38" s="16"/>
      <c r="UFR38" s="16"/>
      <c r="UFS38" s="16"/>
      <c r="UFT38" s="16"/>
      <c r="UFU38" s="16"/>
      <c r="UFV38" s="16"/>
      <c r="UFW38" s="16"/>
      <c r="UFX38" s="16"/>
      <c r="UFY38" s="16"/>
      <c r="UFZ38" s="16"/>
      <c r="UGA38" s="16"/>
      <c r="UGB38" s="16"/>
      <c r="UGC38" s="16"/>
      <c r="UGD38" s="16"/>
      <c r="UGE38" s="16"/>
      <c r="UGF38" s="16"/>
      <c r="UGG38" s="16"/>
      <c r="UGH38" s="16"/>
      <c r="UGI38" s="16"/>
      <c r="UGJ38" s="16"/>
      <c r="UGK38" s="16"/>
      <c r="UGL38" s="16"/>
      <c r="UGM38" s="16"/>
      <c r="UGN38" s="16"/>
      <c r="UGO38" s="16"/>
      <c r="UGP38" s="16"/>
      <c r="UGQ38" s="16"/>
      <c r="UGR38" s="16"/>
      <c r="UGS38" s="16"/>
      <c r="UGT38" s="16"/>
      <c r="UGU38" s="16"/>
      <c r="UGV38" s="16"/>
      <c r="UGW38" s="16"/>
      <c r="UGX38" s="16"/>
      <c r="UGY38" s="16"/>
      <c r="UGZ38" s="16"/>
      <c r="UHA38" s="16"/>
      <c r="UHB38" s="16"/>
      <c r="UHC38" s="16"/>
      <c r="UHD38" s="16"/>
      <c r="UHE38" s="16"/>
      <c r="UHF38" s="16"/>
      <c r="UHG38" s="16"/>
      <c r="UHH38" s="16"/>
      <c r="UHI38" s="16"/>
      <c r="UHJ38" s="16"/>
      <c r="UHK38" s="16"/>
      <c r="UHL38" s="16"/>
      <c r="UHM38" s="16"/>
      <c r="UHN38" s="16"/>
      <c r="UHO38" s="16"/>
      <c r="UHP38" s="16"/>
      <c r="UHQ38" s="16"/>
      <c r="UHR38" s="16"/>
      <c r="UHS38" s="16"/>
      <c r="UHT38" s="16"/>
      <c r="UHU38" s="16"/>
      <c r="UHV38" s="16"/>
      <c r="UHW38" s="16"/>
      <c r="UHX38" s="16"/>
      <c r="UHY38" s="16"/>
      <c r="UHZ38" s="16"/>
      <c r="UIA38" s="16"/>
      <c r="UIB38" s="16"/>
      <c r="UIC38" s="16"/>
      <c r="UID38" s="16"/>
      <c r="UIE38" s="16"/>
      <c r="UIF38" s="16"/>
      <c r="UIG38" s="16"/>
      <c r="UIH38" s="16"/>
      <c r="UII38" s="16"/>
      <c r="UIJ38" s="16"/>
      <c r="UIK38" s="16"/>
      <c r="UIL38" s="16"/>
      <c r="UIM38" s="16"/>
      <c r="UIN38" s="16"/>
      <c r="UIO38" s="16"/>
      <c r="UIP38" s="16"/>
      <c r="UIQ38" s="16"/>
      <c r="UIR38" s="16"/>
      <c r="UIS38" s="16"/>
      <c r="UIT38" s="16"/>
      <c r="UIU38" s="16"/>
      <c r="UIV38" s="16"/>
      <c r="UIW38" s="16"/>
      <c r="UIX38" s="16"/>
      <c r="UIY38" s="16"/>
      <c r="UIZ38" s="16"/>
      <c r="UJA38" s="16"/>
      <c r="UJB38" s="16"/>
      <c r="UJC38" s="16"/>
      <c r="UJD38" s="16"/>
      <c r="UJE38" s="16"/>
      <c r="UJF38" s="16"/>
      <c r="UJG38" s="16"/>
      <c r="UJH38" s="16"/>
      <c r="UJI38" s="16"/>
      <c r="UJJ38" s="16"/>
      <c r="UJK38" s="16"/>
      <c r="UJL38" s="16"/>
      <c r="UJM38" s="16"/>
      <c r="UJN38" s="16"/>
      <c r="UJO38" s="16"/>
      <c r="UJP38" s="16"/>
      <c r="UJQ38" s="16"/>
      <c r="UJR38" s="16"/>
      <c r="UJS38" s="16"/>
      <c r="UJT38" s="16"/>
      <c r="UJU38" s="16"/>
      <c r="UJV38" s="16"/>
      <c r="UJW38" s="16"/>
      <c r="UJX38" s="16"/>
      <c r="UJY38" s="16"/>
      <c r="UJZ38" s="16"/>
      <c r="UKA38" s="16"/>
      <c r="UKB38" s="16"/>
      <c r="UKC38" s="16"/>
      <c r="UKD38" s="16"/>
      <c r="UKE38" s="16"/>
      <c r="UKF38" s="16"/>
      <c r="UKG38" s="16"/>
      <c r="UKH38" s="16"/>
      <c r="UKI38" s="16"/>
      <c r="UKJ38" s="16"/>
      <c r="UKK38" s="16"/>
      <c r="UKL38" s="16"/>
      <c r="UKM38" s="16"/>
      <c r="UKN38" s="16"/>
      <c r="UKO38" s="16"/>
      <c r="UKP38" s="16"/>
      <c r="UKQ38" s="16"/>
      <c r="UKR38" s="16"/>
      <c r="UKS38" s="16"/>
      <c r="UKT38" s="16"/>
      <c r="UKU38" s="16"/>
      <c r="UKV38" s="16"/>
      <c r="UKW38" s="16"/>
      <c r="UKX38" s="16"/>
      <c r="UKY38" s="16"/>
      <c r="UKZ38" s="16"/>
      <c r="ULA38" s="16"/>
      <c r="ULB38" s="16"/>
      <c r="ULC38" s="16"/>
      <c r="ULD38" s="16"/>
      <c r="ULE38" s="16"/>
      <c r="ULF38" s="16"/>
      <c r="ULG38" s="16"/>
      <c r="ULH38" s="16"/>
      <c r="ULI38" s="16"/>
      <c r="ULJ38" s="16"/>
      <c r="ULK38" s="16"/>
      <c r="ULL38" s="16"/>
      <c r="ULM38" s="16"/>
      <c r="ULN38" s="16"/>
      <c r="ULO38" s="16"/>
      <c r="ULP38" s="16"/>
      <c r="ULQ38" s="16"/>
      <c r="ULR38" s="16"/>
      <c r="ULS38" s="16"/>
      <c r="ULT38" s="16"/>
      <c r="ULU38" s="16"/>
      <c r="ULV38" s="16"/>
      <c r="ULW38" s="16"/>
      <c r="ULX38" s="16"/>
      <c r="ULY38" s="16"/>
      <c r="ULZ38" s="16"/>
      <c r="UMA38" s="16"/>
      <c r="UMB38" s="16"/>
      <c r="UMC38" s="16"/>
      <c r="UMD38" s="16"/>
      <c r="UME38" s="16"/>
      <c r="UMF38" s="16"/>
      <c r="UMG38" s="16"/>
      <c r="UMH38" s="16"/>
      <c r="UMI38" s="16"/>
      <c r="UMJ38" s="16"/>
      <c r="UMK38" s="16"/>
      <c r="UML38" s="16"/>
      <c r="UMM38" s="16"/>
      <c r="UMN38" s="16"/>
      <c r="UMO38" s="16"/>
      <c r="UMP38" s="16"/>
      <c r="UMQ38" s="16"/>
      <c r="UMR38" s="16"/>
      <c r="UMS38" s="16"/>
      <c r="UMT38" s="16"/>
      <c r="UMU38" s="16"/>
      <c r="UMV38" s="16"/>
      <c r="UMW38" s="16"/>
      <c r="UMX38" s="16"/>
      <c r="UMY38" s="16"/>
      <c r="UMZ38" s="16"/>
      <c r="UNA38" s="16"/>
      <c r="UNB38" s="16"/>
      <c r="UNC38" s="16"/>
      <c r="UND38" s="16"/>
      <c r="UNE38" s="16"/>
      <c r="UNF38" s="16"/>
      <c r="UNG38" s="16"/>
      <c r="UNH38" s="16"/>
      <c r="UNI38" s="16"/>
      <c r="UNJ38" s="16"/>
      <c r="UNK38" s="16"/>
      <c r="UNL38" s="16"/>
      <c r="UNM38" s="16"/>
      <c r="UNN38" s="16"/>
      <c r="UNO38" s="16"/>
      <c r="UNP38" s="16"/>
      <c r="UNQ38" s="16"/>
      <c r="UNR38" s="16"/>
      <c r="UNS38" s="16"/>
      <c r="UNT38" s="16"/>
      <c r="UNU38" s="16"/>
      <c r="UNV38" s="16"/>
      <c r="UNW38" s="16"/>
      <c r="UNX38" s="16"/>
      <c r="UNY38" s="16"/>
      <c r="UNZ38" s="16"/>
      <c r="UOA38" s="16"/>
      <c r="UOB38" s="16"/>
      <c r="UOC38" s="16"/>
      <c r="UOD38" s="16"/>
      <c r="UOE38" s="16"/>
      <c r="UOF38" s="16"/>
      <c r="UOG38" s="16"/>
      <c r="UOH38" s="16"/>
      <c r="UOI38" s="16"/>
      <c r="UOJ38" s="16"/>
      <c r="UOK38" s="16"/>
      <c r="UOL38" s="16"/>
      <c r="UOM38" s="16"/>
      <c r="UON38" s="16"/>
      <c r="UOO38" s="16"/>
      <c r="UOP38" s="16"/>
      <c r="UOQ38" s="16"/>
      <c r="UOR38" s="16"/>
      <c r="UOS38" s="16"/>
      <c r="UOT38" s="16"/>
      <c r="UOU38" s="16"/>
      <c r="UOV38" s="16"/>
      <c r="UOW38" s="16"/>
      <c r="UOX38" s="16"/>
      <c r="UOY38" s="16"/>
      <c r="UOZ38" s="16"/>
      <c r="UPA38" s="16"/>
      <c r="UPB38" s="16"/>
      <c r="UPC38" s="16"/>
      <c r="UPD38" s="16"/>
      <c r="UPE38" s="16"/>
      <c r="UPF38" s="16"/>
      <c r="UPG38" s="16"/>
      <c r="UPH38" s="16"/>
      <c r="UPI38" s="16"/>
      <c r="UPJ38" s="16"/>
      <c r="UPK38" s="16"/>
      <c r="UPL38" s="16"/>
      <c r="UPM38" s="16"/>
      <c r="UPN38" s="16"/>
      <c r="UPO38" s="16"/>
      <c r="UPP38" s="16"/>
      <c r="UPQ38" s="16"/>
      <c r="UPR38" s="16"/>
      <c r="UPS38" s="16"/>
      <c r="UPT38" s="16"/>
      <c r="UPU38" s="16"/>
      <c r="UPV38" s="16"/>
      <c r="UPW38" s="16"/>
      <c r="UPX38" s="16"/>
      <c r="UPY38" s="16"/>
      <c r="UPZ38" s="16"/>
      <c r="UQA38" s="16"/>
      <c r="UQB38" s="16"/>
      <c r="UQC38" s="16"/>
      <c r="UQD38" s="16"/>
      <c r="UQE38" s="16"/>
      <c r="UQF38" s="16"/>
      <c r="UQG38" s="16"/>
      <c r="UQH38" s="16"/>
      <c r="UQI38" s="16"/>
      <c r="UQJ38" s="16"/>
      <c r="UQK38" s="16"/>
      <c r="UQL38" s="16"/>
      <c r="UQM38" s="16"/>
      <c r="UQN38" s="16"/>
      <c r="UQO38" s="16"/>
      <c r="UQP38" s="16"/>
      <c r="UQQ38" s="16"/>
      <c r="UQR38" s="16"/>
      <c r="UQS38" s="16"/>
      <c r="UQT38" s="16"/>
      <c r="UQU38" s="16"/>
      <c r="UQV38" s="16"/>
      <c r="UQW38" s="16"/>
      <c r="UQX38" s="16"/>
      <c r="UQY38" s="16"/>
      <c r="UQZ38" s="16"/>
      <c r="URA38" s="16"/>
      <c r="URB38" s="16"/>
      <c r="URC38" s="16"/>
      <c r="URD38" s="16"/>
      <c r="URE38" s="16"/>
      <c r="URF38" s="16"/>
      <c r="URG38" s="16"/>
      <c r="URH38" s="16"/>
      <c r="URI38" s="16"/>
      <c r="URJ38" s="16"/>
      <c r="URK38" s="16"/>
      <c r="URL38" s="16"/>
      <c r="URM38" s="16"/>
      <c r="URN38" s="16"/>
      <c r="URO38" s="16"/>
      <c r="URP38" s="16"/>
      <c r="URQ38" s="16"/>
      <c r="URR38" s="16"/>
      <c r="URS38" s="16"/>
      <c r="URT38" s="16"/>
      <c r="URU38" s="16"/>
      <c r="URV38" s="16"/>
      <c r="URW38" s="16"/>
      <c r="URX38" s="16"/>
      <c r="URY38" s="16"/>
      <c r="URZ38" s="16"/>
      <c r="USA38" s="16"/>
      <c r="USB38" s="16"/>
      <c r="USC38" s="16"/>
      <c r="USD38" s="16"/>
      <c r="USE38" s="16"/>
      <c r="USF38" s="16"/>
      <c r="USG38" s="16"/>
      <c r="USH38" s="16"/>
      <c r="USI38" s="16"/>
      <c r="USJ38" s="16"/>
      <c r="USK38" s="16"/>
      <c r="USL38" s="16"/>
      <c r="USM38" s="16"/>
      <c r="USN38" s="16"/>
      <c r="USO38" s="16"/>
      <c r="USP38" s="16"/>
      <c r="USQ38" s="16"/>
      <c r="USR38" s="16"/>
      <c r="USS38" s="16"/>
      <c r="UST38" s="16"/>
      <c r="USU38" s="16"/>
      <c r="USV38" s="16"/>
      <c r="USW38" s="16"/>
      <c r="USX38" s="16"/>
      <c r="USY38" s="16"/>
      <c r="USZ38" s="16"/>
      <c r="UTA38" s="16"/>
      <c r="UTB38" s="16"/>
      <c r="UTC38" s="16"/>
      <c r="UTD38" s="16"/>
      <c r="UTE38" s="16"/>
      <c r="UTF38" s="16"/>
      <c r="UTG38" s="16"/>
      <c r="UTH38" s="16"/>
      <c r="UTI38" s="16"/>
      <c r="UTJ38" s="16"/>
      <c r="UTK38" s="16"/>
      <c r="UTL38" s="16"/>
      <c r="UTM38" s="16"/>
      <c r="UTN38" s="16"/>
      <c r="UTO38" s="16"/>
      <c r="UTP38" s="16"/>
      <c r="UTQ38" s="16"/>
      <c r="UTR38" s="16"/>
      <c r="UTS38" s="16"/>
      <c r="UTT38" s="16"/>
      <c r="UTU38" s="16"/>
      <c r="UTV38" s="16"/>
      <c r="UTW38" s="16"/>
      <c r="UTX38" s="16"/>
      <c r="UTY38" s="16"/>
      <c r="UTZ38" s="16"/>
      <c r="UUA38" s="16"/>
      <c r="UUB38" s="16"/>
      <c r="UUC38" s="16"/>
      <c r="UUD38" s="16"/>
      <c r="UUE38" s="16"/>
      <c r="UUF38" s="16"/>
      <c r="UUG38" s="16"/>
      <c r="UUH38" s="16"/>
      <c r="UUI38" s="16"/>
      <c r="UUJ38" s="16"/>
      <c r="UUK38" s="16"/>
      <c r="UUL38" s="16"/>
      <c r="UUM38" s="16"/>
      <c r="UUN38" s="16"/>
      <c r="UUO38" s="16"/>
      <c r="UUP38" s="16"/>
      <c r="UUQ38" s="16"/>
      <c r="UUR38" s="16"/>
      <c r="UUS38" s="16"/>
      <c r="UUT38" s="16"/>
      <c r="UUU38" s="16"/>
      <c r="UUV38" s="16"/>
      <c r="UUW38" s="16"/>
      <c r="UUX38" s="16"/>
      <c r="UUY38" s="16"/>
      <c r="UUZ38" s="16"/>
      <c r="UVA38" s="16"/>
      <c r="UVB38" s="16"/>
      <c r="UVC38" s="16"/>
      <c r="UVD38" s="16"/>
      <c r="UVE38" s="16"/>
      <c r="UVF38" s="16"/>
      <c r="UVG38" s="16"/>
      <c r="UVH38" s="16"/>
      <c r="UVI38" s="16"/>
      <c r="UVJ38" s="16"/>
      <c r="UVK38" s="16"/>
      <c r="UVL38" s="16"/>
      <c r="UVM38" s="16"/>
      <c r="UVN38" s="16"/>
      <c r="UVO38" s="16"/>
      <c r="UVP38" s="16"/>
      <c r="UVQ38" s="16"/>
      <c r="UVR38" s="16"/>
      <c r="UVS38" s="16"/>
      <c r="UVT38" s="16"/>
      <c r="UVU38" s="16"/>
      <c r="UVV38" s="16"/>
      <c r="UVW38" s="16"/>
      <c r="UVX38" s="16"/>
      <c r="UVY38" s="16"/>
      <c r="UVZ38" s="16"/>
      <c r="UWA38" s="16"/>
      <c r="UWB38" s="16"/>
      <c r="UWC38" s="16"/>
      <c r="UWD38" s="16"/>
      <c r="UWE38" s="16"/>
      <c r="UWF38" s="16"/>
      <c r="UWG38" s="16"/>
      <c r="UWH38" s="16"/>
      <c r="UWI38" s="16"/>
      <c r="UWJ38" s="16"/>
      <c r="UWK38" s="16"/>
      <c r="UWL38" s="16"/>
      <c r="UWM38" s="16"/>
      <c r="UWN38" s="16"/>
      <c r="UWO38" s="16"/>
      <c r="UWP38" s="16"/>
      <c r="UWQ38" s="16"/>
      <c r="UWR38" s="16"/>
      <c r="UWS38" s="16"/>
      <c r="UWT38" s="16"/>
      <c r="UWU38" s="16"/>
      <c r="UWV38" s="16"/>
      <c r="UWW38" s="16"/>
      <c r="UWX38" s="16"/>
      <c r="UWY38" s="16"/>
      <c r="UWZ38" s="16"/>
      <c r="UXA38" s="16"/>
      <c r="UXB38" s="16"/>
      <c r="UXC38" s="16"/>
      <c r="UXD38" s="16"/>
      <c r="UXE38" s="16"/>
      <c r="UXF38" s="16"/>
      <c r="UXG38" s="16"/>
      <c r="UXH38" s="16"/>
      <c r="UXI38" s="16"/>
      <c r="UXJ38" s="16"/>
      <c r="UXK38" s="16"/>
      <c r="UXL38" s="16"/>
      <c r="UXM38" s="16"/>
      <c r="UXN38" s="16"/>
      <c r="UXO38" s="16"/>
      <c r="UXP38" s="16"/>
      <c r="UXQ38" s="16"/>
      <c r="UXR38" s="16"/>
      <c r="UXS38" s="16"/>
      <c r="UXT38" s="16"/>
      <c r="UXU38" s="16"/>
      <c r="UXV38" s="16"/>
      <c r="UXW38" s="16"/>
      <c r="UXX38" s="16"/>
      <c r="UXY38" s="16"/>
      <c r="UXZ38" s="16"/>
      <c r="UYA38" s="16"/>
      <c r="UYB38" s="16"/>
      <c r="UYC38" s="16"/>
      <c r="UYD38" s="16"/>
      <c r="UYE38" s="16"/>
      <c r="UYF38" s="16"/>
      <c r="UYG38" s="16"/>
      <c r="UYH38" s="16"/>
      <c r="UYI38" s="16"/>
      <c r="UYJ38" s="16"/>
      <c r="UYK38" s="16"/>
      <c r="UYL38" s="16"/>
      <c r="UYM38" s="16"/>
      <c r="UYN38" s="16"/>
      <c r="UYO38" s="16"/>
      <c r="UYP38" s="16"/>
      <c r="UYQ38" s="16"/>
      <c r="UYR38" s="16"/>
      <c r="UYS38" s="16"/>
      <c r="UYT38" s="16"/>
      <c r="UYU38" s="16"/>
      <c r="UYV38" s="16"/>
      <c r="UYW38" s="16"/>
      <c r="UYX38" s="16"/>
      <c r="UYY38" s="16"/>
      <c r="UYZ38" s="16"/>
      <c r="UZA38" s="16"/>
      <c r="UZB38" s="16"/>
      <c r="UZC38" s="16"/>
      <c r="UZD38" s="16"/>
      <c r="UZE38" s="16"/>
      <c r="UZF38" s="16"/>
      <c r="UZG38" s="16"/>
      <c r="UZH38" s="16"/>
      <c r="UZI38" s="16"/>
      <c r="UZJ38" s="16"/>
      <c r="UZK38" s="16"/>
      <c r="UZL38" s="16"/>
      <c r="UZM38" s="16"/>
      <c r="UZN38" s="16"/>
      <c r="UZO38" s="16"/>
      <c r="UZP38" s="16"/>
      <c r="UZQ38" s="16"/>
      <c r="UZR38" s="16"/>
      <c r="UZS38" s="16"/>
      <c r="UZT38" s="16"/>
      <c r="UZU38" s="16"/>
      <c r="UZV38" s="16"/>
      <c r="UZW38" s="16"/>
      <c r="UZX38" s="16"/>
      <c r="UZY38" s="16"/>
      <c r="UZZ38" s="16"/>
      <c r="VAA38" s="16"/>
      <c r="VAB38" s="16"/>
      <c r="VAC38" s="16"/>
      <c r="VAD38" s="16"/>
      <c r="VAE38" s="16"/>
      <c r="VAF38" s="16"/>
      <c r="VAG38" s="16"/>
      <c r="VAH38" s="16"/>
      <c r="VAI38" s="16"/>
      <c r="VAJ38" s="16"/>
      <c r="VAK38" s="16"/>
      <c r="VAL38" s="16"/>
      <c r="VAM38" s="16"/>
      <c r="VAN38" s="16"/>
      <c r="VAO38" s="16"/>
      <c r="VAP38" s="16"/>
      <c r="VAQ38" s="16"/>
      <c r="VAR38" s="16"/>
      <c r="VAS38" s="16"/>
      <c r="VAT38" s="16"/>
      <c r="VAU38" s="16"/>
      <c r="VAV38" s="16"/>
      <c r="VAW38" s="16"/>
      <c r="VAX38" s="16"/>
      <c r="VAY38" s="16"/>
      <c r="VAZ38" s="16"/>
      <c r="VBA38" s="16"/>
      <c r="VBB38" s="16"/>
      <c r="VBC38" s="16"/>
      <c r="VBD38" s="16"/>
      <c r="VBE38" s="16"/>
      <c r="VBF38" s="16"/>
      <c r="VBG38" s="16"/>
      <c r="VBH38" s="16"/>
      <c r="VBI38" s="16"/>
      <c r="VBJ38" s="16"/>
      <c r="VBK38" s="16"/>
      <c r="VBL38" s="16"/>
      <c r="VBM38" s="16"/>
      <c r="VBN38" s="16"/>
    </row>
    <row r="39" spans="1:14938" hidden="1" x14ac:dyDescent="0.25">
      <c r="B39" s="2305"/>
      <c r="C39" s="472" t="s">
        <v>70</v>
      </c>
      <c r="D39" s="489">
        <f>SUM(D40:D41)</f>
        <v>15000</v>
      </c>
      <c r="E39" s="473" t="s">
        <v>14</v>
      </c>
      <c r="F39" s="439"/>
      <c r="G39" s="439"/>
      <c r="H39" s="1499"/>
      <c r="I39" s="439"/>
      <c r="J39" s="1506"/>
      <c r="K39" s="439"/>
      <c r="L39" s="439"/>
      <c r="M39" s="439"/>
      <c r="N39" s="439"/>
      <c r="O39" s="439"/>
      <c r="P39" s="439"/>
      <c r="Q39" s="439"/>
      <c r="R39" s="697"/>
      <c r="S39" s="503">
        <f>S40+S41</f>
        <v>0</v>
      </c>
      <c r="T39" s="653">
        <f>T40+T41</f>
        <v>30647000</v>
      </c>
      <c r="U39" s="742">
        <f>(S39/T39)*100</f>
        <v>0</v>
      </c>
      <c r="V39" s="62"/>
      <c r="W39" s="1"/>
      <c r="X39" s="62"/>
      <c r="Y39" s="62"/>
      <c r="Z39" s="62"/>
      <c r="AA39" s="62"/>
      <c r="AB39" s="62"/>
      <c r="AC39" s="62"/>
      <c r="AD39" s="62"/>
      <c r="AE39" s="2307"/>
      <c r="AF39" s="2307"/>
      <c r="AG39" s="62"/>
      <c r="AH39" s="62"/>
      <c r="AI39" s="62"/>
      <c r="AJ39" s="62"/>
      <c r="AK39" s="62"/>
      <c r="AL39" s="62"/>
      <c r="AM39" s="62"/>
      <c r="AN39" s="62"/>
      <c r="AO39" s="62"/>
      <c r="AQ39" s="62"/>
      <c r="AS39" s="447"/>
      <c r="AT39" s="447"/>
      <c r="AU39" s="1"/>
      <c r="AV39" s="1"/>
      <c r="AW39" s="16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41"/>
      <c r="BX39" s="1"/>
      <c r="CZ39" s="1"/>
      <c r="DD39" s="2"/>
      <c r="DE39" s="5"/>
      <c r="DF39" s="140"/>
      <c r="DG39" s="140"/>
      <c r="DH39" s="140"/>
      <c r="DI39" s="141"/>
      <c r="FL39" s="141"/>
      <c r="JG39" s="141"/>
      <c r="JH39" s="141"/>
      <c r="JI39" s="141"/>
      <c r="JJ39" s="141"/>
      <c r="ON39" s="141"/>
      <c r="OO39" s="141"/>
      <c r="OP39" s="144"/>
      <c r="OQ39" s="141"/>
      <c r="PE39" s="144">
        <f>SUM(PE32:PE37)</f>
        <v>40.247160000000001</v>
      </c>
      <c r="PI39" s="141"/>
      <c r="RL39" s="144"/>
      <c r="AGU39" s="140"/>
      <c r="AIJ39" s="140"/>
      <c r="AIK39" s="140"/>
      <c r="AIL39" s="140"/>
    </row>
    <row r="40" spans="1:14938" hidden="1" x14ac:dyDescent="0.25">
      <c r="B40" s="2305"/>
      <c r="C40" s="472" t="s">
        <v>333</v>
      </c>
      <c r="D40" s="489">
        <v>12000</v>
      </c>
      <c r="E40" s="473" t="s">
        <v>14</v>
      </c>
      <c r="F40" s="439"/>
      <c r="G40" s="439"/>
      <c r="H40" s="1499"/>
      <c r="I40" s="439"/>
      <c r="J40" s="1506"/>
      <c r="K40" s="439"/>
      <c r="L40" s="439"/>
      <c r="M40" s="439"/>
      <c r="N40" s="439"/>
      <c r="O40" s="439"/>
      <c r="P40" s="439"/>
      <c r="Q40" s="439"/>
      <c r="R40" s="697"/>
      <c r="S40" s="505">
        <f>SUM(F40:Q40)</f>
        <v>0</v>
      </c>
      <c r="T40" s="654">
        <v>23002000</v>
      </c>
      <c r="U40" s="742">
        <f>S40/T40*100</f>
        <v>0</v>
      </c>
      <c r="V40" s="62"/>
      <c r="W40" s="5"/>
      <c r="X40" s="62"/>
      <c r="Y40" s="62"/>
      <c r="Z40" s="62"/>
      <c r="AA40" s="62"/>
      <c r="AB40" s="62"/>
      <c r="AC40" s="62"/>
      <c r="AD40" s="62"/>
      <c r="AE40" s="2307"/>
      <c r="AF40" s="2307"/>
      <c r="AG40" s="2307"/>
      <c r="AH40" s="2307"/>
      <c r="AI40" s="2307"/>
      <c r="AJ40" s="2307"/>
      <c r="AK40" s="2307"/>
      <c r="AL40" s="62"/>
      <c r="AM40" s="62"/>
      <c r="AN40" s="62"/>
      <c r="AO40" s="62"/>
      <c r="AQ40" s="62"/>
      <c r="AS40" s="447"/>
      <c r="AT40" s="447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1"/>
      <c r="BW40" s="141"/>
      <c r="BX40" s="1"/>
      <c r="CZ40" s="1"/>
      <c r="DE40" s="5"/>
      <c r="DF40" s="144"/>
      <c r="DG40" s="144"/>
      <c r="DH40" s="144"/>
      <c r="DI40" s="141"/>
      <c r="FL40" s="141"/>
      <c r="JG40" s="141"/>
      <c r="JH40" s="141"/>
      <c r="JI40" s="141"/>
      <c r="JJ40" s="141"/>
      <c r="ON40" s="141"/>
      <c r="OO40" s="141"/>
      <c r="OP40" s="144"/>
      <c r="OQ40" s="141"/>
      <c r="PE40" s="144"/>
      <c r="PI40" s="141"/>
      <c r="RL40" s="144"/>
      <c r="AGU40" s="140"/>
      <c r="AIJ40" s="140"/>
      <c r="AIK40" s="140"/>
      <c r="AIL40" s="140"/>
    </row>
    <row r="41" spans="1:14938" hidden="1" x14ac:dyDescent="0.25">
      <c r="B41" s="2305"/>
      <c r="C41" s="436" t="s">
        <v>73</v>
      </c>
      <c r="D41" s="489">
        <v>3000</v>
      </c>
      <c r="E41" s="473" t="s">
        <v>14</v>
      </c>
      <c r="F41" s="439"/>
      <c r="G41" s="439"/>
      <c r="H41" s="1499"/>
      <c r="I41" s="439"/>
      <c r="J41" s="1506"/>
      <c r="K41" s="439"/>
      <c r="L41" s="439"/>
      <c r="M41" s="439"/>
      <c r="N41" s="439"/>
      <c r="O41" s="439"/>
      <c r="P41" s="439"/>
      <c r="Q41" s="439"/>
      <c r="R41" s="697"/>
      <c r="S41" s="503">
        <f>SUM(F41:Q41)</f>
        <v>0</v>
      </c>
      <c r="T41" s="652">
        <v>7645000</v>
      </c>
      <c r="U41" s="742">
        <f>S41/T41*100</f>
        <v>0</v>
      </c>
      <c r="V41" s="62"/>
      <c r="W41" s="79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Q41" s="62"/>
      <c r="AS41" s="447"/>
      <c r="AT41" s="447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U41" s="1"/>
      <c r="BV41" s="1"/>
      <c r="BW41" s="141"/>
      <c r="BX41" s="1"/>
      <c r="CZ41" s="1"/>
      <c r="DE41" s="5"/>
      <c r="DF41" s="141"/>
      <c r="DG41" s="141"/>
      <c r="DH41" s="141"/>
      <c r="DI41" s="141"/>
      <c r="FL41" s="141"/>
      <c r="JG41" s="141"/>
      <c r="JH41" s="141"/>
      <c r="JI41" s="141"/>
      <c r="JJ41" s="141"/>
      <c r="ON41" s="141"/>
      <c r="OO41" s="141"/>
      <c r="OQ41" s="141"/>
      <c r="PE41" s="144"/>
      <c r="PI41" s="141"/>
      <c r="RL41" s="144"/>
      <c r="AGU41" s="140"/>
      <c r="AIJ41" s="140"/>
      <c r="AIK41" s="140"/>
      <c r="AIL41" s="140"/>
    </row>
    <row r="42" spans="1:14938" s="506" customFormat="1" x14ac:dyDescent="0.25">
      <c r="B42" s="2305"/>
      <c r="C42" s="484" t="s">
        <v>334</v>
      </c>
      <c r="D42" s="507"/>
      <c r="E42" s="508"/>
      <c r="F42" s="509"/>
      <c r="G42" s="509"/>
      <c r="H42" s="1502"/>
      <c r="I42" s="509"/>
      <c r="J42" s="1510"/>
      <c r="K42" s="509"/>
      <c r="L42" s="509"/>
      <c r="M42" s="509"/>
      <c r="N42" s="509"/>
      <c r="O42" s="509"/>
      <c r="P42" s="509"/>
      <c r="Q42" s="509"/>
      <c r="R42" s="698"/>
      <c r="S42" s="691" t="s">
        <v>327</v>
      </c>
      <c r="T42" s="651" t="s">
        <v>327</v>
      </c>
      <c r="U42" s="744" t="s">
        <v>327</v>
      </c>
      <c r="V42" s="62"/>
      <c r="W42" s="792"/>
      <c r="X42" s="775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Q42" s="62"/>
      <c r="AS42" s="774"/>
      <c r="AT42" s="774"/>
      <c r="AU42" s="62"/>
      <c r="AV42" s="62"/>
      <c r="AW42" s="1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U42" s="62"/>
      <c r="BV42" s="62"/>
      <c r="BW42" s="142"/>
      <c r="BX42" s="62"/>
      <c r="CZ42" s="62"/>
      <c r="DE42" s="510"/>
      <c r="DF42" s="142"/>
      <c r="DG42" s="142"/>
      <c r="DH42" s="142"/>
      <c r="DI42" s="142"/>
      <c r="FL42" s="142"/>
      <c r="JG42" s="142"/>
      <c r="JH42" s="142"/>
      <c r="JI42" s="142"/>
      <c r="JJ42" s="142"/>
      <c r="ON42" s="142"/>
      <c r="OO42" s="142"/>
      <c r="OQ42" s="142"/>
      <c r="PE42" s="151"/>
      <c r="PI42" s="142"/>
      <c r="RL42" s="151"/>
      <c r="AGU42" s="142"/>
      <c r="AIJ42" s="142"/>
      <c r="AIK42" s="142"/>
      <c r="AIL42" s="142"/>
    </row>
    <row r="43" spans="1:14938" x14ac:dyDescent="0.25">
      <c r="B43" s="2305"/>
      <c r="C43" s="472" t="s">
        <v>75</v>
      </c>
      <c r="D43" s="489"/>
      <c r="E43" s="473" t="s">
        <v>14</v>
      </c>
      <c r="F43" s="439">
        <f>'Januari 2026 PMG 2'!AM45+'Januari 2026 PMG 1'!AM45</f>
        <v>14227530</v>
      </c>
      <c r="G43" s="439"/>
      <c r="H43" s="1499"/>
      <c r="I43" s="1513"/>
      <c r="J43" s="1506"/>
      <c r="K43" s="439"/>
      <c r="L43" s="439"/>
      <c r="M43" s="439"/>
      <c r="N43" s="439"/>
      <c r="O43" s="439"/>
      <c r="P43" s="439"/>
      <c r="Q43" s="439"/>
      <c r="R43" s="697"/>
      <c r="S43" s="57">
        <f>S44+S45</f>
        <v>14227530</v>
      </c>
      <c r="T43" s="653">
        <f>T44+T45</f>
        <v>249961000</v>
      </c>
      <c r="U43" s="742">
        <f>S43/T43*100</f>
        <v>5.6918999363900769</v>
      </c>
      <c r="V43" s="62"/>
      <c r="W43" s="792"/>
      <c r="X43" s="775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Q43" s="62"/>
      <c r="AS43" s="447"/>
      <c r="AT43" s="447"/>
      <c r="AU43" s="1"/>
      <c r="AV43" s="1"/>
      <c r="AW43" s="62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U43" s="1"/>
      <c r="BV43" s="1"/>
      <c r="BW43" s="141"/>
      <c r="BX43" s="1"/>
      <c r="CZ43" s="1"/>
      <c r="DE43" s="5"/>
      <c r="DF43" s="141"/>
      <c r="DG43" s="141"/>
      <c r="DH43" s="141"/>
      <c r="DI43" s="141"/>
      <c r="FL43" s="141"/>
      <c r="JG43" s="141"/>
      <c r="JH43" s="141"/>
      <c r="JI43" s="141"/>
      <c r="JJ43" s="141"/>
      <c r="ON43" s="141"/>
      <c r="OO43" s="141"/>
      <c r="OQ43" s="141"/>
      <c r="PE43" s="144"/>
      <c r="PI43" s="141"/>
      <c r="RL43" s="144"/>
      <c r="AGU43" s="140"/>
      <c r="AIJ43" s="140"/>
      <c r="AIK43" s="140"/>
      <c r="AIL43" s="140"/>
    </row>
    <row r="44" spans="1:14938" x14ac:dyDescent="0.25">
      <c r="B44" s="2305"/>
      <c r="C44" s="472" t="s">
        <v>335</v>
      </c>
      <c r="D44" s="489">
        <v>205714</v>
      </c>
      <c r="E44" s="473" t="s">
        <v>14</v>
      </c>
      <c r="F44" s="439">
        <f>'Januari 2026 PMG 2'!AM46+'Januari 2026 PMG 1'!AM46</f>
        <v>10803048</v>
      </c>
      <c r="G44" s="1518"/>
      <c r="H44" s="1499"/>
      <c r="I44" s="1513"/>
      <c r="J44" s="1506"/>
      <c r="K44" s="439"/>
      <c r="L44" s="439"/>
      <c r="M44" s="439"/>
      <c r="N44" s="439"/>
      <c r="O44" s="439"/>
      <c r="P44" s="439"/>
      <c r="Q44" s="439"/>
      <c r="R44" s="697"/>
      <c r="S44" s="57">
        <f>SUM(F44:Q44)</f>
        <v>10803048</v>
      </c>
      <c r="T44" s="652">
        <v>175000000</v>
      </c>
      <c r="U44" s="742">
        <f>S44/T44*100</f>
        <v>6.1731702857142858</v>
      </c>
      <c r="V44" s="62"/>
      <c r="W44" s="5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Q44" s="62"/>
      <c r="AS44" s="447"/>
      <c r="AT44" s="447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U44" s="1"/>
      <c r="BV44" s="1"/>
      <c r="BW44" s="141"/>
      <c r="BX44" s="1"/>
      <c r="CZ44" s="1"/>
      <c r="DE44" s="5"/>
      <c r="DF44" s="141"/>
      <c r="DG44" s="141"/>
      <c r="DH44" s="141"/>
      <c r="DI44" s="141"/>
      <c r="FL44" s="141"/>
      <c r="JG44" s="141"/>
      <c r="JH44" s="141"/>
      <c r="JI44" s="141"/>
      <c r="JJ44" s="141"/>
      <c r="ON44" s="141"/>
      <c r="OO44" s="141"/>
      <c r="OQ44" s="141"/>
      <c r="PE44" s="144"/>
      <c r="PI44" s="141"/>
      <c r="RL44" s="144"/>
      <c r="AGU44" s="140"/>
      <c r="AIJ44" s="140"/>
      <c r="AIK44" s="140"/>
      <c r="AIL44" s="140"/>
    </row>
    <row r="45" spans="1:14938" x14ac:dyDescent="0.25">
      <c r="B45" s="2305"/>
      <c r="C45" s="472" t="s">
        <v>73</v>
      </c>
      <c r="D45" s="489">
        <v>61714</v>
      </c>
      <c r="E45" s="473" t="s">
        <v>14</v>
      </c>
      <c r="F45" s="439">
        <f>'Januari 2026 PMG 1'!AM47+'Januari 2026 PMG 2'!AM47</f>
        <v>3424482</v>
      </c>
      <c r="G45" s="1518"/>
      <c r="H45" s="1499"/>
      <c r="I45" s="1513"/>
      <c r="J45" s="1506"/>
      <c r="K45" s="439"/>
      <c r="L45" s="439"/>
      <c r="M45" s="439"/>
      <c r="N45" s="439"/>
      <c r="O45" s="439"/>
      <c r="P45" s="439"/>
      <c r="Q45" s="439"/>
      <c r="R45" s="697"/>
      <c r="S45" s="57">
        <f>SUM(F45:Q45)</f>
        <v>3424482</v>
      </c>
      <c r="T45" s="652">
        <v>74961000</v>
      </c>
      <c r="U45" s="742">
        <f>S45/T45*100</f>
        <v>4.5683515428022572</v>
      </c>
      <c r="V45" s="62"/>
      <c r="W45" s="5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Q45" s="62"/>
      <c r="AS45" s="447"/>
      <c r="AT45" s="447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U45" s="1"/>
      <c r="BV45" s="1"/>
      <c r="BW45" s="141"/>
      <c r="BX45" s="1"/>
      <c r="CZ45" s="1"/>
      <c r="DE45" s="5"/>
      <c r="DF45" s="141"/>
      <c r="DG45" s="141"/>
      <c r="DH45" s="141"/>
      <c r="DI45" s="141"/>
      <c r="FL45" s="141"/>
      <c r="JG45" s="141"/>
      <c r="JH45" s="141"/>
      <c r="JI45" s="141"/>
      <c r="JJ45" s="141"/>
      <c r="ON45" s="141"/>
      <c r="OO45" s="141"/>
      <c r="OQ45" s="141"/>
      <c r="PE45" s="144"/>
      <c r="PI45" s="141"/>
      <c r="RL45" s="144"/>
      <c r="AGU45" s="140"/>
      <c r="AIJ45" s="140"/>
      <c r="AIK45" s="140"/>
      <c r="AIL45" s="140"/>
    </row>
    <row r="46" spans="1:14938" hidden="1" x14ac:dyDescent="0.25">
      <c r="B46" s="2305"/>
      <c r="C46" s="696" t="s">
        <v>834</v>
      </c>
      <c r="D46" s="489"/>
      <c r="E46" s="473"/>
      <c r="F46" s="439"/>
      <c r="G46" s="1518"/>
      <c r="H46" s="1499"/>
      <c r="I46" s="1513"/>
      <c r="J46" s="1506"/>
      <c r="K46" s="439"/>
      <c r="L46" s="439"/>
      <c r="M46" s="439"/>
      <c r="N46" s="439"/>
      <c r="O46" s="439"/>
      <c r="P46" s="439"/>
      <c r="Q46" s="439"/>
      <c r="R46" s="697"/>
      <c r="S46" s="57"/>
      <c r="T46" s="652"/>
      <c r="U46" s="742"/>
      <c r="V46" s="62"/>
      <c r="W46" s="5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Q46" s="62"/>
      <c r="AS46" s="447"/>
      <c r="AT46" s="447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U46" s="1"/>
      <c r="BV46" s="1"/>
      <c r="BW46" s="141"/>
      <c r="BX46" s="1"/>
      <c r="CZ46" s="1"/>
      <c r="DE46" s="5"/>
      <c r="DF46" s="141"/>
      <c r="DG46" s="141"/>
      <c r="DH46" s="141"/>
      <c r="DI46" s="141"/>
      <c r="FL46" s="141"/>
      <c r="JG46" s="141"/>
      <c r="JH46" s="141"/>
      <c r="JI46" s="141"/>
      <c r="JJ46" s="141"/>
      <c r="ON46" s="141"/>
      <c r="OO46" s="141"/>
      <c r="OQ46" s="141"/>
      <c r="PE46" s="144"/>
      <c r="PI46" s="141"/>
      <c r="RL46" s="144"/>
      <c r="AGU46" s="140"/>
      <c r="AIJ46" s="140"/>
      <c r="AIK46" s="140"/>
      <c r="AIL46" s="140"/>
    </row>
    <row r="47" spans="1:14938" hidden="1" x14ac:dyDescent="0.25">
      <c r="B47" s="2305"/>
      <c r="C47" s="71" t="s">
        <v>71</v>
      </c>
      <c r="D47" s="489"/>
      <c r="E47" s="473" t="s">
        <v>14</v>
      </c>
      <c r="F47" s="439"/>
      <c r="G47" s="1518"/>
      <c r="H47" s="1499"/>
      <c r="I47" s="1513"/>
      <c r="J47" s="1506"/>
      <c r="K47" s="439"/>
      <c r="L47" s="439"/>
      <c r="M47" s="439"/>
      <c r="N47" s="439"/>
      <c r="O47" s="439"/>
      <c r="P47" s="439"/>
      <c r="Q47" s="439"/>
      <c r="R47" s="697"/>
      <c r="S47" s="57"/>
      <c r="T47" s="652"/>
      <c r="U47" s="742"/>
      <c r="V47" s="62"/>
      <c r="W47" s="5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Q47" s="62"/>
      <c r="AS47" s="447"/>
      <c r="AT47" s="447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41"/>
      <c r="BX47" s="1"/>
      <c r="CZ47" s="1"/>
      <c r="DE47" s="5"/>
      <c r="DF47" s="141"/>
      <c r="DG47" s="141"/>
      <c r="DH47" s="141"/>
      <c r="DI47" s="141"/>
      <c r="FL47" s="141"/>
      <c r="JG47" s="141"/>
      <c r="JH47" s="141"/>
      <c r="JI47" s="141"/>
      <c r="JJ47" s="141"/>
      <c r="ON47" s="141"/>
      <c r="OO47" s="141"/>
      <c r="OQ47" s="141"/>
      <c r="PE47" s="144"/>
      <c r="PI47" s="141"/>
      <c r="RL47" s="144"/>
      <c r="AGU47" s="140"/>
      <c r="AIJ47" s="140"/>
      <c r="AIK47" s="140"/>
      <c r="AIL47" s="140"/>
    </row>
    <row r="48" spans="1:14938" hidden="1" x14ac:dyDescent="0.25">
      <c r="B48" s="2305"/>
      <c r="C48" s="64" t="s">
        <v>75</v>
      </c>
      <c r="D48" s="489"/>
      <c r="E48" s="473" t="s">
        <v>14</v>
      </c>
      <c r="F48" s="439"/>
      <c r="G48" s="1518"/>
      <c r="H48" s="1499"/>
      <c r="I48" s="1513"/>
      <c r="J48" s="1506"/>
      <c r="K48" s="439"/>
      <c r="L48" s="439"/>
      <c r="M48" s="439"/>
      <c r="N48" s="439"/>
      <c r="O48" s="439"/>
      <c r="P48" s="439"/>
      <c r="Q48" s="439"/>
      <c r="R48" s="697"/>
      <c r="S48" s="57">
        <f>S49+S50</f>
        <v>0</v>
      </c>
      <c r="T48" s="652"/>
      <c r="U48" s="742"/>
      <c r="V48" s="62"/>
      <c r="W48" s="5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Q48" s="62"/>
      <c r="AS48" s="447"/>
      <c r="AT48" s="447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"/>
      <c r="BV48" s="1"/>
      <c r="BW48" s="141"/>
      <c r="BX48" s="1"/>
      <c r="CZ48" s="1"/>
      <c r="DE48" s="5"/>
      <c r="DF48" s="141"/>
      <c r="DG48" s="141"/>
      <c r="DH48" s="141"/>
      <c r="DI48" s="141"/>
      <c r="FL48" s="141"/>
      <c r="JG48" s="141"/>
      <c r="JH48" s="141"/>
      <c r="JI48" s="141"/>
      <c r="JJ48" s="141"/>
      <c r="ON48" s="141"/>
      <c r="OO48" s="141"/>
      <c r="OQ48" s="141"/>
      <c r="PE48" s="144"/>
      <c r="PI48" s="141"/>
      <c r="RL48" s="144"/>
      <c r="AGU48" s="140"/>
      <c r="AIJ48" s="140"/>
      <c r="AIK48" s="140"/>
      <c r="AIL48" s="140"/>
    </row>
    <row r="49" spans="1:14938" hidden="1" x14ac:dyDescent="0.25">
      <c r="B49" s="2305"/>
      <c r="C49" s="64" t="s">
        <v>111</v>
      </c>
      <c r="D49" s="489"/>
      <c r="E49" s="473" t="s">
        <v>14</v>
      </c>
      <c r="F49" s="439"/>
      <c r="G49" s="1518"/>
      <c r="H49" s="1499"/>
      <c r="I49" s="1513"/>
      <c r="J49" s="1506"/>
      <c r="K49" s="439"/>
      <c r="L49" s="439"/>
      <c r="M49" s="439"/>
      <c r="N49" s="439"/>
      <c r="O49" s="439"/>
      <c r="P49" s="439"/>
      <c r="Q49" s="439"/>
      <c r="R49" s="697"/>
      <c r="S49" s="57">
        <f>SUM(F49:Q49)</f>
        <v>0</v>
      </c>
      <c r="T49" s="652"/>
      <c r="U49" s="742"/>
      <c r="V49" s="62"/>
      <c r="W49" s="5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Q49" s="62"/>
      <c r="AS49" s="447"/>
      <c r="AT49" s="447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41"/>
      <c r="BX49" s="1"/>
      <c r="CZ49" s="1"/>
      <c r="DE49" s="5"/>
      <c r="DF49" s="141"/>
      <c r="DG49" s="141"/>
      <c r="DH49" s="141"/>
      <c r="DI49" s="141"/>
      <c r="FL49" s="141"/>
      <c r="JG49" s="141"/>
      <c r="JH49" s="141"/>
      <c r="JI49" s="141"/>
      <c r="JJ49" s="141"/>
      <c r="ON49" s="141"/>
      <c r="OO49" s="141"/>
      <c r="OQ49" s="141"/>
      <c r="PE49" s="144"/>
      <c r="PI49" s="141"/>
      <c r="RL49" s="144"/>
      <c r="AGU49" s="140"/>
      <c r="AIJ49" s="140"/>
      <c r="AIK49" s="140"/>
      <c r="AIL49" s="140"/>
    </row>
    <row r="50" spans="1:14938" hidden="1" x14ac:dyDescent="0.25">
      <c r="B50" s="2305"/>
      <c r="C50" s="64" t="s">
        <v>73</v>
      </c>
      <c r="D50" s="489"/>
      <c r="E50" s="473" t="s">
        <v>14</v>
      </c>
      <c r="F50" s="439"/>
      <c r="G50" s="1518"/>
      <c r="H50" s="1499"/>
      <c r="I50" s="1513"/>
      <c r="J50" s="1506"/>
      <c r="K50" s="439"/>
      <c r="L50" s="439"/>
      <c r="M50" s="439"/>
      <c r="N50" s="439"/>
      <c r="O50" s="439"/>
      <c r="P50" s="439"/>
      <c r="Q50" s="439"/>
      <c r="R50" s="697"/>
      <c r="S50" s="57">
        <f>SUM(F50:Q50)</f>
        <v>0</v>
      </c>
      <c r="T50" s="652"/>
      <c r="U50" s="742"/>
      <c r="V50" s="62"/>
      <c r="W50" s="5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Q50" s="62"/>
      <c r="AS50" s="447"/>
      <c r="AT50" s="447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41"/>
      <c r="BX50" s="1"/>
      <c r="CZ50" s="1"/>
      <c r="DE50" s="5"/>
      <c r="DF50" s="141"/>
      <c r="DG50" s="141"/>
      <c r="DH50" s="141"/>
      <c r="DI50" s="141"/>
      <c r="FL50" s="141"/>
      <c r="JG50" s="141"/>
      <c r="JH50" s="141"/>
      <c r="JI50" s="141"/>
      <c r="JJ50" s="141"/>
      <c r="ON50" s="141"/>
      <c r="OO50" s="141"/>
      <c r="OQ50" s="141"/>
      <c r="PE50" s="144"/>
      <c r="PI50" s="141"/>
      <c r="RL50" s="144"/>
      <c r="AGU50" s="140"/>
      <c r="AIJ50" s="140"/>
      <c r="AIK50" s="140"/>
      <c r="AIL50" s="140"/>
    </row>
    <row r="51" spans="1:14938" hidden="1" x14ac:dyDescent="0.25">
      <c r="B51" s="2305"/>
      <c r="C51" s="484" t="s">
        <v>72</v>
      </c>
      <c r="D51" s="495"/>
      <c r="E51" s="486"/>
      <c r="F51" s="424"/>
      <c r="G51" s="424"/>
      <c r="H51" s="1498"/>
      <c r="I51" s="496"/>
      <c r="J51" s="1508"/>
      <c r="K51" s="424"/>
      <c r="L51" s="424"/>
      <c r="M51" s="424"/>
      <c r="N51" s="424"/>
      <c r="O51" s="424"/>
      <c r="P51" s="424"/>
      <c r="Q51" s="424"/>
      <c r="R51" s="697"/>
      <c r="S51" s="691" t="s">
        <v>61</v>
      </c>
      <c r="T51" s="651" t="s">
        <v>61</v>
      </c>
      <c r="U51" s="744" t="s">
        <v>61</v>
      </c>
      <c r="V51" s="62"/>
      <c r="W51" s="1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Q51" s="62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CZ51" s="1"/>
    </row>
    <row r="52" spans="1:14938" hidden="1" x14ac:dyDescent="0.25">
      <c r="A52" s="16"/>
      <c r="B52" s="2305"/>
      <c r="C52" s="500" t="s">
        <v>71</v>
      </c>
      <c r="D52" s="501"/>
      <c r="E52" s="502" t="s">
        <v>14</v>
      </c>
      <c r="F52" s="439"/>
      <c r="G52" s="439"/>
      <c r="H52" s="1499"/>
      <c r="I52" s="1515"/>
      <c r="J52" s="1506"/>
      <c r="K52" s="439"/>
      <c r="L52" s="439"/>
      <c r="M52" s="439"/>
      <c r="N52" s="439"/>
      <c r="O52" s="439"/>
      <c r="P52" s="439"/>
      <c r="Q52" s="439"/>
      <c r="R52" s="699"/>
      <c r="S52" s="57">
        <f>SUM(F52:Q52)</f>
        <v>0</v>
      </c>
      <c r="T52" s="650">
        <f>T53/T61%</f>
        <v>25913272.762786224</v>
      </c>
      <c r="U52" s="742">
        <f>S52/T52*100</f>
        <v>0</v>
      </c>
      <c r="V52" s="779"/>
      <c r="W52" s="16"/>
      <c r="X52" s="779"/>
      <c r="Y52" s="779"/>
      <c r="Z52" s="779"/>
      <c r="AA52" s="779"/>
      <c r="AB52" s="779"/>
      <c r="AC52" s="779"/>
      <c r="AD52" s="779"/>
      <c r="AE52" s="779"/>
      <c r="AF52" s="779"/>
      <c r="AG52" s="779"/>
      <c r="AH52" s="779"/>
      <c r="AI52" s="779"/>
      <c r="AJ52" s="779"/>
      <c r="AK52" s="779"/>
      <c r="AL52" s="779"/>
      <c r="AM52" s="779"/>
      <c r="AN52" s="779"/>
      <c r="AO52" s="779"/>
      <c r="AP52" s="779"/>
      <c r="AQ52" s="779"/>
      <c r="AR52" s="779"/>
      <c r="AS52" s="781"/>
      <c r="AT52" s="781"/>
      <c r="AU52" s="16"/>
      <c r="AV52" s="16"/>
      <c r="AW52" s="1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U52" s="16"/>
      <c r="BV52" s="16"/>
      <c r="BW52" s="143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511"/>
      <c r="DF52" s="143"/>
      <c r="DG52" s="143"/>
      <c r="DH52" s="143"/>
      <c r="DI52" s="143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43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43"/>
      <c r="JH52" s="143"/>
      <c r="JI52" s="143"/>
      <c r="JJ52" s="143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43"/>
      <c r="OO52" s="143"/>
      <c r="OP52" s="16"/>
      <c r="OQ52" s="143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504"/>
      <c r="PF52" s="16"/>
      <c r="PG52" s="16"/>
      <c r="PH52" s="16"/>
      <c r="PI52" s="143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504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6"/>
      <c r="WI52" s="16"/>
      <c r="WJ52" s="16"/>
      <c r="WK52" s="16"/>
      <c r="WL52" s="16"/>
      <c r="WM52" s="16"/>
      <c r="WN52" s="16"/>
      <c r="WO52" s="16"/>
      <c r="WP52" s="16"/>
      <c r="WQ52" s="16"/>
      <c r="WR52" s="16"/>
      <c r="WS52" s="16"/>
      <c r="WT52" s="16"/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16"/>
      <c r="ZH52" s="16"/>
      <c r="ZI52" s="16"/>
      <c r="ZJ52" s="16"/>
      <c r="ZK52" s="16"/>
      <c r="ZL52" s="16"/>
      <c r="ZM52" s="16"/>
      <c r="ZN52" s="16"/>
      <c r="ZO52" s="16"/>
      <c r="ZP52" s="16"/>
      <c r="ZQ52" s="16"/>
      <c r="ZR52" s="16"/>
      <c r="ZS52" s="16"/>
      <c r="ZT52" s="16"/>
      <c r="ZU52" s="16"/>
      <c r="ZV52" s="16"/>
      <c r="ZW52" s="16"/>
      <c r="ZX52" s="16"/>
      <c r="ZY52" s="16"/>
      <c r="ZZ52" s="16"/>
      <c r="AAA52" s="16"/>
      <c r="AAB52" s="16"/>
      <c r="AAC52" s="16"/>
      <c r="AAD52" s="16"/>
      <c r="AAE52" s="16"/>
      <c r="AAF52" s="16"/>
      <c r="AAG52" s="16"/>
      <c r="AAH52" s="16"/>
      <c r="AAI52" s="16"/>
      <c r="AAJ52" s="16"/>
      <c r="AAK52" s="16"/>
      <c r="AAL52" s="16"/>
      <c r="AAM52" s="16"/>
      <c r="AAN52" s="16"/>
      <c r="AAO52" s="16"/>
      <c r="AAP52" s="16"/>
      <c r="AAQ52" s="16"/>
      <c r="AAR52" s="16"/>
      <c r="AAS52" s="16"/>
      <c r="AAT52" s="16"/>
      <c r="AAU52" s="16"/>
      <c r="AAV52" s="16"/>
      <c r="AAW52" s="16"/>
      <c r="AAX52" s="16"/>
      <c r="AAY52" s="16"/>
      <c r="AAZ52" s="16"/>
      <c r="ABA52" s="16"/>
      <c r="ABB52" s="16"/>
      <c r="ABC52" s="16"/>
      <c r="ABD52" s="16"/>
      <c r="ABE52" s="16"/>
      <c r="ABF52" s="16"/>
      <c r="ABG52" s="16"/>
      <c r="ABH52" s="16"/>
      <c r="ABI52" s="16"/>
      <c r="ABJ52" s="16"/>
      <c r="ABK52" s="16"/>
      <c r="ABL52" s="16"/>
      <c r="ABM52" s="16"/>
      <c r="ABN52" s="16"/>
      <c r="ABO52" s="16"/>
      <c r="ABP52" s="16"/>
      <c r="ABQ52" s="16"/>
      <c r="ABR52" s="16"/>
      <c r="ABS52" s="16"/>
      <c r="ABT52" s="16"/>
      <c r="ABU52" s="16"/>
      <c r="ABV52" s="16"/>
      <c r="ABW52" s="16"/>
      <c r="ABX52" s="16"/>
      <c r="ABY52" s="16"/>
      <c r="ABZ52" s="16"/>
      <c r="ACA52" s="16"/>
      <c r="ACB52" s="16"/>
      <c r="ACC52" s="16"/>
      <c r="ACD52" s="16"/>
      <c r="ACE52" s="16"/>
      <c r="ACF52" s="16"/>
      <c r="ACG52" s="16"/>
      <c r="ACH52" s="16"/>
      <c r="ACI52" s="16"/>
      <c r="ACJ52" s="16"/>
      <c r="ACK52" s="16"/>
      <c r="ACL52" s="16"/>
      <c r="ACM52" s="16"/>
      <c r="ACN52" s="16"/>
      <c r="ACO52" s="16"/>
      <c r="ACP52" s="16"/>
      <c r="ACQ52" s="16"/>
      <c r="ACR52" s="16"/>
      <c r="ACS52" s="16"/>
      <c r="ACT52" s="16"/>
      <c r="ACU52" s="16"/>
      <c r="ACV52" s="16"/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43"/>
      <c r="AGV52" s="16"/>
      <c r="AGW52" s="16"/>
      <c r="AGX52" s="16"/>
      <c r="AGY52" s="16"/>
      <c r="AGZ52" s="16"/>
      <c r="AHA52" s="16"/>
      <c r="AHB52" s="16"/>
      <c r="AHC52" s="16"/>
      <c r="AHD52" s="16"/>
      <c r="AHE52" s="16"/>
      <c r="AHF52" s="16"/>
      <c r="AHG52" s="16"/>
      <c r="AHH52" s="16"/>
      <c r="AHI52" s="16"/>
      <c r="AHJ52" s="16"/>
      <c r="AHK52" s="16"/>
      <c r="AHL52" s="16"/>
      <c r="AHM52" s="16"/>
      <c r="AHN52" s="16"/>
      <c r="AHO52" s="16"/>
      <c r="AHP52" s="16"/>
      <c r="AHQ52" s="16"/>
      <c r="AHR52" s="16"/>
      <c r="AHS52" s="16"/>
      <c r="AHT52" s="16"/>
      <c r="AHU52" s="16"/>
      <c r="AHV52" s="16"/>
      <c r="AHW52" s="16"/>
      <c r="AHX52" s="16"/>
      <c r="AHY52" s="16"/>
      <c r="AHZ52" s="16"/>
      <c r="AIA52" s="16"/>
      <c r="AIB52" s="16"/>
      <c r="AIC52" s="16"/>
      <c r="AID52" s="16"/>
      <c r="AIE52" s="16"/>
      <c r="AIF52" s="16"/>
      <c r="AIG52" s="16"/>
      <c r="AIH52" s="16"/>
      <c r="AII52" s="16"/>
      <c r="AIJ52" s="143"/>
      <c r="AIK52" s="143"/>
      <c r="AIL52" s="143"/>
      <c r="AIM52" s="16"/>
      <c r="AIN52" s="16"/>
      <c r="AIO52" s="16"/>
      <c r="AIP52" s="16"/>
      <c r="AIQ52" s="16"/>
      <c r="AIR52" s="16"/>
      <c r="AIS52" s="16"/>
      <c r="AIT52" s="16"/>
      <c r="AIU52" s="16"/>
      <c r="AIV52" s="16"/>
      <c r="AIW52" s="16"/>
      <c r="AIX52" s="16"/>
      <c r="AIY52" s="16"/>
      <c r="AIZ52" s="16"/>
      <c r="AJA52" s="16"/>
      <c r="AJB52" s="16"/>
      <c r="AJC52" s="16"/>
      <c r="AJD52" s="16"/>
      <c r="AJE52" s="16"/>
      <c r="AJF52" s="16"/>
      <c r="AJG52" s="16"/>
      <c r="AJH52" s="16"/>
      <c r="AJI52" s="16"/>
      <c r="AJJ52" s="16"/>
      <c r="AJK52" s="16"/>
      <c r="AJL52" s="16"/>
      <c r="AJM52" s="16"/>
      <c r="AJN52" s="16"/>
      <c r="AJO52" s="16"/>
      <c r="AJP52" s="16"/>
      <c r="AJQ52" s="16"/>
      <c r="AJR52" s="16"/>
      <c r="AJS52" s="16"/>
      <c r="AJT52" s="16"/>
      <c r="AJU52" s="16"/>
      <c r="AJV52" s="16"/>
      <c r="AJW52" s="16"/>
      <c r="AJX52" s="16"/>
      <c r="AJY52" s="16"/>
      <c r="AJZ52" s="16"/>
      <c r="AKA52" s="16"/>
      <c r="AKB52" s="16"/>
      <c r="AKC52" s="16"/>
      <c r="AKD52" s="16"/>
      <c r="AKE52" s="16"/>
      <c r="AKF52" s="16"/>
      <c r="AKG52" s="16"/>
      <c r="AKH52" s="16"/>
      <c r="AKI52" s="16"/>
      <c r="AKJ52" s="16"/>
      <c r="AKK52" s="16"/>
      <c r="AKL52" s="16"/>
      <c r="AKM52" s="16"/>
      <c r="AKN52" s="16"/>
      <c r="AKO52" s="16"/>
      <c r="AKP52" s="16"/>
      <c r="AKQ52" s="16"/>
      <c r="AKR52" s="16"/>
      <c r="AKS52" s="16"/>
      <c r="AKT52" s="16"/>
      <c r="AKU52" s="16"/>
      <c r="AKV52" s="16"/>
      <c r="AKW52" s="16"/>
      <c r="AKX52" s="16"/>
      <c r="AKY52" s="16"/>
      <c r="AKZ52" s="16"/>
      <c r="ALA52" s="16"/>
      <c r="ALB52" s="16"/>
      <c r="ALC52" s="16"/>
      <c r="ALD52" s="16"/>
      <c r="ALE52" s="16"/>
      <c r="ALF52" s="16"/>
      <c r="ALG52" s="16"/>
      <c r="ALH52" s="16"/>
      <c r="ALI52" s="16"/>
      <c r="ALJ52" s="16"/>
      <c r="ALK52" s="16"/>
      <c r="ALL52" s="16"/>
      <c r="ALM52" s="16"/>
      <c r="ALN52" s="16"/>
      <c r="ALO52" s="16"/>
      <c r="ALP52" s="16"/>
      <c r="ALQ52" s="16"/>
      <c r="ALR52" s="16"/>
      <c r="ALS52" s="16"/>
      <c r="ALT52" s="16"/>
      <c r="ALU52" s="16"/>
      <c r="ALV52" s="16"/>
      <c r="ALW52" s="16"/>
      <c r="ALX52" s="16"/>
      <c r="ALY52" s="16"/>
      <c r="ALZ52" s="16"/>
      <c r="AMA52" s="16"/>
      <c r="AMB52" s="16"/>
      <c r="AMC52" s="16"/>
      <c r="AMD52" s="16"/>
      <c r="AME52" s="16"/>
      <c r="AMF52" s="16"/>
      <c r="AMG52" s="16"/>
      <c r="AMH52" s="16"/>
      <c r="AMI52" s="16"/>
      <c r="AMJ52" s="16"/>
      <c r="AMK52" s="16"/>
      <c r="AML52" s="16"/>
      <c r="AMM52" s="16"/>
      <c r="AMN52" s="16"/>
      <c r="AMO52" s="16"/>
      <c r="AMP52" s="16"/>
      <c r="AMQ52" s="16"/>
      <c r="AMR52" s="16"/>
      <c r="AMS52" s="16"/>
      <c r="AMT52" s="16"/>
      <c r="AMU52" s="16"/>
      <c r="AMV52" s="16"/>
      <c r="AMW52" s="16"/>
      <c r="AMX52" s="16"/>
      <c r="AMY52" s="16"/>
      <c r="AMZ52" s="16"/>
      <c r="ANA52" s="16"/>
      <c r="ANB52" s="16"/>
      <c r="ANC52" s="16"/>
      <c r="AND52" s="16"/>
      <c r="ANE52" s="16"/>
      <c r="ANF52" s="16"/>
      <c r="ANG52" s="16"/>
      <c r="ANH52" s="16"/>
      <c r="ANI52" s="16"/>
      <c r="ANJ52" s="16"/>
      <c r="ANK52" s="16"/>
      <c r="ANL52" s="16"/>
      <c r="ANM52" s="16"/>
      <c r="ANN52" s="16"/>
      <c r="ANO52" s="16"/>
      <c r="ANP52" s="16"/>
      <c r="ANQ52" s="16"/>
      <c r="ANR52" s="16"/>
      <c r="ANS52" s="16"/>
      <c r="ANT52" s="16"/>
      <c r="ANU52" s="16"/>
      <c r="ANV52" s="16"/>
      <c r="ANW52" s="16"/>
      <c r="ANX52" s="16"/>
      <c r="ANY52" s="16"/>
      <c r="ANZ52" s="16"/>
      <c r="AOA52" s="16"/>
      <c r="AOB52" s="16"/>
      <c r="AOC52" s="16"/>
      <c r="AOD52" s="16"/>
      <c r="AOE52" s="16"/>
      <c r="AOF52" s="16"/>
      <c r="AOG52" s="16"/>
      <c r="AOH52" s="16"/>
      <c r="AOI52" s="16"/>
      <c r="AOJ52" s="16"/>
      <c r="AOK52" s="16"/>
      <c r="AOL52" s="16"/>
      <c r="AOM52" s="16"/>
      <c r="AON52" s="16"/>
      <c r="AOO52" s="16"/>
      <c r="AOP52" s="16"/>
      <c r="AOQ52" s="16"/>
      <c r="AOR52" s="16"/>
      <c r="AOS52" s="16"/>
      <c r="AOT52" s="16"/>
      <c r="AOU52" s="16"/>
      <c r="AOV52" s="16"/>
      <c r="AOW52" s="16"/>
      <c r="AOX52" s="16"/>
      <c r="AOY52" s="16"/>
      <c r="AOZ52" s="16"/>
      <c r="APA52" s="16"/>
      <c r="APB52" s="16"/>
      <c r="APC52" s="16"/>
      <c r="APD52" s="16"/>
      <c r="APE52" s="16"/>
      <c r="APF52" s="16"/>
      <c r="APG52" s="16"/>
      <c r="APH52" s="16"/>
      <c r="API52" s="16"/>
      <c r="APJ52" s="16"/>
      <c r="APK52" s="16"/>
      <c r="APL52" s="16"/>
      <c r="APM52" s="16"/>
      <c r="APN52" s="16"/>
      <c r="APO52" s="16"/>
      <c r="APP52" s="16"/>
      <c r="APQ52" s="16"/>
      <c r="APR52" s="16"/>
      <c r="APS52" s="16"/>
      <c r="APT52" s="16"/>
      <c r="APU52" s="16"/>
      <c r="APV52" s="16"/>
      <c r="APW52" s="16"/>
      <c r="APX52" s="16"/>
      <c r="APY52" s="16"/>
      <c r="APZ52" s="16"/>
      <c r="AQA52" s="16"/>
      <c r="AQB52" s="16"/>
      <c r="AQC52" s="16"/>
      <c r="AQD52" s="16"/>
      <c r="AQE52" s="16"/>
      <c r="AQF52" s="16"/>
      <c r="AQG52" s="16"/>
      <c r="AQH52" s="16"/>
      <c r="AQI52" s="16"/>
      <c r="AQJ52" s="16"/>
      <c r="AQK52" s="16"/>
      <c r="AQL52" s="16"/>
      <c r="AQM52" s="16"/>
      <c r="AQN52" s="16"/>
      <c r="AQO52" s="16"/>
      <c r="AQP52" s="16"/>
      <c r="AQQ52" s="16"/>
      <c r="AQR52" s="16"/>
      <c r="AQS52" s="16"/>
      <c r="AQT52" s="16"/>
      <c r="AQU52" s="16"/>
      <c r="AQV52" s="16"/>
      <c r="AQW52" s="16"/>
      <c r="AQX52" s="16"/>
      <c r="AQY52" s="16"/>
      <c r="AQZ52" s="16"/>
      <c r="ARA52" s="16"/>
      <c r="ARB52" s="16"/>
      <c r="ARC52" s="16"/>
      <c r="ARD52" s="16"/>
      <c r="ARE52" s="16"/>
      <c r="ARF52" s="16"/>
      <c r="ARG52" s="16"/>
      <c r="ARH52" s="16"/>
      <c r="ARI52" s="16"/>
      <c r="ARJ52" s="16"/>
      <c r="ARK52" s="16"/>
      <c r="ARL52" s="16"/>
      <c r="ARM52" s="16"/>
      <c r="ARN52" s="16"/>
      <c r="ARO52" s="16"/>
      <c r="ARP52" s="16"/>
      <c r="ARQ52" s="16"/>
      <c r="ARR52" s="16"/>
      <c r="ARS52" s="16"/>
      <c r="ART52" s="16"/>
      <c r="ARU52" s="16"/>
      <c r="ARV52" s="16"/>
      <c r="ARW52" s="16"/>
      <c r="ARX52" s="16"/>
      <c r="ARY52" s="16"/>
      <c r="ARZ52" s="16"/>
      <c r="ASA52" s="16"/>
      <c r="ASB52" s="16"/>
      <c r="ASC52" s="16"/>
      <c r="ASD52" s="16"/>
      <c r="ASE52" s="16"/>
      <c r="ASF52" s="16"/>
      <c r="ASG52" s="16"/>
      <c r="ASH52" s="16"/>
      <c r="ASI52" s="16"/>
      <c r="ASJ52" s="16"/>
      <c r="ASK52" s="16"/>
      <c r="ASL52" s="16"/>
      <c r="ASM52" s="16"/>
      <c r="ASN52" s="16"/>
      <c r="ASO52" s="16"/>
      <c r="ASP52" s="16"/>
      <c r="ASQ52" s="16"/>
      <c r="ASR52" s="16"/>
      <c r="ASS52" s="16"/>
      <c r="AST52" s="16"/>
      <c r="ASU52" s="16"/>
      <c r="ASV52" s="16"/>
      <c r="ASW52" s="16"/>
      <c r="ASX52" s="16"/>
      <c r="ASY52" s="16"/>
      <c r="ASZ52" s="16"/>
      <c r="ATA52" s="16"/>
      <c r="ATB52" s="16"/>
      <c r="ATC52" s="16"/>
      <c r="ATD52" s="16"/>
      <c r="ATE52" s="16"/>
      <c r="ATF52" s="16"/>
      <c r="ATG52" s="16"/>
      <c r="ATH52" s="16"/>
      <c r="ATI52" s="16"/>
      <c r="ATJ52" s="16"/>
      <c r="ATK52" s="16"/>
      <c r="ATL52" s="16"/>
      <c r="ATM52" s="16"/>
      <c r="ATN52" s="16"/>
      <c r="ATO52" s="16"/>
      <c r="ATP52" s="16"/>
      <c r="ATQ52" s="16"/>
      <c r="ATR52" s="16"/>
      <c r="ATS52" s="16"/>
      <c r="ATT52" s="16"/>
      <c r="ATU52" s="16"/>
      <c r="ATV52" s="16"/>
      <c r="ATW52" s="16"/>
      <c r="ATX52" s="16"/>
      <c r="ATY52" s="16"/>
      <c r="ATZ52" s="16"/>
      <c r="AUA52" s="16"/>
      <c r="AUB52" s="16"/>
      <c r="AUC52" s="16"/>
      <c r="AUD52" s="16"/>
      <c r="AUE52" s="16"/>
      <c r="AUF52" s="16"/>
      <c r="AUG52" s="16"/>
      <c r="AUH52" s="16"/>
      <c r="AUI52" s="16"/>
      <c r="AUJ52" s="16"/>
      <c r="AUK52" s="16"/>
      <c r="AUL52" s="16"/>
      <c r="AUM52" s="16"/>
      <c r="AUN52" s="16"/>
      <c r="AUO52" s="16"/>
      <c r="AUP52" s="16"/>
      <c r="AUQ52" s="16"/>
      <c r="AUR52" s="16"/>
      <c r="AUS52" s="16"/>
      <c r="AUT52" s="16"/>
      <c r="AUU52" s="16"/>
      <c r="AUV52" s="16"/>
      <c r="AUW52" s="16"/>
      <c r="AUX52" s="16"/>
      <c r="AUY52" s="16"/>
      <c r="AUZ52" s="16"/>
      <c r="AVA52" s="16"/>
      <c r="AVB52" s="16"/>
      <c r="AVC52" s="16"/>
      <c r="AVD52" s="16"/>
      <c r="AVE52" s="16"/>
      <c r="AVF52" s="16"/>
      <c r="AVG52" s="16"/>
      <c r="AVH52" s="16"/>
      <c r="AVI52" s="16"/>
      <c r="AVJ52" s="16"/>
      <c r="AVK52" s="16"/>
      <c r="AVL52" s="16"/>
      <c r="AVM52" s="16"/>
      <c r="AVN52" s="16"/>
      <c r="AVO52" s="16"/>
      <c r="AVP52" s="16"/>
      <c r="AVQ52" s="16"/>
      <c r="AVR52" s="16"/>
      <c r="AVS52" s="16"/>
      <c r="AVT52" s="16"/>
      <c r="AVU52" s="16"/>
      <c r="AVV52" s="16"/>
      <c r="AVW52" s="16"/>
      <c r="AVX52" s="16"/>
      <c r="AVY52" s="16"/>
      <c r="AVZ52" s="16"/>
      <c r="AWA52" s="16"/>
      <c r="AWB52" s="16"/>
      <c r="AWC52" s="16"/>
      <c r="AWD52" s="16"/>
      <c r="AWE52" s="16"/>
      <c r="AWF52" s="16"/>
      <c r="AWG52" s="16"/>
      <c r="AWH52" s="16"/>
      <c r="AWI52" s="16"/>
      <c r="AWJ52" s="16"/>
      <c r="AWK52" s="16"/>
      <c r="AWL52" s="16"/>
      <c r="AWM52" s="16"/>
      <c r="AWN52" s="16"/>
      <c r="AWO52" s="16"/>
      <c r="AWP52" s="16"/>
      <c r="AWQ52" s="16"/>
      <c r="AWR52" s="16"/>
      <c r="AWS52" s="16"/>
      <c r="AWT52" s="16"/>
      <c r="AWU52" s="16"/>
      <c r="AWV52" s="16"/>
      <c r="AWW52" s="16"/>
      <c r="AWX52" s="16"/>
      <c r="AWY52" s="16"/>
      <c r="AWZ52" s="16"/>
      <c r="AXA52" s="16"/>
      <c r="AXB52" s="16"/>
      <c r="AXC52" s="16"/>
      <c r="AXD52" s="16"/>
      <c r="AXE52" s="16"/>
      <c r="AXF52" s="16"/>
      <c r="AXG52" s="16"/>
      <c r="AXH52" s="16"/>
      <c r="AXI52" s="16"/>
      <c r="AXJ52" s="16"/>
      <c r="AXK52" s="16"/>
      <c r="AXL52" s="16"/>
      <c r="AXM52" s="16"/>
      <c r="AXN52" s="16"/>
      <c r="AXO52" s="16"/>
      <c r="AXP52" s="16"/>
      <c r="AXQ52" s="16"/>
      <c r="AXR52" s="16"/>
      <c r="AXS52" s="16"/>
      <c r="AXT52" s="16"/>
      <c r="AXU52" s="16"/>
      <c r="AXV52" s="16"/>
      <c r="AXW52" s="16"/>
      <c r="AXX52" s="16"/>
      <c r="AXY52" s="16"/>
      <c r="AXZ52" s="16"/>
      <c r="AYA52" s="16"/>
      <c r="AYB52" s="16"/>
      <c r="AYC52" s="16"/>
      <c r="AYD52" s="16"/>
      <c r="AYE52" s="16"/>
      <c r="AYF52" s="16"/>
      <c r="AYG52" s="16"/>
      <c r="AYH52" s="16"/>
      <c r="AYI52" s="16"/>
      <c r="AYJ52" s="16"/>
      <c r="AYK52" s="16"/>
      <c r="AYL52" s="16"/>
      <c r="AYM52" s="16"/>
      <c r="AYN52" s="16"/>
      <c r="AYO52" s="16"/>
      <c r="AYP52" s="16"/>
      <c r="AYQ52" s="16"/>
      <c r="AYR52" s="16"/>
      <c r="AYS52" s="16"/>
      <c r="AYT52" s="16"/>
      <c r="AYU52" s="16"/>
      <c r="AYV52" s="16"/>
      <c r="AYW52" s="16"/>
      <c r="AYX52" s="16"/>
      <c r="AYY52" s="16"/>
      <c r="AYZ52" s="16"/>
      <c r="AZA52" s="16"/>
      <c r="AZB52" s="16"/>
      <c r="AZC52" s="16"/>
      <c r="AZD52" s="16"/>
      <c r="AZE52" s="16"/>
      <c r="AZF52" s="16"/>
      <c r="AZG52" s="16"/>
      <c r="AZH52" s="16"/>
      <c r="AZI52" s="16"/>
      <c r="AZJ52" s="16"/>
      <c r="AZK52" s="16"/>
      <c r="AZL52" s="16"/>
      <c r="AZM52" s="16"/>
      <c r="AZN52" s="16"/>
      <c r="AZO52" s="16"/>
      <c r="AZP52" s="16"/>
      <c r="AZQ52" s="16"/>
      <c r="AZR52" s="16"/>
      <c r="AZS52" s="16"/>
      <c r="AZT52" s="16"/>
      <c r="AZU52" s="16"/>
      <c r="AZV52" s="16"/>
      <c r="AZW52" s="16"/>
      <c r="AZX52" s="16"/>
      <c r="AZY52" s="16"/>
      <c r="AZZ52" s="16"/>
      <c r="BAA52" s="16"/>
      <c r="BAB52" s="16"/>
      <c r="BAC52" s="16"/>
      <c r="BAD52" s="16"/>
      <c r="BAE52" s="16"/>
      <c r="BAF52" s="16"/>
      <c r="BAG52" s="16"/>
      <c r="BAH52" s="16"/>
      <c r="BAI52" s="16"/>
      <c r="BAJ52" s="16"/>
      <c r="BAK52" s="16"/>
      <c r="BAL52" s="16"/>
      <c r="BAM52" s="16"/>
      <c r="BAN52" s="16"/>
      <c r="BAO52" s="16"/>
      <c r="BAP52" s="16"/>
      <c r="BAQ52" s="16"/>
      <c r="BAR52" s="16"/>
      <c r="BAS52" s="16"/>
      <c r="BAT52" s="16"/>
      <c r="BAU52" s="16"/>
      <c r="BAV52" s="16"/>
      <c r="BAW52" s="16"/>
      <c r="BAX52" s="16"/>
      <c r="BAY52" s="16"/>
      <c r="BAZ52" s="16"/>
      <c r="BBA52" s="16"/>
      <c r="BBB52" s="16"/>
      <c r="BBC52" s="16"/>
      <c r="BBD52" s="16"/>
      <c r="BBE52" s="16"/>
      <c r="BBF52" s="16"/>
      <c r="BBG52" s="16"/>
      <c r="BBH52" s="16"/>
      <c r="BBI52" s="16"/>
      <c r="BBJ52" s="16"/>
      <c r="BBK52" s="16"/>
      <c r="BBL52" s="16"/>
      <c r="BBM52" s="16"/>
      <c r="BBN52" s="16"/>
      <c r="BBO52" s="16"/>
      <c r="BBP52" s="16"/>
      <c r="BBQ52" s="16"/>
      <c r="BBR52" s="16"/>
      <c r="BBS52" s="16"/>
      <c r="BBT52" s="16"/>
      <c r="BBU52" s="16"/>
      <c r="BBV52" s="16"/>
      <c r="BBW52" s="16"/>
      <c r="BBX52" s="16"/>
      <c r="BBY52" s="16"/>
      <c r="BBZ52" s="16"/>
      <c r="BCA52" s="16"/>
      <c r="BCB52" s="16"/>
      <c r="BCC52" s="16"/>
      <c r="BCD52" s="16"/>
      <c r="BCE52" s="16"/>
      <c r="BCF52" s="16"/>
      <c r="BCG52" s="16"/>
      <c r="BCH52" s="16"/>
      <c r="BCI52" s="16"/>
      <c r="BCJ52" s="16"/>
      <c r="BCK52" s="16"/>
      <c r="BCL52" s="16"/>
      <c r="BCM52" s="16"/>
      <c r="BCN52" s="16"/>
      <c r="BCO52" s="16"/>
      <c r="BCP52" s="16"/>
      <c r="BCQ52" s="16"/>
      <c r="BCR52" s="16"/>
      <c r="BCS52" s="16"/>
      <c r="BCT52" s="16"/>
      <c r="BCU52" s="16"/>
      <c r="BCV52" s="16"/>
      <c r="BCW52" s="16"/>
      <c r="BCX52" s="16"/>
      <c r="BCY52" s="16"/>
      <c r="BCZ52" s="16"/>
      <c r="BDA52" s="16"/>
      <c r="BDB52" s="16"/>
      <c r="BDC52" s="16"/>
      <c r="BDD52" s="16"/>
      <c r="BDE52" s="16"/>
      <c r="BDF52" s="16"/>
      <c r="BDG52" s="16"/>
      <c r="BDH52" s="16"/>
      <c r="BDI52" s="16"/>
      <c r="BDJ52" s="16"/>
      <c r="BDK52" s="16"/>
      <c r="BDL52" s="16"/>
      <c r="BDM52" s="16"/>
      <c r="BDN52" s="16"/>
      <c r="BDO52" s="16"/>
      <c r="BDP52" s="16"/>
      <c r="BDQ52" s="16"/>
      <c r="BDR52" s="16"/>
      <c r="BDS52" s="16"/>
      <c r="BDT52" s="16"/>
      <c r="BDU52" s="16"/>
      <c r="BDV52" s="16"/>
      <c r="BDW52" s="16"/>
      <c r="BDX52" s="16"/>
      <c r="BDY52" s="16"/>
      <c r="BDZ52" s="16"/>
      <c r="BEA52" s="16"/>
      <c r="BEB52" s="16"/>
      <c r="BEC52" s="16"/>
      <c r="BED52" s="16"/>
      <c r="BEE52" s="16"/>
      <c r="BEF52" s="16"/>
      <c r="BEG52" s="16"/>
      <c r="BEH52" s="16"/>
      <c r="BEI52" s="16"/>
      <c r="BEJ52" s="16"/>
      <c r="BEK52" s="16"/>
      <c r="BEL52" s="16"/>
      <c r="BEM52" s="16"/>
      <c r="BEN52" s="16"/>
      <c r="BEO52" s="16"/>
      <c r="BEP52" s="16"/>
      <c r="BEQ52" s="16"/>
      <c r="BER52" s="16"/>
      <c r="BES52" s="16"/>
      <c r="BET52" s="16"/>
      <c r="BEU52" s="16"/>
      <c r="BEV52" s="16"/>
      <c r="BEW52" s="16"/>
      <c r="BEX52" s="16"/>
      <c r="BEY52" s="16"/>
      <c r="BEZ52" s="16"/>
      <c r="BFA52" s="16"/>
      <c r="BFB52" s="16"/>
      <c r="BFC52" s="16"/>
      <c r="BFD52" s="16"/>
      <c r="BFE52" s="16"/>
      <c r="BFF52" s="16"/>
      <c r="BFG52" s="16"/>
      <c r="BFH52" s="16"/>
      <c r="BFI52" s="16"/>
      <c r="BFJ52" s="16"/>
      <c r="BFK52" s="16"/>
      <c r="BFL52" s="16"/>
      <c r="BFM52" s="16"/>
      <c r="BFN52" s="16"/>
      <c r="BFO52" s="16"/>
      <c r="BFP52" s="16"/>
      <c r="BFQ52" s="16"/>
      <c r="BFR52" s="16"/>
      <c r="BFS52" s="16"/>
      <c r="BFT52" s="16"/>
      <c r="BFU52" s="16"/>
      <c r="BFV52" s="16"/>
      <c r="BFW52" s="16"/>
      <c r="BFX52" s="16"/>
      <c r="BFY52" s="16"/>
      <c r="BFZ52" s="16"/>
      <c r="BGA52" s="16"/>
      <c r="BGB52" s="16"/>
      <c r="BGC52" s="16"/>
      <c r="BGD52" s="16"/>
      <c r="BGE52" s="16"/>
      <c r="BGF52" s="16"/>
      <c r="BGG52" s="16"/>
      <c r="BGH52" s="16"/>
      <c r="BGI52" s="16"/>
      <c r="BGJ52" s="16"/>
      <c r="BGK52" s="16"/>
      <c r="BGL52" s="16"/>
      <c r="BGM52" s="16"/>
      <c r="BGN52" s="16"/>
      <c r="BGO52" s="16"/>
      <c r="BGP52" s="16"/>
      <c r="BGQ52" s="16"/>
      <c r="BGR52" s="16"/>
      <c r="BGS52" s="16"/>
      <c r="BGT52" s="16"/>
      <c r="BGU52" s="16"/>
      <c r="BGV52" s="16"/>
      <c r="BGW52" s="16"/>
      <c r="BGX52" s="16"/>
      <c r="BGY52" s="16"/>
      <c r="BGZ52" s="16"/>
      <c r="BHA52" s="16"/>
      <c r="BHB52" s="16"/>
      <c r="BHC52" s="16"/>
      <c r="BHD52" s="16"/>
      <c r="BHE52" s="16"/>
      <c r="BHF52" s="16"/>
      <c r="BHG52" s="16"/>
      <c r="BHH52" s="16"/>
      <c r="BHI52" s="16"/>
      <c r="BHJ52" s="16"/>
      <c r="BHK52" s="16"/>
      <c r="BHL52" s="16"/>
      <c r="BHM52" s="16"/>
      <c r="BHN52" s="16"/>
      <c r="BHO52" s="16"/>
      <c r="BHP52" s="16"/>
      <c r="BHQ52" s="16"/>
      <c r="BHR52" s="16"/>
      <c r="BHS52" s="16"/>
      <c r="BHT52" s="16"/>
      <c r="BHU52" s="16"/>
      <c r="BHV52" s="16"/>
      <c r="BHW52" s="16"/>
      <c r="BHX52" s="16"/>
      <c r="BHY52" s="16"/>
      <c r="BHZ52" s="16"/>
      <c r="BIA52" s="16"/>
      <c r="BIB52" s="16"/>
      <c r="BIC52" s="16"/>
      <c r="BID52" s="16"/>
      <c r="BIE52" s="16"/>
      <c r="BIF52" s="16"/>
      <c r="BIG52" s="16"/>
      <c r="BIH52" s="16"/>
      <c r="BII52" s="16"/>
      <c r="BIJ52" s="16"/>
      <c r="BIK52" s="16"/>
      <c r="BIL52" s="16"/>
      <c r="BIM52" s="16"/>
      <c r="BIN52" s="16"/>
      <c r="BIO52" s="16"/>
      <c r="BIP52" s="16"/>
      <c r="BIQ52" s="16"/>
      <c r="BIR52" s="16"/>
      <c r="BIS52" s="16"/>
      <c r="BIT52" s="16"/>
      <c r="BIU52" s="16"/>
      <c r="BIV52" s="16"/>
      <c r="BIW52" s="16"/>
      <c r="BIX52" s="16"/>
      <c r="BIY52" s="16"/>
      <c r="BIZ52" s="16"/>
      <c r="BJA52" s="16"/>
      <c r="BJB52" s="16"/>
      <c r="BJC52" s="16"/>
      <c r="BJD52" s="16"/>
      <c r="BJE52" s="16"/>
      <c r="BJF52" s="16"/>
      <c r="BJG52" s="16"/>
      <c r="BJH52" s="16"/>
      <c r="BJI52" s="16"/>
      <c r="BJJ52" s="16"/>
      <c r="BJK52" s="16"/>
      <c r="BJL52" s="16"/>
      <c r="BJM52" s="16"/>
      <c r="BJN52" s="16"/>
      <c r="BJO52" s="16"/>
      <c r="BJP52" s="16"/>
      <c r="BJQ52" s="16"/>
      <c r="BJR52" s="16"/>
      <c r="BJS52" s="16"/>
      <c r="BJT52" s="16"/>
      <c r="BJU52" s="16"/>
      <c r="BJV52" s="16"/>
      <c r="BJW52" s="16"/>
      <c r="BJX52" s="16"/>
      <c r="BJY52" s="16"/>
      <c r="BJZ52" s="16"/>
      <c r="BKA52" s="16"/>
      <c r="BKB52" s="16"/>
      <c r="BKC52" s="16"/>
      <c r="BKD52" s="16"/>
      <c r="BKE52" s="16"/>
      <c r="BKF52" s="16"/>
      <c r="BKG52" s="16"/>
      <c r="BKH52" s="16"/>
      <c r="BKI52" s="16"/>
      <c r="BKJ52" s="16"/>
      <c r="BKK52" s="16"/>
      <c r="BKL52" s="16"/>
      <c r="BKM52" s="16"/>
      <c r="BKN52" s="16"/>
      <c r="BKO52" s="16"/>
      <c r="BKP52" s="16"/>
      <c r="BKQ52" s="16"/>
      <c r="BKR52" s="16"/>
      <c r="BKS52" s="16"/>
      <c r="BKT52" s="16"/>
      <c r="BKU52" s="16"/>
      <c r="BKV52" s="16"/>
      <c r="BKW52" s="16"/>
      <c r="BKX52" s="16"/>
      <c r="BKY52" s="16"/>
      <c r="BKZ52" s="16"/>
      <c r="BLA52" s="16"/>
      <c r="BLB52" s="16"/>
      <c r="BLC52" s="16"/>
      <c r="BLD52" s="16"/>
      <c r="BLE52" s="16"/>
      <c r="BLF52" s="16"/>
      <c r="BLG52" s="16"/>
      <c r="BLH52" s="16"/>
      <c r="BLI52" s="16"/>
      <c r="BLJ52" s="16"/>
      <c r="BLK52" s="16"/>
      <c r="BLL52" s="16"/>
      <c r="BLM52" s="16"/>
      <c r="BLN52" s="16"/>
      <c r="BLO52" s="16"/>
      <c r="BLP52" s="16"/>
      <c r="BLQ52" s="16"/>
      <c r="BLR52" s="16"/>
      <c r="BLS52" s="16"/>
      <c r="BLT52" s="16"/>
      <c r="BLU52" s="16"/>
      <c r="BLV52" s="16"/>
      <c r="BLW52" s="16"/>
      <c r="BLX52" s="16"/>
      <c r="BLY52" s="16"/>
      <c r="BLZ52" s="16"/>
      <c r="BMA52" s="16"/>
      <c r="BMB52" s="16"/>
      <c r="BMC52" s="16"/>
      <c r="BMD52" s="16"/>
      <c r="BME52" s="16"/>
      <c r="BMF52" s="16"/>
      <c r="BMG52" s="16"/>
      <c r="BMH52" s="16"/>
      <c r="BMI52" s="16"/>
      <c r="BMJ52" s="16"/>
      <c r="BMK52" s="16"/>
      <c r="BML52" s="16"/>
      <c r="BMM52" s="16"/>
      <c r="BMN52" s="16"/>
      <c r="BMO52" s="16"/>
      <c r="BMP52" s="16"/>
      <c r="BMQ52" s="16"/>
      <c r="BMR52" s="16"/>
      <c r="BMS52" s="16"/>
      <c r="BMT52" s="16"/>
      <c r="BMU52" s="16"/>
      <c r="BMV52" s="16"/>
      <c r="BMW52" s="16"/>
      <c r="BMX52" s="16"/>
      <c r="BMY52" s="16"/>
      <c r="BMZ52" s="16"/>
      <c r="BNA52" s="16"/>
      <c r="BNB52" s="16"/>
      <c r="BNC52" s="16"/>
      <c r="BND52" s="16"/>
      <c r="BNE52" s="16"/>
      <c r="BNF52" s="16"/>
      <c r="BNG52" s="16"/>
      <c r="BNH52" s="16"/>
      <c r="BNI52" s="16"/>
      <c r="BNJ52" s="16"/>
      <c r="BNK52" s="16"/>
      <c r="BNL52" s="16"/>
      <c r="BNM52" s="16"/>
      <c r="BNN52" s="16"/>
      <c r="BNO52" s="16"/>
      <c r="BNP52" s="16"/>
      <c r="BNQ52" s="16"/>
      <c r="BNR52" s="16"/>
      <c r="BNS52" s="16"/>
      <c r="BNT52" s="16"/>
      <c r="BNU52" s="16"/>
      <c r="BNV52" s="16"/>
      <c r="BNW52" s="16"/>
      <c r="BNX52" s="16"/>
      <c r="BNY52" s="16"/>
      <c r="BNZ52" s="16"/>
      <c r="BOA52" s="16"/>
      <c r="BOB52" s="16"/>
      <c r="BOC52" s="16"/>
      <c r="BOD52" s="16"/>
      <c r="BOE52" s="16"/>
      <c r="BOF52" s="16"/>
      <c r="BOG52" s="16"/>
      <c r="BOH52" s="16"/>
      <c r="BOI52" s="16"/>
      <c r="BOJ52" s="16"/>
      <c r="BOK52" s="16"/>
      <c r="BOL52" s="16"/>
      <c r="BOM52" s="16"/>
      <c r="BON52" s="16"/>
      <c r="BOO52" s="16"/>
      <c r="BOP52" s="16"/>
      <c r="BOQ52" s="16"/>
      <c r="BOR52" s="16"/>
      <c r="BOS52" s="16"/>
      <c r="BOT52" s="16"/>
      <c r="BOU52" s="16"/>
      <c r="BOV52" s="16"/>
      <c r="BOW52" s="16"/>
      <c r="BOX52" s="16"/>
      <c r="BOY52" s="16"/>
      <c r="BOZ52" s="16"/>
      <c r="BPA52" s="16"/>
      <c r="BPB52" s="16"/>
      <c r="BPC52" s="16"/>
      <c r="BPD52" s="16"/>
      <c r="BPE52" s="16"/>
      <c r="BPF52" s="16"/>
      <c r="BPG52" s="16"/>
      <c r="BPH52" s="16"/>
      <c r="BPI52" s="16"/>
      <c r="BPJ52" s="16"/>
      <c r="BPK52" s="16"/>
      <c r="BPL52" s="16"/>
      <c r="BPM52" s="16"/>
      <c r="BPN52" s="16"/>
      <c r="BPO52" s="16"/>
      <c r="BPP52" s="16"/>
      <c r="BPQ52" s="16"/>
      <c r="BPR52" s="16"/>
      <c r="BPS52" s="16"/>
      <c r="BPT52" s="16"/>
      <c r="BPU52" s="16"/>
      <c r="BPV52" s="16"/>
      <c r="BPW52" s="16"/>
      <c r="BPX52" s="16"/>
      <c r="BPY52" s="16"/>
      <c r="BPZ52" s="16"/>
      <c r="BQA52" s="16"/>
      <c r="BQB52" s="16"/>
      <c r="BQC52" s="16"/>
      <c r="BQD52" s="16"/>
      <c r="BQE52" s="16"/>
      <c r="BQF52" s="16"/>
      <c r="BQG52" s="16"/>
      <c r="BQH52" s="16"/>
      <c r="BQI52" s="16"/>
      <c r="BQJ52" s="16"/>
      <c r="BQK52" s="16"/>
      <c r="BQL52" s="16"/>
      <c r="BQM52" s="16"/>
      <c r="BQN52" s="16"/>
      <c r="BQO52" s="16"/>
      <c r="BQP52" s="16"/>
      <c r="BQQ52" s="16"/>
      <c r="BQR52" s="16"/>
      <c r="BQS52" s="16"/>
      <c r="BQT52" s="16"/>
      <c r="BQU52" s="16"/>
      <c r="BQV52" s="16"/>
      <c r="BQW52" s="16"/>
      <c r="BQX52" s="16"/>
      <c r="BQY52" s="16"/>
      <c r="BQZ52" s="16"/>
      <c r="BRA52" s="16"/>
      <c r="BRB52" s="16"/>
      <c r="BRC52" s="16"/>
      <c r="BRD52" s="16"/>
      <c r="BRE52" s="16"/>
      <c r="BRF52" s="16"/>
      <c r="BRG52" s="16"/>
      <c r="BRH52" s="16"/>
      <c r="BRI52" s="16"/>
      <c r="BRJ52" s="16"/>
      <c r="BRK52" s="16"/>
      <c r="BRL52" s="16"/>
      <c r="BRM52" s="16"/>
      <c r="BRN52" s="16"/>
      <c r="BRO52" s="16"/>
      <c r="BRP52" s="16"/>
      <c r="BRQ52" s="16"/>
      <c r="BRR52" s="16"/>
      <c r="BRS52" s="16"/>
      <c r="BRT52" s="16"/>
      <c r="BRU52" s="16"/>
      <c r="BRV52" s="16"/>
      <c r="BRW52" s="16"/>
      <c r="BRX52" s="16"/>
      <c r="BRY52" s="16"/>
      <c r="BRZ52" s="16"/>
      <c r="BSA52" s="16"/>
      <c r="BSB52" s="16"/>
      <c r="BSC52" s="16"/>
      <c r="BSD52" s="16"/>
      <c r="BSE52" s="16"/>
      <c r="BSF52" s="16"/>
      <c r="BSG52" s="16"/>
      <c r="BSH52" s="16"/>
      <c r="BSI52" s="16"/>
      <c r="BSJ52" s="16"/>
      <c r="BSK52" s="16"/>
      <c r="BSL52" s="16"/>
      <c r="BSM52" s="16"/>
      <c r="BSN52" s="16"/>
      <c r="BSO52" s="16"/>
      <c r="BSP52" s="16"/>
      <c r="BSQ52" s="16"/>
      <c r="BSR52" s="16"/>
      <c r="BSS52" s="16"/>
      <c r="BST52" s="16"/>
      <c r="BSU52" s="16"/>
      <c r="BSV52" s="16"/>
      <c r="BSW52" s="16"/>
      <c r="BSX52" s="16"/>
      <c r="BSY52" s="16"/>
      <c r="BSZ52" s="16"/>
      <c r="BTA52" s="16"/>
      <c r="BTB52" s="16"/>
      <c r="BTC52" s="16"/>
      <c r="BTD52" s="16"/>
      <c r="BTE52" s="16"/>
      <c r="BTF52" s="16"/>
      <c r="BTG52" s="16"/>
      <c r="BTH52" s="16"/>
      <c r="BTI52" s="16"/>
      <c r="BTJ52" s="16"/>
      <c r="BTK52" s="16"/>
      <c r="BTL52" s="16"/>
      <c r="BTM52" s="16"/>
      <c r="BTN52" s="16"/>
      <c r="BTO52" s="16"/>
      <c r="BTP52" s="16"/>
      <c r="BTQ52" s="16"/>
      <c r="BTR52" s="16"/>
      <c r="BTS52" s="16"/>
      <c r="BTT52" s="16"/>
      <c r="BTU52" s="16"/>
      <c r="BTV52" s="16"/>
      <c r="BTW52" s="16"/>
      <c r="BTX52" s="16"/>
      <c r="BTY52" s="16"/>
      <c r="BTZ52" s="16"/>
      <c r="BUA52" s="16"/>
      <c r="BUB52" s="16"/>
      <c r="BUC52" s="16"/>
      <c r="BUD52" s="16"/>
      <c r="BUE52" s="16"/>
      <c r="BUF52" s="16"/>
      <c r="BUG52" s="16"/>
      <c r="BUH52" s="16"/>
      <c r="BUI52" s="16"/>
      <c r="BUJ52" s="16"/>
      <c r="BUK52" s="16"/>
      <c r="BUL52" s="16"/>
      <c r="BUM52" s="16"/>
      <c r="BUN52" s="16"/>
      <c r="BUO52" s="16"/>
      <c r="BUP52" s="16"/>
      <c r="BUQ52" s="16"/>
      <c r="BUR52" s="16"/>
      <c r="BUS52" s="16"/>
      <c r="BUT52" s="16"/>
      <c r="BUU52" s="16"/>
      <c r="BUV52" s="16"/>
      <c r="BUW52" s="16"/>
      <c r="BUX52" s="16"/>
      <c r="BUY52" s="16"/>
      <c r="BUZ52" s="16"/>
      <c r="BVA52" s="16"/>
      <c r="BVB52" s="16"/>
      <c r="BVC52" s="16"/>
      <c r="BVD52" s="16"/>
      <c r="BVE52" s="16"/>
      <c r="BVF52" s="16"/>
      <c r="BVG52" s="16"/>
      <c r="BVH52" s="16"/>
      <c r="BVI52" s="16"/>
      <c r="BVJ52" s="16"/>
      <c r="BVK52" s="16"/>
      <c r="BVL52" s="16"/>
      <c r="BVM52" s="16"/>
      <c r="BVN52" s="16"/>
      <c r="BVO52" s="16"/>
      <c r="BVP52" s="16"/>
      <c r="BVQ52" s="16"/>
      <c r="BVR52" s="16"/>
      <c r="BVS52" s="16"/>
      <c r="BVT52" s="16"/>
      <c r="BVU52" s="16"/>
      <c r="BVV52" s="16"/>
      <c r="BVW52" s="16"/>
      <c r="BVX52" s="16"/>
      <c r="BVY52" s="16"/>
      <c r="BVZ52" s="16"/>
      <c r="BWA52" s="16"/>
      <c r="BWB52" s="16"/>
      <c r="BWC52" s="16"/>
      <c r="BWD52" s="16"/>
      <c r="BWE52" s="16"/>
      <c r="BWF52" s="16"/>
      <c r="BWG52" s="16"/>
      <c r="BWH52" s="16"/>
      <c r="BWI52" s="16"/>
      <c r="BWJ52" s="16"/>
      <c r="BWK52" s="16"/>
      <c r="BWL52" s="16"/>
      <c r="BWM52" s="16"/>
      <c r="BWN52" s="16"/>
      <c r="BWO52" s="16"/>
      <c r="BWP52" s="16"/>
      <c r="BWQ52" s="16"/>
      <c r="BWR52" s="16"/>
      <c r="BWS52" s="16"/>
      <c r="BWT52" s="16"/>
      <c r="BWU52" s="16"/>
      <c r="BWV52" s="16"/>
      <c r="BWW52" s="16"/>
      <c r="BWX52" s="16"/>
      <c r="BWY52" s="16"/>
      <c r="BWZ52" s="16"/>
      <c r="BXA52" s="16"/>
      <c r="BXB52" s="16"/>
      <c r="BXC52" s="16"/>
      <c r="BXD52" s="16"/>
      <c r="BXE52" s="16"/>
      <c r="BXF52" s="16"/>
      <c r="BXG52" s="16"/>
      <c r="BXH52" s="16"/>
      <c r="BXI52" s="16"/>
      <c r="BXJ52" s="16"/>
      <c r="BXK52" s="16"/>
      <c r="BXL52" s="16"/>
      <c r="BXM52" s="16"/>
      <c r="BXN52" s="16"/>
      <c r="BXO52" s="16"/>
      <c r="BXP52" s="16"/>
      <c r="BXQ52" s="16"/>
      <c r="BXR52" s="16"/>
      <c r="BXS52" s="16"/>
      <c r="BXT52" s="16"/>
      <c r="BXU52" s="16"/>
      <c r="BXV52" s="16"/>
      <c r="BXW52" s="16"/>
      <c r="BXX52" s="16"/>
      <c r="BXY52" s="16"/>
      <c r="BXZ52" s="16"/>
      <c r="BYA52" s="16"/>
      <c r="BYB52" s="16"/>
      <c r="BYC52" s="16"/>
      <c r="BYD52" s="16"/>
      <c r="BYE52" s="16"/>
      <c r="BYF52" s="16"/>
      <c r="BYG52" s="16"/>
      <c r="BYH52" s="16"/>
      <c r="BYI52" s="16"/>
      <c r="BYJ52" s="16"/>
      <c r="BYK52" s="16"/>
      <c r="BYL52" s="16"/>
      <c r="BYM52" s="16"/>
      <c r="BYN52" s="16"/>
      <c r="BYO52" s="16"/>
      <c r="BYP52" s="16"/>
      <c r="BYQ52" s="16"/>
      <c r="BYR52" s="16"/>
      <c r="BYS52" s="16"/>
      <c r="BYT52" s="16"/>
      <c r="BYU52" s="16"/>
      <c r="BYV52" s="16"/>
      <c r="BYW52" s="16"/>
      <c r="BYX52" s="16"/>
      <c r="BYY52" s="16"/>
      <c r="BYZ52" s="16"/>
      <c r="BZA52" s="16"/>
      <c r="BZB52" s="16"/>
      <c r="BZC52" s="16"/>
      <c r="BZD52" s="16"/>
      <c r="BZE52" s="16"/>
      <c r="BZF52" s="16"/>
      <c r="BZG52" s="16"/>
      <c r="BZH52" s="16"/>
      <c r="BZI52" s="16"/>
      <c r="BZJ52" s="16"/>
      <c r="BZK52" s="16"/>
      <c r="BZL52" s="16"/>
      <c r="BZM52" s="16"/>
      <c r="BZN52" s="16"/>
      <c r="BZO52" s="16"/>
      <c r="BZP52" s="16"/>
      <c r="BZQ52" s="16"/>
      <c r="BZR52" s="16"/>
      <c r="BZS52" s="16"/>
      <c r="BZT52" s="16"/>
      <c r="BZU52" s="16"/>
      <c r="BZV52" s="16"/>
      <c r="BZW52" s="16"/>
      <c r="BZX52" s="16"/>
      <c r="BZY52" s="16"/>
      <c r="BZZ52" s="16"/>
      <c r="CAA52" s="16"/>
      <c r="CAB52" s="16"/>
      <c r="CAC52" s="16"/>
      <c r="CAD52" s="16"/>
      <c r="CAE52" s="16"/>
      <c r="CAF52" s="16"/>
      <c r="CAG52" s="16"/>
      <c r="CAH52" s="16"/>
      <c r="CAI52" s="16"/>
      <c r="CAJ52" s="16"/>
      <c r="CAK52" s="16"/>
      <c r="CAL52" s="16"/>
      <c r="CAM52" s="16"/>
      <c r="CAN52" s="16"/>
      <c r="CAO52" s="16"/>
      <c r="CAP52" s="16"/>
      <c r="CAQ52" s="16"/>
      <c r="CAR52" s="16"/>
      <c r="CAS52" s="16"/>
      <c r="CAT52" s="16"/>
      <c r="CAU52" s="16"/>
      <c r="CAV52" s="16"/>
      <c r="CAW52" s="16"/>
      <c r="CAX52" s="16"/>
      <c r="CAY52" s="16"/>
      <c r="CAZ52" s="16"/>
      <c r="CBA52" s="16"/>
      <c r="CBB52" s="16"/>
      <c r="CBC52" s="16"/>
      <c r="CBD52" s="16"/>
      <c r="CBE52" s="16"/>
      <c r="CBF52" s="16"/>
      <c r="CBG52" s="16"/>
      <c r="CBH52" s="16"/>
      <c r="CBI52" s="16"/>
      <c r="CBJ52" s="16"/>
      <c r="CBK52" s="16"/>
      <c r="CBL52" s="16"/>
      <c r="CBM52" s="16"/>
      <c r="CBN52" s="16"/>
      <c r="CBO52" s="16"/>
      <c r="CBP52" s="16"/>
      <c r="CBQ52" s="16"/>
      <c r="CBR52" s="16"/>
      <c r="CBS52" s="16"/>
      <c r="CBT52" s="16"/>
      <c r="CBU52" s="16"/>
      <c r="CBV52" s="16"/>
      <c r="CBW52" s="16"/>
      <c r="CBX52" s="16"/>
      <c r="CBY52" s="16"/>
      <c r="CBZ52" s="16"/>
      <c r="CCA52" s="16"/>
      <c r="CCB52" s="16"/>
      <c r="CCC52" s="16"/>
      <c r="CCD52" s="16"/>
      <c r="CCE52" s="16"/>
      <c r="CCF52" s="16"/>
      <c r="CCG52" s="16"/>
      <c r="CCH52" s="16"/>
      <c r="CCI52" s="16"/>
      <c r="CCJ52" s="16"/>
      <c r="CCK52" s="16"/>
      <c r="CCL52" s="16"/>
      <c r="CCM52" s="16"/>
      <c r="CCN52" s="16"/>
      <c r="CCO52" s="16"/>
      <c r="CCP52" s="16"/>
      <c r="CCQ52" s="16"/>
      <c r="CCR52" s="16"/>
      <c r="CCS52" s="16"/>
      <c r="CCT52" s="16"/>
      <c r="CCU52" s="16"/>
      <c r="CCV52" s="16"/>
      <c r="CCW52" s="16"/>
      <c r="CCX52" s="16"/>
      <c r="CCY52" s="16"/>
      <c r="CCZ52" s="16"/>
      <c r="CDA52" s="16"/>
      <c r="CDB52" s="16"/>
      <c r="CDC52" s="16"/>
      <c r="CDD52" s="16"/>
      <c r="CDE52" s="16"/>
      <c r="CDF52" s="16"/>
      <c r="CDG52" s="16"/>
      <c r="CDH52" s="16"/>
      <c r="CDI52" s="16"/>
      <c r="CDJ52" s="16"/>
      <c r="CDK52" s="16"/>
      <c r="CDL52" s="16"/>
      <c r="CDM52" s="16"/>
      <c r="CDN52" s="16"/>
      <c r="CDO52" s="16"/>
      <c r="CDP52" s="16"/>
      <c r="CDQ52" s="16"/>
      <c r="CDR52" s="16"/>
      <c r="CDS52" s="16"/>
      <c r="CDT52" s="16"/>
      <c r="CDU52" s="16"/>
      <c r="CDV52" s="16"/>
      <c r="CDW52" s="16"/>
      <c r="CDX52" s="16"/>
      <c r="CDY52" s="16"/>
      <c r="CDZ52" s="16"/>
      <c r="CEA52" s="16"/>
      <c r="CEB52" s="16"/>
      <c r="CEC52" s="16"/>
      <c r="CED52" s="16"/>
      <c r="CEE52" s="16"/>
      <c r="CEF52" s="16"/>
      <c r="CEG52" s="16"/>
      <c r="CEH52" s="16"/>
      <c r="CEI52" s="16"/>
      <c r="CEJ52" s="16"/>
      <c r="CEK52" s="16"/>
      <c r="CEL52" s="16"/>
      <c r="CEM52" s="16"/>
      <c r="CEN52" s="16"/>
      <c r="CEO52" s="16"/>
      <c r="CEP52" s="16"/>
      <c r="CEQ52" s="16"/>
      <c r="CER52" s="16"/>
      <c r="CES52" s="16"/>
      <c r="CET52" s="16"/>
      <c r="CEU52" s="16"/>
      <c r="CEV52" s="16"/>
      <c r="CEW52" s="16"/>
      <c r="CEX52" s="16"/>
      <c r="CEY52" s="16"/>
      <c r="CEZ52" s="16"/>
      <c r="CFA52" s="16"/>
      <c r="CFB52" s="16"/>
      <c r="CFC52" s="16"/>
      <c r="CFD52" s="16"/>
      <c r="CFE52" s="16"/>
      <c r="CFF52" s="16"/>
      <c r="CFG52" s="16"/>
      <c r="CFH52" s="16"/>
      <c r="CFI52" s="16"/>
      <c r="CFJ52" s="16"/>
      <c r="CFK52" s="16"/>
      <c r="CFL52" s="16"/>
      <c r="CFM52" s="16"/>
      <c r="CFN52" s="16"/>
      <c r="CFO52" s="16"/>
      <c r="CFP52" s="16"/>
      <c r="CFQ52" s="16"/>
      <c r="CFR52" s="16"/>
      <c r="CFS52" s="16"/>
      <c r="CFT52" s="16"/>
      <c r="CFU52" s="16"/>
      <c r="CFV52" s="16"/>
      <c r="CFW52" s="16"/>
      <c r="CFX52" s="16"/>
      <c r="CFY52" s="16"/>
      <c r="CFZ52" s="16"/>
      <c r="CGA52" s="16"/>
      <c r="CGB52" s="16"/>
      <c r="CGC52" s="16"/>
      <c r="CGD52" s="16"/>
      <c r="CGE52" s="16"/>
      <c r="CGF52" s="16"/>
      <c r="CGG52" s="16"/>
      <c r="CGH52" s="16"/>
      <c r="CGI52" s="16"/>
      <c r="CGJ52" s="16"/>
      <c r="CGK52" s="16"/>
      <c r="CGL52" s="16"/>
      <c r="CGM52" s="16"/>
      <c r="CGN52" s="16"/>
      <c r="CGO52" s="16"/>
      <c r="CGP52" s="16"/>
      <c r="CGQ52" s="16"/>
      <c r="CGR52" s="16"/>
      <c r="CGS52" s="16"/>
      <c r="CGT52" s="16"/>
      <c r="CGU52" s="16"/>
      <c r="CGV52" s="16"/>
      <c r="CGW52" s="16"/>
      <c r="CGX52" s="16"/>
      <c r="CGY52" s="16"/>
      <c r="CGZ52" s="16"/>
      <c r="CHA52" s="16"/>
      <c r="CHB52" s="16"/>
      <c r="CHC52" s="16"/>
      <c r="CHD52" s="16"/>
      <c r="CHE52" s="16"/>
      <c r="CHF52" s="16"/>
      <c r="CHG52" s="16"/>
      <c r="CHH52" s="16"/>
      <c r="CHI52" s="16"/>
      <c r="CHJ52" s="16"/>
      <c r="CHK52" s="16"/>
      <c r="CHL52" s="16"/>
      <c r="CHM52" s="16"/>
      <c r="CHN52" s="16"/>
      <c r="CHO52" s="16"/>
      <c r="CHP52" s="16"/>
      <c r="CHQ52" s="16"/>
      <c r="CHR52" s="16"/>
      <c r="CHS52" s="16"/>
      <c r="CHT52" s="16"/>
      <c r="CHU52" s="16"/>
      <c r="CHV52" s="16"/>
      <c r="CHW52" s="16"/>
      <c r="CHX52" s="16"/>
      <c r="CHY52" s="16"/>
      <c r="CHZ52" s="16"/>
      <c r="CIA52" s="16"/>
      <c r="CIB52" s="16"/>
      <c r="CIC52" s="16"/>
      <c r="CID52" s="16"/>
      <c r="CIE52" s="16"/>
      <c r="CIF52" s="16"/>
      <c r="CIG52" s="16"/>
      <c r="CIH52" s="16"/>
      <c r="CII52" s="16"/>
      <c r="CIJ52" s="16"/>
      <c r="CIK52" s="16"/>
      <c r="CIL52" s="16"/>
      <c r="CIM52" s="16"/>
      <c r="CIN52" s="16"/>
      <c r="CIO52" s="16"/>
      <c r="CIP52" s="16"/>
      <c r="CIQ52" s="16"/>
      <c r="CIR52" s="16"/>
      <c r="CIS52" s="16"/>
      <c r="CIT52" s="16"/>
      <c r="CIU52" s="16"/>
      <c r="CIV52" s="16"/>
      <c r="CIW52" s="16"/>
      <c r="CIX52" s="16"/>
      <c r="CIY52" s="16"/>
      <c r="CIZ52" s="16"/>
      <c r="CJA52" s="16"/>
      <c r="CJB52" s="16"/>
      <c r="CJC52" s="16"/>
      <c r="CJD52" s="16"/>
      <c r="CJE52" s="16"/>
      <c r="CJF52" s="16"/>
      <c r="CJG52" s="16"/>
      <c r="CJH52" s="16"/>
      <c r="CJI52" s="16"/>
      <c r="CJJ52" s="16"/>
      <c r="CJK52" s="16"/>
      <c r="CJL52" s="16"/>
      <c r="CJM52" s="16"/>
      <c r="CJN52" s="16"/>
      <c r="CJO52" s="16"/>
      <c r="CJP52" s="16"/>
      <c r="CJQ52" s="16"/>
      <c r="CJR52" s="16"/>
      <c r="CJS52" s="16"/>
      <c r="CJT52" s="16"/>
      <c r="CJU52" s="16"/>
      <c r="CJV52" s="16"/>
      <c r="CJW52" s="16"/>
      <c r="CJX52" s="16"/>
      <c r="CJY52" s="16"/>
      <c r="CJZ52" s="16"/>
      <c r="CKA52" s="16"/>
      <c r="CKB52" s="16"/>
      <c r="CKC52" s="16"/>
      <c r="CKD52" s="16"/>
      <c r="CKE52" s="16"/>
      <c r="CKF52" s="16"/>
      <c r="CKG52" s="16"/>
      <c r="CKH52" s="16"/>
      <c r="CKI52" s="16"/>
      <c r="CKJ52" s="16"/>
      <c r="CKK52" s="16"/>
      <c r="CKL52" s="16"/>
      <c r="CKM52" s="16"/>
      <c r="CKN52" s="16"/>
      <c r="CKO52" s="16"/>
      <c r="CKP52" s="16"/>
      <c r="CKQ52" s="16"/>
      <c r="CKR52" s="16"/>
      <c r="CKS52" s="16"/>
      <c r="CKT52" s="16"/>
      <c r="CKU52" s="16"/>
      <c r="CKV52" s="16"/>
      <c r="CKW52" s="16"/>
      <c r="CKX52" s="16"/>
      <c r="CKY52" s="16"/>
      <c r="CKZ52" s="16"/>
      <c r="CLA52" s="16"/>
      <c r="CLB52" s="16"/>
      <c r="CLC52" s="16"/>
      <c r="CLD52" s="16"/>
      <c r="CLE52" s="16"/>
      <c r="CLF52" s="16"/>
      <c r="CLG52" s="16"/>
      <c r="CLH52" s="16"/>
      <c r="CLI52" s="16"/>
      <c r="CLJ52" s="16"/>
      <c r="CLK52" s="16"/>
      <c r="CLL52" s="16"/>
      <c r="CLM52" s="16"/>
      <c r="CLN52" s="16"/>
      <c r="CLO52" s="16"/>
      <c r="CLP52" s="16"/>
      <c r="CLQ52" s="16"/>
      <c r="CLR52" s="16"/>
      <c r="CLS52" s="16"/>
      <c r="CLT52" s="16"/>
      <c r="CLU52" s="16"/>
      <c r="CLV52" s="16"/>
      <c r="CLW52" s="16"/>
      <c r="CLX52" s="16"/>
      <c r="CLY52" s="16"/>
      <c r="CLZ52" s="16"/>
      <c r="CMA52" s="16"/>
      <c r="CMB52" s="16"/>
      <c r="CMC52" s="16"/>
      <c r="CMD52" s="16"/>
      <c r="CME52" s="16"/>
      <c r="CMF52" s="16"/>
      <c r="CMG52" s="16"/>
      <c r="CMH52" s="16"/>
      <c r="CMI52" s="16"/>
      <c r="CMJ52" s="16"/>
      <c r="CMK52" s="16"/>
      <c r="CML52" s="16"/>
      <c r="CMM52" s="16"/>
      <c r="CMN52" s="16"/>
      <c r="CMO52" s="16"/>
      <c r="CMP52" s="16"/>
      <c r="CMQ52" s="16"/>
      <c r="CMR52" s="16"/>
      <c r="CMS52" s="16"/>
      <c r="CMT52" s="16"/>
      <c r="CMU52" s="16"/>
      <c r="CMV52" s="16"/>
      <c r="CMW52" s="16"/>
      <c r="CMX52" s="16"/>
      <c r="CMY52" s="16"/>
      <c r="CMZ52" s="16"/>
      <c r="CNA52" s="16"/>
      <c r="CNB52" s="16"/>
      <c r="CNC52" s="16"/>
      <c r="CND52" s="16"/>
      <c r="CNE52" s="16"/>
      <c r="CNF52" s="16"/>
      <c r="CNG52" s="16"/>
      <c r="CNH52" s="16"/>
      <c r="CNI52" s="16"/>
      <c r="CNJ52" s="16"/>
      <c r="CNK52" s="16"/>
      <c r="CNL52" s="16"/>
      <c r="CNM52" s="16"/>
      <c r="CNN52" s="16"/>
      <c r="CNO52" s="16"/>
      <c r="CNP52" s="16"/>
      <c r="CNQ52" s="16"/>
      <c r="CNR52" s="16"/>
      <c r="CNS52" s="16"/>
      <c r="CNT52" s="16"/>
      <c r="CNU52" s="16"/>
      <c r="CNV52" s="16"/>
      <c r="CNW52" s="16"/>
      <c r="CNX52" s="16"/>
      <c r="CNY52" s="16"/>
      <c r="CNZ52" s="16"/>
      <c r="COA52" s="16"/>
      <c r="COB52" s="16"/>
      <c r="COC52" s="16"/>
      <c r="COD52" s="16"/>
      <c r="COE52" s="16"/>
      <c r="COF52" s="16"/>
      <c r="COG52" s="16"/>
      <c r="COH52" s="16"/>
      <c r="COI52" s="16"/>
      <c r="COJ52" s="16"/>
      <c r="COK52" s="16"/>
      <c r="COL52" s="16"/>
      <c r="COM52" s="16"/>
      <c r="CON52" s="16"/>
      <c r="COO52" s="16"/>
      <c r="COP52" s="16"/>
      <c r="COQ52" s="16"/>
      <c r="COR52" s="16"/>
      <c r="COS52" s="16"/>
      <c r="COT52" s="16"/>
      <c r="COU52" s="16"/>
      <c r="COV52" s="16"/>
      <c r="COW52" s="16"/>
      <c r="COX52" s="16"/>
      <c r="COY52" s="16"/>
      <c r="COZ52" s="16"/>
      <c r="CPA52" s="16"/>
      <c r="CPB52" s="16"/>
      <c r="CPC52" s="16"/>
      <c r="CPD52" s="16"/>
      <c r="CPE52" s="16"/>
      <c r="CPF52" s="16"/>
      <c r="CPG52" s="16"/>
      <c r="CPH52" s="16"/>
      <c r="CPI52" s="16"/>
      <c r="CPJ52" s="16"/>
      <c r="CPK52" s="16"/>
      <c r="CPL52" s="16"/>
      <c r="CPM52" s="16"/>
      <c r="CPN52" s="16"/>
      <c r="CPO52" s="16"/>
      <c r="CPP52" s="16"/>
      <c r="CPQ52" s="16"/>
      <c r="CPR52" s="16"/>
      <c r="CPS52" s="16"/>
      <c r="CPT52" s="16"/>
      <c r="CPU52" s="16"/>
      <c r="CPV52" s="16"/>
      <c r="CPW52" s="16"/>
      <c r="CPX52" s="16"/>
      <c r="CPY52" s="16"/>
      <c r="CPZ52" s="16"/>
      <c r="CQA52" s="16"/>
      <c r="CQB52" s="16"/>
      <c r="CQC52" s="16"/>
      <c r="CQD52" s="16"/>
      <c r="CQE52" s="16"/>
      <c r="CQF52" s="16"/>
      <c r="CQG52" s="16"/>
      <c r="CQH52" s="16"/>
      <c r="CQI52" s="16"/>
      <c r="CQJ52" s="16"/>
      <c r="CQK52" s="16"/>
      <c r="CQL52" s="16"/>
      <c r="CQM52" s="16"/>
      <c r="CQN52" s="16"/>
      <c r="CQO52" s="16"/>
      <c r="CQP52" s="16"/>
      <c r="CQQ52" s="16"/>
      <c r="CQR52" s="16"/>
      <c r="CQS52" s="16"/>
      <c r="CQT52" s="16"/>
      <c r="CQU52" s="16"/>
      <c r="CQV52" s="16"/>
      <c r="CQW52" s="16"/>
      <c r="CQX52" s="16"/>
      <c r="CQY52" s="16"/>
      <c r="CQZ52" s="16"/>
      <c r="CRA52" s="16"/>
      <c r="CRB52" s="16"/>
      <c r="CRC52" s="16"/>
      <c r="CRD52" s="16"/>
      <c r="CRE52" s="16"/>
      <c r="CRF52" s="16"/>
      <c r="CRG52" s="16"/>
      <c r="CRH52" s="16"/>
      <c r="CRI52" s="16"/>
      <c r="CRJ52" s="16"/>
      <c r="CRK52" s="16"/>
      <c r="CRL52" s="16"/>
      <c r="CRM52" s="16"/>
      <c r="CRN52" s="16"/>
      <c r="CRO52" s="16"/>
      <c r="CRP52" s="16"/>
      <c r="CRQ52" s="16"/>
      <c r="CRR52" s="16"/>
      <c r="CRS52" s="16"/>
      <c r="CRT52" s="16"/>
      <c r="CRU52" s="16"/>
      <c r="CRV52" s="16"/>
      <c r="CRW52" s="16"/>
      <c r="CRX52" s="16"/>
      <c r="CRY52" s="16"/>
      <c r="CRZ52" s="16"/>
      <c r="CSA52" s="16"/>
      <c r="CSB52" s="16"/>
      <c r="CSC52" s="16"/>
      <c r="CSD52" s="16"/>
      <c r="CSE52" s="16"/>
      <c r="CSF52" s="16"/>
      <c r="CSG52" s="16"/>
      <c r="CSH52" s="16"/>
      <c r="CSI52" s="16"/>
      <c r="CSJ52" s="16"/>
      <c r="CSK52" s="16"/>
      <c r="CSL52" s="16"/>
      <c r="CSM52" s="16"/>
      <c r="CSN52" s="16"/>
      <c r="CSO52" s="16"/>
      <c r="CSP52" s="16"/>
      <c r="CSQ52" s="16"/>
      <c r="CSR52" s="16"/>
      <c r="CSS52" s="16"/>
      <c r="CST52" s="16"/>
      <c r="CSU52" s="16"/>
      <c r="CSV52" s="16"/>
      <c r="CSW52" s="16"/>
      <c r="CSX52" s="16"/>
      <c r="CSY52" s="16"/>
      <c r="CSZ52" s="16"/>
      <c r="CTA52" s="16"/>
      <c r="CTB52" s="16"/>
      <c r="CTC52" s="16"/>
      <c r="CTD52" s="16"/>
      <c r="CTE52" s="16"/>
      <c r="CTF52" s="16"/>
      <c r="CTG52" s="16"/>
      <c r="CTH52" s="16"/>
      <c r="CTI52" s="16"/>
      <c r="CTJ52" s="16"/>
      <c r="CTK52" s="16"/>
      <c r="CTL52" s="16"/>
      <c r="CTM52" s="16"/>
      <c r="CTN52" s="16"/>
      <c r="CTO52" s="16"/>
      <c r="CTP52" s="16"/>
      <c r="CTQ52" s="16"/>
      <c r="CTR52" s="16"/>
      <c r="CTS52" s="16"/>
      <c r="CTT52" s="16"/>
      <c r="CTU52" s="16"/>
      <c r="CTV52" s="16"/>
      <c r="CTW52" s="16"/>
      <c r="CTX52" s="16"/>
      <c r="CTY52" s="16"/>
      <c r="CTZ52" s="16"/>
      <c r="CUA52" s="16"/>
      <c r="CUB52" s="16"/>
      <c r="CUC52" s="16"/>
      <c r="CUD52" s="16"/>
      <c r="CUE52" s="16"/>
      <c r="CUF52" s="16"/>
      <c r="CUG52" s="16"/>
      <c r="CUH52" s="16"/>
      <c r="CUI52" s="16"/>
      <c r="CUJ52" s="16"/>
      <c r="CUK52" s="16"/>
      <c r="CUL52" s="16"/>
      <c r="CUM52" s="16"/>
      <c r="CUN52" s="16"/>
      <c r="CUO52" s="16"/>
      <c r="CUP52" s="16"/>
      <c r="CUQ52" s="16"/>
      <c r="CUR52" s="16"/>
      <c r="CUS52" s="16"/>
      <c r="CUT52" s="16"/>
      <c r="CUU52" s="16"/>
      <c r="CUV52" s="16"/>
      <c r="CUW52" s="16"/>
      <c r="CUX52" s="16"/>
      <c r="CUY52" s="16"/>
      <c r="CUZ52" s="16"/>
      <c r="CVA52" s="16"/>
      <c r="CVB52" s="16"/>
      <c r="CVC52" s="16"/>
      <c r="CVD52" s="16"/>
      <c r="CVE52" s="16"/>
      <c r="CVF52" s="16"/>
      <c r="CVG52" s="16"/>
      <c r="CVH52" s="16"/>
      <c r="CVI52" s="16"/>
      <c r="CVJ52" s="16"/>
      <c r="CVK52" s="16"/>
      <c r="CVL52" s="16"/>
      <c r="CVM52" s="16"/>
      <c r="CVN52" s="16"/>
      <c r="CVO52" s="16"/>
      <c r="CVP52" s="16"/>
      <c r="CVQ52" s="16"/>
      <c r="CVR52" s="16"/>
      <c r="CVS52" s="16"/>
      <c r="CVT52" s="16"/>
      <c r="CVU52" s="16"/>
      <c r="CVV52" s="16"/>
      <c r="CVW52" s="16"/>
      <c r="CVX52" s="16"/>
      <c r="CVY52" s="16"/>
      <c r="CVZ52" s="16"/>
      <c r="CWA52" s="16"/>
      <c r="CWB52" s="16"/>
      <c r="CWC52" s="16"/>
      <c r="CWD52" s="16"/>
      <c r="CWE52" s="16"/>
      <c r="CWF52" s="16"/>
      <c r="CWG52" s="16"/>
      <c r="CWH52" s="16"/>
      <c r="CWI52" s="16"/>
      <c r="CWJ52" s="16"/>
      <c r="CWK52" s="16"/>
      <c r="CWL52" s="16"/>
      <c r="CWM52" s="16"/>
      <c r="CWN52" s="16"/>
      <c r="CWO52" s="16"/>
      <c r="CWP52" s="16"/>
      <c r="CWQ52" s="16"/>
      <c r="CWR52" s="16"/>
      <c r="CWS52" s="16"/>
      <c r="CWT52" s="16"/>
      <c r="CWU52" s="16"/>
      <c r="CWV52" s="16"/>
      <c r="CWW52" s="16"/>
      <c r="CWX52" s="16"/>
      <c r="CWY52" s="16"/>
      <c r="CWZ52" s="16"/>
      <c r="CXA52" s="16"/>
      <c r="CXB52" s="16"/>
      <c r="CXC52" s="16"/>
      <c r="CXD52" s="16"/>
      <c r="CXE52" s="16"/>
      <c r="CXF52" s="16"/>
      <c r="CXG52" s="16"/>
      <c r="CXH52" s="16"/>
      <c r="CXI52" s="16"/>
      <c r="CXJ52" s="16"/>
      <c r="CXK52" s="16"/>
      <c r="CXL52" s="16"/>
      <c r="CXM52" s="16"/>
      <c r="CXN52" s="16"/>
      <c r="CXO52" s="16"/>
      <c r="CXP52" s="16"/>
      <c r="CXQ52" s="16"/>
      <c r="CXR52" s="16"/>
      <c r="CXS52" s="16"/>
      <c r="CXT52" s="16"/>
      <c r="CXU52" s="16"/>
      <c r="CXV52" s="16"/>
      <c r="CXW52" s="16"/>
      <c r="CXX52" s="16"/>
      <c r="CXY52" s="16"/>
      <c r="CXZ52" s="16"/>
      <c r="CYA52" s="16"/>
      <c r="CYB52" s="16"/>
      <c r="CYC52" s="16"/>
      <c r="CYD52" s="16"/>
      <c r="CYE52" s="16"/>
      <c r="CYF52" s="16"/>
      <c r="CYG52" s="16"/>
      <c r="CYH52" s="16"/>
      <c r="CYI52" s="16"/>
      <c r="CYJ52" s="16"/>
      <c r="CYK52" s="16"/>
      <c r="CYL52" s="16"/>
      <c r="CYM52" s="16"/>
      <c r="CYN52" s="16"/>
      <c r="CYO52" s="16"/>
      <c r="CYP52" s="16"/>
      <c r="CYQ52" s="16"/>
      <c r="CYR52" s="16"/>
      <c r="CYS52" s="16"/>
      <c r="CYT52" s="16"/>
      <c r="CYU52" s="16"/>
      <c r="CYV52" s="16"/>
      <c r="CYW52" s="16"/>
      <c r="CYX52" s="16"/>
      <c r="CYY52" s="16"/>
      <c r="CYZ52" s="16"/>
      <c r="CZA52" s="16"/>
      <c r="CZB52" s="16"/>
      <c r="CZC52" s="16"/>
      <c r="CZD52" s="16"/>
      <c r="CZE52" s="16"/>
      <c r="CZF52" s="16"/>
      <c r="CZG52" s="16"/>
      <c r="CZH52" s="16"/>
      <c r="CZI52" s="16"/>
      <c r="CZJ52" s="16"/>
      <c r="CZK52" s="16"/>
      <c r="CZL52" s="16"/>
      <c r="CZM52" s="16"/>
      <c r="CZN52" s="16"/>
      <c r="CZO52" s="16"/>
      <c r="CZP52" s="16"/>
      <c r="CZQ52" s="16"/>
      <c r="CZR52" s="16"/>
      <c r="CZS52" s="16"/>
      <c r="CZT52" s="16"/>
      <c r="CZU52" s="16"/>
      <c r="CZV52" s="16"/>
      <c r="CZW52" s="16"/>
      <c r="CZX52" s="16"/>
      <c r="CZY52" s="16"/>
      <c r="CZZ52" s="16"/>
      <c r="DAA52" s="16"/>
      <c r="DAB52" s="16"/>
      <c r="DAC52" s="16"/>
      <c r="DAD52" s="16"/>
      <c r="DAE52" s="16"/>
      <c r="DAF52" s="16"/>
      <c r="DAG52" s="16"/>
      <c r="DAH52" s="16"/>
      <c r="DAI52" s="16"/>
      <c r="DAJ52" s="16"/>
      <c r="DAK52" s="16"/>
      <c r="DAL52" s="16"/>
      <c r="DAM52" s="16"/>
      <c r="DAN52" s="16"/>
      <c r="DAO52" s="16"/>
      <c r="DAP52" s="16"/>
      <c r="DAQ52" s="16"/>
      <c r="DAR52" s="16"/>
      <c r="DAS52" s="16"/>
      <c r="DAT52" s="16"/>
      <c r="DAU52" s="16"/>
      <c r="DAV52" s="16"/>
      <c r="DAW52" s="16"/>
      <c r="DAX52" s="16"/>
      <c r="DAY52" s="16"/>
      <c r="DAZ52" s="16"/>
      <c r="DBA52" s="16"/>
      <c r="DBB52" s="16"/>
      <c r="DBC52" s="16"/>
      <c r="DBD52" s="16"/>
      <c r="DBE52" s="16"/>
      <c r="DBF52" s="16"/>
      <c r="DBG52" s="16"/>
      <c r="DBH52" s="16"/>
      <c r="DBI52" s="16"/>
      <c r="DBJ52" s="16"/>
      <c r="DBK52" s="16"/>
      <c r="DBL52" s="16"/>
      <c r="DBM52" s="16"/>
      <c r="DBN52" s="16"/>
      <c r="DBO52" s="16"/>
      <c r="DBP52" s="16"/>
      <c r="DBQ52" s="16"/>
      <c r="DBR52" s="16"/>
      <c r="DBS52" s="16"/>
      <c r="DBT52" s="16"/>
      <c r="DBU52" s="16"/>
      <c r="DBV52" s="16"/>
      <c r="DBW52" s="16"/>
      <c r="DBX52" s="16"/>
      <c r="DBY52" s="16"/>
      <c r="DBZ52" s="16"/>
      <c r="DCA52" s="16"/>
      <c r="DCB52" s="16"/>
      <c r="DCC52" s="16"/>
      <c r="DCD52" s="16"/>
      <c r="DCE52" s="16"/>
      <c r="DCF52" s="16"/>
      <c r="DCG52" s="16"/>
      <c r="DCH52" s="16"/>
      <c r="DCI52" s="16"/>
      <c r="DCJ52" s="16"/>
      <c r="DCK52" s="16"/>
      <c r="DCL52" s="16"/>
      <c r="DCM52" s="16"/>
      <c r="DCN52" s="16"/>
      <c r="DCO52" s="16"/>
      <c r="DCP52" s="16"/>
      <c r="DCQ52" s="16"/>
      <c r="DCR52" s="16"/>
      <c r="DCS52" s="16"/>
      <c r="DCT52" s="16"/>
      <c r="DCU52" s="16"/>
      <c r="DCV52" s="16"/>
      <c r="DCW52" s="16"/>
      <c r="DCX52" s="16"/>
      <c r="DCY52" s="16"/>
      <c r="DCZ52" s="16"/>
      <c r="DDA52" s="16"/>
      <c r="DDB52" s="16"/>
      <c r="DDC52" s="16"/>
      <c r="DDD52" s="16"/>
      <c r="DDE52" s="16"/>
      <c r="DDF52" s="16"/>
      <c r="DDG52" s="16"/>
      <c r="DDH52" s="16"/>
      <c r="DDI52" s="16"/>
      <c r="DDJ52" s="16"/>
      <c r="DDK52" s="16"/>
      <c r="DDL52" s="16"/>
      <c r="DDM52" s="16"/>
      <c r="DDN52" s="16"/>
      <c r="DDO52" s="16"/>
      <c r="DDP52" s="16"/>
      <c r="DDQ52" s="16"/>
      <c r="DDR52" s="16"/>
      <c r="DDS52" s="16"/>
      <c r="DDT52" s="16"/>
      <c r="DDU52" s="16"/>
      <c r="DDV52" s="16"/>
      <c r="DDW52" s="16"/>
      <c r="DDX52" s="16"/>
      <c r="DDY52" s="16"/>
      <c r="DDZ52" s="16"/>
      <c r="DEA52" s="16"/>
      <c r="DEB52" s="16"/>
      <c r="DEC52" s="16"/>
      <c r="DED52" s="16"/>
      <c r="DEE52" s="16"/>
      <c r="DEF52" s="16"/>
      <c r="DEG52" s="16"/>
      <c r="DEH52" s="16"/>
      <c r="DEI52" s="16"/>
      <c r="DEJ52" s="16"/>
      <c r="DEK52" s="16"/>
      <c r="DEL52" s="16"/>
      <c r="DEM52" s="16"/>
      <c r="DEN52" s="16"/>
      <c r="DEO52" s="16"/>
      <c r="DEP52" s="16"/>
      <c r="DEQ52" s="16"/>
      <c r="DER52" s="16"/>
      <c r="DES52" s="16"/>
      <c r="DET52" s="16"/>
      <c r="DEU52" s="16"/>
      <c r="DEV52" s="16"/>
      <c r="DEW52" s="16"/>
      <c r="DEX52" s="16"/>
      <c r="DEY52" s="16"/>
      <c r="DEZ52" s="16"/>
      <c r="DFA52" s="16"/>
      <c r="DFB52" s="16"/>
      <c r="DFC52" s="16"/>
      <c r="DFD52" s="16"/>
      <c r="DFE52" s="16"/>
      <c r="DFF52" s="16"/>
      <c r="DFG52" s="16"/>
      <c r="DFH52" s="16"/>
      <c r="DFI52" s="16"/>
      <c r="DFJ52" s="16"/>
      <c r="DFK52" s="16"/>
      <c r="DFL52" s="16"/>
      <c r="DFM52" s="16"/>
      <c r="DFN52" s="16"/>
      <c r="DFO52" s="16"/>
      <c r="DFP52" s="16"/>
      <c r="DFQ52" s="16"/>
      <c r="DFR52" s="16"/>
      <c r="DFS52" s="16"/>
      <c r="DFT52" s="16"/>
      <c r="DFU52" s="16"/>
      <c r="DFV52" s="16"/>
      <c r="DFW52" s="16"/>
      <c r="DFX52" s="16"/>
      <c r="DFY52" s="16"/>
      <c r="DFZ52" s="16"/>
      <c r="DGA52" s="16"/>
      <c r="DGB52" s="16"/>
      <c r="DGC52" s="16"/>
      <c r="DGD52" s="16"/>
      <c r="DGE52" s="16"/>
      <c r="DGF52" s="16"/>
      <c r="DGG52" s="16"/>
      <c r="DGH52" s="16"/>
      <c r="DGI52" s="16"/>
      <c r="DGJ52" s="16"/>
      <c r="DGK52" s="16"/>
      <c r="DGL52" s="16"/>
      <c r="DGM52" s="16"/>
      <c r="DGN52" s="16"/>
      <c r="DGO52" s="16"/>
      <c r="DGP52" s="16"/>
      <c r="DGQ52" s="16"/>
      <c r="DGR52" s="16"/>
      <c r="DGS52" s="16"/>
      <c r="DGT52" s="16"/>
      <c r="DGU52" s="16"/>
      <c r="DGV52" s="16"/>
      <c r="DGW52" s="16"/>
      <c r="DGX52" s="16"/>
      <c r="DGY52" s="16"/>
      <c r="DGZ52" s="16"/>
      <c r="DHA52" s="16"/>
      <c r="DHB52" s="16"/>
      <c r="DHC52" s="16"/>
      <c r="DHD52" s="16"/>
      <c r="DHE52" s="16"/>
      <c r="DHF52" s="16"/>
      <c r="DHG52" s="16"/>
      <c r="DHH52" s="16"/>
      <c r="DHI52" s="16"/>
      <c r="DHJ52" s="16"/>
      <c r="DHK52" s="16"/>
      <c r="DHL52" s="16"/>
      <c r="DHM52" s="16"/>
      <c r="DHN52" s="16"/>
      <c r="DHO52" s="16"/>
      <c r="DHP52" s="16"/>
      <c r="DHQ52" s="16"/>
      <c r="DHR52" s="16"/>
      <c r="DHS52" s="16"/>
      <c r="DHT52" s="16"/>
      <c r="DHU52" s="16"/>
      <c r="DHV52" s="16"/>
      <c r="DHW52" s="16"/>
      <c r="DHX52" s="16"/>
      <c r="DHY52" s="16"/>
      <c r="DHZ52" s="16"/>
      <c r="DIA52" s="16"/>
      <c r="DIB52" s="16"/>
      <c r="DIC52" s="16"/>
      <c r="DID52" s="16"/>
      <c r="DIE52" s="16"/>
      <c r="DIF52" s="16"/>
      <c r="DIG52" s="16"/>
      <c r="DIH52" s="16"/>
      <c r="DII52" s="16"/>
      <c r="DIJ52" s="16"/>
      <c r="DIK52" s="16"/>
      <c r="DIL52" s="16"/>
      <c r="DIM52" s="16"/>
      <c r="DIN52" s="16"/>
      <c r="DIO52" s="16"/>
      <c r="DIP52" s="16"/>
      <c r="DIQ52" s="16"/>
      <c r="DIR52" s="16"/>
      <c r="DIS52" s="16"/>
      <c r="DIT52" s="16"/>
      <c r="DIU52" s="16"/>
      <c r="DIV52" s="16"/>
      <c r="DIW52" s="16"/>
      <c r="DIX52" s="16"/>
      <c r="DIY52" s="16"/>
      <c r="DIZ52" s="16"/>
      <c r="DJA52" s="16"/>
      <c r="DJB52" s="16"/>
      <c r="DJC52" s="16"/>
      <c r="DJD52" s="16"/>
      <c r="DJE52" s="16"/>
      <c r="DJF52" s="16"/>
      <c r="DJG52" s="16"/>
      <c r="DJH52" s="16"/>
      <c r="DJI52" s="16"/>
      <c r="DJJ52" s="16"/>
      <c r="DJK52" s="16"/>
      <c r="DJL52" s="16"/>
      <c r="DJM52" s="16"/>
      <c r="DJN52" s="16"/>
      <c r="DJO52" s="16"/>
      <c r="DJP52" s="16"/>
      <c r="DJQ52" s="16"/>
      <c r="DJR52" s="16"/>
      <c r="DJS52" s="16"/>
      <c r="DJT52" s="16"/>
      <c r="DJU52" s="16"/>
      <c r="DJV52" s="16"/>
      <c r="DJW52" s="16"/>
      <c r="DJX52" s="16"/>
      <c r="DJY52" s="16"/>
      <c r="DJZ52" s="16"/>
      <c r="DKA52" s="16"/>
      <c r="DKB52" s="16"/>
      <c r="DKC52" s="16"/>
      <c r="DKD52" s="16"/>
      <c r="DKE52" s="16"/>
      <c r="DKF52" s="16"/>
      <c r="DKG52" s="16"/>
      <c r="DKH52" s="16"/>
      <c r="DKI52" s="16"/>
      <c r="DKJ52" s="16"/>
      <c r="DKK52" s="16"/>
      <c r="DKL52" s="16"/>
      <c r="DKM52" s="16"/>
      <c r="DKN52" s="16"/>
      <c r="DKO52" s="16"/>
      <c r="DKP52" s="16"/>
      <c r="DKQ52" s="16"/>
      <c r="DKR52" s="16"/>
      <c r="DKS52" s="16"/>
      <c r="DKT52" s="16"/>
      <c r="DKU52" s="16"/>
      <c r="DKV52" s="16"/>
      <c r="DKW52" s="16"/>
      <c r="DKX52" s="16"/>
      <c r="DKY52" s="16"/>
      <c r="DKZ52" s="16"/>
      <c r="DLA52" s="16"/>
      <c r="DLB52" s="16"/>
      <c r="DLC52" s="16"/>
      <c r="DLD52" s="16"/>
      <c r="DLE52" s="16"/>
      <c r="DLF52" s="16"/>
      <c r="DLG52" s="16"/>
      <c r="DLH52" s="16"/>
      <c r="DLI52" s="16"/>
      <c r="DLJ52" s="16"/>
      <c r="DLK52" s="16"/>
      <c r="DLL52" s="16"/>
      <c r="DLM52" s="16"/>
      <c r="DLN52" s="16"/>
      <c r="DLO52" s="16"/>
      <c r="DLP52" s="16"/>
      <c r="DLQ52" s="16"/>
      <c r="DLR52" s="16"/>
      <c r="DLS52" s="16"/>
      <c r="DLT52" s="16"/>
      <c r="DLU52" s="16"/>
      <c r="DLV52" s="16"/>
      <c r="DLW52" s="16"/>
      <c r="DLX52" s="16"/>
      <c r="DLY52" s="16"/>
      <c r="DLZ52" s="16"/>
      <c r="DMA52" s="16"/>
      <c r="DMB52" s="16"/>
      <c r="DMC52" s="16"/>
      <c r="DMD52" s="16"/>
      <c r="DME52" s="16"/>
      <c r="DMF52" s="16"/>
      <c r="DMG52" s="16"/>
      <c r="DMH52" s="16"/>
      <c r="DMI52" s="16"/>
      <c r="DMJ52" s="16"/>
      <c r="DMK52" s="16"/>
      <c r="DML52" s="16"/>
      <c r="DMM52" s="16"/>
      <c r="DMN52" s="16"/>
      <c r="DMO52" s="16"/>
      <c r="DMP52" s="16"/>
      <c r="DMQ52" s="16"/>
      <c r="DMR52" s="16"/>
      <c r="DMS52" s="16"/>
      <c r="DMT52" s="16"/>
      <c r="DMU52" s="16"/>
      <c r="DMV52" s="16"/>
      <c r="DMW52" s="16"/>
      <c r="DMX52" s="16"/>
      <c r="DMY52" s="16"/>
      <c r="DMZ52" s="16"/>
      <c r="DNA52" s="16"/>
      <c r="DNB52" s="16"/>
      <c r="DNC52" s="16"/>
      <c r="DND52" s="16"/>
      <c r="DNE52" s="16"/>
      <c r="DNF52" s="16"/>
      <c r="DNG52" s="16"/>
      <c r="DNH52" s="16"/>
      <c r="DNI52" s="16"/>
      <c r="DNJ52" s="16"/>
      <c r="DNK52" s="16"/>
      <c r="DNL52" s="16"/>
      <c r="DNM52" s="16"/>
      <c r="DNN52" s="16"/>
      <c r="DNO52" s="16"/>
      <c r="DNP52" s="16"/>
      <c r="DNQ52" s="16"/>
      <c r="DNR52" s="16"/>
      <c r="DNS52" s="16"/>
      <c r="DNT52" s="16"/>
      <c r="DNU52" s="16"/>
      <c r="DNV52" s="16"/>
      <c r="DNW52" s="16"/>
      <c r="DNX52" s="16"/>
      <c r="DNY52" s="16"/>
      <c r="DNZ52" s="16"/>
      <c r="DOA52" s="16"/>
      <c r="DOB52" s="16"/>
      <c r="DOC52" s="16"/>
      <c r="DOD52" s="16"/>
      <c r="DOE52" s="16"/>
      <c r="DOF52" s="16"/>
      <c r="DOG52" s="16"/>
      <c r="DOH52" s="16"/>
      <c r="DOI52" s="16"/>
      <c r="DOJ52" s="16"/>
      <c r="DOK52" s="16"/>
      <c r="DOL52" s="16"/>
      <c r="DOM52" s="16"/>
      <c r="DON52" s="16"/>
      <c r="DOO52" s="16"/>
      <c r="DOP52" s="16"/>
      <c r="DOQ52" s="16"/>
      <c r="DOR52" s="16"/>
      <c r="DOS52" s="16"/>
      <c r="DOT52" s="16"/>
      <c r="DOU52" s="16"/>
      <c r="DOV52" s="16"/>
      <c r="DOW52" s="16"/>
      <c r="DOX52" s="16"/>
      <c r="DOY52" s="16"/>
      <c r="DOZ52" s="16"/>
      <c r="DPA52" s="16"/>
      <c r="DPB52" s="16"/>
      <c r="DPC52" s="16"/>
      <c r="DPD52" s="16"/>
      <c r="DPE52" s="16"/>
      <c r="DPF52" s="16"/>
      <c r="DPG52" s="16"/>
      <c r="DPH52" s="16"/>
      <c r="DPI52" s="16"/>
      <c r="DPJ52" s="16"/>
      <c r="DPK52" s="16"/>
      <c r="DPL52" s="16"/>
      <c r="DPM52" s="16"/>
      <c r="DPN52" s="16"/>
      <c r="DPO52" s="16"/>
      <c r="DPP52" s="16"/>
      <c r="DPQ52" s="16"/>
      <c r="DPR52" s="16"/>
      <c r="DPS52" s="16"/>
      <c r="DPT52" s="16"/>
      <c r="DPU52" s="16"/>
      <c r="DPV52" s="16"/>
      <c r="DPW52" s="16"/>
      <c r="DPX52" s="16"/>
      <c r="DPY52" s="16"/>
      <c r="DPZ52" s="16"/>
      <c r="DQA52" s="16"/>
      <c r="DQB52" s="16"/>
      <c r="DQC52" s="16"/>
      <c r="DQD52" s="16"/>
      <c r="DQE52" s="16"/>
      <c r="DQF52" s="16"/>
      <c r="DQG52" s="16"/>
      <c r="DQH52" s="16"/>
      <c r="DQI52" s="16"/>
      <c r="DQJ52" s="16"/>
      <c r="DQK52" s="16"/>
      <c r="DQL52" s="16"/>
      <c r="DQM52" s="16"/>
      <c r="DQN52" s="16"/>
      <c r="DQO52" s="16"/>
      <c r="DQP52" s="16"/>
      <c r="DQQ52" s="16"/>
      <c r="DQR52" s="16"/>
      <c r="DQS52" s="16"/>
      <c r="DQT52" s="16"/>
      <c r="DQU52" s="16"/>
      <c r="DQV52" s="16"/>
      <c r="DQW52" s="16"/>
      <c r="DQX52" s="16"/>
      <c r="DQY52" s="16"/>
      <c r="DQZ52" s="16"/>
      <c r="DRA52" s="16"/>
      <c r="DRB52" s="16"/>
      <c r="DRC52" s="16"/>
      <c r="DRD52" s="16"/>
      <c r="DRE52" s="16"/>
      <c r="DRF52" s="16"/>
      <c r="DRG52" s="16"/>
      <c r="DRH52" s="16"/>
      <c r="DRI52" s="16"/>
      <c r="DRJ52" s="16"/>
      <c r="DRK52" s="16"/>
      <c r="DRL52" s="16"/>
      <c r="DRM52" s="16"/>
      <c r="DRN52" s="16"/>
      <c r="DRO52" s="16"/>
      <c r="DRP52" s="16"/>
      <c r="DRQ52" s="16"/>
      <c r="DRR52" s="16"/>
      <c r="DRS52" s="16"/>
      <c r="DRT52" s="16"/>
      <c r="DRU52" s="16"/>
      <c r="DRV52" s="16"/>
      <c r="DRW52" s="16"/>
      <c r="DRX52" s="16"/>
      <c r="DRY52" s="16"/>
      <c r="DRZ52" s="16"/>
      <c r="DSA52" s="16"/>
      <c r="DSB52" s="16"/>
      <c r="DSC52" s="16"/>
      <c r="DSD52" s="16"/>
      <c r="DSE52" s="16"/>
      <c r="DSF52" s="16"/>
      <c r="DSG52" s="16"/>
      <c r="DSH52" s="16"/>
      <c r="DSI52" s="16"/>
      <c r="DSJ52" s="16"/>
      <c r="DSK52" s="16"/>
      <c r="DSL52" s="16"/>
      <c r="DSM52" s="16"/>
      <c r="DSN52" s="16"/>
      <c r="DSO52" s="16"/>
      <c r="DSP52" s="16"/>
      <c r="DSQ52" s="16"/>
      <c r="DSR52" s="16"/>
      <c r="DSS52" s="16"/>
      <c r="DST52" s="16"/>
      <c r="DSU52" s="16"/>
      <c r="DSV52" s="16"/>
      <c r="DSW52" s="16"/>
      <c r="DSX52" s="16"/>
      <c r="DSY52" s="16"/>
      <c r="DSZ52" s="16"/>
      <c r="DTA52" s="16"/>
      <c r="DTB52" s="16"/>
      <c r="DTC52" s="16"/>
      <c r="DTD52" s="16"/>
      <c r="DTE52" s="16"/>
      <c r="DTF52" s="16"/>
      <c r="DTG52" s="16"/>
      <c r="DTH52" s="16"/>
      <c r="DTI52" s="16"/>
      <c r="DTJ52" s="16"/>
      <c r="DTK52" s="16"/>
      <c r="DTL52" s="16"/>
      <c r="DTM52" s="16"/>
      <c r="DTN52" s="16"/>
      <c r="DTO52" s="16"/>
      <c r="DTP52" s="16"/>
      <c r="DTQ52" s="16"/>
      <c r="DTR52" s="16"/>
      <c r="DTS52" s="16"/>
      <c r="DTT52" s="16"/>
      <c r="DTU52" s="16"/>
      <c r="DTV52" s="16"/>
      <c r="DTW52" s="16"/>
      <c r="DTX52" s="16"/>
      <c r="DTY52" s="16"/>
      <c r="DTZ52" s="16"/>
      <c r="DUA52" s="16"/>
      <c r="DUB52" s="16"/>
      <c r="DUC52" s="16"/>
      <c r="DUD52" s="16"/>
      <c r="DUE52" s="16"/>
      <c r="DUF52" s="16"/>
      <c r="DUG52" s="16"/>
      <c r="DUH52" s="16"/>
      <c r="DUI52" s="16"/>
      <c r="DUJ52" s="16"/>
      <c r="DUK52" s="16"/>
      <c r="DUL52" s="16"/>
      <c r="DUM52" s="16"/>
      <c r="DUN52" s="16"/>
      <c r="DUO52" s="16"/>
      <c r="DUP52" s="16"/>
      <c r="DUQ52" s="16"/>
      <c r="DUR52" s="16"/>
      <c r="DUS52" s="16"/>
      <c r="DUT52" s="16"/>
      <c r="DUU52" s="16"/>
      <c r="DUV52" s="16"/>
      <c r="DUW52" s="16"/>
      <c r="DUX52" s="16"/>
      <c r="DUY52" s="16"/>
      <c r="DUZ52" s="16"/>
      <c r="DVA52" s="16"/>
      <c r="DVB52" s="16"/>
      <c r="DVC52" s="16"/>
      <c r="DVD52" s="16"/>
      <c r="DVE52" s="16"/>
      <c r="DVF52" s="16"/>
      <c r="DVG52" s="16"/>
      <c r="DVH52" s="16"/>
      <c r="DVI52" s="16"/>
      <c r="DVJ52" s="16"/>
      <c r="DVK52" s="16"/>
      <c r="DVL52" s="16"/>
      <c r="DVM52" s="16"/>
      <c r="DVN52" s="16"/>
      <c r="DVO52" s="16"/>
      <c r="DVP52" s="16"/>
      <c r="DVQ52" s="16"/>
      <c r="DVR52" s="16"/>
      <c r="DVS52" s="16"/>
      <c r="DVT52" s="16"/>
      <c r="DVU52" s="16"/>
      <c r="DVV52" s="16"/>
      <c r="DVW52" s="16"/>
      <c r="DVX52" s="16"/>
      <c r="DVY52" s="16"/>
      <c r="DVZ52" s="16"/>
      <c r="DWA52" s="16"/>
      <c r="DWB52" s="16"/>
      <c r="DWC52" s="16"/>
      <c r="DWD52" s="16"/>
      <c r="DWE52" s="16"/>
      <c r="DWF52" s="16"/>
      <c r="DWG52" s="16"/>
      <c r="DWH52" s="16"/>
      <c r="DWI52" s="16"/>
      <c r="DWJ52" s="16"/>
      <c r="DWK52" s="16"/>
      <c r="DWL52" s="16"/>
      <c r="DWM52" s="16"/>
      <c r="DWN52" s="16"/>
      <c r="DWO52" s="16"/>
      <c r="DWP52" s="16"/>
      <c r="DWQ52" s="16"/>
      <c r="DWR52" s="16"/>
      <c r="DWS52" s="16"/>
      <c r="DWT52" s="16"/>
      <c r="DWU52" s="16"/>
      <c r="DWV52" s="16"/>
      <c r="DWW52" s="16"/>
      <c r="DWX52" s="16"/>
      <c r="DWY52" s="16"/>
      <c r="DWZ52" s="16"/>
      <c r="DXA52" s="16"/>
      <c r="DXB52" s="16"/>
      <c r="DXC52" s="16"/>
      <c r="DXD52" s="16"/>
      <c r="DXE52" s="16"/>
      <c r="DXF52" s="16"/>
      <c r="DXG52" s="16"/>
      <c r="DXH52" s="16"/>
      <c r="DXI52" s="16"/>
      <c r="DXJ52" s="16"/>
      <c r="DXK52" s="16"/>
      <c r="DXL52" s="16"/>
      <c r="DXM52" s="16"/>
      <c r="DXN52" s="16"/>
      <c r="DXO52" s="16"/>
      <c r="DXP52" s="16"/>
      <c r="DXQ52" s="16"/>
      <c r="DXR52" s="16"/>
      <c r="DXS52" s="16"/>
      <c r="DXT52" s="16"/>
      <c r="DXU52" s="16"/>
      <c r="DXV52" s="16"/>
      <c r="DXW52" s="16"/>
      <c r="DXX52" s="16"/>
      <c r="DXY52" s="16"/>
      <c r="DXZ52" s="16"/>
      <c r="DYA52" s="16"/>
      <c r="DYB52" s="16"/>
      <c r="DYC52" s="16"/>
      <c r="DYD52" s="16"/>
      <c r="DYE52" s="16"/>
      <c r="DYF52" s="16"/>
      <c r="DYG52" s="16"/>
      <c r="DYH52" s="16"/>
      <c r="DYI52" s="16"/>
      <c r="DYJ52" s="16"/>
      <c r="DYK52" s="16"/>
      <c r="DYL52" s="16"/>
      <c r="DYM52" s="16"/>
      <c r="DYN52" s="16"/>
      <c r="DYO52" s="16"/>
      <c r="DYP52" s="16"/>
      <c r="DYQ52" s="16"/>
      <c r="DYR52" s="16"/>
      <c r="DYS52" s="16"/>
      <c r="DYT52" s="16"/>
      <c r="DYU52" s="16"/>
      <c r="DYV52" s="16"/>
      <c r="DYW52" s="16"/>
      <c r="DYX52" s="16"/>
      <c r="DYY52" s="16"/>
      <c r="DYZ52" s="16"/>
      <c r="DZA52" s="16"/>
      <c r="DZB52" s="16"/>
      <c r="DZC52" s="16"/>
      <c r="DZD52" s="16"/>
      <c r="DZE52" s="16"/>
      <c r="DZF52" s="16"/>
      <c r="DZG52" s="16"/>
      <c r="DZH52" s="16"/>
      <c r="DZI52" s="16"/>
      <c r="DZJ52" s="16"/>
      <c r="DZK52" s="16"/>
      <c r="DZL52" s="16"/>
      <c r="DZM52" s="16"/>
      <c r="DZN52" s="16"/>
      <c r="DZO52" s="16"/>
      <c r="DZP52" s="16"/>
      <c r="DZQ52" s="16"/>
      <c r="DZR52" s="16"/>
      <c r="DZS52" s="16"/>
      <c r="DZT52" s="16"/>
      <c r="DZU52" s="16"/>
      <c r="DZV52" s="16"/>
      <c r="DZW52" s="16"/>
      <c r="DZX52" s="16"/>
      <c r="DZY52" s="16"/>
      <c r="DZZ52" s="16"/>
      <c r="EAA52" s="16"/>
      <c r="EAB52" s="16"/>
      <c r="EAC52" s="16"/>
      <c r="EAD52" s="16"/>
      <c r="EAE52" s="16"/>
      <c r="EAF52" s="16"/>
      <c r="EAG52" s="16"/>
      <c r="EAH52" s="16"/>
      <c r="EAI52" s="16"/>
      <c r="EAJ52" s="16"/>
      <c r="EAK52" s="16"/>
      <c r="EAL52" s="16"/>
      <c r="EAM52" s="16"/>
      <c r="EAN52" s="16"/>
      <c r="EAO52" s="16"/>
      <c r="EAP52" s="16"/>
      <c r="EAQ52" s="16"/>
      <c r="EAR52" s="16"/>
      <c r="EAS52" s="16"/>
      <c r="EAT52" s="16"/>
      <c r="EAU52" s="16"/>
      <c r="EAV52" s="16"/>
      <c r="EAW52" s="16"/>
      <c r="EAX52" s="16"/>
      <c r="EAY52" s="16"/>
      <c r="EAZ52" s="16"/>
      <c r="EBA52" s="16"/>
      <c r="EBB52" s="16"/>
      <c r="EBC52" s="16"/>
      <c r="EBD52" s="16"/>
      <c r="EBE52" s="16"/>
      <c r="EBF52" s="16"/>
      <c r="EBG52" s="16"/>
      <c r="EBH52" s="16"/>
      <c r="EBI52" s="16"/>
      <c r="EBJ52" s="16"/>
      <c r="EBK52" s="16"/>
      <c r="EBL52" s="16"/>
      <c r="EBM52" s="16"/>
      <c r="EBN52" s="16"/>
      <c r="EBO52" s="16"/>
      <c r="EBP52" s="16"/>
      <c r="EBQ52" s="16"/>
      <c r="EBR52" s="16"/>
      <c r="EBS52" s="16"/>
      <c r="EBT52" s="16"/>
      <c r="EBU52" s="16"/>
      <c r="EBV52" s="16"/>
      <c r="EBW52" s="16"/>
      <c r="EBX52" s="16"/>
      <c r="EBY52" s="16"/>
      <c r="EBZ52" s="16"/>
      <c r="ECA52" s="16"/>
      <c r="ECB52" s="16"/>
      <c r="ECC52" s="16"/>
      <c r="ECD52" s="16"/>
      <c r="ECE52" s="16"/>
      <c r="ECF52" s="16"/>
      <c r="ECG52" s="16"/>
      <c r="ECH52" s="16"/>
      <c r="ECI52" s="16"/>
      <c r="ECJ52" s="16"/>
      <c r="ECK52" s="16"/>
      <c r="ECL52" s="16"/>
      <c r="ECM52" s="16"/>
      <c r="ECN52" s="16"/>
      <c r="ECO52" s="16"/>
      <c r="ECP52" s="16"/>
      <c r="ECQ52" s="16"/>
      <c r="ECR52" s="16"/>
      <c r="ECS52" s="16"/>
      <c r="ECT52" s="16"/>
      <c r="ECU52" s="16"/>
      <c r="ECV52" s="16"/>
      <c r="ECW52" s="16"/>
      <c r="ECX52" s="16"/>
      <c r="ECY52" s="16"/>
      <c r="ECZ52" s="16"/>
      <c r="EDA52" s="16"/>
      <c r="EDB52" s="16"/>
      <c r="EDC52" s="16"/>
      <c r="EDD52" s="16"/>
      <c r="EDE52" s="16"/>
      <c r="EDF52" s="16"/>
      <c r="EDG52" s="16"/>
      <c r="EDH52" s="16"/>
      <c r="EDI52" s="16"/>
      <c r="EDJ52" s="16"/>
      <c r="EDK52" s="16"/>
      <c r="EDL52" s="16"/>
      <c r="EDM52" s="16"/>
      <c r="EDN52" s="16"/>
      <c r="EDO52" s="16"/>
      <c r="EDP52" s="16"/>
      <c r="EDQ52" s="16"/>
      <c r="EDR52" s="16"/>
      <c r="EDS52" s="16"/>
      <c r="EDT52" s="16"/>
      <c r="EDU52" s="16"/>
      <c r="EDV52" s="16"/>
      <c r="EDW52" s="16"/>
      <c r="EDX52" s="16"/>
      <c r="EDY52" s="16"/>
      <c r="EDZ52" s="16"/>
      <c r="EEA52" s="16"/>
      <c r="EEB52" s="16"/>
      <c r="EEC52" s="16"/>
      <c r="EED52" s="16"/>
      <c r="EEE52" s="16"/>
      <c r="EEF52" s="16"/>
      <c r="EEG52" s="16"/>
      <c r="EEH52" s="16"/>
      <c r="EEI52" s="16"/>
      <c r="EEJ52" s="16"/>
      <c r="EEK52" s="16"/>
      <c r="EEL52" s="16"/>
      <c r="EEM52" s="16"/>
      <c r="EEN52" s="16"/>
      <c r="EEO52" s="16"/>
      <c r="EEP52" s="16"/>
      <c r="EEQ52" s="16"/>
      <c r="EER52" s="16"/>
      <c r="EES52" s="16"/>
      <c r="EET52" s="16"/>
      <c r="EEU52" s="16"/>
      <c r="EEV52" s="16"/>
      <c r="EEW52" s="16"/>
      <c r="EEX52" s="16"/>
      <c r="EEY52" s="16"/>
      <c r="EEZ52" s="16"/>
      <c r="EFA52" s="16"/>
      <c r="EFB52" s="16"/>
      <c r="EFC52" s="16"/>
      <c r="EFD52" s="16"/>
      <c r="EFE52" s="16"/>
      <c r="EFF52" s="16"/>
      <c r="EFG52" s="16"/>
      <c r="EFH52" s="16"/>
      <c r="EFI52" s="16"/>
      <c r="EFJ52" s="16"/>
      <c r="EFK52" s="16"/>
      <c r="EFL52" s="16"/>
      <c r="EFM52" s="16"/>
      <c r="EFN52" s="16"/>
      <c r="EFO52" s="16"/>
      <c r="EFP52" s="16"/>
      <c r="EFQ52" s="16"/>
      <c r="EFR52" s="16"/>
      <c r="EFS52" s="16"/>
      <c r="EFT52" s="16"/>
      <c r="EFU52" s="16"/>
      <c r="EFV52" s="16"/>
      <c r="EFW52" s="16"/>
      <c r="EFX52" s="16"/>
      <c r="EFY52" s="16"/>
      <c r="EFZ52" s="16"/>
      <c r="EGA52" s="16"/>
      <c r="EGB52" s="16"/>
      <c r="EGC52" s="16"/>
      <c r="EGD52" s="16"/>
      <c r="EGE52" s="16"/>
      <c r="EGF52" s="16"/>
      <c r="EGG52" s="16"/>
      <c r="EGH52" s="16"/>
      <c r="EGI52" s="16"/>
      <c r="EGJ52" s="16"/>
      <c r="EGK52" s="16"/>
      <c r="EGL52" s="16"/>
      <c r="EGM52" s="16"/>
      <c r="EGN52" s="16"/>
      <c r="EGO52" s="16"/>
      <c r="EGP52" s="16"/>
      <c r="EGQ52" s="16"/>
      <c r="EGR52" s="16"/>
      <c r="EGS52" s="16"/>
      <c r="EGT52" s="16"/>
      <c r="EGU52" s="16"/>
      <c r="EGV52" s="16"/>
      <c r="EGW52" s="16"/>
      <c r="EGX52" s="16"/>
      <c r="EGY52" s="16"/>
      <c r="EGZ52" s="16"/>
      <c r="EHA52" s="16"/>
      <c r="EHB52" s="16"/>
      <c r="EHC52" s="16"/>
      <c r="EHD52" s="16"/>
      <c r="EHE52" s="16"/>
      <c r="EHF52" s="16"/>
      <c r="EHG52" s="16"/>
      <c r="EHH52" s="16"/>
      <c r="EHI52" s="16"/>
      <c r="EHJ52" s="16"/>
      <c r="EHK52" s="16"/>
      <c r="EHL52" s="16"/>
      <c r="EHM52" s="16"/>
      <c r="EHN52" s="16"/>
      <c r="EHO52" s="16"/>
      <c r="EHP52" s="16"/>
      <c r="EHQ52" s="16"/>
      <c r="EHR52" s="16"/>
      <c r="EHS52" s="16"/>
      <c r="EHT52" s="16"/>
      <c r="EHU52" s="16"/>
      <c r="EHV52" s="16"/>
      <c r="EHW52" s="16"/>
      <c r="EHX52" s="16"/>
      <c r="EHY52" s="16"/>
      <c r="EHZ52" s="16"/>
      <c r="EIA52" s="16"/>
      <c r="EIB52" s="16"/>
      <c r="EIC52" s="16"/>
      <c r="EID52" s="16"/>
      <c r="EIE52" s="16"/>
      <c r="EIF52" s="16"/>
      <c r="EIG52" s="16"/>
      <c r="EIH52" s="16"/>
      <c r="EII52" s="16"/>
      <c r="EIJ52" s="16"/>
      <c r="EIK52" s="16"/>
      <c r="EIL52" s="16"/>
      <c r="EIM52" s="16"/>
      <c r="EIN52" s="16"/>
      <c r="EIO52" s="16"/>
      <c r="EIP52" s="16"/>
      <c r="EIQ52" s="16"/>
      <c r="EIR52" s="16"/>
      <c r="EIS52" s="16"/>
      <c r="EIT52" s="16"/>
      <c r="EIU52" s="16"/>
      <c r="EIV52" s="16"/>
      <c r="EIW52" s="16"/>
      <c r="EIX52" s="16"/>
      <c r="EIY52" s="16"/>
      <c r="EIZ52" s="16"/>
      <c r="EJA52" s="16"/>
      <c r="EJB52" s="16"/>
      <c r="EJC52" s="16"/>
      <c r="EJD52" s="16"/>
      <c r="EJE52" s="16"/>
      <c r="EJF52" s="16"/>
      <c r="EJG52" s="16"/>
      <c r="EJH52" s="16"/>
      <c r="EJI52" s="16"/>
      <c r="EJJ52" s="16"/>
      <c r="EJK52" s="16"/>
      <c r="EJL52" s="16"/>
      <c r="EJM52" s="16"/>
      <c r="EJN52" s="16"/>
      <c r="EJO52" s="16"/>
      <c r="EJP52" s="16"/>
      <c r="EJQ52" s="16"/>
      <c r="EJR52" s="16"/>
      <c r="EJS52" s="16"/>
      <c r="EJT52" s="16"/>
      <c r="EJU52" s="16"/>
      <c r="EJV52" s="16"/>
      <c r="EJW52" s="16"/>
      <c r="EJX52" s="16"/>
      <c r="EJY52" s="16"/>
      <c r="EJZ52" s="16"/>
      <c r="EKA52" s="16"/>
      <c r="EKB52" s="16"/>
      <c r="EKC52" s="16"/>
      <c r="EKD52" s="16"/>
      <c r="EKE52" s="16"/>
      <c r="EKF52" s="16"/>
      <c r="EKG52" s="16"/>
      <c r="EKH52" s="16"/>
      <c r="EKI52" s="16"/>
      <c r="EKJ52" s="16"/>
      <c r="EKK52" s="16"/>
      <c r="EKL52" s="16"/>
      <c r="EKM52" s="16"/>
      <c r="EKN52" s="16"/>
      <c r="EKO52" s="16"/>
      <c r="EKP52" s="16"/>
      <c r="EKQ52" s="16"/>
      <c r="EKR52" s="16"/>
      <c r="EKS52" s="16"/>
      <c r="EKT52" s="16"/>
      <c r="EKU52" s="16"/>
      <c r="EKV52" s="16"/>
      <c r="EKW52" s="16"/>
      <c r="EKX52" s="16"/>
      <c r="EKY52" s="16"/>
      <c r="EKZ52" s="16"/>
      <c r="ELA52" s="16"/>
      <c r="ELB52" s="16"/>
      <c r="ELC52" s="16"/>
      <c r="ELD52" s="16"/>
      <c r="ELE52" s="16"/>
      <c r="ELF52" s="16"/>
      <c r="ELG52" s="16"/>
      <c r="ELH52" s="16"/>
      <c r="ELI52" s="16"/>
      <c r="ELJ52" s="16"/>
      <c r="ELK52" s="16"/>
      <c r="ELL52" s="16"/>
      <c r="ELM52" s="16"/>
      <c r="ELN52" s="16"/>
      <c r="ELO52" s="16"/>
      <c r="ELP52" s="16"/>
      <c r="ELQ52" s="16"/>
      <c r="ELR52" s="16"/>
      <c r="ELS52" s="16"/>
      <c r="ELT52" s="16"/>
      <c r="ELU52" s="16"/>
      <c r="ELV52" s="16"/>
      <c r="ELW52" s="16"/>
      <c r="ELX52" s="16"/>
      <c r="ELY52" s="16"/>
      <c r="ELZ52" s="16"/>
      <c r="EMA52" s="16"/>
      <c r="EMB52" s="16"/>
      <c r="EMC52" s="16"/>
      <c r="EMD52" s="16"/>
      <c r="EME52" s="16"/>
      <c r="EMF52" s="16"/>
      <c r="EMG52" s="16"/>
      <c r="EMH52" s="16"/>
      <c r="EMI52" s="16"/>
      <c r="EMJ52" s="16"/>
      <c r="EMK52" s="16"/>
      <c r="EML52" s="16"/>
      <c r="EMM52" s="16"/>
      <c r="EMN52" s="16"/>
      <c r="EMO52" s="16"/>
      <c r="EMP52" s="16"/>
      <c r="EMQ52" s="16"/>
      <c r="EMR52" s="16"/>
      <c r="EMS52" s="16"/>
      <c r="EMT52" s="16"/>
      <c r="EMU52" s="16"/>
      <c r="EMV52" s="16"/>
      <c r="EMW52" s="16"/>
      <c r="EMX52" s="16"/>
      <c r="EMY52" s="16"/>
      <c r="EMZ52" s="16"/>
      <c r="ENA52" s="16"/>
      <c r="ENB52" s="16"/>
      <c r="ENC52" s="16"/>
      <c r="END52" s="16"/>
      <c r="ENE52" s="16"/>
      <c r="ENF52" s="16"/>
      <c r="ENG52" s="16"/>
      <c r="ENH52" s="16"/>
      <c r="ENI52" s="16"/>
      <c r="ENJ52" s="16"/>
      <c r="ENK52" s="16"/>
      <c r="ENL52" s="16"/>
      <c r="ENM52" s="16"/>
      <c r="ENN52" s="16"/>
      <c r="ENO52" s="16"/>
      <c r="ENP52" s="16"/>
      <c r="ENQ52" s="16"/>
      <c r="ENR52" s="16"/>
      <c r="ENS52" s="16"/>
      <c r="ENT52" s="16"/>
      <c r="ENU52" s="16"/>
      <c r="ENV52" s="16"/>
      <c r="ENW52" s="16"/>
      <c r="ENX52" s="16"/>
      <c r="ENY52" s="16"/>
      <c r="ENZ52" s="16"/>
      <c r="EOA52" s="16"/>
      <c r="EOB52" s="16"/>
      <c r="EOC52" s="16"/>
      <c r="EOD52" s="16"/>
      <c r="EOE52" s="16"/>
      <c r="EOF52" s="16"/>
      <c r="EOG52" s="16"/>
      <c r="EOH52" s="16"/>
      <c r="EOI52" s="16"/>
      <c r="EOJ52" s="16"/>
      <c r="EOK52" s="16"/>
      <c r="EOL52" s="16"/>
      <c r="EOM52" s="16"/>
      <c r="EON52" s="16"/>
      <c r="EOO52" s="16"/>
      <c r="EOP52" s="16"/>
      <c r="EOQ52" s="16"/>
      <c r="EOR52" s="16"/>
      <c r="EOS52" s="16"/>
      <c r="EOT52" s="16"/>
      <c r="EOU52" s="16"/>
      <c r="EOV52" s="16"/>
      <c r="EOW52" s="16"/>
      <c r="EOX52" s="16"/>
      <c r="EOY52" s="16"/>
      <c r="EOZ52" s="16"/>
      <c r="EPA52" s="16"/>
      <c r="EPB52" s="16"/>
      <c r="EPC52" s="16"/>
      <c r="EPD52" s="16"/>
      <c r="EPE52" s="16"/>
      <c r="EPF52" s="16"/>
      <c r="EPG52" s="16"/>
      <c r="EPH52" s="16"/>
      <c r="EPI52" s="16"/>
      <c r="EPJ52" s="16"/>
      <c r="EPK52" s="16"/>
      <c r="EPL52" s="16"/>
      <c r="EPM52" s="16"/>
      <c r="EPN52" s="16"/>
      <c r="EPO52" s="16"/>
      <c r="EPP52" s="16"/>
      <c r="EPQ52" s="16"/>
      <c r="EPR52" s="16"/>
      <c r="EPS52" s="16"/>
      <c r="EPT52" s="16"/>
      <c r="EPU52" s="16"/>
      <c r="EPV52" s="16"/>
      <c r="EPW52" s="16"/>
      <c r="EPX52" s="16"/>
      <c r="EPY52" s="16"/>
      <c r="EPZ52" s="16"/>
      <c r="EQA52" s="16"/>
      <c r="EQB52" s="16"/>
      <c r="EQC52" s="16"/>
      <c r="EQD52" s="16"/>
      <c r="EQE52" s="16"/>
      <c r="EQF52" s="16"/>
      <c r="EQG52" s="16"/>
      <c r="EQH52" s="16"/>
      <c r="EQI52" s="16"/>
      <c r="EQJ52" s="16"/>
      <c r="EQK52" s="16"/>
      <c r="EQL52" s="16"/>
      <c r="EQM52" s="16"/>
      <c r="EQN52" s="16"/>
      <c r="EQO52" s="16"/>
      <c r="EQP52" s="16"/>
      <c r="EQQ52" s="16"/>
      <c r="EQR52" s="16"/>
      <c r="EQS52" s="16"/>
      <c r="EQT52" s="16"/>
      <c r="EQU52" s="16"/>
      <c r="EQV52" s="16"/>
      <c r="EQW52" s="16"/>
      <c r="EQX52" s="16"/>
      <c r="EQY52" s="16"/>
      <c r="EQZ52" s="16"/>
      <c r="ERA52" s="16"/>
      <c r="ERB52" s="16"/>
      <c r="ERC52" s="16"/>
      <c r="ERD52" s="16"/>
      <c r="ERE52" s="16"/>
      <c r="ERF52" s="16"/>
      <c r="ERG52" s="16"/>
      <c r="ERH52" s="16"/>
      <c r="ERI52" s="16"/>
      <c r="ERJ52" s="16"/>
      <c r="ERK52" s="16"/>
      <c r="ERL52" s="16"/>
      <c r="ERM52" s="16"/>
      <c r="ERN52" s="16"/>
      <c r="ERO52" s="16"/>
      <c r="ERP52" s="16"/>
      <c r="ERQ52" s="16"/>
      <c r="ERR52" s="16"/>
      <c r="ERS52" s="16"/>
      <c r="ERT52" s="16"/>
      <c r="ERU52" s="16"/>
      <c r="ERV52" s="16"/>
      <c r="ERW52" s="16"/>
      <c r="ERX52" s="16"/>
      <c r="ERY52" s="16"/>
      <c r="ERZ52" s="16"/>
      <c r="ESA52" s="16"/>
      <c r="ESB52" s="16"/>
      <c r="ESC52" s="16"/>
      <c r="ESD52" s="16"/>
      <c r="ESE52" s="16"/>
      <c r="ESF52" s="16"/>
      <c r="ESG52" s="16"/>
      <c r="ESH52" s="16"/>
      <c r="ESI52" s="16"/>
      <c r="ESJ52" s="16"/>
      <c r="ESK52" s="16"/>
      <c r="ESL52" s="16"/>
      <c r="ESM52" s="16"/>
      <c r="ESN52" s="16"/>
      <c r="ESO52" s="16"/>
      <c r="ESP52" s="16"/>
      <c r="ESQ52" s="16"/>
      <c r="ESR52" s="16"/>
      <c r="ESS52" s="16"/>
      <c r="EST52" s="16"/>
      <c r="ESU52" s="16"/>
      <c r="ESV52" s="16"/>
      <c r="ESW52" s="16"/>
      <c r="ESX52" s="16"/>
      <c r="ESY52" s="16"/>
      <c r="ESZ52" s="16"/>
      <c r="ETA52" s="16"/>
      <c r="ETB52" s="16"/>
      <c r="ETC52" s="16"/>
      <c r="ETD52" s="16"/>
      <c r="ETE52" s="16"/>
      <c r="ETF52" s="16"/>
      <c r="ETG52" s="16"/>
      <c r="ETH52" s="16"/>
      <c r="ETI52" s="16"/>
      <c r="ETJ52" s="16"/>
      <c r="ETK52" s="16"/>
      <c r="ETL52" s="16"/>
      <c r="ETM52" s="16"/>
      <c r="ETN52" s="16"/>
      <c r="ETO52" s="16"/>
      <c r="ETP52" s="16"/>
      <c r="ETQ52" s="16"/>
      <c r="ETR52" s="16"/>
      <c r="ETS52" s="16"/>
      <c r="ETT52" s="16"/>
      <c r="ETU52" s="16"/>
      <c r="ETV52" s="16"/>
      <c r="ETW52" s="16"/>
      <c r="ETX52" s="16"/>
      <c r="ETY52" s="16"/>
      <c r="ETZ52" s="16"/>
      <c r="EUA52" s="16"/>
      <c r="EUB52" s="16"/>
      <c r="EUC52" s="16"/>
      <c r="EUD52" s="16"/>
      <c r="EUE52" s="16"/>
      <c r="EUF52" s="16"/>
      <c r="EUG52" s="16"/>
      <c r="EUH52" s="16"/>
      <c r="EUI52" s="16"/>
      <c r="EUJ52" s="16"/>
      <c r="EUK52" s="16"/>
      <c r="EUL52" s="16"/>
      <c r="EUM52" s="16"/>
      <c r="EUN52" s="16"/>
      <c r="EUO52" s="16"/>
      <c r="EUP52" s="16"/>
      <c r="EUQ52" s="16"/>
      <c r="EUR52" s="16"/>
      <c r="EUS52" s="16"/>
      <c r="EUT52" s="16"/>
      <c r="EUU52" s="16"/>
      <c r="EUV52" s="16"/>
      <c r="EUW52" s="16"/>
      <c r="EUX52" s="16"/>
      <c r="EUY52" s="16"/>
      <c r="EUZ52" s="16"/>
      <c r="EVA52" s="16"/>
      <c r="EVB52" s="16"/>
      <c r="EVC52" s="16"/>
      <c r="EVD52" s="16"/>
      <c r="EVE52" s="16"/>
      <c r="EVF52" s="16"/>
      <c r="EVG52" s="16"/>
      <c r="EVH52" s="16"/>
      <c r="EVI52" s="16"/>
      <c r="EVJ52" s="16"/>
      <c r="EVK52" s="16"/>
      <c r="EVL52" s="16"/>
      <c r="EVM52" s="16"/>
      <c r="EVN52" s="16"/>
      <c r="EVO52" s="16"/>
      <c r="EVP52" s="16"/>
      <c r="EVQ52" s="16"/>
      <c r="EVR52" s="16"/>
      <c r="EVS52" s="16"/>
      <c r="EVT52" s="16"/>
      <c r="EVU52" s="16"/>
      <c r="EVV52" s="16"/>
      <c r="EVW52" s="16"/>
      <c r="EVX52" s="16"/>
      <c r="EVY52" s="16"/>
      <c r="EVZ52" s="16"/>
      <c r="EWA52" s="16"/>
      <c r="EWB52" s="16"/>
      <c r="EWC52" s="16"/>
      <c r="EWD52" s="16"/>
      <c r="EWE52" s="16"/>
      <c r="EWF52" s="16"/>
      <c r="EWG52" s="16"/>
      <c r="EWH52" s="16"/>
      <c r="EWI52" s="16"/>
      <c r="EWJ52" s="16"/>
      <c r="EWK52" s="16"/>
      <c r="EWL52" s="16"/>
      <c r="EWM52" s="16"/>
      <c r="EWN52" s="16"/>
      <c r="EWO52" s="16"/>
      <c r="EWP52" s="16"/>
      <c r="EWQ52" s="16"/>
      <c r="EWR52" s="16"/>
      <c r="EWS52" s="16"/>
      <c r="EWT52" s="16"/>
      <c r="EWU52" s="16"/>
      <c r="EWV52" s="16"/>
      <c r="EWW52" s="16"/>
      <c r="EWX52" s="16"/>
      <c r="EWY52" s="16"/>
      <c r="EWZ52" s="16"/>
      <c r="EXA52" s="16"/>
      <c r="EXB52" s="16"/>
      <c r="EXC52" s="16"/>
      <c r="EXD52" s="16"/>
      <c r="EXE52" s="16"/>
      <c r="EXF52" s="16"/>
      <c r="EXG52" s="16"/>
      <c r="EXH52" s="16"/>
      <c r="EXI52" s="16"/>
      <c r="EXJ52" s="16"/>
      <c r="EXK52" s="16"/>
      <c r="EXL52" s="16"/>
      <c r="EXM52" s="16"/>
      <c r="EXN52" s="16"/>
      <c r="EXO52" s="16"/>
      <c r="EXP52" s="16"/>
      <c r="EXQ52" s="16"/>
      <c r="EXR52" s="16"/>
      <c r="EXS52" s="16"/>
      <c r="EXT52" s="16"/>
      <c r="EXU52" s="16"/>
      <c r="EXV52" s="16"/>
      <c r="EXW52" s="16"/>
      <c r="EXX52" s="16"/>
      <c r="EXY52" s="16"/>
      <c r="EXZ52" s="16"/>
      <c r="EYA52" s="16"/>
      <c r="EYB52" s="16"/>
      <c r="EYC52" s="16"/>
      <c r="EYD52" s="16"/>
      <c r="EYE52" s="16"/>
      <c r="EYF52" s="16"/>
      <c r="EYG52" s="16"/>
      <c r="EYH52" s="16"/>
      <c r="EYI52" s="16"/>
      <c r="EYJ52" s="16"/>
      <c r="EYK52" s="16"/>
      <c r="EYL52" s="16"/>
      <c r="EYM52" s="16"/>
      <c r="EYN52" s="16"/>
      <c r="EYO52" s="16"/>
      <c r="EYP52" s="16"/>
      <c r="EYQ52" s="16"/>
      <c r="EYR52" s="16"/>
      <c r="EYS52" s="16"/>
      <c r="EYT52" s="16"/>
      <c r="EYU52" s="16"/>
      <c r="EYV52" s="16"/>
      <c r="EYW52" s="16"/>
      <c r="EYX52" s="16"/>
      <c r="EYY52" s="16"/>
      <c r="EYZ52" s="16"/>
      <c r="EZA52" s="16"/>
      <c r="EZB52" s="16"/>
      <c r="EZC52" s="16"/>
      <c r="EZD52" s="16"/>
      <c r="EZE52" s="16"/>
      <c r="EZF52" s="16"/>
      <c r="EZG52" s="16"/>
      <c r="EZH52" s="16"/>
      <c r="EZI52" s="16"/>
      <c r="EZJ52" s="16"/>
      <c r="EZK52" s="16"/>
      <c r="EZL52" s="16"/>
      <c r="EZM52" s="16"/>
      <c r="EZN52" s="16"/>
      <c r="EZO52" s="16"/>
      <c r="EZP52" s="16"/>
      <c r="EZQ52" s="16"/>
      <c r="EZR52" s="16"/>
      <c r="EZS52" s="16"/>
      <c r="EZT52" s="16"/>
      <c r="EZU52" s="16"/>
      <c r="EZV52" s="16"/>
      <c r="EZW52" s="16"/>
      <c r="EZX52" s="16"/>
      <c r="EZY52" s="16"/>
      <c r="EZZ52" s="16"/>
      <c r="FAA52" s="16"/>
      <c r="FAB52" s="16"/>
      <c r="FAC52" s="16"/>
      <c r="FAD52" s="16"/>
      <c r="FAE52" s="16"/>
      <c r="FAF52" s="16"/>
      <c r="FAG52" s="16"/>
      <c r="FAH52" s="16"/>
      <c r="FAI52" s="16"/>
      <c r="FAJ52" s="16"/>
      <c r="FAK52" s="16"/>
      <c r="FAL52" s="16"/>
      <c r="FAM52" s="16"/>
      <c r="FAN52" s="16"/>
      <c r="FAO52" s="16"/>
      <c r="FAP52" s="16"/>
      <c r="FAQ52" s="16"/>
      <c r="FAR52" s="16"/>
      <c r="FAS52" s="16"/>
      <c r="FAT52" s="16"/>
      <c r="FAU52" s="16"/>
      <c r="FAV52" s="16"/>
      <c r="FAW52" s="16"/>
      <c r="FAX52" s="16"/>
      <c r="FAY52" s="16"/>
      <c r="FAZ52" s="16"/>
      <c r="FBA52" s="16"/>
      <c r="FBB52" s="16"/>
      <c r="FBC52" s="16"/>
      <c r="FBD52" s="16"/>
      <c r="FBE52" s="16"/>
      <c r="FBF52" s="16"/>
      <c r="FBG52" s="16"/>
      <c r="FBH52" s="16"/>
      <c r="FBI52" s="16"/>
      <c r="FBJ52" s="16"/>
      <c r="FBK52" s="16"/>
      <c r="FBL52" s="16"/>
      <c r="FBM52" s="16"/>
      <c r="FBN52" s="16"/>
      <c r="FBO52" s="16"/>
      <c r="FBP52" s="16"/>
      <c r="FBQ52" s="16"/>
      <c r="FBR52" s="16"/>
      <c r="FBS52" s="16"/>
      <c r="FBT52" s="16"/>
      <c r="FBU52" s="16"/>
      <c r="FBV52" s="16"/>
      <c r="FBW52" s="16"/>
      <c r="FBX52" s="16"/>
      <c r="FBY52" s="16"/>
      <c r="FBZ52" s="16"/>
      <c r="FCA52" s="16"/>
      <c r="FCB52" s="16"/>
      <c r="FCC52" s="16"/>
      <c r="FCD52" s="16"/>
      <c r="FCE52" s="16"/>
      <c r="FCF52" s="16"/>
      <c r="FCG52" s="16"/>
      <c r="FCH52" s="16"/>
      <c r="FCI52" s="16"/>
      <c r="FCJ52" s="16"/>
      <c r="FCK52" s="16"/>
      <c r="FCL52" s="16"/>
      <c r="FCM52" s="16"/>
      <c r="FCN52" s="16"/>
      <c r="FCO52" s="16"/>
      <c r="FCP52" s="16"/>
      <c r="FCQ52" s="16"/>
      <c r="FCR52" s="16"/>
      <c r="FCS52" s="16"/>
      <c r="FCT52" s="16"/>
      <c r="FCU52" s="16"/>
      <c r="FCV52" s="16"/>
      <c r="FCW52" s="16"/>
      <c r="FCX52" s="16"/>
      <c r="FCY52" s="16"/>
      <c r="FCZ52" s="16"/>
      <c r="FDA52" s="16"/>
      <c r="FDB52" s="16"/>
      <c r="FDC52" s="16"/>
      <c r="FDD52" s="16"/>
      <c r="FDE52" s="16"/>
      <c r="FDF52" s="16"/>
      <c r="FDG52" s="16"/>
      <c r="FDH52" s="16"/>
      <c r="FDI52" s="16"/>
      <c r="FDJ52" s="16"/>
      <c r="FDK52" s="16"/>
      <c r="FDL52" s="16"/>
      <c r="FDM52" s="16"/>
      <c r="FDN52" s="16"/>
      <c r="FDO52" s="16"/>
      <c r="FDP52" s="16"/>
      <c r="FDQ52" s="16"/>
      <c r="FDR52" s="16"/>
      <c r="FDS52" s="16"/>
      <c r="FDT52" s="16"/>
      <c r="FDU52" s="16"/>
      <c r="FDV52" s="16"/>
      <c r="FDW52" s="16"/>
      <c r="FDX52" s="16"/>
      <c r="FDY52" s="16"/>
      <c r="FDZ52" s="16"/>
      <c r="FEA52" s="16"/>
      <c r="FEB52" s="16"/>
      <c r="FEC52" s="16"/>
      <c r="FED52" s="16"/>
      <c r="FEE52" s="16"/>
      <c r="FEF52" s="16"/>
      <c r="FEG52" s="16"/>
      <c r="FEH52" s="16"/>
      <c r="FEI52" s="16"/>
      <c r="FEJ52" s="16"/>
      <c r="FEK52" s="16"/>
      <c r="FEL52" s="16"/>
      <c r="FEM52" s="16"/>
      <c r="FEN52" s="16"/>
      <c r="FEO52" s="16"/>
      <c r="FEP52" s="16"/>
      <c r="FEQ52" s="16"/>
      <c r="FER52" s="16"/>
      <c r="FES52" s="16"/>
      <c r="FET52" s="16"/>
      <c r="FEU52" s="16"/>
      <c r="FEV52" s="16"/>
      <c r="FEW52" s="16"/>
      <c r="FEX52" s="16"/>
      <c r="FEY52" s="16"/>
      <c r="FEZ52" s="16"/>
      <c r="FFA52" s="16"/>
      <c r="FFB52" s="16"/>
      <c r="FFC52" s="16"/>
      <c r="FFD52" s="16"/>
      <c r="FFE52" s="16"/>
      <c r="FFF52" s="16"/>
      <c r="FFG52" s="16"/>
      <c r="FFH52" s="16"/>
      <c r="FFI52" s="16"/>
      <c r="FFJ52" s="16"/>
      <c r="FFK52" s="16"/>
      <c r="FFL52" s="16"/>
      <c r="FFM52" s="16"/>
      <c r="FFN52" s="16"/>
      <c r="FFO52" s="16"/>
      <c r="FFP52" s="16"/>
      <c r="FFQ52" s="16"/>
      <c r="FFR52" s="16"/>
      <c r="FFS52" s="16"/>
      <c r="FFT52" s="16"/>
      <c r="FFU52" s="16"/>
      <c r="FFV52" s="16"/>
      <c r="FFW52" s="16"/>
      <c r="FFX52" s="16"/>
      <c r="FFY52" s="16"/>
      <c r="FFZ52" s="16"/>
      <c r="FGA52" s="16"/>
      <c r="FGB52" s="16"/>
      <c r="FGC52" s="16"/>
      <c r="FGD52" s="16"/>
      <c r="FGE52" s="16"/>
      <c r="FGF52" s="16"/>
      <c r="FGG52" s="16"/>
      <c r="FGH52" s="16"/>
      <c r="FGI52" s="16"/>
      <c r="FGJ52" s="16"/>
      <c r="FGK52" s="16"/>
      <c r="FGL52" s="16"/>
      <c r="FGM52" s="16"/>
      <c r="FGN52" s="16"/>
      <c r="FGO52" s="16"/>
      <c r="FGP52" s="16"/>
      <c r="FGQ52" s="16"/>
      <c r="FGR52" s="16"/>
      <c r="FGS52" s="16"/>
      <c r="FGT52" s="16"/>
      <c r="FGU52" s="16"/>
      <c r="FGV52" s="16"/>
      <c r="FGW52" s="16"/>
      <c r="FGX52" s="16"/>
      <c r="FGY52" s="16"/>
      <c r="FGZ52" s="16"/>
      <c r="FHA52" s="16"/>
      <c r="FHB52" s="16"/>
      <c r="FHC52" s="16"/>
      <c r="FHD52" s="16"/>
      <c r="FHE52" s="16"/>
      <c r="FHF52" s="16"/>
      <c r="FHG52" s="16"/>
      <c r="FHH52" s="16"/>
      <c r="FHI52" s="16"/>
      <c r="FHJ52" s="16"/>
      <c r="FHK52" s="16"/>
      <c r="FHL52" s="16"/>
      <c r="FHM52" s="16"/>
      <c r="FHN52" s="16"/>
      <c r="FHO52" s="16"/>
      <c r="FHP52" s="16"/>
      <c r="FHQ52" s="16"/>
      <c r="FHR52" s="16"/>
      <c r="FHS52" s="16"/>
      <c r="FHT52" s="16"/>
      <c r="FHU52" s="16"/>
      <c r="FHV52" s="16"/>
      <c r="FHW52" s="16"/>
      <c r="FHX52" s="16"/>
      <c r="FHY52" s="16"/>
      <c r="FHZ52" s="16"/>
      <c r="FIA52" s="16"/>
      <c r="FIB52" s="16"/>
      <c r="FIC52" s="16"/>
      <c r="FID52" s="16"/>
      <c r="FIE52" s="16"/>
      <c r="FIF52" s="16"/>
      <c r="FIG52" s="16"/>
      <c r="FIH52" s="16"/>
      <c r="FII52" s="16"/>
      <c r="FIJ52" s="16"/>
      <c r="FIK52" s="16"/>
      <c r="FIL52" s="16"/>
      <c r="FIM52" s="16"/>
      <c r="FIN52" s="16"/>
      <c r="FIO52" s="16"/>
      <c r="FIP52" s="16"/>
      <c r="FIQ52" s="16"/>
      <c r="FIR52" s="16"/>
      <c r="FIS52" s="16"/>
      <c r="FIT52" s="16"/>
      <c r="FIU52" s="16"/>
      <c r="FIV52" s="16"/>
      <c r="FIW52" s="16"/>
      <c r="FIX52" s="16"/>
      <c r="FIY52" s="16"/>
      <c r="FIZ52" s="16"/>
      <c r="FJA52" s="16"/>
      <c r="FJB52" s="16"/>
      <c r="FJC52" s="16"/>
      <c r="FJD52" s="16"/>
      <c r="FJE52" s="16"/>
      <c r="FJF52" s="16"/>
      <c r="FJG52" s="16"/>
      <c r="FJH52" s="16"/>
      <c r="FJI52" s="16"/>
      <c r="FJJ52" s="16"/>
      <c r="FJK52" s="16"/>
      <c r="FJL52" s="16"/>
      <c r="FJM52" s="16"/>
      <c r="FJN52" s="16"/>
      <c r="FJO52" s="16"/>
      <c r="FJP52" s="16"/>
      <c r="FJQ52" s="16"/>
      <c r="FJR52" s="16"/>
      <c r="FJS52" s="16"/>
      <c r="FJT52" s="16"/>
      <c r="FJU52" s="16"/>
      <c r="FJV52" s="16"/>
      <c r="FJW52" s="16"/>
      <c r="FJX52" s="16"/>
      <c r="FJY52" s="16"/>
      <c r="FJZ52" s="16"/>
      <c r="FKA52" s="16"/>
      <c r="FKB52" s="16"/>
      <c r="FKC52" s="16"/>
      <c r="FKD52" s="16"/>
      <c r="FKE52" s="16"/>
      <c r="FKF52" s="16"/>
      <c r="FKG52" s="16"/>
      <c r="FKH52" s="16"/>
      <c r="FKI52" s="16"/>
      <c r="FKJ52" s="16"/>
      <c r="FKK52" s="16"/>
      <c r="FKL52" s="16"/>
      <c r="FKM52" s="16"/>
      <c r="FKN52" s="16"/>
      <c r="FKO52" s="16"/>
      <c r="FKP52" s="16"/>
      <c r="FKQ52" s="16"/>
      <c r="FKR52" s="16"/>
      <c r="FKS52" s="16"/>
      <c r="FKT52" s="16"/>
      <c r="FKU52" s="16"/>
      <c r="FKV52" s="16"/>
      <c r="FKW52" s="16"/>
      <c r="FKX52" s="16"/>
      <c r="FKY52" s="16"/>
      <c r="FKZ52" s="16"/>
      <c r="FLA52" s="16"/>
      <c r="FLB52" s="16"/>
      <c r="FLC52" s="16"/>
      <c r="FLD52" s="16"/>
      <c r="FLE52" s="16"/>
      <c r="FLF52" s="16"/>
      <c r="FLG52" s="16"/>
      <c r="FLH52" s="16"/>
      <c r="FLI52" s="16"/>
      <c r="FLJ52" s="16"/>
      <c r="FLK52" s="16"/>
      <c r="FLL52" s="16"/>
      <c r="FLM52" s="16"/>
      <c r="FLN52" s="16"/>
      <c r="FLO52" s="16"/>
      <c r="FLP52" s="16"/>
      <c r="FLQ52" s="16"/>
      <c r="FLR52" s="16"/>
      <c r="FLS52" s="16"/>
      <c r="FLT52" s="16"/>
      <c r="FLU52" s="16"/>
      <c r="FLV52" s="16"/>
      <c r="FLW52" s="16"/>
      <c r="FLX52" s="16"/>
      <c r="FLY52" s="16"/>
      <c r="FLZ52" s="16"/>
      <c r="FMA52" s="16"/>
      <c r="FMB52" s="16"/>
      <c r="FMC52" s="16"/>
      <c r="FMD52" s="16"/>
      <c r="FME52" s="16"/>
      <c r="FMF52" s="16"/>
      <c r="FMG52" s="16"/>
      <c r="FMH52" s="16"/>
      <c r="FMI52" s="16"/>
      <c r="FMJ52" s="16"/>
      <c r="FMK52" s="16"/>
      <c r="FML52" s="16"/>
      <c r="FMM52" s="16"/>
      <c r="FMN52" s="16"/>
      <c r="FMO52" s="16"/>
      <c r="FMP52" s="16"/>
      <c r="FMQ52" s="16"/>
      <c r="FMR52" s="16"/>
      <c r="FMS52" s="16"/>
      <c r="FMT52" s="16"/>
      <c r="FMU52" s="16"/>
      <c r="FMV52" s="16"/>
      <c r="FMW52" s="16"/>
      <c r="FMX52" s="16"/>
      <c r="FMY52" s="16"/>
      <c r="FMZ52" s="16"/>
      <c r="FNA52" s="16"/>
      <c r="FNB52" s="16"/>
      <c r="FNC52" s="16"/>
      <c r="FND52" s="16"/>
      <c r="FNE52" s="16"/>
      <c r="FNF52" s="16"/>
      <c r="FNG52" s="16"/>
      <c r="FNH52" s="16"/>
      <c r="FNI52" s="16"/>
      <c r="FNJ52" s="16"/>
      <c r="FNK52" s="16"/>
      <c r="FNL52" s="16"/>
      <c r="FNM52" s="16"/>
      <c r="FNN52" s="16"/>
      <c r="FNO52" s="16"/>
      <c r="FNP52" s="16"/>
      <c r="FNQ52" s="16"/>
      <c r="FNR52" s="16"/>
      <c r="FNS52" s="16"/>
      <c r="FNT52" s="16"/>
      <c r="FNU52" s="16"/>
      <c r="FNV52" s="16"/>
      <c r="FNW52" s="16"/>
      <c r="FNX52" s="16"/>
      <c r="FNY52" s="16"/>
      <c r="FNZ52" s="16"/>
      <c r="FOA52" s="16"/>
      <c r="FOB52" s="16"/>
      <c r="FOC52" s="16"/>
      <c r="FOD52" s="16"/>
      <c r="FOE52" s="16"/>
      <c r="FOF52" s="16"/>
      <c r="FOG52" s="16"/>
      <c r="FOH52" s="16"/>
      <c r="FOI52" s="16"/>
      <c r="FOJ52" s="16"/>
      <c r="FOK52" s="16"/>
      <c r="FOL52" s="16"/>
      <c r="FOM52" s="16"/>
      <c r="FON52" s="16"/>
      <c r="FOO52" s="16"/>
      <c r="FOP52" s="16"/>
      <c r="FOQ52" s="16"/>
      <c r="FOR52" s="16"/>
      <c r="FOS52" s="16"/>
      <c r="FOT52" s="16"/>
      <c r="FOU52" s="16"/>
      <c r="FOV52" s="16"/>
      <c r="FOW52" s="16"/>
      <c r="FOX52" s="16"/>
      <c r="FOY52" s="16"/>
      <c r="FOZ52" s="16"/>
      <c r="FPA52" s="16"/>
      <c r="FPB52" s="16"/>
      <c r="FPC52" s="16"/>
      <c r="FPD52" s="16"/>
      <c r="FPE52" s="16"/>
      <c r="FPF52" s="16"/>
      <c r="FPG52" s="16"/>
      <c r="FPH52" s="16"/>
      <c r="FPI52" s="16"/>
      <c r="FPJ52" s="16"/>
      <c r="FPK52" s="16"/>
      <c r="FPL52" s="16"/>
      <c r="FPM52" s="16"/>
      <c r="FPN52" s="16"/>
      <c r="FPO52" s="16"/>
      <c r="FPP52" s="16"/>
      <c r="FPQ52" s="16"/>
      <c r="FPR52" s="16"/>
      <c r="FPS52" s="16"/>
      <c r="FPT52" s="16"/>
      <c r="FPU52" s="16"/>
      <c r="FPV52" s="16"/>
      <c r="FPW52" s="16"/>
      <c r="FPX52" s="16"/>
      <c r="FPY52" s="16"/>
      <c r="FPZ52" s="16"/>
      <c r="FQA52" s="16"/>
      <c r="FQB52" s="16"/>
      <c r="FQC52" s="16"/>
      <c r="FQD52" s="16"/>
      <c r="FQE52" s="16"/>
      <c r="FQF52" s="16"/>
      <c r="FQG52" s="16"/>
      <c r="FQH52" s="16"/>
      <c r="FQI52" s="16"/>
      <c r="FQJ52" s="16"/>
      <c r="FQK52" s="16"/>
      <c r="FQL52" s="16"/>
      <c r="FQM52" s="16"/>
      <c r="FQN52" s="16"/>
      <c r="FQO52" s="16"/>
      <c r="FQP52" s="16"/>
      <c r="FQQ52" s="16"/>
      <c r="FQR52" s="16"/>
      <c r="FQS52" s="16"/>
      <c r="FQT52" s="16"/>
      <c r="FQU52" s="16"/>
      <c r="FQV52" s="16"/>
      <c r="FQW52" s="16"/>
      <c r="FQX52" s="16"/>
      <c r="FQY52" s="16"/>
      <c r="FQZ52" s="16"/>
      <c r="FRA52" s="16"/>
      <c r="FRB52" s="16"/>
      <c r="FRC52" s="16"/>
      <c r="FRD52" s="16"/>
      <c r="FRE52" s="16"/>
      <c r="FRF52" s="16"/>
      <c r="FRG52" s="16"/>
      <c r="FRH52" s="16"/>
      <c r="FRI52" s="16"/>
      <c r="FRJ52" s="16"/>
      <c r="FRK52" s="16"/>
      <c r="FRL52" s="16"/>
      <c r="FRM52" s="16"/>
      <c r="FRN52" s="16"/>
      <c r="FRO52" s="16"/>
      <c r="FRP52" s="16"/>
      <c r="FRQ52" s="16"/>
      <c r="FRR52" s="16"/>
      <c r="FRS52" s="16"/>
      <c r="FRT52" s="16"/>
      <c r="FRU52" s="16"/>
      <c r="FRV52" s="16"/>
      <c r="FRW52" s="16"/>
      <c r="FRX52" s="16"/>
      <c r="FRY52" s="16"/>
      <c r="FRZ52" s="16"/>
      <c r="FSA52" s="16"/>
      <c r="FSB52" s="16"/>
      <c r="FSC52" s="16"/>
      <c r="FSD52" s="16"/>
      <c r="FSE52" s="16"/>
      <c r="FSF52" s="16"/>
      <c r="FSG52" s="16"/>
      <c r="FSH52" s="16"/>
      <c r="FSI52" s="16"/>
      <c r="FSJ52" s="16"/>
      <c r="FSK52" s="16"/>
      <c r="FSL52" s="16"/>
      <c r="FSM52" s="16"/>
      <c r="FSN52" s="16"/>
      <c r="FSO52" s="16"/>
      <c r="FSP52" s="16"/>
      <c r="FSQ52" s="16"/>
      <c r="FSR52" s="16"/>
      <c r="FSS52" s="16"/>
      <c r="FST52" s="16"/>
      <c r="FSU52" s="16"/>
      <c r="FSV52" s="16"/>
      <c r="FSW52" s="16"/>
      <c r="FSX52" s="16"/>
      <c r="FSY52" s="16"/>
      <c r="FSZ52" s="16"/>
      <c r="FTA52" s="16"/>
      <c r="FTB52" s="16"/>
      <c r="FTC52" s="16"/>
      <c r="FTD52" s="16"/>
      <c r="FTE52" s="16"/>
      <c r="FTF52" s="16"/>
      <c r="FTG52" s="16"/>
      <c r="FTH52" s="16"/>
      <c r="FTI52" s="16"/>
      <c r="FTJ52" s="16"/>
      <c r="FTK52" s="16"/>
      <c r="FTL52" s="16"/>
      <c r="FTM52" s="16"/>
      <c r="FTN52" s="16"/>
      <c r="FTO52" s="16"/>
      <c r="FTP52" s="16"/>
      <c r="FTQ52" s="16"/>
      <c r="FTR52" s="16"/>
      <c r="FTS52" s="16"/>
      <c r="FTT52" s="16"/>
      <c r="FTU52" s="16"/>
      <c r="FTV52" s="16"/>
      <c r="FTW52" s="16"/>
      <c r="FTX52" s="16"/>
      <c r="FTY52" s="16"/>
      <c r="FTZ52" s="16"/>
      <c r="FUA52" s="16"/>
      <c r="FUB52" s="16"/>
      <c r="FUC52" s="16"/>
      <c r="FUD52" s="16"/>
      <c r="FUE52" s="16"/>
      <c r="FUF52" s="16"/>
      <c r="FUG52" s="16"/>
      <c r="FUH52" s="16"/>
      <c r="FUI52" s="16"/>
      <c r="FUJ52" s="16"/>
      <c r="FUK52" s="16"/>
      <c r="FUL52" s="16"/>
      <c r="FUM52" s="16"/>
      <c r="FUN52" s="16"/>
      <c r="FUO52" s="16"/>
      <c r="FUP52" s="16"/>
      <c r="FUQ52" s="16"/>
      <c r="FUR52" s="16"/>
      <c r="FUS52" s="16"/>
      <c r="FUT52" s="16"/>
      <c r="FUU52" s="16"/>
      <c r="FUV52" s="16"/>
      <c r="FUW52" s="16"/>
      <c r="FUX52" s="16"/>
      <c r="FUY52" s="16"/>
      <c r="FUZ52" s="16"/>
      <c r="FVA52" s="16"/>
      <c r="FVB52" s="16"/>
      <c r="FVC52" s="16"/>
      <c r="FVD52" s="16"/>
      <c r="FVE52" s="16"/>
      <c r="FVF52" s="16"/>
      <c r="FVG52" s="16"/>
      <c r="FVH52" s="16"/>
      <c r="FVI52" s="16"/>
      <c r="FVJ52" s="16"/>
      <c r="FVK52" s="16"/>
      <c r="FVL52" s="16"/>
      <c r="FVM52" s="16"/>
      <c r="FVN52" s="16"/>
      <c r="FVO52" s="16"/>
      <c r="FVP52" s="16"/>
      <c r="FVQ52" s="16"/>
      <c r="FVR52" s="16"/>
      <c r="FVS52" s="16"/>
      <c r="FVT52" s="16"/>
      <c r="FVU52" s="16"/>
      <c r="FVV52" s="16"/>
      <c r="FVW52" s="16"/>
      <c r="FVX52" s="16"/>
      <c r="FVY52" s="16"/>
      <c r="FVZ52" s="16"/>
      <c r="FWA52" s="16"/>
      <c r="FWB52" s="16"/>
      <c r="FWC52" s="16"/>
      <c r="FWD52" s="16"/>
      <c r="FWE52" s="16"/>
      <c r="FWF52" s="16"/>
      <c r="FWG52" s="16"/>
      <c r="FWH52" s="16"/>
      <c r="FWI52" s="16"/>
      <c r="FWJ52" s="16"/>
      <c r="FWK52" s="16"/>
      <c r="FWL52" s="16"/>
      <c r="FWM52" s="16"/>
      <c r="FWN52" s="16"/>
      <c r="FWO52" s="16"/>
      <c r="FWP52" s="16"/>
      <c r="FWQ52" s="16"/>
      <c r="FWR52" s="16"/>
      <c r="FWS52" s="16"/>
      <c r="FWT52" s="16"/>
      <c r="FWU52" s="16"/>
      <c r="FWV52" s="16"/>
      <c r="FWW52" s="16"/>
      <c r="FWX52" s="16"/>
      <c r="FWY52" s="16"/>
      <c r="FWZ52" s="16"/>
      <c r="FXA52" s="16"/>
      <c r="FXB52" s="16"/>
      <c r="FXC52" s="16"/>
      <c r="FXD52" s="16"/>
      <c r="FXE52" s="16"/>
      <c r="FXF52" s="16"/>
      <c r="FXG52" s="16"/>
      <c r="FXH52" s="16"/>
      <c r="FXI52" s="16"/>
      <c r="FXJ52" s="16"/>
      <c r="FXK52" s="16"/>
      <c r="FXL52" s="16"/>
      <c r="FXM52" s="16"/>
      <c r="FXN52" s="16"/>
      <c r="FXO52" s="16"/>
      <c r="FXP52" s="16"/>
      <c r="FXQ52" s="16"/>
      <c r="FXR52" s="16"/>
      <c r="FXS52" s="16"/>
      <c r="FXT52" s="16"/>
      <c r="FXU52" s="16"/>
      <c r="FXV52" s="16"/>
      <c r="FXW52" s="16"/>
      <c r="FXX52" s="16"/>
      <c r="FXY52" s="16"/>
      <c r="FXZ52" s="16"/>
      <c r="FYA52" s="16"/>
      <c r="FYB52" s="16"/>
      <c r="FYC52" s="16"/>
      <c r="FYD52" s="16"/>
      <c r="FYE52" s="16"/>
      <c r="FYF52" s="16"/>
      <c r="FYG52" s="16"/>
      <c r="FYH52" s="16"/>
      <c r="FYI52" s="16"/>
      <c r="FYJ52" s="16"/>
      <c r="FYK52" s="16"/>
      <c r="FYL52" s="16"/>
      <c r="FYM52" s="16"/>
      <c r="FYN52" s="16"/>
      <c r="FYO52" s="16"/>
      <c r="FYP52" s="16"/>
      <c r="FYQ52" s="16"/>
      <c r="FYR52" s="16"/>
      <c r="FYS52" s="16"/>
      <c r="FYT52" s="16"/>
      <c r="FYU52" s="16"/>
      <c r="FYV52" s="16"/>
      <c r="FYW52" s="16"/>
      <c r="FYX52" s="16"/>
      <c r="FYY52" s="16"/>
      <c r="FYZ52" s="16"/>
      <c r="FZA52" s="16"/>
      <c r="FZB52" s="16"/>
      <c r="FZC52" s="16"/>
      <c r="FZD52" s="16"/>
      <c r="FZE52" s="16"/>
      <c r="FZF52" s="16"/>
      <c r="FZG52" s="16"/>
      <c r="FZH52" s="16"/>
      <c r="FZI52" s="16"/>
      <c r="FZJ52" s="16"/>
      <c r="FZK52" s="16"/>
      <c r="FZL52" s="16"/>
      <c r="FZM52" s="16"/>
      <c r="FZN52" s="16"/>
      <c r="FZO52" s="16"/>
      <c r="FZP52" s="16"/>
      <c r="FZQ52" s="16"/>
      <c r="FZR52" s="16"/>
      <c r="FZS52" s="16"/>
      <c r="FZT52" s="16"/>
      <c r="FZU52" s="16"/>
      <c r="FZV52" s="16"/>
      <c r="FZW52" s="16"/>
      <c r="FZX52" s="16"/>
      <c r="FZY52" s="16"/>
      <c r="FZZ52" s="16"/>
      <c r="GAA52" s="16"/>
      <c r="GAB52" s="16"/>
      <c r="GAC52" s="16"/>
      <c r="GAD52" s="16"/>
      <c r="GAE52" s="16"/>
      <c r="GAF52" s="16"/>
      <c r="GAG52" s="16"/>
      <c r="GAH52" s="16"/>
      <c r="GAI52" s="16"/>
      <c r="GAJ52" s="16"/>
      <c r="GAK52" s="16"/>
      <c r="GAL52" s="16"/>
      <c r="GAM52" s="16"/>
      <c r="GAN52" s="16"/>
      <c r="GAO52" s="16"/>
      <c r="GAP52" s="16"/>
      <c r="GAQ52" s="16"/>
      <c r="GAR52" s="16"/>
      <c r="GAS52" s="16"/>
      <c r="GAT52" s="16"/>
      <c r="GAU52" s="16"/>
      <c r="GAV52" s="16"/>
      <c r="GAW52" s="16"/>
      <c r="GAX52" s="16"/>
      <c r="GAY52" s="16"/>
      <c r="GAZ52" s="16"/>
      <c r="GBA52" s="16"/>
      <c r="GBB52" s="16"/>
      <c r="GBC52" s="16"/>
      <c r="GBD52" s="16"/>
      <c r="GBE52" s="16"/>
      <c r="GBF52" s="16"/>
      <c r="GBG52" s="16"/>
      <c r="GBH52" s="16"/>
      <c r="GBI52" s="16"/>
      <c r="GBJ52" s="16"/>
      <c r="GBK52" s="16"/>
      <c r="GBL52" s="16"/>
      <c r="GBM52" s="16"/>
      <c r="GBN52" s="16"/>
      <c r="GBO52" s="16"/>
      <c r="GBP52" s="16"/>
      <c r="GBQ52" s="16"/>
      <c r="GBR52" s="16"/>
      <c r="GBS52" s="16"/>
      <c r="GBT52" s="16"/>
      <c r="GBU52" s="16"/>
      <c r="GBV52" s="16"/>
      <c r="GBW52" s="16"/>
      <c r="GBX52" s="16"/>
      <c r="GBY52" s="16"/>
      <c r="GBZ52" s="16"/>
      <c r="GCA52" s="16"/>
      <c r="GCB52" s="16"/>
      <c r="GCC52" s="16"/>
      <c r="GCD52" s="16"/>
      <c r="GCE52" s="16"/>
      <c r="GCF52" s="16"/>
      <c r="GCG52" s="16"/>
      <c r="GCH52" s="16"/>
      <c r="GCI52" s="16"/>
      <c r="GCJ52" s="16"/>
      <c r="GCK52" s="16"/>
      <c r="GCL52" s="16"/>
      <c r="GCM52" s="16"/>
      <c r="GCN52" s="16"/>
      <c r="GCO52" s="16"/>
      <c r="GCP52" s="16"/>
      <c r="GCQ52" s="16"/>
      <c r="GCR52" s="16"/>
      <c r="GCS52" s="16"/>
      <c r="GCT52" s="16"/>
      <c r="GCU52" s="16"/>
      <c r="GCV52" s="16"/>
      <c r="GCW52" s="16"/>
      <c r="GCX52" s="16"/>
      <c r="GCY52" s="16"/>
      <c r="GCZ52" s="16"/>
      <c r="GDA52" s="16"/>
      <c r="GDB52" s="16"/>
      <c r="GDC52" s="16"/>
      <c r="GDD52" s="16"/>
      <c r="GDE52" s="16"/>
      <c r="GDF52" s="16"/>
      <c r="GDG52" s="16"/>
      <c r="GDH52" s="16"/>
      <c r="GDI52" s="16"/>
      <c r="GDJ52" s="16"/>
      <c r="GDK52" s="16"/>
      <c r="GDL52" s="16"/>
      <c r="GDM52" s="16"/>
      <c r="GDN52" s="16"/>
      <c r="GDO52" s="16"/>
      <c r="GDP52" s="16"/>
      <c r="GDQ52" s="16"/>
      <c r="GDR52" s="16"/>
      <c r="GDS52" s="16"/>
      <c r="GDT52" s="16"/>
      <c r="GDU52" s="16"/>
      <c r="GDV52" s="16"/>
      <c r="GDW52" s="16"/>
      <c r="GDX52" s="16"/>
      <c r="GDY52" s="16"/>
      <c r="GDZ52" s="16"/>
      <c r="GEA52" s="16"/>
      <c r="GEB52" s="16"/>
      <c r="GEC52" s="16"/>
      <c r="GED52" s="16"/>
      <c r="GEE52" s="16"/>
      <c r="GEF52" s="16"/>
      <c r="GEG52" s="16"/>
      <c r="GEH52" s="16"/>
      <c r="GEI52" s="16"/>
      <c r="GEJ52" s="16"/>
      <c r="GEK52" s="16"/>
      <c r="GEL52" s="16"/>
      <c r="GEM52" s="16"/>
      <c r="GEN52" s="16"/>
      <c r="GEO52" s="16"/>
      <c r="GEP52" s="16"/>
      <c r="GEQ52" s="16"/>
      <c r="GER52" s="16"/>
      <c r="GES52" s="16"/>
      <c r="GET52" s="16"/>
      <c r="GEU52" s="16"/>
      <c r="GEV52" s="16"/>
      <c r="GEW52" s="16"/>
      <c r="GEX52" s="16"/>
      <c r="GEY52" s="16"/>
      <c r="GEZ52" s="16"/>
      <c r="GFA52" s="16"/>
      <c r="GFB52" s="16"/>
      <c r="GFC52" s="16"/>
      <c r="GFD52" s="16"/>
      <c r="GFE52" s="16"/>
      <c r="GFF52" s="16"/>
      <c r="GFG52" s="16"/>
      <c r="GFH52" s="16"/>
      <c r="GFI52" s="16"/>
      <c r="GFJ52" s="16"/>
      <c r="GFK52" s="16"/>
      <c r="GFL52" s="16"/>
      <c r="GFM52" s="16"/>
      <c r="GFN52" s="16"/>
      <c r="GFO52" s="16"/>
      <c r="GFP52" s="16"/>
      <c r="GFQ52" s="16"/>
      <c r="GFR52" s="16"/>
      <c r="GFS52" s="16"/>
      <c r="GFT52" s="16"/>
      <c r="GFU52" s="16"/>
      <c r="GFV52" s="16"/>
      <c r="GFW52" s="16"/>
      <c r="GFX52" s="16"/>
      <c r="GFY52" s="16"/>
      <c r="GFZ52" s="16"/>
      <c r="GGA52" s="16"/>
      <c r="GGB52" s="16"/>
      <c r="GGC52" s="16"/>
      <c r="GGD52" s="16"/>
      <c r="GGE52" s="16"/>
      <c r="GGF52" s="16"/>
      <c r="GGG52" s="16"/>
      <c r="GGH52" s="16"/>
      <c r="GGI52" s="16"/>
      <c r="GGJ52" s="16"/>
      <c r="GGK52" s="16"/>
      <c r="GGL52" s="16"/>
      <c r="GGM52" s="16"/>
      <c r="GGN52" s="16"/>
      <c r="GGO52" s="16"/>
      <c r="GGP52" s="16"/>
      <c r="GGQ52" s="16"/>
      <c r="GGR52" s="16"/>
      <c r="GGS52" s="16"/>
      <c r="GGT52" s="16"/>
      <c r="GGU52" s="16"/>
      <c r="GGV52" s="16"/>
      <c r="GGW52" s="16"/>
      <c r="GGX52" s="16"/>
      <c r="GGY52" s="16"/>
      <c r="GGZ52" s="16"/>
      <c r="GHA52" s="16"/>
      <c r="GHB52" s="16"/>
      <c r="GHC52" s="16"/>
      <c r="GHD52" s="16"/>
      <c r="GHE52" s="16"/>
      <c r="GHF52" s="16"/>
      <c r="GHG52" s="16"/>
      <c r="GHH52" s="16"/>
      <c r="GHI52" s="16"/>
      <c r="GHJ52" s="16"/>
      <c r="GHK52" s="16"/>
      <c r="GHL52" s="16"/>
      <c r="GHM52" s="16"/>
      <c r="GHN52" s="16"/>
      <c r="GHO52" s="16"/>
      <c r="GHP52" s="16"/>
      <c r="GHQ52" s="16"/>
      <c r="GHR52" s="16"/>
      <c r="GHS52" s="16"/>
      <c r="GHT52" s="16"/>
      <c r="GHU52" s="16"/>
      <c r="GHV52" s="16"/>
      <c r="GHW52" s="16"/>
      <c r="GHX52" s="16"/>
      <c r="GHY52" s="16"/>
      <c r="GHZ52" s="16"/>
      <c r="GIA52" s="16"/>
      <c r="GIB52" s="16"/>
      <c r="GIC52" s="16"/>
      <c r="GID52" s="16"/>
      <c r="GIE52" s="16"/>
      <c r="GIF52" s="16"/>
      <c r="GIG52" s="16"/>
      <c r="GIH52" s="16"/>
      <c r="GII52" s="16"/>
      <c r="GIJ52" s="16"/>
      <c r="GIK52" s="16"/>
      <c r="GIL52" s="16"/>
      <c r="GIM52" s="16"/>
      <c r="GIN52" s="16"/>
      <c r="GIO52" s="16"/>
      <c r="GIP52" s="16"/>
      <c r="GIQ52" s="16"/>
      <c r="GIR52" s="16"/>
      <c r="GIS52" s="16"/>
      <c r="GIT52" s="16"/>
      <c r="GIU52" s="16"/>
      <c r="GIV52" s="16"/>
      <c r="GIW52" s="16"/>
      <c r="GIX52" s="16"/>
      <c r="GIY52" s="16"/>
      <c r="GIZ52" s="16"/>
      <c r="GJA52" s="16"/>
      <c r="GJB52" s="16"/>
      <c r="GJC52" s="16"/>
      <c r="GJD52" s="16"/>
      <c r="GJE52" s="16"/>
      <c r="GJF52" s="16"/>
      <c r="GJG52" s="16"/>
      <c r="GJH52" s="16"/>
      <c r="GJI52" s="16"/>
      <c r="GJJ52" s="16"/>
      <c r="GJK52" s="16"/>
      <c r="GJL52" s="16"/>
      <c r="GJM52" s="16"/>
      <c r="GJN52" s="16"/>
      <c r="GJO52" s="16"/>
      <c r="GJP52" s="16"/>
      <c r="GJQ52" s="16"/>
      <c r="GJR52" s="16"/>
      <c r="GJS52" s="16"/>
      <c r="GJT52" s="16"/>
      <c r="GJU52" s="16"/>
      <c r="GJV52" s="16"/>
      <c r="GJW52" s="16"/>
      <c r="GJX52" s="16"/>
      <c r="GJY52" s="16"/>
      <c r="GJZ52" s="16"/>
      <c r="GKA52" s="16"/>
      <c r="GKB52" s="16"/>
      <c r="GKC52" s="16"/>
      <c r="GKD52" s="16"/>
      <c r="GKE52" s="16"/>
      <c r="GKF52" s="16"/>
      <c r="GKG52" s="16"/>
      <c r="GKH52" s="16"/>
      <c r="GKI52" s="16"/>
      <c r="GKJ52" s="16"/>
      <c r="GKK52" s="16"/>
      <c r="GKL52" s="16"/>
      <c r="GKM52" s="16"/>
      <c r="GKN52" s="16"/>
      <c r="GKO52" s="16"/>
      <c r="GKP52" s="16"/>
      <c r="GKQ52" s="16"/>
      <c r="GKR52" s="16"/>
      <c r="GKS52" s="16"/>
      <c r="GKT52" s="16"/>
      <c r="GKU52" s="16"/>
      <c r="GKV52" s="16"/>
      <c r="GKW52" s="16"/>
      <c r="GKX52" s="16"/>
      <c r="GKY52" s="16"/>
      <c r="GKZ52" s="16"/>
      <c r="GLA52" s="16"/>
      <c r="GLB52" s="16"/>
      <c r="GLC52" s="16"/>
      <c r="GLD52" s="16"/>
      <c r="GLE52" s="16"/>
      <c r="GLF52" s="16"/>
      <c r="GLG52" s="16"/>
      <c r="GLH52" s="16"/>
      <c r="GLI52" s="16"/>
      <c r="GLJ52" s="16"/>
      <c r="GLK52" s="16"/>
      <c r="GLL52" s="16"/>
      <c r="GLM52" s="16"/>
      <c r="GLN52" s="16"/>
      <c r="GLO52" s="16"/>
      <c r="GLP52" s="16"/>
      <c r="GLQ52" s="16"/>
      <c r="GLR52" s="16"/>
      <c r="GLS52" s="16"/>
      <c r="GLT52" s="16"/>
      <c r="GLU52" s="16"/>
      <c r="GLV52" s="16"/>
      <c r="GLW52" s="16"/>
      <c r="GLX52" s="16"/>
      <c r="GLY52" s="16"/>
      <c r="GLZ52" s="16"/>
      <c r="GMA52" s="16"/>
      <c r="GMB52" s="16"/>
      <c r="GMC52" s="16"/>
      <c r="GMD52" s="16"/>
      <c r="GME52" s="16"/>
      <c r="GMF52" s="16"/>
      <c r="GMG52" s="16"/>
      <c r="GMH52" s="16"/>
      <c r="GMI52" s="16"/>
      <c r="GMJ52" s="16"/>
      <c r="GMK52" s="16"/>
      <c r="GML52" s="16"/>
      <c r="GMM52" s="16"/>
      <c r="GMN52" s="16"/>
      <c r="GMO52" s="16"/>
      <c r="GMP52" s="16"/>
      <c r="GMQ52" s="16"/>
      <c r="GMR52" s="16"/>
      <c r="GMS52" s="16"/>
      <c r="GMT52" s="16"/>
      <c r="GMU52" s="16"/>
      <c r="GMV52" s="16"/>
      <c r="GMW52" s="16"/>
      <c r="GMX52" s="16"/>
      <c r="GMY52" s="16"/>
      <c r="GMZ52" s="16"/>
      <c r="GNA52" s="16"/>
      <c r="GNB52" s="16"/>
      <c r="GNC52" s="16"/>
      <c r="GND52" s="16"/>
      <c r="GNE52" s="16"/>
      <c r="GNF52" s="16"/>
      <c r="GNG52" s="16"/>
      <c r="GNH52" s="16"/>
      <c r="GNI52" s="16"/>
      <c r="GNJ52" s="16"/>
      <c r="GNK52" s="16"/>
      <c r="GNL52" s="16"/>
      <c r="GNM52" s="16"/>
      <c r="GNN52" s="16"/>
      <c r="GNO52" s="16"/>
      <c r="GNP52" s="16"/>
      <c r="GNQ52" s="16"/>
      <c r="GNR52" s="16"/>
      <c r="GNS52" s="16"/>
      <c r="GNT52" s="16"/>
      <c r="GNU52" s="16"/>
      <c r="GNV52" s="16"/>
      <c r="GNW52" s="16"/>
      <c r="GNX52" s="16"/>
      <c r="GNY52" s="16"/>
      <c r="GNZ52" s="16"/>
      <c r="GOA52" s="16"/>
      <c r="GOB52" s="16"/>
      <c r="GOC52" s="16"/>
      <c r="GOD52" s="16"/>
      <c r="GOE52" s="16"/>
      <c r="GOF52" s="16"/>
      <c r="GOG52" s="16"/>
      <c r="GOH52" s="16"/>
      <c r="GOI52" s="16"/>
      <c r="GOJ52" s="16"/>
      <c r="GOK52" s="16"/>
      <c r="GOL52" s="16"/>
      <c r="GOM52" s="16"/>
      <c r="GON52" s="16"/>
      <c r="GOO52" s="16"/>
      <c r="GOP52" s="16"/>
      <c r="GOQ52" s="16"/>
      <c r="GOR52" s="16"/>
      <c r="GOS52" s="16"/>
      <c r="GOT52" s="16"/>
      <c r="GOU52" s="16"/>
      <c r="GOV52" s="16"/>
      <c r="GOW52" s="16"/>
      <c r="GOX52" s="16"/>
      <c r="GOY52" s="16"/>
      <c r="GOZ52" s="16"/>
      <c r="GPA52" s="16"/>
      <c r="GPB52" s="16"/>
      <c r="GPC52" s="16"/>
      <c r="GPD52" s="16"/>
      <c r="GPE52" s="16"/>
      <c r="GPF52" s="16"/>
      <c r="GPG52" s="16"/>
      <c r="GPH52" s="16"/>
      <c r="GPI52" s="16"/>
      <c r="GPJ52" s="16"/>
      <c r="GPK52" s="16"/>
      <c r="GPL52" s="16"/>
      <c r="GPM52" s="16"/>
      <c r="GPN52" s="16"/>
      <c r="GPO52" s="16"/>
      <c r="GPP52" s="16"/>
      <c r="GPQ52" s="16"/>
      <c r="GPR52" s="16"/>
      <c r="GPS52" s="16"/>
      <c r="GPT52" s="16"/>
      <c r="GPU52" s="16"/>
      <c r="GPV52" s="16"/>
      <c r="GPW52" s="16"/>
      <c r="GPX52" s="16"/>
      <c r="GPY52" s="16"/>
      <c r="GPZ52" s="16"/>
      <c r="GQA52" s="16"/>
      <c r="GQB52" s="16"/>
      <c r="GQC52" s="16"/>
      <c r="GQD52" s="16"/>
      <c r="GQE52" s="16"/>
      <c r="GQF52" s="16"/>
      <c r="GQG52" s="16"/>
      <c r="GQH52" s="16"/>
      <c r="GQI52" s="16"/>
      <c r="GQJ52" s="16"/>
      <c r="GQK52" s="16"/>
      <c r="GQL52" s="16"/>
      <c r="GQM52" s="16"/>
      <c r="GQN52" s="16"/>
      <c r="GQO52" s="16"/>
      <c r="GQP52" s="16"/>
      <c r="GQQ52" s="16"/>
      <c r="GQR52" s="16"/>
      <c r="GQS52" s="16"/>
      <c r="GQT52" s="16"/>
      <c r="GQU52" s="16"/>
      <c r="GQV52" s="16"/>
      <c r="GQW52" s="16"/>
      <c r="GQX52" s="16"/>
      <c r="GQY52" s="16"/>
      <c r="GQZ52" s="16"/>
      <c r="GRA52" s="16"/>
      <c r="GRB52" s="16"/>
      <c r="GRC52" s="16"/>
      <c r="GRD52" s="16"/>
      <c r="GRE52" s="16"/>
      <c r="GRF52" s="16"/>
      <c r="GRG52" s="16"/>
      <c r="GRH52" s="16"/>
      <c r="GRI52" s="16"/>
      <c r="GRJ52" s="16"/>
      <c r="GRK52" s="16"/>
      <c r="GRL52" s="16"/>
      <c r="GRM52" s="16"/>
      <c r="GRN52" s="16"/>
      <c r="GRO52" s="16"/>
      <c r="GRP52" s="16"/>
      <c r="GRQ52" s="16"/>
      <c r="GRR52" s="16"/>
      <c r="GRS52" s="16"/>
      <c r="GRT52" s="16"/>
      <c r="GRU52" s="16"/>
      <c r="GRV52" s="16"/>
      <c r="GRW52" s="16"/>
      <c r="GRX52" s="16"/>
      <c r="GRY52" s="16"/>
      <c r="GRZ52" s="16"/>
      <c r="GSA52" s="16"/>
      <c r="GSB52" s="16"/>
      <c r="GSC52" s="16"/>
      <c r="GSD52" s="16"/>
      <c r="GSE52" s="16"/>
      <c r="GSF52" s="16"/>
      <c r="GSG52" s="16"/>
      <c r="GSH52" s="16"/>
      <c r="GSI52" s="16"/>
      <c r="GSJ52" s="16"/>
      <c r="GSK52" s="16"/>
      <c r="GSL52" s="16"/>
      <c r="GSM52" s="16"/>
      <c r="GSN52" s="16"/>
      <c r="GSO52" s="16"/>
      <c r="GSP52" s="16"/>
      <c r="GSQ52" s="16"/>
      <c r="GSR52" s="16"/>
      <c r="GSS52" s="16"/>
      <c r="GST52" s="16"/>
      <c r="GSU52" s="16"/>
      <c r="GSV52" s="16"/>
      <c r="GSW52" s="16"/>
      <c r="GSX52" s="16"/>
      <c r="GSY52" s="16"/>
      <c r="GSZ52" s="16"/>
      <c r="GTA52" s="16"/>
      <c r="GTB52" s="16"/>
      <c r="GTC52" s="16"/>
      <c r="GTD52" s="16"/>
      <c r="GTE52" s="16"/>
      <c r="GTF52" s="16"/>
      <c r="GTG52" s="16"/>
      <c r="GTH52" s="16"/>
      <c r="GTI52" s="16"/>
      <c r="GTJ52" s="16"/>
      <c r="GTK52" s="16"/>
      <c r="GTL52" s="16"/>
      <c r="GTM52" s="16"/>
      <c r="GTN52" s="16"/>
      <c r="GTO52" s="16"/>
      <c r="GTP52" s="16"/>
      <c r="GTQ52" s="16"/>
      <c r="GTR52" s="16"/>
      <c r="GTS52" s="16"/>
      <c r="GTT52" s="16"/>
      <c r="GTU52" s="16"/>
      <c r="GTV52" s="16"/>
      <c r="GTW52" s="16"/>
      <c r="GTX52" s="16"/>
      <c r="GTY52" s="16"/>
      <c r="GTZ52" s="16"/>
      <c r="GUA52" s="16"/>
      <c r="GUB52" s="16"/>
      <c r="GUC52" s="16"/>
      <c r="GUD52" s="16"/>
      <c r="GUE52" s="16"/>
      <c r="GUF52" s="16"/>
      <c r="GUG52" s="16"/>
      <c r="GUH52" s="16"/>
      <c r="GUI52" s="16"/>
      <c r="GUJ52" s="16"/>
      <c r="GUK52" s="16"/>
      <c r="GUL52" s="16"/>
      <c r="GUM52" s="16"/>
      <c r="GUN52" s="16"/>
      <c r="GUO52" s="16"/>
      <c r="GUP52" s="16"/>
      <c r="GUQ52" s="16"/>
      <c r="GUR52" s="16"/>
      <c r="GUS52" s="16"/>
      <c r="GUT52" s="16"/>
      <c r="GUU52" s="16"/>
      <c r="GUV52" s="16"/>
      <c r="GUW52" s="16"/>
      <c r="GUX52" s="16"/>
      <c r="GUY52" s="16"/>
      <c r="GUZ52" s="16"/>
      <c r="GVA52" s="16"/>
      <c r="GVB52" s="16"/>
      <c r="GVC52" s="16"/>
      <c r="GVD52" s="16"/>
      <c r="GVE52" s="16"/>
      <c r="GVF52" s="16"/>
      <c r="GVG52" s="16"/>
      <c r="GVH52" s="16"/>
      <c r="GVI52" s="16"/>
      <c r="GVJ52" s="16"/>
      <c r="GVK52" s="16"/>
      <c r="GVL52" s="16"/>
      <c r="GVM52" s="16"/>
      <c r="GVN52" s="16"/>
      <c r="GVO52" s="16"/>
      <c r="GVP52" s="16"/>
      <c r="GVQ52" s="16"/>
      <c r="GVR52" s="16"/>
      <c r="GVS52" s="16"/>
      <c r="GVT52" s="16"/>
      <c r="GVU52" s="16"/>
      <c r="GVV52" s="16"/>
      <c r="GVW52" s="16"/>
      <c r="GVX52" s="16"/>
      <c r="GVY52" s="16"/>
      <c r="GVZ52" s="16"/>
      <c r="GWA52" s="16"/>
      <c r="GWB52" s="16"/>
      <c r="GWC52" s="16"/>
      <c r="GWD52" s="16"/>
      <c r="GWE52" s="16"/>
      <c r="GWF52" s="16"/>
      <c r="GWG52" s="16"/>
      <c r="GWH52" s="16"/>
      <c r="GWI52" s="16"/>
      <c r="GWJ52" s="16"/>
      <c r="GWK52" s="16"/>
      <c r="GWL52" s="16"/>
      <c r="GWM52" s="16"/>
      <c r="GWN52" s="16"/>
      <c r="GWO52" s="16"/>
      <c r="GWP52" s="16"/>
      <c r="GWQ52" s="16"/>
      <c r="GWR52" s="16"/>
      <c r="GWS52" s="16"/>
      <c r="GWT52" s="16"/>
      <c r="GWU52" s="16"/>
      <c r="GWV52" s="16"/>
      <c r="GWW52" s="16"/>
      <c r="GWX52" s="16"/>
      <c r="GWY52" s="16"/>
      <c r="GWZ52" s="16"/>
      <c r="GXA52" s="16"/>
      <c r="GXB52" s="16"/>
      <c r="GXC52" s="16"/>
      <c r="GXD52" s="16"/>
      <c r="GXE52" s="16"/>
      <c r="GXF52" s="16"/>
      <c r="GXG52" s="16"/>
      <c r="GXH52" s="16"/>
      <c r="GXI52" s="16"/>
      <c r="GXJ52" s="16"/>
      <c r="GXK52" s="16"/>
      <c r="GXL52" s="16"/>
      <c r="GXM52" s="16"/>
      <c r="GXN52" s="16"/>
      <c r="GXO52" s="16"/>
      <c r="GXP52" s="16"/>
      <c r="GXQ52" s="16"/>
      <c r="GXR52" s="16"/>
      <c r="GXS52" s="16"/>
      <c r="GXT52" s="16"/>
      <c r="GXU52" s="16"/>
      <c r="GXV52" s="16"/>
      <c r="GXW52" s="16"/>
      <c r="GXX52" s="16"/>
      <c r="GXY52" s="16"/>
      <c r="GXZ52" s="16"/>
      <c r="GYA52" s="16"/>
      <c r="GYB52" s="16"/>
      <c r="GYC52" s="16"/>
      <c r="GYD52" s="16"/>
      <c r="GYE52" s="16"/>
      <c r="GYF52" s="16"/>
      <c r="GYG52" s="16"/>
      <c r="GYH52" s="16"/>
      <c r="GYI52" s="16"/>
      <c r="GYJ52" s="16"/>
      <c r="GYK52" s="16"/>
      <c r="GYL52" s="16"/>
      <c r="GYM52" s="16"/>
      <c r="GYN52" s="16"/>
      <c r="GYO52" s="16"/>
      <c r="GYP52" s="16"/>
      <c r="GYQ52" s="16"/>
      <c r="GYR52" s="16"/>
      <c r="GYS52" s="16"/>
      <c r="GYT52" s="16"/>
      <c r="GYU52" s="16"/>
      <c r="GYV52" s="16"/>
      <c r="GYW52" s="16"/>
      <c r="GYX52" s="16"/>
      <c r="GYY52" s="16"/>
      <c r="GYZ52" s="16"/>
      <c r="GZA52" s="16"/>
      <c r="GZB52" s="16"/>
      <c r="GZC52" s="16"/>
      <c r="GZD52" s="16"/>
      <c r="GZE52" s="16"/>
      <c r="GZF52" s="16"/>
      <c r="GZG52" s="16"/>
      <c r="GZH52" s="16"/>
      <c r="GZI52" s="16"/>
      <c r="GZJ52" s="16"/>
      <c r="GZK52" s="16"/>
      <c r="GZL52" s="16"/>
      <c r="GZM52" s="16"/>
      <c r="GZN52" s="16"/>
      <c r="GZO52" s="16"/>
      <c r="GZP52" s="16"/>
      <c r="GZQ52" s="16"/>
      <c r="GZR52" s="16"/>
      <c r="GZS52" s="16"/>
      <c r="GZT52" s="16"/>
      <c r="GZU52" s="16"/>
      <c r="GZV52" s="16"/>
      <c r="GZW52" s="16"/>
      <c r="GZX52" s="16"/>
      <c r="GZY52" s="16"/>
      <c r="GZZ52" s="16"/>
      <c r="HAA52" s="16"/>
      <c r="HAB52" s="16"/>
      <c r="HAC52" s="16"/>
      <c r="HAD52" s="16"/>
      <c r="HAE52" s="16"/>
      <c r="HAF52" s="16"/>
      <c r="HAG52" s="16"/>
      <c r="HAH52" s="16"/>
      <c r="HAI52" s="16"/>
      <c r="HAJ52" s="16"/>
      <c r="HAK52" s="16"/>
      <c r="HAL52" s="16"/>
      <c r="HAM52" s="16"/>
      <c r="HAN52" s="16"/>
      <c r="HAO52" s="16"/>
      <c r="HAP52" s="16"/>
      <c r="HAQ52" s="16"/>
      <c r="HAR52" s="16"/>
      <c r="HAS52" s="16"/>
      <c r="HAT52" s="16"/>
      <c r="HAU52" s="16"/>
      <c r="HAV52" s="16"/>
      <c r="HAW52" s="16"/>
      <c r="HAX52" s="16"/>
      <c r="HAY52" s="16"/>
      <c r="HAZ52" s="16"/>
      <c r="HBA52" s="16"/>
      <c r="HBB52" s="16"/>
      <c r="HBC52" s="16"/>
      <c r="HBD52" s="16"/>
      <c r="HBE52" s="16"/>
      <c r="HBF52" s="16"/>
      <c r="HBG52" s="16"/>
      <c r="HBH52" s="16"/>
      <c r="HBI52" s="16"/>
      <c r="HBJ52" s="16"/>
      <c r="HBK52" s="16"/>
      <c r="HBL52" s="16"/>
      <c r="HBM52" s="16"/>
      <c r="HBN52" s="16"/>
      <c r="HBO52" s="16"/>
      <c r="HBP52" s="16"/>
      <c r="HBQ52" s="16"/>
      <c r="HBR52" s="16"/>
      <c r="HBS52" s="16"/>
      <c r="HBT52" s="16"/>
      <c r="HBU52" s="16"/>
      <c r="HBV52" s="16"/>
      <c r="HBW52" s="16"/>
      <c r="HBX52" s="16"/>
      <c r="HBY52" s="16"/>
      <c r="HBZ52" s="16"/>
      <c r="HCA52" s="16"/>
      <c r="HCB52" s="16"/>
      <c r="HCC52" s="16"/>
      <c r="HCD52" s="16"/>
      <c r="HCE52" s="16"/>
      <c r="HCF52" s="16"/>
      <c r="HCG52" s="16"/>
      <c r="HCH52" s="16"/>
      <c r="HCI52" s="16"/>
      <c r="HCJ52" s="16"/>
      <c r="HCK52" s="16"/>
      <c r="HCL52" s="16"/>
      <c r="HCM52" s="16"/>
      <c r="HCN52" s="16"/>
      <c r="HCO52" s="16"/>
      <c r="HCP52" s="16"/>
      <c r="HCQ52" s="16"/>
      <c r="HCR52" s="16"/>
      <c r="HCS52" s="16"/>
      <c r="HCT52" s="16"/>
      <c r="HCU52" s="16"/>
      <c r="HCV52" s="16"/>
      <c r="HCW52" s="16"/>
      <c r="HCX52" s="16"/>
      <c r="HCY52" s="16"/>
      <c r="HCZ52" s="16"/>
      <c r="HDA52" s="16"/>
      <c r="HDB52" s="16"/>
      <c r="HDC52" s="16"/>
      <c r="HDD52" s="16"/>
      <c r="HDE52" s="16"/>
      <c r="HDF52" s="16"/>
      <c r="HDG52" s="16"/>
      <c r="HDH52" s="16"/>
      <c r="HDI52" s="16"/>
      <c r="HDJ52" s="16"/>
      <c r="HDK52" s="16"/>
      <c r="HDL52" s="16"/>
      <c r="HDM52" s="16"/>
      <c r="HDN52" s="16"/>
      <c r="HDO52" s="16"/>
      <c r="HDP52" s="16"/>
      <c r="HDQ52" s="16"/>
      <c r="HDR52" s="16"/>
      <c r="HDS52" s="16"/>
      <c r="HDT52" s="16"/>
      <c r="HDU52" s="16"/>
      <c r="HDV52" s="16"/>
      <c r="HDW52" s="16"/>
      <c r="HDX52" s="16"/>
      <c r="HDY52" s="16"/>
      <c r="HDZ52" s="16"/>
      <c r="HEA52" s="16"/>
      <c r="HEB52" s="16"/>
      <c r="HEC52" s="16"/>
      <c r="HED52" s="16"/>
      <c r="HEE52" s="16"/>
      <c r="HEF52" s="16"/>
      <c r="HEG52" s="16"/>
      <c r="HEH52" s="16"/>
      <c r="HEI52" s="16"/>
      <c r="HEJ52" s="16"/>
      <c r="HEK52" s="16"/>
      <c r="HEL52" s="16"/>
      <c r="HEM52" s="16"/>
      <c r="HEN52" s="16"/>
      <c r="HEO52" s="16"/>
      <c r="HEP52" s="16"/>
      <c r="HEQ52" s="16"/>
      <c r="HER52" s="16"/>
      <c r="HES52" s="16"/>
      <c r="HET52" s="16"/>
      <c r="HEU52" s="16"/>
      <c r="HEV52" s="16"/>
      <c r="HEW52" s="16"/>
      <c r="HEX52" s="16"/>
      <c r="HEY52" s="16"/>
      <c r="HEZ52" s="16"/>
      <c r="HFA52" s="16"/>
      <c r="HFB52" s="16"/>
      <c r="HFC52" s="16"/>
      <c r="HFD52" s="16"/>
      <c r="HFE52" s="16"/>
      <c r="HFF52" s="16"/>
      <c r="HFG52" s="16"/>
      <c r="HFH52" s="16"/>
      <c r="HFI52" s="16"/>
      <c r="HFJ52" s="16"/>
      <c r="HFK52" s="16"/>
      <c r="HFL52" s="16"/>
      <c r="HFM52" s="16"/>
      <c r="HFN52" s="16"/>
      <c r="HFO52" s="16"/>
      <c r="HFP52" s="16"/>
      <c r="HFQ52" s="16"/>
      <c r="HFR52" s="16"/>
      <c r="HFS52" s="16"/>
      <c r="HFT52" s="16"/>
      <c r="HFU52" s="16"/>
      <c r="HFV52" s="16"/>
      <c r="HFW52" s="16"/>
      <c r="HFX52" s="16"/>
      <c r="HFY52" s="16"/>
      <c r="HFZ52" s="16"/>
      <c r="HGA52" s="16"/>
      <c r="HGB52" s="16"/>
      <c r="HGC52" s="16"/>
      <c r="HGD52" s="16"/>
      <c r="HGE52" s="16"/>
      <c r="HGF52" s="16"/>
      <c r="HGG52" s="16"/>
      <c r="HGH52" s="16"/>
      <c r="HGI52" s="16"/>
      <c r="HGJ52" s="16"/>
      <c r="HGK52" s="16"/>
      <c r="HGL52" s="16"/>
      <c r="HGM52" s="16"/>
      <c r="HGN52" s="16"/>
      <c r="HGO52" s="16"/>
      <c r="HGP52" s="16"/>
      <c r="HGQ52" s="16"/>
      <c r="HGR52" s="16"/>
      <c r="HGS52" s="16"/>
      <c r="HGT52" s="16"/>
      <c r="HGU52" s="16"/>
      <c r="HGV52" s="16"/>
      <c r="HGW52" s="16"/>
      <c r="HGX52" s="16"/>
      <c r="HGY52" s="16"/>
      <c r="HGZ52" s="16"/>
      <c r="HHA52" s="16"/>
      <c r="HHB52" s="16"/>
      <c r="HHC52" s="16"/>
      <c r="HHD52" s="16"/>
      <c r="HHE52" s="16"/>
      <c r="HHF52" s="16"/>
      <c r="HHG52" s="16"/>
      <c r="HHH52" s="16"/>
      <c r="HHI52" s="16"/>
      <c r="HHJ52" s="16"/>
      <c r="HHK52" s="16"/>
      <c r="HHL52" s="16"/>
      <c r="HHM52" s="16"/>
      <c r="HHN52" s="16"/>
      <c r="HHO52" s="16"/>
      <c r="HHP52" s="16"/>
      <c r="HHQ52" s="16"/>
      <c r="HHR52" s="16"/>
      <c r="HHS52" s="16"/>
      <c r="HHT52" s="16"/>
      <c r="HHU52" s="16"/>
      <c r="HHV52" s="16"/>
      <c r="HHW52" s="16"/>
      <c r="HHX52" s="16"/>
      <c r="HHY52" s="16"/>
      <c r="HHZ52" s="16"/>
      <c r="HIA52" s="16"/>
      <c r="HIB52" s="16"/>
      <c r="HIC52" s="16"/>
      <c r="HID52" s="16"/>
      <c r="HIE52" s="16"/>
      <c r="HIF52" s="16"/>
      <c r="HIG52" s="16"/>
      <c r="HIH52" s="16"/>
      <c r="HII52" s="16"/>
      <c r="HIJ52" s="16"/>
      <c r="HIK52" s="16"/>
      <c r="HIL52" s="16"/>
      <c r="HIM52" s="16"/>
      <c r="HIN52" s="16"/>
      <c r="HIO52" s="16"/>
      <c r="HIP52" s="16"/>
      <c r="HIQ52" s="16"/>
      <c r="HIR52" s="16"/>
      <c r="HIS52" s="16"/>
      <c r="HIT52" s="16"/>
      <c r="HIU52" s="16"/>
      <c r="HIV52" s="16"/>
      <c r="HIW52" s="16"/>
      <c r="HIX52" s="16"/>
      <c r="HIY52" s="16"/>
      <c r="HIZ52" s="16"/>
      <c r="HJA52" s="16"/>
      <c r="HJB52" s="16"/>
      <c r="HJC52" s="16"/>
      <c r="HJD52" s="16"/>
      <c r="HJE52" s="16"/>
      <c r="HJF52" s="16"/>
      <c r="HJG52" s="16"/>
      <c r="HJH52" s="16"/>
      <c r="HJI52" s="16"/>
      <c r="HJJ52" s="16"/>
      <c r="HJK52" s="16"/>
      <c r="HJL52" s="16"/>
      <c r="HJM52" s="16"/>
      <c r="HJN52" s="16"/>
      <c r="HJO52" s="16"/>
      <c r="HJP52" s="16"/>
      <c r="HJQ52" s="16"/>
      <c r="HJR52" s="16"/>
      <c r="HJS52" s="16"/>
      <c r="HJT52" s="16"/>
      <c r="HJU52" s="16"/>
      <c r="HJV52" s="16"/>
      <c r="HJW52" s="16"/>
      <c r="HJX52" s="16"/>
      <c r="HJY52" s="16"/>
      <c r="HJZ52" s="16"/>
      <c r="HKA52" s="16"/>
      <c r="HKB52" s="16"/>
      <c r="HKC52" s="16"/>
      <c r="HKD52" s="16"/>
      <c r="HKE52" s="16"/>
      <c r="HKF52" s="16"/>
      <c r="HKG52" s="16"/>
      <c r="HKH52" s="16"/>
      <c r="HKI52" s="16"/>
      <c r="HKJ52" s="16"/>
      <c r="HKK52" s="16"/>
      <c r="HKL52" s="16"/>
      <c r="HKM52" s="16"/>
      <c r="HKN52" s="16"/>
      <c r="HKO52" s="16"/>
      <c r="HKP52" s="16"/>
      <c r="HKQ52" s="16"/>
      <c r="HKR52" s="16"/>
      <c r="HKS52" s="16"/>
      <c r="HKT52" s="16"/>
      <c r="HKU52" s="16"/>
      <c r="HKV52" s="16"/>
      <c r="HKW52" s="16"/>
      <c r="HKX52" s="16"/>
      <c r="HKY52" s="16"/>
      <c r="HKZ52" s="16"/>
      <c r="HLA52" s="16"/>
      <c r="HLB52" s="16"/>
      <c r="HLC52" s="16"/>
      <c r="HLD52" s="16"/>
      <c r="HLE52" s="16"/>
      <c r="HLF52" s="16"/>
      <c r="HLG52" s="16"/>
      <c r="HLH52" s="16"/>
      <c r="HLI52" s="16"/>
      <c r="HLJ52" s="16"/>
      <c r="HLK52" s="16"/>
      <c r="HLL52" s="16"/>
      <c r="HLM52" s="16"/>
      <c r="HLN52" s="16"/>
      <c r="HLO52" s="16"/>
      <c r="HLP52" s="16"/>
      <c r="HLQ52" s="16"/>
      <c r="HLR52" s="16"/>
      <c r="HLS52" s="16"/>
      <c r="HLT52" s="16"/>
      <c r="HLU52" s="16"/>
      <c r="HLV52" s="16"/>
      <c r="HLW52" s="16"/>
      <c r="HLX52" s="16"/>
      <c r="HLY52" s="16"/>
      <c r="HLZ52" s="16"/>
      <c r="HMA52" s="16"/>
      <c r="HMB52" s="16"/>
      <c r="HMC52" s="16"/>
      <c r="HMD52" s="16"/>
      <c r="HME52" s="16"/>
      <c r="HMF52" s="16"/>
      <c r="HMG52" s="16"/>
      <c r="HMH52" s="16"/>
      <c r="HMI52" s="16"/>
      <c r="HMJ52" s="16"/>
      <c r="HMK52" s="16"/>
      <c r="HML52" s="16"/>
      <c r="HMM52" s="16"/>
      <c r="HMN52" s="16"/>
      <c r="HMO52" s="16"/>
      <c r="HMP52" s="16"/>
      <c r="HMQ52" s="16"/>
      <c r="HMR52" s="16"/>
      <c r="HMS52" s="16"/>
      <c r="HMT52" s="16"/>
      <c r="HMU52" s="16"/>
      <c r="HMV52" s="16"/>
      <c r="HMW52" s="16"/>
      <c r="HMX52" s="16"/>
      <c r="HMY52" s="16"/>
      <c r="HMZ52" s="16"/>
      <c r="HNA52" s="16"/>
      <c r="HNB52" s="16"/>
      <c r="HNC52" s="16"/>
      <c r="HND52" s="16"/>
      <c r="HNE52" s="16"/>
      <c r="HNF52" s="16"/>
      <c r="HNG52" s="16"/>
      <c r="HNH52" s="16"/>
      <c r="HNI52" s="16"/>
      <c r="HNJ52" s="16"/>
      <c r="HNK52" s="16"/>
      <c r="HNL52" s="16"/>
      <c r="HNM52" s="16"/>
      <c r="HNN52" s="16"/>
      <c r="HNO52" s="16"/>
      <c r="HNP52" s="16"/>
      <c r="HNQ52" s="16"/>
      <c r="HNR52" s="16"/>
      <c r="HNS52" s="16"/>
      <c r="HNT52" s="16"/>
      <c r="HNU52" s="16"/>
      <c r="HNV52" s="16"/>
      <c r="HNW52" s="16"/>
      <c r="HNX52" s="16"/>
      <c r="HNY52" s="16"/>
      <c r="HNZ52" s="16"/>
      <c r="HOA52" s="16"/>
      <c r="HOB52" s="16"/>
      <c r="HOC52" s="16"/>
      <c r="HOD52" s="16"/>
      <c r="HOE52" s="16"/>
      <c r="HOF52" s="16"/>
      <c r="HOG52" s="16"/>
      <c r="HOH52" s="16"/>
      <c r="HOI52" s="16"/>
      <c r="HOJ52" s="16"/>
      <c r="HOK52" s="16"/>
      <c r="HOL52" s="16"/>
      <c r="HOM52" s="16"/>
      <c r="HON52" s="16"/>
      <c r="HOO52" s="16"/>
      <c r="HOP52" s="16"/>
      <c r="HOQ52" s="16"/>
      <c r="HOR52" s="16"/>
      <c r="HOS52" s="16"/>
      <c r="HOT52" s="16"/>
      <c r="HOU52" s="16"/>
      <c r="HOV52" s="16"/>
      <c r="HOW52" s="16"/>
      <c r="HOX52" s="16"/>
      <c r="HOY52" s="16"/>
      <c r="HOZ52" s="16"/>
      <c r="HPA52" s="16"/>
      <c r="HPB52" s="16"/>
      <c r="HPC52" s="16"/>
      <c r="HPD52" s="16"/>
      <c r="HPE52" s="16"/>
      <c r="HPF52" s="16"/>
      <c r="HPG52" s="16"/>
      <c r="HPH52" s="16"/>
      <c r="HPI52" s="16"/>
      <c r="HPJ52" s="16"/>
      <c r="HPK52" s="16"/>
      <c r="HPL52" s="16"/>
      <c r="HPM52" s="16"/>
      <c r="HPN52" s="16"/>
      <c r="HPO52" s="16"/>
      <c r="HPP52" s="16"/>
      <c r="HPQ52" s="16"/>
      <c r="HPR52" s="16"/>
      <c r="HPS52" s="16"/>
      <c r="HPT52" s="16"/>
      <c r="HPU52" s="16"/>
      <c r="HPV52" s="16"/>
      <c r="HPW52" s="16"/>
      <c r="HPX52" s="16"/>
      <c r="HPY52" s="16"/>
      <c r="HPZ52" s="16"/>
      <c r="HQA52" s="16"/>
      <c r="HQB52" s="16"/>
      <c r="HQC52" s="16"/>
      <c r="HQD52" s="16"/>
      <c r="HQE52" s="16"/>
      <c r="HQF52" s="16"/>
      <c r="HQG52" s="16"/>
      <c r="HQH52" s="16"/>
      <c r="HQI52" s="16"/>
      <c r="HQJ52" s="16"/>
      <c r="HQK52" s="16"/>
      <c r="HQL52" s="16"/>
      <c r="HQM52" s="16"/>
      <c r="HQN52" s="16"/>
      <c r="HQO52" s="16"/>
      <c r="HQP52" s="16"/>
      <c r="HQQ52" s="16"/>
      <c r="HQR52" s="16"/>
      <c r="HQS52" s="16"/>
      <c r="HQT52" s="16"/>
      <c r="HQU52" s="16"/>
      <c r="HQV52" s="16"/>
      <c r="HQW52" s="16"/>
      <c r="HQX52" s="16"/>
      <c r="HQY52" s="16"/>
      <c r="HQZ52" s="16"/>
      <c r="HRA52" s="16"/>
      <c r="HRB52" s="16"/>
      <c r="HRC52" s="16"/>
      <c r="HRD52" s="16"/>
      <c r="HRE52" s="16"/>
      <c r="HRF52" s="16"/>
      <c r="HRG52" s="16"/>
      <c r="HRH52" s="16"/>
      <c r="HRI52" s="16"/>
      <c r="HRJ52" s="16"/>
      <c r="HRK52" s="16"/>
      <c r="HRL52" s="16"/>
      <c r="HRM52" s="16"/>
      <c r="HRN52" s="16"/>
      <c r="HRO52" s="16"/>
      <c r="HRP52" s="16"/>
      <c r="HRQ52" s="16"/>
      <c r="HRR52" s="16"/>
      <c r="HRS52" s="16"/>
      <c r="HRT52" s="16"/>
      <c r="HRU52" s="16"/>
      <c r="HRV52" s="16"/>
      <c r="HRW52" s="16"/>
      <c r="HRX52" s="16"/>
      <c r="HRY52" s="16"/>
      <c r="HRZ52" s="16"/>
      <c r="HSA52" s="16"/>
      <c r="HSB52" s="16"/>
      <c r="HSC52" s="16"/>
      <c r="HSD52" s="16"/>
      <c r="HSE52" s="16"/>
      <c r="HSF52" s="16"/>
      <c r="HSG52" s="16"/>
      <c r="HSH52" s="16"/>
      <c r="HSI52" s="16"/>
      <c r="HSJ52" s="16"/>
      <c r="HSK52" s="16"/>
      <c r="HSL52" s="16"/>
      <c r="HSM52" s="16"/>
      <c r="HSN52" s="16"/>
      <c r="HSO52" s="16"/>
      <c r="HSP52" s="16"/>
      <c r="HSQ52" s="16"/>
      <c r="HSR52" s="16"/>
      <c r="HSS52" s="16"/>
      <c r="HST52" s="16"/>
      <c r="HSU52" s="16"/>
      <c r="HSV52" s="16"/>
      <c r="HSW52" s="16"/>
      <c r="HSX52" s="16"/>
      <c r="HSY52" s="16"/>
      <c r="HSZ52" s="16"/>
      <c r="HTA52" s="16"/>
      <c r="HTB52" s="16"/>
      <c r="HTC52" s="16"/>
      <c r="HTD52" s="16"/>
      <c r="HTE52" s="16"/>
      <c r="HTF52" s="16"/>
      <c r="HTG52" s="16"/>
      <c r="HTH52" s="16"/>
      <c r="HTI52" s="16"/>
      <c r="HTJ52" s="16"/>
      <c r="HTK52" s="16"/>
      <c r="HTL52" s="16"/>
      <c r="HTM52" s="16"/>
      <c r="HTN52" s="16"/>
      <c r="HTO52" s="16"/>
      <c r="HTP52" s="16"/>
      <c r="HTQ52" s="16"/>
      <c r="HTR52" s="16"/>
      <c r="HTS52" s="16"/>
      <c r="HTT52" s="16"/>
      <c r="HTU52" s="16"/>
      <c r="HTV52" s="16"/>
      <c r="HTW52" s="16"/>
      <c r="HTX52" s="16"/>
      <c r="HTY52" s="16"/>
      <c r="HTZ52" s="16"/>
      <c r="HUA52" s="16"/>
      <c r="HUB52" s="16"/>
      <c r="HUC52" s="16"/>
      <c r="HUD52" s="16"/>
      <c r="HUE52" s="16"/>
      <c r="HUF52" s="16"/>
      <c r="HUG52" s="16"/>
      <c r="HUH52" s="16"/>
      <c r="HUI52" s="16"/>
      <c r="HUJ52" s="16"/>
      <c r="HUK52" s="16"/>
      <c r="HUL52" s="16"/>
      <c r="HUM52" s="16"/>
      <c r="HUN52" s="16"/>
      <c r="HUO52" s="16"/>
      <c r="HUP52" s="16"/>
      <c r="HUQ52" s="16"/>
      <c r="HUR52" s="16"/>
      <c r="HUS52" s="16"/>
      <c r="HUT52" s="16"/>
      <c r="HUU52" s="16"/>
      <c r="HUV52" s="16"/>
      <c r="HUW52" s="16"/>
      <c r="HUX52" s="16"/>
      <c r="HUY52" s="16"/>
      <c r="HUZ52" s="16"/>
      <c r="HVA52" s="16"/>
      <c r="HVB52" s="16"/>
      <c r="HVC52" s="16"/>
      <c r="HVD52" s="16"/>
      <c r="HVE52" s="16"/>
      <c r="HVF52" s="16"/>
      <c r="HVG52" s="16"/>
      <c r="HVH52" s="16"/>
      <c r="HVI52" s="16"/>
      <c r="HVJ52" s="16"/>
      <c r="HVK52" s="16"/>
      <c r="HVL52" s="16"/>
      <c r="HVM52" s="16"/>
      <c r="HVN52" s="16"/>
      <c r="HVO52" s="16"/>
      <c r="HVP52" s="16"/>
      <c r="HVQ52" s="16"/>
      <c r="HVR52" s="16"/>
      <c r="HVS52" s="16"/>
      <c r="HVT52" s="16"/>
      <c r="HVU52" s="16"/>
      <c r="HVV52" s="16"/>
      <c r="HVW52" s="16"/>
      <c r="HVX52" s="16"/>
      <c r="HVY52" s="16"/>
      <c r="HVZ52" s="16"/>
      <c r="HWA52" s="16"/>
      <c r="HWB52" s="16"/>
      <c r="HWC52" s="16"/>
      <c r="HWD52" s="16"/>
      <c r="HWE52" s="16"/>
      <c r="HWF52" s="16"/>
      <c r="HWG52" s="16"/>
      <c r="HWH52" s="16"/>
      <c r="HWI52" s="16"/>
      <c r="HWJ52" s="16"/>
      <c r="HWK52" s="16"/>
      <c r="HWL52" s="16"/>
      <c r="HWM52" s="16"/>
      <c r="HWN52" s="16"/>
      <c r="HWO52" s="16"/>
      <c r="HWP52" s="16"/>
      <c r="HWQ52" s="16"/>
      <c r="HWR52" s="16"/>
      <c r="HWS52" s="16"/>
      <c r="HWT52" s="16"/>
      <c r="HWU52" s="16"/>
      <c r="HWV52" s="16"/>
      <c r="HWW52" s="16"/>
      <c r="HWX52" s="16"/>
      <c r="HWY52" s="16"/>
      <c r="HWZ52" s="16"/>
      <c r="HXA52" s="16"/>
      <c r="HXB52" s="16"/>
      <c r="HXC52" s="16"/>
      <c r="HXD52" s="16"/>
      <c r="HXE52" s="16"/>
      <c r="HXF52" s="16"/>
      <c r="HXG52" s="16"/>
      <c r="HXH52" s="16"/>
      <c r="HXI52" s="16"/>
      <c r="HXJ52" s="16"/>
      <c r="HXK52" s="16"/>
      <c r="HXL52" s="16"/>
      <c r="HXM52" s="16"/>
      <c r="HXN52" s="16"/>
      <c r="HXO52" s="16"/>
      <c r="HXP52" s="16"/>
      <c r="HXQ52" s="16"/>
      <c r="HXR52" s="16"/>
      <c r="HXS52" s="16"/>
      <c r="HXT52" s="16"/>
      <c r="HXU52" s="16"/>
      <c r="HXV52" s="16"/>
      <c r="HXW52" s="16"/>
      <c r="HXX52" s="16"/>
      <c r="HXY52" s="16"/>
      <c r="HXZ52" s="16"/>
      <c r="HYA52" s="16"/>
      <c r="HYB52" s="16"/>
      <c r="HYC52" s="16"/>
      <c r="HYD52" s="16"/>
      <c r="HYE52" s="16"/>
      <c r="HYF52" s="16"/>
      <c r="HYG52" s="16"/>
      <c r="HYH52" s="16"/>
      <c r="HYI52" s="16"/>
      <c r="HYJ52" s="16"/>
      <c r="HYK52" s="16"/>
      <c r="HYL52" s="16"/>
      <c r="HYM52" s="16"/>
      <c r="HYN52" s="16"/>
      <c r="HYO52" s="16"/>
      <c r="HYP52" s="16"/>
      <c r="HYQ52" s="16"/>
      <c r="HYR52" s="16"/>
      <c r="HYS52" s="16"/>
      <c r="HYT52" s="16"/>
      <c r="HYU52" s="16"/>
      <c r="HYV52" s="16"/>
      <c r="HYW52" s="16"/>
      <c r="HYX52" s="16"/>
      <c r="HYY52" s="16"/>
      <c r="HYZ52" s="16"/>
      <c r="HZA52" s="16"/>
      <c r="HZB52" s="16"/>
      <c r="HZC52" s="16"/>
      <c r="HZD52" s="16"/>
      <c r="HZE52" s="16"/>
      <c r="HZF52" s="16"/>
      <c r="HZG52" s="16"/>
      <c r="HZH52" s="16"/>
      <c r="HZI52" s="16"/>
      <c r="HZJ52" s="16"/>
      <c r="HZK52" s="16"/>
      <c r="HZL52" s="16"/>
      <c r="HZM52" s="16"/>
      <c r="HZN52" s="16"/>
      <c r="HZO52" s="16"/>
      <c r="HZP52" s="16"/>
      <c r="HZQ52" s="16"/>
      <c r="HZR52" s="16"/>
      <c r="HZS52" s="16"/>
      <c r="HZT52" s="16"/>
      <c r="HZU52" s="16"/>
      <c r="HZV52" s="16"/>
      <c r="HZW52" s="16"/>
      <c r="HZX52" s="16"/>
      <c r="HZY52" s="16"/>
      <c r="HZZ52" s="16"/>
      <c r="IAA52" s="16"/>
      <c r="IAB52" s="16"/>
      <c r="IAC52" s="16"/>
      <c r="IAD52" s="16"/>
      <c r="IAE52" s="16"/>
      <c r="IAF52" s="16"/>
      <c r="IAG52" s="16"/>
      <c r="IAH52" s="16"/>
      <c r="IAI52" s="16"/>
      <c r="IAJ52" s="16"/>
      <c r="IAK52" s="16"/>
      <c r="IAL52" s="16"/>
      <c r="IAM52" s="16"/>
      <c r="IAN52" s="16"/>
      <c r="IAO52" s="16"/>
      <c r="IAP52" s="16"/>
      <c r="IAQ52" s="16"/>
      <c r="IAR52" s="16"/>
      <c r="IAS52" s="16"/>
      <c r="IAT52" s="16"/>
      <c r="IAU52" s="16"/>
      <c r="IAV52" s="16"/>
      <c r="IAW52" s="16"/>
      <c r="IAX52" s="16"/>
      <c r="IAY52" s="16"/>
      <c r="IAZ52" s="16"/>
      <c r="IBA52" s="16"/>
      <c r="IBB52" s="16"/>
      <c r="IBC52" s="16"/>
      <c r="IBD52" s="16"/>
      <c r="IBE52" s="16"/>
      <c r="IBF52" s="16"/>
      <c r="IBG52" s="16"/>
      <c r="IBH52" s="16"/>
      <c r="IBI52" s="16"/>
      <c r="IBJ52" s="16"/>
      <c r="IBK52" s="16"/>
      <c r="IBL52" s="16"/>
      <c r="IBM52" s="16"/>
      <c r="IBN52" s="16"/>
      <c r="IBO52" s="16"/>
      <c r="IBP52" s="16"/>
      <c r="IBQ52" s="16"/>
      <c r="IBR52" s="16"/>
      <c r="IBS52" s="16"/>
      <c r="IBT52" s="16"/>
      <c r="IBU52" s="16"/>
      <c r="IBV52" s="16"/>
      <c r="IBW52" s="16"/>
      <c r="IBX52" s="16"/>
      <c r="IBY52" s="16"/>
      <c r="IBZ52" s="16"/>
      <c r="ICA52" s="16"/>
      <c r="ICB52" s="16"/>
      <c r="ICC52" s="16"/>
      <c r="ICD52" s="16"/>
      <c r="ICE52" s="16"/>
      <c r="ICF52" s="16"/>
      <c r="ICG52" s="16"/>
      <c r="ICH52" s="16"/>
      <c r="ICI52" s="16"/>
      <c r="ICJ52" s="16"/>
      <c r="ICK52" s="16"/>
      <c r="ICL52" s="16"/>
      <c r="ICM52" s="16"/>
      <c r="ICN52" s="16"/>
      <c r="ICO52" s="16"/>
      <c r="ICP52" s="16"/>
      <c r="ICQ52" s="16"/>
      <c r="ICR52" s="16"/>
      <c r="ICS52" s="16"/>
      <c r="ICT52" s="16"/>
      <c r="ICU52" s="16"/>
      <c r="ICV52" s="16"/>
      <c r="ICW52" s="16"/>
      <c r="ICX52" s="16"/>
      <c r="ICY52" s="16"/>
      <c r="ICZ52" s="16"/>
      <c r="IDA52" s="16"/>
      <c r="IDB52" s="16"/>
      <c r="IDC52" s="16"/>
      <c r="IDD52" s="16"/>
      <c r="IDE52" s="16"/>
      <c r="IDF52" s="16"/>
      <c r="IDG52" s="16"/>
      <c r="IDH52" s="16"/>
      <c r="IDI52" s="16"/>
      <c r="IDJ52" s="16"/>
      <c r="IDK52" s="16"/>
      <c r="IDL52" s="16"/>
      <c r="IDM52" s="16"/>
      <c r="IDN52" s="16"/>
      <c r="IDO52" s="16"/>
      <c r="IDP52" s="16"/>
      <c r="IDQ52" s="16"/>
      <c r="IDR52" s="16"/>
      <c r="IDS52" s="16"/>
      <c r="IDT52" s="16"/>
      <c r="IDU52" s="16"/>
      <c r="IDV52" s="16"/>
      <c r="IDW52" s="16"/>
      <c r="IDX52" s="16"/>
      <c r="IDY52" s="16"/>
      <c r="IDZ52" s="16"/>
      <c r="IEA52" s="16"/>
      <c r="IEB52" s="16"/>
      <c r="IEC52" s="16"/>
      <c r="IED52" s="16"/>
      <c r="IEE52" s="16"/>
      <c r="IEF52" s="16"/>
      <c r="IEG52" s="16"/>
      <c r="IEH52" s="16"/>
      <c r="IEI52" s="16"/>
      <c r="IEJ52" s="16"/>
      <c r="IEK52" s="16"/>
      <c r="IEL52" s="16"/>
      <c r="IEM52" s="16"/>
      <c r="IEN52" s="16"/>
      <c r="IEO52" s="16"/>
      <c r="IEP52" s="16"/>
      <c r="IEQ52" s="16"/>
      <c r="IER52" s="16"/>
      <c r="IES52" s="16"/>
      <c r="IET52" s="16"/>
      <c r="IEU52" s="16"/>
      <c r="IEV52" s="16"/>
      <c r="IEW52" s="16"/>
      <c r="IEX52" s="16"/>
      <c r="IEY52" s="16"/>
      <c r="IEZ52" s="16"/>
      <c r="IFA52" s="16"/>
      <c r="IFB52" s="16"/>
      <c r="IFC52" s="16"/>
      <c r="IFD52" s="16"/>
      <c r="IFE52" s="16"/>
      <c r="IFF52" s="16"/>
      <c r="IFG52" s="16"/>
      <c r="IFH52" s="16"/>
      <c r="IFI52" s="16"/>
      <c r="IFJ52" s="16"/>
      <c r="IFK52" s="16"/>
      <c r="IFL52" s="16"/>
      <c r="IFM52" s="16"/>
      <c r="IFN52" s="16"/>
      <c r="IFO52" s="16"/>
      <c r="IFP52" s="16"/>
      <c r="IFQ52" s="16"/>
      <c r="IFR52" s="16"/>
      <c r="IFS52" s="16"/>
      <c r="IFT52" s="16"/>
      <c r="IFU52" s="16"/>
      <c r="IFV52" s="16"/>
      <c r="IFW52" s="16"/>
      <c r="IFX52" s="16"/>
      <c r="IFY52" s="16"/>
      <c r="IFZ52" s="16"/>
      <c r="IGA52" s="16"/>
      <c r="IGB52" s="16"/>
      <c r="IGC52" s="16"/>
      <c r="IGD52" s="16"/>
      <c r="IGE52" s="16"/>
      <c r="IGF52" s="16"/>
      <c r="IGG52" s="16"/>
      <c r="IGH52" s="16"/>
      <c r="IGI52" s="16"/>
      <c r="IGJ52" s="16"/>
      <c r="IGK52" s="16"/>
      <c r="IGL52" s="16"/>
      <c r="IGM52" s="16"/>
      <c r="IGN52" s="16"/>
      <c r="IGO52" s="16"/>
      <c r="IGP52" s="16"/>
      <c r="IGQ52" s="16"/>
      <c r="IGR52" s="16"/>
      <c r="IGS52" s="16"/>
      <c r="IGT52" s="16"/>
      <c r="IGU52" s="16"/>
      <c r="IGV52" s="16"/>
      <c r="IGW52" s="16"/>
      <c r="IGX52" s="16"/>
      <c r="IGY52" s="16"/>
      <c r="IGZ52" s="16"/>
      <c r="IHA52" s="16"/>
      <c r="IHB52" s="16"/>
      <c r="IHC52" s="16"/>
      <c r="IHD52" s="16"/>
      <c r="IHE52" s="16"/>
      <c r="IHF52" s="16"/>
      <c r="IHG52" s="16"/>
      <c r="IHH52" s="16"/>
      <c r="IHI52" s="16"/>
      <c r="IHJ52" s="16"/>
      <c r="IHK52" s="16"/>
      <c r="IHL52" s="16"/>
      <c r="IHM52" s="16"/>
      <c r="IHN52" s="16"/>
      <c r="IHO52" s="16"/>
      <c r="IHP52" s="16"/>
      <c r="IHQ52" s="16"/>
      <c r="IHR52" s="16"/>
      <c r="IHS52" s="16"/>
      <c r="IHT52" s="16"/>
      <c r="IHU52" s="16"/>
      <c r="IHV52" s="16"/>
      <c r="IHW52" s="16"/>
      <c r="IHX52" s="16"/>
      <c r="IHY52" s="16"/>
      <c r="IHZ52" s="16"/>
      <c r="IIA52" s="16"/>
      <c r="IIB52" s="16"/>
      <c r="IIC52" s="16"/>
      <c r="IID52" s="16"/>
      <c r="IIE52" s="16"/>
      <c r="IIF52" s="16"/>
      <c r="IIG52" s="16"/>
      <c r="IIH52" s="16"/>
      <c r="III52" s="16"/>
      <c r="IIJ52" s="16"/>
      <c r="IIK52" s="16"/>
      <c r="IIL52" s="16"/>
      <c r="IIM52" s="16"/>
      <c r="IIN52" s="16"/>
      <c r="IIO52" s="16"/>
      <c r="IIP52" s="16"/>
      <c r="IIQ52" s="16"/>
      <c r="IIR52" s="16"/>
      <c r="IIS52" s="16"/>
      <c r="IIT52" s="16"/>
      <c r="IIU52" s="16"/>
      <c r="IIV52" s="16"/>
      <c r="IIW52" s="16"/>
      <c r="IIX52" s="16"/>
      <c r="IIY52" s="16"/>
      <c r="IIZ52" s="16"/>
      <c r="IJA52" s="16"/>
      <c r="IJB52" s="16"/>
      <c r="IJC52" s="16"/>
      <c r="IJD52" s="16"/>
      <c r="IJE52" s="16"/>
      <c r="IJF52" s="16"/>
      <c r="IJG52" s="16"/>
      <c r="IJH52" s="16"/>
      <c r="IJI52" s="16"/>
      <c r="IJJ52" s="16"/>
      <c r="IJK52" s="16"/>
      <c r="IJL52" s="16"/>
      <c r="IJM52" s="16"/>
      <c r="IJN52" s="16"/>
      <c r="IJO52" s="16"/>
      <c r="IJP52" s="16"/>
      <c r="IJQ52" s="16"/>
      <c r="IJR52" s="16"/>
      <c r="IJS52" s="16"/>
      <c r="IJT52" s="16"/>
      <c r="IJU52" s="16"/>
      <c r="IJV52" s="16"/>
      <c r="IJW52" s="16"/>
      <c r="IJX52" s="16"/>
      <c r="IJY52" s="16"/>
      <c r="IJZ52" s="16"/>
      <c r="IKA52" s="16"/>
      <c r="IKB52" s="16"/>
      <c r="IKC52" s="16"/>
      <c r="IKD52" s="16"/>
      <c r="IKE52" s="16"/>
      <c r="IKF52" s="16"/>
      <c r="IKG52" s="16"/>
      <c r="IKH52" s="16"/>
      <c r="IKI52" s="16"/>
      <c r="IKJ52" s="16"/>
      <c r="IKK52" s="16"/>
      <c r="IKL52" s="16"/>
      <c r="IKM52" s="16"/>
      <c r="IKN52" s="16"/>
      <c r="IKO52" s="16"/>
      <c r="IKP52" s="16"/>
      <c r="IKQ52" s="16"/>
      <c r="IKR52" s="16"/>
      <c r="IKS52" s="16"/>
      <c r="IKT52" s="16"/>
      <c r="IKU52" s="16"/>
      <c r="IKV52" s="16"/>
      <c r="IKW52" s="16"/>
      <c r="IKX52" s="16"/>
      <c r="IKY52" s="16"/>
      <c r="IKZ52" s="16"/>
      <c r="ILA52" s="16"/>
      <c r="ILB52" s="16"/>
      <c r="ILC52" s="16"/>
      <c r="ILD52" s="16"/>
      <c r="ILE52" s="16"/>
      <c r="ILF52" s="16"/>
      <c r="ILG52" s="16"/>
      <c r="ILH52" s="16"/>
      <c r="ILI52" s="16"/>
      <c r="ILJ52" s="16"/>
      <c r="ILK52" s="16"/>
      <c r="ILL52" s="16"/>
      <c r="ILM52" s="16"/>
      <c r="ILN52" s="16"/>
      <c r="ILO52" s="16"/>
      <c r="ILP52" s="16"/>
      <c r="ILQ52" s="16"/>
      <c r="ILR52" s="16"/>
      <c r="ILS52" s="16"/>
      <c r="ILT52" s="16"/>
      <c r="ILU52" s="16"/>
      <c r="ILV52" s="16"/>
      <c r="ILW52" s="16"/>
      <c r="ILX52" s="16"/>
      <c r="ILY52" s="16"/>
      <c r="ILZ52" s="16"/>
      <c r="IMA52" s="16"/>
      <c r="IMB52" s="16"/>
      <c r="IMC52" s="16"/>
      <c r="IMD52" s="16"/>
      <c r="IME52" s="16"/>
      <c r="IMF52" s="16"/>
      <c r="IMG52" s="16"/>
      <c r="IMH52" s="16"/>
      <c r="IMI52" s="16"/>
      <c r="IMJ52" s="16"/>
      <c r="IMK52" s="16"/>
      <c r="IML52" s="16"/>
      <c r="IMM52" s="16"/>
      <c r="IMN52" s="16"/>
      <c r="IMO52" s="16"/>
      <c r="IMP52" s="16"/>
      <c r="IMQ52" s="16"/>
      <c r="IMR52" s="16"/>
      <c r="IMS52" s="16"/>
      <c r="IMT52" s="16"/>
      <c r="IMU52" s="16"/>
      <c r="IMV52" s="16"/>
      <c r="IMW52" s="16"/>
      <c r="IMX52" s="16"/>
      <c r="IMY52" s="16"/>
      <c r="IMZ52" s="16"/>
      <c r="INA52" s="16"/>
      <c r="INB52" s="16"/>
      <c r="INC52" s="16"/>
      <c r="IND52" s="16"/>
      <c r="INE52" s="16"/>
      <c r="INF52" s="16"/>
      <c r="ING52" s="16"/>
      <c r="INH52" s="16"/>
      <c r="INI52" s="16"/>
      <c r="INJ52" s="16"/>
      <c r="INK52" s="16"/>
      <c r="INL52" s="16"/>
      <c r="INM52" s="16"/>
      <c r="INN52" s="16"/>
      <c r="INO52" s="16"/>
      <c r="INP52" s="16"/>
      <c r="INQ52" s="16"/>
      <c r="INR52" s="16"/>
      <c r="INS52" s="16"/>
      <c r="INT52" s="16"/>
      <c r="INU52" s="16"/>
      <c r="INV52" s="16"/>
      <c r="INW52" s="16"/>
      <c r="INX52" s="16"/>
      <c r="INY52" s="16"/>
      <c r="INZ52" s="16"/>
      <c r="IOA52" s="16"/>
      <c r="IOB52" s="16"/>
      <c r="IOC52" s="16"/>
      <c r="IOD52" s="16"/>
      <c r="IOE52" s="16"/>
      <c r="IOF52" s="16"/>
      <c r="IOG52" s="16"/>
      <c r="IOH52" s="16"/>
      <c r="IOI52" s="16"/>
      <c r="IOJ52" s="16"/>
      <c r="IOK52" s="16"/>
      <c r="IOL52" s="16"/>
      <c r="IOM52" s="16"/>
      <c r="ION52" s="16"/>
      <c r="IOO52" s="16"/>
      <c r="IOP52" s="16"/>
      <c r="IOQ52" s="16"/>
      <c r="IOR52" s="16"/>
      <c r="IOS52" s="16"/>
      <c r="IOT52" s="16"/>
      <c r="IOU52" s="16"/>
      <c r="IOV52" s="16"/>
      <c r="IOW52" s="16"/>
      <c r="IOX52" s="16"/>
      <c r="IOY52" s="16"/>
      <c r="IOZ52" s="16"/>
      <c r="IPA52" s="16"/>
      <c r="IPB52" s="16"/>
      <c r="IPC52" s="16"/>
      <c r="IPD52" s="16"/>
      <c r="IPE52" s="16"/>
      <c r="IPF52" s="16"/>
      <c r="IPG52" s="16"/>
      <c r="IPH52" s="16"/>
      <c r="IPI52" s="16"/>
      <c r="IPJ52" s="16"/>
      <c r="IPK52" s="16"/>
      <c r="IPL52" s="16"/>
      <c r="IPM52" s="16"/>
      <c r="IPN52" s="16"/>
      <c r="IPO52" s="16"/>
      <c r="IPP52" s="16"/>
      <c r="IPQ52" s="16"/>
      <c r="IPR52" s="16"/>
      <c r="IPS52" s="16"/>
      <c r="IPT52" s="16"/>
      <c r="IPU52" s="16"/>
      <c r="IPV52" s="16"/>
      <c r="IPW52" s="16"/>
      <c r="IPX52" s="16"/>
      <c r="IPY52" s="16"/>
      <c r="IPZ52" s="16"/>
      <c r="IQA52" s="16"/>
      <c r="IQB52" s="16"/>
      <c r="IQC52" s="16"/>
      <c r="IQD52" s="16"/>
      <c r="IQE52" s="16"/>
      <c r="IQF52" s="16"/>
      <c r="IQG52" s="16"/>
      <c r="IQH52" s="16"/>
      <c r="IQI52" s="16"/>
      <c r="IQJ52" s="16"/>
      <c r="IQK52" s="16"/>
      <c r="IQL52" s="16"/>
      <c r="IQM52" s="16"/>
      <c r="IQN52" s="16"/>
      <c r="IQO52" s="16"/>
      <c r="IQP52" s="16"/>
      <c r="IQQ52" s="16"/>
      <c r="IQR52" s="16"/>
      <c r="IQS52" s="16"/>
      <c r="IQT52" s="16"/>
      <c r="IQU52" s="16"/>
      <c r="IQV52" s="16"/>
      <c r="IQW52" s="16"/>
      <c r="IQX52" s="16"/>
      <c r="IQY52" s="16"/>
      <c r="IQZ52" s="16"/>
      <c r="IRA52" s="16"/>
      <c r="IRB52" s="16"/>
      <c r="IRC52" s="16"/>
      <c r="IRD52" s="16"/>
      <c r="IRE52" s="16"/>
      <c r="IRF52" s="16"/>
      <c r="IRG52" s="16"/>
      <c r="IRH52" s="16"/>
      <c r="IRI52" s="16"/>
      <c r="IRJ52" s="16"/>
      <c r="IRK52" s="16"/>
      <c r="IRL52" s="16"/>
      <c r="IRM52" s="16"/>
      <c r="IRN52" s="16"/>
      <c r="IRO52" s="16"/>
      <c r="IRP52" s="16"/>
      <c r="IRQ52" s="16"/>
      <c r="IRR52" s="16"/>
      <c r="IRS52" s="16"/>
      <c r="IRT52" s="16"/>
      <c r="IRU52" s="16"/>
      <c r="IRV52" s="16"/>
      <c r="IRW52" s="16"/>
      <c r="IRX52" s="16"/>
      <c r="IRY52" s="16"/>
      <c r="IRZ52" s="16"/>
      <c r="ISA52" s="16"/>
      <c r="ISB52" s="16"/>
      <c r="ISC52" s="16"/>
      <c r="ISD52" s="16"/>
      <c r="ISE52" s="16"/>
      <c r="ISF52" s="16"/>
      <c r="ISG52" s="16"/>
      <c r="ISH52" s="16"/>
      <c r="ISI52" s="16"/>
      <c r="ISJ52" s="16"/>
      <c r="ISK52" s="16"/>
      <c r="ISL52" s="16"/>
      <c r="ISM52" s="16"/>
      <c r="ISN52" s="16"/>
      <c r="ISO52" s="16"/>
      <c r="ISP52" s="16"/>
      <c r="ISQ52" s="16"/>
      <c r="ISR52" s="16"/>
      <c r="ISS52" s="16"/>
      <c r="IST52" s="16"/>
      <c r="ISU52" s="16"/>
      <c r="ISV52" s="16"/>
      <c r="ISW52" s="16"/>
      <c r="ISX52" s="16"/>
      <c r="ISY52" s="16"/>
      <c r="ISZ52" s="16"/>
      <c r="ITA52" s="16"/>
      <c r="ITB52" s="16"/>
      <c r="ITC52" s="16"/>
      <c r="ITD52" s="16"/>
      <c r="ITE52" s="16"/>
      <c r="ITF52" s="16"/>
      <c r="ITG52" s="16"/>
      <c r="ITH52" s="16"/>
      <c r="ITI52" s="16"/>
      <c r="ITJ52" s="16"/>
      <c r="ITK52" s="16"/>
      <c r="ITL52" s="16"/>
      <c r="ITM52" s="16"/>
      <c r="ITN52" s="16"/>
      <c r="ITO52" s="16"/>
      <c r="ITP52" s="16"/>
      <c r="ITQ52" s="16"/>
      <c r="ITR52" s="16"/>
      <c r="ITS52" s="16"/>
      <c r="ITT52" s="16"/>
      <c r="ITU52" s="16"/>
      <c r="ITV52" s="16"/>
      <c r="ITW52" s="16"/>
      <c r="ITX52" s="16"/>
      <c r="ITY52" s="16"/>
      <c r="ITZ52" s="16"/>
      <c r="IUA52" s="16"/>
      <c r="IUB52" s="16"/>
      <c r="IUC52" s="16"/>
      <c r="IUD52" s="16"/>
      <c r="IUE52" s="16"/>
      <c r="IUF52" s="16"/>
      <c r="IUG52" s="16"/>
      <c r="IUH52" s="16"/>
      <c r="IUI52" s="16"/>
      <c r="IUJ52" s="16"/>
      <c r="IUK52" s="16"/>
      <c r="IUL52" s="16"/>
      <c r="IUM52" s="16"/>
      <c r="IUN52" s="16"/>
      <c r="IUO52" s="16"/>
      <c r="IUP52" s="16"/>
      <c r="IUQ52" s="16"/>
      <c r="IUR52" s="16"/>
      <c r="IUS52" s="16"/>
      <c r="IUT52" s="16"/>
      <c r="IUU52" s="16"/>
      <c r="IUV52" s="16"/>
      <c r="IUW52" s="16"/>
      <c r="IUX52" s="16"/>
      <c r="IUY52" s="16"/>
      <c r="IUZ52" s="16"/>
      <c r="IVA52" s="16"/>
      <c r="IVB52" s="16"/>
      <c r="IVC52" s="16"/>
      <c r="IVD52" s="16"/>
      <c r="IVE52" s="16"/>
      <c r="IVF52" s="16"/>
      <c r="IVG52" s="16"/>
      <c r="IVH52" s="16"/>
      <c r="IVI52" s="16"/>
      <c r="IVJ52" s="16"/>
      <c r="IVK52" s="16"/>
      <c r="IVL52" s="16"/>
      <c r="IVM52" s="16"/>
      <c r="IVN52" s="16"/>
      <c r="IVO52" s="16"/>
      <c r="IVP52" s="16"/>
      <c r="IVQ52" s="16"/>
      <c r="IVR52" s="16"/>
      <c r="IVS52" s="16"/>
      <c r="IVT52" s="16"/>
      <c r="IVU52" s="16"/>
      <c r="IVV52" s="16"/>
      <c r="IVW52" s="16"/>
      <c r="IVX52" s="16"/>
      <c r="IVY52" s="16"/>
      <c r="IVZ52" s="16"/>
      <c r="IWA52" s="16"/>
      <c r="IWB52" s="16"/>
      <c r="IWC52" s="16"/>
      <c r="IWD52" s="16"/>
      <c r="IWE52" s="16"/>
      <c r="IWF52" s="16"/>
      <c r="IWG52" s="16"/>
      <c r="IWH52" s="16"/>
      <c r="IWI52" s="16"/>
      <c r="IWJ52" s="16"/>
      <c r="IWK52" s="16"/>
      <c r="IWL52" s="16"/>
      <c r="IWM52" s="16"/>
      <c r="IWN52" s="16"/>
      <c r="IWO52" s="16"/>
      <c r="IWP52" s="16"/>
      <c r="IWQ52" s="16"/>
      <c r="IWR52" s="16"/>
      <c r="IWS52" s="16"/>
      <c r="IWT52" s="16"/>
      <c r="IWU52" s="16"/>
      <c r="IWV52" s="16"/>
      <c r="IWW52" s="16"/>
      <c r="IWX52" s="16"/>
      <c r="IWY52" s="16"/>
      <c r="IWZ52" s="16"/>
      <c r="IXA52" s="16"/>
      <c r="IXB52" s="16"/>
      <c r="IXC52" s="16"/>
      <c r="IXD52" s="16"/>
      <c r="IXE52" s="16"/>
      <c r="IXF52" s="16"/>
      <c r="IXG52" s="16"/>
      <c r="IXH52" s="16"/>
      <c r="IXI52" s="16"/>
      <c r="IXJ52" s="16"/>
      <c r="IXK52" s="16"/>
      <c r="IXL52" s="16"/>
      <c r="IXM52" s="16"/>
      <c r="IXN52" s="16"/>
      <c r="IXO52" s="16"/>
      <c r="IXP52" s="16"/>
      <c r="IXQ52" s="16"/>
      <c r="IXR52" s="16"/>
      <c r="IXS52" s="16"/>
      <c r="IXT52" s="16"/>
      <c r="IXU52" s="16"/>
      <c r="IXV52" s="16"/>
      <c r="IXW52" s="16"/>
      <c r="IXX52" s="16"/>
      <c r="IXY52" s="16"/>
      <c r="IXZ52" s="16"/>
      <c r="IYA52" s="16"/>
      <c r="IYB52" s="16"/>
      <c r="IYC52" s="16"/>
      <c r="IYD52" s="16"/>
      <c r="IYE52" s="16"/>
      <c r="IYF52" s="16"/>
      <c r="IYG52" s="16"/>
      <c r="IYH52" s="16"/>
      <c r="IYI52" s="16"/>
      <c r="IYJ52" s="16"/>
      <c r="IYK52" s="16"/>
      <c r="IYL52" s="16"/>
      <c r="IYM52" s="16"/>
      <c r="IYN52" s="16"/>
      <c r="IYO52" s="16"/>
      <c r="IYP52" s="16"/>
      <c r="IYQ52" s="16"/>
      <c r="IYR52" s="16"/>
      <c r="IYS52" s="16"/>
      <c r="IYT52" s="16"/>
      <c r="IYU52" s="16"/>
      <c r="IYV52" s="16"/>
      <c r="IYW52" s="16"/>
      <c r="IYX52" s="16"/>
      <c r="IYY52" s="16"/>
      <c r="IYZ52" s="16"/>
      <c r="IZA52" s="16"/>
      <c r="IZB52" s="16"/>
      <c r="IZC52" s="16"/>
      <c r="IZD52" s="16"/>
      <c r="IZE52" s="16"/>
      <c r="IZF52" s="16"/>
      <c r="IZG52" s="16"/>
      <c r="IZH52" s="16"/>
      <c r="IZI52" s="16"/>
      <c r="IZJ52" s="16"/>
      <c r="IZK52" s="16"/>
      <c r="IZL52" s="16"/>
      <c r="IZM52" s="16"/>
      <c r="IZN52" s="16"/>
      <c r="IZO52" s="16"/>
      <c r="IZP52" s="16"/>
      <c r="IZQ52" s="16"/>
      <c r="IZR52" s="16"/>
      <c r="IZS52" s="16"/>
      <c r="IZT52" s="16"/>
      <c r="IZU52" s="16"/>
      <c r="IZV52" s="16"/>
      <c r="IZW52" s="16"/>
      <c r="IZX52" s="16"/>
      <c r="IZY52" s="16"/>
      <c r="IZZ52" s="16"/>
      <c r="JAA52" s="16"/>
      <c r="JAB52" s="16"/>
      <c r="JAC52" s="16"/>
      <c r="JAD52" s="16"/>
      <c r="JAE52" s="16"/>
      <c r="JAF52" s="16"/>
      <c r="JAG52" s="16"/>
      <c r="JAH52" s="16"/>
      <c r="JAI52" s="16"/>
      <c r="JAJ52" s="16"/>
      <c r="JAK52" s="16"/>
      <c r="JAL52" s="16"/>
      <c r="JAM52" s="16"/>
      <c r="JAN52" s="16"/>
      <c r="JAO52" s="16"/>
      <c r="JAP52" s="16"/>
      <c r="JAQ52" s="16"/>
      <c r="JAR52" s="16"/>
      <c r="JAS52" s="16"/>
      <c r="JAT52" s="16"/>
      <c r="JAU52" s="16"/>
      <c r="JAV52" s="16"/>
      <c r="JAW52" s="16"/>
      <c r="JAX52" s="16"/>
      <c r="JAY52" s="16"/>
      <c r="JAZ52" s="16"/>
      <c r="JBA52" s="16"/>
      <c r="JBB52" s="16"/>
      <c r="JBC52" s="16"/>
      <c r="JBD52" s="16"/>
      <c r="JBE52" s="16"/>
      <c r="JBF52" s="16"/>
      <c r="JBG52" s="16"/>
      <c r="JBH52" s="16"/>
      <c r="JBI52" s="16"/>
      <c r="JBJ52" s="16"/>
      <c r="JBK52" s="16"/>
      <c r="JBL52" s="16"/>
      <c r="JBM52" s="16"/>
      <c r="JBN52" s="16"/>
      <c r="JBO52" s="16"/>
      <c r="JBP52" s="16"/>
      <c r="JBQ52" s="16"/>
      <c r="JBR52" s="16"/>
      <c r="JBS52" s="16"/>
      <c r="JBT52" s="16"/>
      <c r="JBU52" s="16"/>
      <c r="JBV52" s="16"/>
      <c r="JBW52" s="16"/>
      <c r="JBX52" s="16"/>
      <c r="JBY52" s="16"/>
      <c r="JBZ52" s="16"/>
      <c r="JCA52" s="16"/>
      <c r="JCB52" s="16"/>
      <c r="JCC52" s="16"/>
      <c r="JCD52" s="16"/>
      <c r="JCE52" s="16"/>
      <c r="JCF52" s="16"/>
      <c r="JCG52" s="16"/>
      <c r="JCH52" s="16"/>
      <c r="JCI52" s="16"/>
      <c r="JCJ52" s="16"/>
      <c r="JCK52" s="16"/>
      <c r="JCL52" s="16"/>
      <c r="JCM52" s="16"/>
      <c r="JCN52" s="16"/>
      <c r="JCO52" s="16"/>
      <c r="JCP52" s="16"/>
      <c r="JCQ52" s="16"/>
      <c r="JCR52" s="16"/>
      <c r="JCS52" s="16"/>
      <c r="JCT52" s="16"/>
      <c r="JCU52" s="16"/>
      <c r="JCV52" s="16"/>
      <c r="JCW52" s="16"/>
      <c r="JCX52" s="16"/>
      <c r="JCY52" s="16"/>
      <c r="JCZ52" s="16"/>
      <c r="JDA52" s="16"/>
      <c r="JDB52" s="16"/>
      <c r="JDC52" s="16"/>
      <c r="JDD52" s="16"/>
      <c r="JDE52" s="16"/>
      <c r="JDF52" s="16"/>
      <c r="JDG52" s="16"/>
      <c r="JDH52" s="16"/>
      <c r="JDI52" s="16"/>
      <c r="JDJ52" s="16"/>
      <c r="JDK52" s="16"/>
      <c r="JDL52" s="16"/>
      <c r="JDM52" s="16"/>
      <c r="JDN52" s="16"/>
      <c r="JDO52" s="16"/>
      <c r="JDP52" s="16"/>
      <c r="JDQ52" s="16"/>
      <c r="JDR52" s="16"/>
      <c r="JDS52" s="16"/>
      <c r="JDT52" s="16"/>
      <c r="JDU52" s="16"/>
      <c r="JDV52" s="16"/>
      <c r="JDW52" s="16"/>
      <c r="JDX52" s="16"/>
      <c r="JDY52" s="16"/>
      <c r="JDZ52" s="16"/>
      <c r="JEA52" s="16"/>
      <c r="JEB52" s="16"/>
      <c r="JEC52" s="16"/>
      <c r="JED52" s="16"/>
      <c r="JEE52" s="16"/>
      <c r="JEF52" s="16"/>
      <c r="JEG52" s="16"/>
      <c r="JEH52" s="16"/>
      <c r="JEI52" s="16"/>
      <c r="JEJ52" s="16"/>
      <c r="JEK52" s="16"/>
      <c r="JEL52" s="16"/>
      <c r="JEM52" s="16"/>
      <c r="JEN52" s="16"/>
      <c r="JEO52" s="16"/>
      <c r="JEP52" s="16"/>
      <c r="JEQ52" s="16"/>
      <c r="JER52" s="16"/>
      <c r="JES52" s="16"/>
      <c r="JET52" s="16"/>
      <c r="JEU52" s="16"/>
      <c r="JEV52" s="16"/>
      <c r="JEW52" s="16"/>
      <c r="JEX52" s="16"/>
      <c r="JEY52" s="16"/>
      <c r="JEZ52" s="16"/>
      <c r="JFA52" s="16"/>
      <c r="JFB52" s="16"/>
      <c r="JFC52" s="16"/>
      <c r="JFD52" s="16"/>
      <c r="JFE52" s="16"/>
      <c r="JFF52" s="16"/>
      <c r="JFG52" s="16"/>
      <c r="JFH52" s="16"/>
      <c r="JFI52" s="16"/>
      <c r="JFJ52" s="16"/>
      <c r="JFK52" s="16"/>
      <c r="JFL52" s="16"/>
      <c r="JFM52" s="16"/>
      <c r="JFN52" s="16"/>
      <c r="JFO52" s="16"/>
      <c r="JFP52" s="16"/>
      <c r="JFQ52" s="16"/>
      <c r="JFR52" s="16"/>
      <c r="JFS52" s="16"/>
      <c r="JFT52" s="16"/>
      <c r="JFU52" s="16"/>
      <c r="JFV52" s="16"/>
      <c r="JFW52" s="16"/>
      <c r="JFX52" s="16"/>
      <c r="JFY52" s="16"/>
      <c r="JFZ52" s="16"/>
      <c r="JGA52" s="16"/>
      <c r="JGB52" s="16"/>
      <c r="JGC52" s="16"/>
      <c r="JGD52" s="16"/>
      <c r="JGE52" s="16"/>
      <c r="JGF52" s="16"/>
      <c r="JGG52" s="16"/>
      <c r="JGH52" s="16"/>
      <c r="JGI52" s="16"/>
      <c r="JGJ52" s="16"/>
      <c r="JGK52" s="16"/>
      <c r="JGL52" s="16"/>
      <c r="JGM52" s="16"/>
      <c r="JGN52" s="16"/>
      <c r="JGO52" s="16"/>
      <c r="JGP52" s="16"/>
      <c r="JGQ52" s="16"/>
      <c r="JGR52" s="16"/>
      <c r="JGS52" s="16"/>
      <c r="JGT52" s="16"/>
      <c r="JGU52" s="16"/>
      <c r="JGV52" s="16"/>
      <c r="JGW52" s="16"/>
      <c r="JGX52" s="16"/>
      <c r="JGY52" s="16"/>
      <c r="JGZ52" s="16"/>
      <c r="JHA52" s="16"/>
      <c r="JHB52" s="16"/>
      <c r="JHC52" s="16"/>
      <c r="JHD52" s="16"/>
      <c r="JHE52" s="16"/>
      <c r="JHF52" s="16"/>
      <c r="JHG52" s="16"/>
      <c r="JHH52" s="16"/>
      <c r="JHI52" s="16"/>
      <c r="JHJ52" s="16"/>
      <c r="JHK52" s="16"/>
      <c r="JHL52" s="16"/>
      <c r="JHM52" s="16"/>
      <c r="JHN52" s="16"/>
      <c r="JHO52" s="16"/>
      <c r="JHP52" s="16"/>
      <c r="JHQ52" s="16"/>
      <c r="JHR52" s="16"/>
      <c r="JHS52" s="16"/>
      <c r="JHT52" s="16"/>
      <c r="JHU52" s="16"/>
      <c r="JHV52" s="16"/>
      <c r="JHW52" s="16"/>
      <c r="JHX52" s="16"/>
      <c r="JHY52" s="16"/>
      <c r="JHZ52" s="16"/>
      <c r="JIA52" s="16"/>
      <c r="JIB52" s="16"/>
      <c r="JIC52" s="16"/>
      <c r="JID52" s="16"/>
      <c r="JIE52" s="16"/>
      <c r="JIF52" s="16"/>
      <c r="JIG52" s="16"/>
      <c r="JIH52" s="16"/>
      <c r="JII52" s="16"/>
      <c r="JIJ52" s="16"/>
      <c r="JIK52" s="16"/>
      <c r="JIL52" s="16"/>
      <c r="JIM52" s="16"/>
      <c r="JIN52" s="16"/>
      <c r="JIO52" s="16"/>
      <c r="JIP52" s="16"/>
      <c r="JIQ52" s="16"/>
      <c r="JIR52" s="16"/>
      <c r="JIS52" s="16"/>
      <c r="JIT52" s="16"/>
      <c r="JIU52" s="16"/>
      <c r="JIV52" s="16"/>
      <c r="JIW52" s="16"/>
      <c r="JIX52" s="16"/>
      <c r="JIY52" s="16"/>
      <c r="JIZ52" s="16"/>
      <c r="JJA52" s="16"/>
      <c r="JJB52" s="16"/>
      <c r="JJC52" s="16"/>
      <c r="JJD52" s="16"/>
      <c r="JJE52" s="16"/>
      <c r="JJF52" s="16"/>
      <c r="JJG52" s="16"/>
      <c r="JJH52" s="16"/>
      <c r="JJI52" s="16"/>
      <c r="JJJ52" s="16"/>
      <c r="JJK52" s="16"/>
      <c r="JJL52" s="16"/>
      <c r="JJM52" s="16"/>
      <c r="JJN52" s="16"/>
      <c r="JJO52" s="16"/>
      <c r="JJP52" s="16"/>
      <c r="JJQ52" s="16"/>
      <c r="JJR52" s="16"/>
      <c r="JJS52" s="16"/>
      <c r="JJT52" s="16"/>
      <c r="JJU52" s="16"/>
      <c r="JJV52" s="16"/>
      <c r="JJW52" s="16"/>
      <c r="JJX52" s="16"/>
      <c r="JJY52" s="16"/>
      <c r="JJZ52" s="16"/>
      <c r="JKA52" s="16"/>
      <c r="JKB52" s="16"/>
      <c r="JKC52" s="16"/>
      <c r="JKD52" s="16"/>
      <c r="JKE52" s="16"/>
      <c r="JKF52" s="16"/>
      <c r="JKG52" s="16"/>
      <c r="JKH52" s="16"/>
      <c r="JKI52" s="16"/>
      <c r="JKJ52" s="16"/>
      <c r="JKK52" s="16"/>
      <c r="JKL52" s="16"/>
      <c r="JKM52" s="16"/>
      <c r="JKN52" s="16"/>
      <c r="JKO52" s="16"/>
      <c r="JKP52" s="16"/>
      <c r="JKQ52" s="16"/>
      <c r="JKR52" s="16"/>
      <c r="JKS52" s="16"/>
      <c r="JKT52" s="16"/>
      <c r="JKU52" s="16"/>
      <c r="JKV52" s="16"/>
      <c r="JKW52" s="16"/>
      <c r="JKX52" s="16"/>
      <c r="JKY52" s="16"/>
      <c r="JKZ52" s="16"/>
      <c r="JLA52" s="16"/>
      <c r="JLB52" s="16"/>
      <c r="JLC52" s="16"/>
      <c r="JLD52" s="16"/>
      <c r="JLE52" s="16"/>
      <c r="JLF52" s="16"/>
      <c r="JLG52" s="16"/>
      <c r="JLH52" s="16"/>
      <c r="JLI52" s="16"/>
      <c r="JLJ52" s="16"/>
      <c r="JLK52" s="16"/>
      <c r="JLL52" s="16"/>
      <c r="JLM52" s="16"/>
      <c r="JLN52" s="16"/>
      <c r="JLO52" s="16"/>
      <c r="JLP52" s="16"/>
      <c r="JLQ52" s="16"/>
      <c r="JLR52" s="16"/>
      <c r="JLS52" s="16"/>
      <c r="JLT52" s="16"/>
      <c r="JLU52" s="16"/>
      <c r="JLV52" s="16"/>
      <c r="JLW52" s="16"/>
      <c r="JLX52" s="16"/>
      <c r="JLY52" s="16"/>
      <c r="JLZ52" s="16"/>
      <c r="JMA52" s="16"/>
      <c r="JMB52" s="16"/>
      <c r="JMC52" s="16"/>
      <c r="JMD52" s="16"/>
      <c r="JME52" s="16"/>
      <c r="JMF52" s="16"/>
      <c r="JMG52" s="16"/>
      <c r="JMH52" s="16"/>
      <c r="JMI52" s="16"/>
      <c r="JMJ52" s="16"/>
      <c r="JMK52" s="16"/>
      <c r="JML52" s="16"/>
      <c r="JMM52" s="16"/>
      <c r="JMN52" s="16"/>
      <c r="JMO52" s="16"/>
      <c r="JMP52" s="16"/>
      <c r="JMQ52" s="16"/>
      <c r="JMR52" s="16"/>
      <c r="JMS52" s="16"/>
      <c r="JMT52" s="16"/>
      <c r="JMU52" s="16"/>
      <c r="JMV52" s="16"/>
      <c r="JMW52" s="16"/>
      <c r="JMX52" s="16"/>
      <c r="JMY52" s="16"/>
      <c r="JMZ52" s="16"/>
      <c r="JNA52" s="16"/>
      <c r="JNB52" s="16"/>
      <c r="JNC52" s="16"/>
      <c r="JND52" s="16"/>
      <c r="JNE52" s="16"/>
      <c r="JNF52" s="16"/>
      <c r="JNG52" s="16"/>
      <c r="JNH52" s="16"/>
      <c r="JNI52" s="16"/>
      <c r="JNJ52" s="16"/>
      <c r="JNK52" s="16"/>
      <c r="JNL52" s="16"/>
      <c r="JNM52" s="16"/>
      <c r="JNN52" s="16"/>
      <c r="JNO52" s="16"/>
      <c r="JNP52" s="16"/>
      <c r="JNQ52" s="16"/>
      <c r="JNR52" s="16"/>
      <c r="JNS52" s="16"/>
      <c r="JNT52" s="16"/>
      <c r="JNU52" s="16"/>
      <c r="JNV52" s="16"/>
      <c r="JNW52" s="16"/>
      <c r="JNX52" s="16"/>
      <c r="JNY52" s="16"/>
      <c r="JNZ52" s="16"/>
      <c r="JOA52" s="16"/>
      <c r="JOB52" s="16"/>
      <c r="JOC52" s="16"/>
      <c r="JOD52" s="16"/>
      <c r="JOE52" s="16"/>
      <c r="JOF52" s="16"/>
      <c r="JOG52" s="16"/>
      <c r="JOH52" s="16"/>
      <c r="JOI52" s="16"/>
      <c r="JOJ52" s="16"/>
      <c r="JOK52" s="16"/>
      <c r="JOL52" s="16"/>
      <c r="JOM52" s="16"/>
      <c r="JON52" s="16"/>
      <c r="JOO52" s="16"/>
      <c r="JOP52" s="16"/>
      <c r="JOQ52" s="16"/>
      <c r="JOR52" s="16"/>
      <c r="JOS52" s="16"/>
      <c r="JOT52" s="16"/>
      <c r="JOU52" s="16"/>
      <c r="JOV52" s="16"/>
      <c r="JOW52" s="16"/>
      <c r="JOX52" s="16"/>
      <c r="JOY52" s="16"/>
      <c r="JOZ52" s="16"/>
      <c r="JPA52" s="16"/>
      <c r="JPB52" s="16"/>
      <c r="JPC52" s="16"/>
      <c r="JPD52" s="16"/>
      <c r="JPE52" s="16"/>
      <c r="JPF52" s="16"/>
      <c r="JPG52" s="16"/>
      <c r="JPH52" s="16"/>
      <c r="JPI52" s="16"/>
      <c r="JPJ52" s="16"/>
      <c r="JPK52" s="16"/>
      <c r="JPL52" s="16"/>
      <c r="JPM52" s="16"/>
      <c r="JPN52" s="16"/>
      <c r="JPO52" s="16"/>
      <c r="JPP52" s="16"/>
      <c r="JPQ52" s="16"/>
      <c r="JPR52" s="16"/>
      <c r="JPS52" s="16"/>
      <c r="JPT52" s="16"/>
      <c r="JPU52" s="16"/>
      <c r="JPV52" s="16"/>
      <c r="JPW52" s="16"/>
      <c r="JPX52" s="16"/>
      <c r="JPY52" s="16"/>
      <c r="JPZ52" s="16"/>
      <c r="JQA52" s="16"/>
      <c r="JQB52" s="16"/>
      <c r="JQC52" s="16"/>
      <c r="JQD52" s="16"/>
      <c r="JQE52" s="16"/>
      <c r="JQF52" s="16"/>
      <c r="JQG52" s="16"/>
      <c r="JQH52" s="16"/>
      <c r="JQI52" s="16"/>
      <c r="JQJ52" s="16"/>
      <c r="JQK52" s="16"/>
      <c r="JQL52" s="16"/>
      <c r="JQM52" s="16"/>
      <c r="JQN52" s="16"/>
      <c r="JQO52" s="16"/>
      <c r="JQP52" s="16"/>
      <c r="JQQ52" s="16"/>
      <c r="JQR52" s="16"/>
      <c r="JQS52" s="16"/>
      <c r="JQT52" s="16"/>
      <c r="JQU52" s="16"/>
      <c r="JQV52" s="16"/>
      <c r="JQW52" s="16"/>
      <c r="JQX52" s="16"/>
      <c r="JQY52" s="16"/>
      <c r="JQZ52" s="16"/>
      <c r="JRA52" s="16"/>
      <c r="JRB52" s="16"/>
      <c r="JRC52" s="16"/>
      <c r="JRD52" s="16"/>
      <c r="JRE52" s="16"/>
      <c r="JRF52" s="16"/>
      <c r="JRG52" s="16"/>
      <c r="JRH52" s="16"/>
      <c r="JRI52" s="16"/>
      <c r="JRJ52" s="16"/>
      <c r="JRK52" s="16"/>
      <c r="JRL52" s="16"/>
      <c r="JRM52" s="16"/>
      <c r="JRN52" s="16"/>
      <c r="JRO52" s="16"/>
      <c r="JRP52" s="16"/>
      <c r="JRQ52" s="16"/>
      <c r="JRR52" s="16"/>
      <c r="JRS52" s="16"/>
      <c r="JRT52" s="16"/>
      <c r="JRU52" s="16"/>
      <c r="JRV52" s="16"/>
      <c r="JRW52" s="16"/>
      <c r="JRX52" s="16"/>
      <c r="JRY52" s="16"/>
      <c r="JRZ52" s="16"/>
      <c r="JSA52" s="16"/>
      <c r="JSB52" s="16"/>
      <c r="JSC52" s="16"/>
      <c r="JSD52" s="16"/>
      <c r="JSE52" s="16"/>
      <c r="JSF52" s="16"/>
      <c r="JSG52" s="16"/>
      <c r="JSH52" s="16"/>
      <c r="JSI52" s="16"/>
      <c r="JSJ52" s="16"/>
      <c r="JSK52" s="16"/>
      <c r="JSL52" s="16"/>
      <c r="JSM52" s="16"/>
      <c r="JSN52" s="16"/>
      <c r="JSO52" s="16"/>
      <c r="JSP52" s="16"/>
      <c r="JSQ52" s="16"/>
      <c r="JSR52" s="16"/>
      <c r="JSS52" s="16"/>
      <c r="JST52" s="16"/>
      <c r="JSU52" s="16"/>
      <c r="JSV52" s="16"/>
      <c r="JSW52" s="16"/>
      <c r="JSX52" s="16"/>
      <c r="JSY52" s="16"/>
      <c r="JSZ52" s="16"/>
      <c r="JTA52" s="16"/>
      <c r="JTB52" s="16"/>
      <c r="JTC52" s="16"/>
      <c r="JTD52" s="16"/>
      <c r="JTE52" s="16"/>
      <c r="JTF52" s="16"/>
      <c r="JTG52" s="16"/>
      <c r="JTH52" s="16"/>
      <c r="JTI52" s="16"/>
      <c r="JTJ52" s="16"/>
      <c r="JTK52" s="16"/>
      <c r="JTL52" s="16"/>
      <c r="JTM52" s="16"/>
      <c r="JTN52" s="16"/>
      <c r="JTO52" s="16"/>
      <c r="JTP52" s="16"/>
      <c r="JTQ52" s="16"/>
      <c r="JTR52" s="16"/>
      <c r="JTS52" s="16"/>
      <c r="JTT52" s="16"/>
      <c r="JTU52" s="16"/>
      <c r="JTV52" s="16"/>
      <c r="JTW52" s="16"/>
      <c r="JTX52" s="16"/>
      <c r="JTY52" s="16"/>
      <c r="JTZ52" s="16"/>
      <c r="JUA52" s="16"/>
      <c r="JUB52" s="16"/>
      <c r="JUC52" s="16"/>
      <c r="JUD52" s="16"/>
      <c r="JUE52" s="16"/>
      <c r="JUF52" s="16"/>
      <c r="JUG52" s="16"/>
      <c r="JUH52" s="16"/>
      <c r="JUI52" s="16"/>
      <c r="JUJ52" s="16"/>
      <c r="JUK52" s="16"/>
      <c r="JUL52" s="16"/>
      <c r="JUM52" s="16"/>
      <c r="JUN52" s="16"/>
      <c r="JUO52" s="16"/>
      <c r="JUP52" s="16"/>
      <c r="JUQ52" s="16"/>
      <c r="JUR52" s="16"/>
      <c r="JUS52" s="16"/>
      <c r="JUT52" s="16"/>
      <c r="JUU52" s="16"/>
      <c r="JUV52" s="16"/>
      <c r="JUW52" s="16"/>
      <c r="JUX52" s="16"/>
      <c r="JUY52" s="16"/>
      <c r="JUZ52" s="16"/>
      <c r="JVA52" s="16"/>
      <c r="JVB52" s="16"/>
      <c r="JVC52" s="16"/>
      <c r="JVD52" s="16"/>
      <c r="JVE52" s="16"/>
      <c r="JVF52" s="16"/>
      <c r="JVG52" s="16"/>
      <c r="JVH52" s="16"/>
      <c r="JVI52" s="16"/>
      <c r="JVJ52" s="16"/>
      <c r="JVK52" s="16"/>
      <c r="JVL52" s="16"/>
      <c r="JVM52" s="16"/>
      <c r="JVN52" s="16"/>
      <c r="JVO52" s="16"/>
      <c r="JVP52" s="16"/>
      <c r="JVQ52" s="16"/>
      <c r="JVR52" s="16"/>
      <c r="JVS52" s="16"/>
      <c r="JVT52" s="16"/>
      <c r="JVU52" s="16"/>
      <c r="JVV52" s="16"/>
      <c r="JVW52" s="16"/>
      <c r="JVX52" s="16"/>
      <c r="JVY52" s="16"/>
      <c r="JVZ52" s="16"/>
      <c r="JWA52" s="16"/>
      <c r="JWB52" s="16"/>
      <c r="JWC52" s="16"/>
      <c r="JWD52" s="16"/>
      <c r="JWE52" s="16"/>
      <c r="JWF52" s="16"/>
      <c r="JWG52" s="16"/>
      <c r="JWH52" s="16"/>
      <c r="JWI52" s="16"/>
      <c r="JWJ52" s="16"/>
      <c r="JWK52" s="16"/>
      <c r="JWL52" s="16"/>
      <c r="JWM52" s="16"/>
      <c r="JWN52" s="16"/>
      <c r="JWO52" s="16"/>
      <c r="JWP52" s="16"/>
      <c r="JWQ52" s="16"/>
      <c r="JWR52" s="16"/>
      <c r="JWS52" s="16"/>
      <c r="JWT52" s="16"/>
      <c r="JWU52" s="16"/>
      <c r="JWV52" s="16"/>
      <c r="JWW52" s="16"/>
      <c r="JWX52" s="16"/>
      <c r="JWY52" s="16"/>
      <c r="JWZ52" s="16"/>
      <c r="JXA52" s="16"/>
      <c r="JXB52" s="16"/>
      <c r="JXC52" s="16"/>
      <c r="JXD52" s="16"/>
      <c r="JXE52" s="16"/>
      <c r="JXF52" s="16"/>
      <c r="JXG52" s="16"/>
      <c r="JXH52" s="16"/>
      <c r="JXI52" s="16"/>
      <c r="JXJ52" s="16"/>
      <c r="JXK52" s="16"/>
      <c r="JXL52" s="16"/>
      <c r="JXM52" s="16"/>
      <c r="JXN52" s="16"/>
      <c r="JXO52" s="16"/>
      <c r="JXP52" s="16"/>
      <c r="JXQ52" s="16"/>
      <c r="JXR52" s="16"/>
      <c r="JXS52" s="16"/>
      <c r="JXT52" s="16"/>
      <c r="JXU52" s="16"/>
      <c r="JXV52" s="16"/>
      <c r="JXW52" s="16"/>
      <c r="JXX52" s="16"/>
      <c r="JXY52" s="16"/>
      <c r="JXZ52" s="16"/>
      <c r="JYA52" s="16"/>
      <c r="JYB52" s="16"/>
      <c r="JYC52" s="16"/>
      <c r="JYD52" s="16"/>
      <c r="JYE52" s="16"/>
      <c r="JYF52" s="16"/>
      <c r="JYG52" s="16"/>
      <c r="JYH52" s="16"/>
      <c r="JYI52" s="16"/>
      <c r="JYJ52" s="16"/>
      <c r="JYK52" s="16"/>
      <c r="JYL52" s="16"/>
      <c r="JYM52" s="16"/>
      <c r="JYN52" s="16"/>
      <c r="JYO52" s="16"/>
      <c r="JYP52" s="16"/>
      <c r="JYQ52" s="16"/>
      <c r="JYR52" s="16"/>
      <c r="JYS52" s="16"/>
      <c r="JYT52" s="16"/>
      <c r="JYU52" s="16"/>
      <c r="JYV52" s="16"/>
      <c r="JYW52" s="16"/>
      <c r="JYX52" s="16"/>
      <c r="JYY52" s="16"/>
      <c r="JYZ52" s="16"/>
      <c r="JZA52" s="16"/>
      <c r="JZB52" s="16"/>
      <c r="JZC52" s="16"/>
      <c r="JZD52" s="16"/>
      <c r="JZE52" s="16"/>
      <c r="JZF52" s="16"/>
      <c r="JZG52" s="16"/>
      <c r="JZH52" s="16"/>
      <c r="JZI52" s="16"/>
      <c r="JZJ52" s="16"/>
      <c r="JZK52" s="16"/>
      <c r="JZL52" s="16"/>
      <c r="JZM52" s="16"/>
      <c r="JZN52" s="16"/>
      <c r="JZO52" s="16"/>
      <c r="JZP52" s="16"/>
      <c r="JZQ52" s="16"/>
      <c r="JZR52" s="16"/>
      <c r="JZS52" s="16"/>
      <c r="JZT52" s="16"/>
      <c r="JZU52" s="16"/>
      <c r="JZV52" s="16"/>
      <c r="JZW52" s="16"/>
      <c r="JZX52" s="16"/>
      <c r="JZY52" s="16"/>
      <c r="JZZ52" s="16"/>
      <c r="KAA52" s="16"/>
      <c r="KAB52" s="16"/>
      <c r="KAC52" s="16"/>
      <c r="KAD52" s="16"/>
      <c r="KAE52" s="16"/>
      <c r="KAF52" s="16"/>
      <c r="KAG52" s="16"/>
      <c r="KAH52" s="16"/>
      <c r="KAI52" s="16"/>
      <c r="KAJ52" s="16"/>
      <c r="KAK52" s="16"/>
      <c r="KAL52" s="16"/>
      <c r="KAM52" s="16"/>
      <c r="KAN52" s="16"/>
      <c r="KAO52" s="16"/>
      <c r="KAP52" s="16"/>
      <c r="KAQ52" s="16"/>
      <c r="KAR52" s="16"/>
      <c r="KAS52" s="16"/>
      <c r="KAT52" s="16"/>
      <c r="KAU52" s="16"/>
      <c r="KAV52" s="16"/>
      <c r="KAW52" s="16"/>
      <c r="KAX52" s="16"/>
      <c r="KAY52" s="16"/>
      <c r="KAZ52" s="16"/>
      <c r="KBA52" s="16"/>
      <c r="KBB52" s="16"/>
      <c r="KBC52" s="16"/>
      <c r="KBD52" s="16"/>
      <c r="KBE52" s="16"/>
      <c r="KBF52" s="16"/>
      <c r="KBG52" s="16"/>
      <c r="KBH52" s="16"/>
      <c r="KBI52" s="16"/>
      <c r="KBJ52" s="16"/>
      <c r="KBK52" s="16"/>
      <c r="KBL52" s="16"/>
      <c r="KBM52" s="16"/>
      <c r="KBN52" s="16"/>
      <c r="KBO52" s="16"/>
      <c r="KBP52" s="16"/>
      <c r="KBQ52" s="16"/>
      <c r="KBR52" s="16"/>
      <c r="KBS52" s="16"/>
      <c r="KBT52" s="16"/>
      <c r="KBU52" s="16"/>
      <c r="KBV52" s="16"/>
      <c r="KBW52" s="16"/>
      <c r="KBX52" s="16"/>
      <c r="KBY52" s="16"/>
      <c r="KBZ52" s="16"/>
      <c r="KCA52" s="16"/>
      <c r="KCB52" s="16"/>
      <c r="KCC52" s="16"/>
      <c r="KCD52" s="16"/>
      <c r="KCE52" s="16"/>
      <c r="KCF52" s="16"/>
      <c r="KCG52" s="16"/>
      <c r="KCH52" s="16"/>
      <c r="KCI52" s="16"/>
      <c r="KCJ52" s="16"/>
      <c r="KCK52" s="16"/>
      <c r="KCL52" s="16"/>
      <c r="KCM52" s="16"/>
      <c r="KCN52" s="16"/>
      <c r="KCO52" s="16"/>
      <c r="KCP52" s="16"/>
      <c r="KCQ52" s="16"/>
      <c r="KCR52" s="16"/>
      <c r="KCS52" s="16"/>
      <c r="KCT52" s="16"/>
      <c r="KCU52" s="16"/>
      <c r="KCV52" s="16"/>
      <c r="KCW52" s="16"/>
      <c r="KCX52" s="16"/>
      <c r="KCY52" s="16"/>
      <c r="KCZ52" s="16"/>
      <c r="KDA52" s="16"/>
      <c r="KDB52" s="16"/>
      <c r="KDC52" s="16"/>
      <c r="KDD52" s="16"/>
      <c r="KDE52" s="16"/>
      <c r="KDF52" s="16"/>
      <c r="KDG52" s="16"/>
      <c r="KDH52" s="16"/>
      <c r="KDI52" s="16"/>
      <c r="KDJ52" s="16"/>
      <c r="KDK52" s="16"/>
      <c r="KDL52" s="16"/>
      <c r="KDM52" s="16"/>
      <c r="KDN52" s="16"/>
      <c r="KDO52" s="16"/>
      <c r="KDP52" s="16"/>
      <c r="KDQ52" s="16"/>
      <c r="KDR52" s="16"/>
      <c r="KDS52" s="16"/>
      <c r="KDT52" s="16"/>
      <c r="KDU52" s="16"/>
      <c r="KDV52" s="16"/>
      <c r="KDW52" s="16"/>
      <c r="KDX52" s="16"/>
      <c r="KDY52" s="16"/>
      <c r="KDZ52" s="16"/>
      <c r="KEA52" s="16"/>
      <c r="KEB52" s="16"/>
      <c r="KEC52" s="16"/>
      <c r="KED52" s="16"/>
      <c r="KEE52" s="16"/>
      <c r="KEF52" s="16"/>
      <c r="KEG52" s="16"/>
      <c r="KEH52" s="16"/>
      <c r="KEI52" s="16"/>
      <c r="KEJ52" s="16"/>
      <c r="KEK52" s="16"/>
      <c r="KEL52" s="16"/>
      <c r="KEM52" s="16"/>
      <c r="KEN52" s="16"/>
      <c r="KEO52" s="16"/>
      <c r="KEP52" s="16"/>
      <c r="KEQ52" s="16"/>
      <c r="KER52" s="16"/>
      <c r="KES52" s="16"/>
      <c r="KET52" s="16"/>
      <c r="KEU52" s="16"/>
      <c r="KEV52" s="16"/>
      <c r="KEW52" s="16"/>
      <c r="KEX52" s="16"/>
      <c r="KEY52" s="16"/>
      <c r="KEZ52" s="16"/>
      <c r="KFA52" s="16"/>
      <c r="KFB52" s="16"/>
      <c r="KFC52" s="16"/>
      <c r="KFD52" s="16"/>
      <c r="KFE52" s="16"/>
      <c r="KFF52" s="16"/>
      <c r="KFG52" s="16"/>
      <c r="KFH52" s="16"/>
      <c r="KFI52" s="16"/>
      <c r="KFJ52" s="16"/>
      <c r="KFK52" s="16"/>
      <c r="KFL52" s="16"/>
      <c r="KFM52" s="16"/>
      <c r="KFN52" s="16"/>
      <c r="KFO52" s="16"/>
      <c r="KFP52" s="16"/>
      <c r="KFQ52" s="16"/>
      <c r="KFR52" s="16"/>
      <c r="KFS52" s="16"/>
      <c r="KFT52" s="16"/>
      <c r="KFU52" s="16"/>
      <c r="KFV52" s="16"/>
      <c r="KFW52" s="16"/>
      <c r="KFX52" s="16"/>
      <c r="KFY52" s="16"/>
      <c r="KFZ52" s="16"/>
      <c r="KGA52" s="16"/>
      <c r="KGB52" s="16"/>
      <c r="KGC52" s="16"/>
      <c r="KGD52" s="16"/>
      <c r="KGE52" s="16"/>
      <c r="KGF52" s="16"/>
      <c r="KGG52" s="16"/>
      <c r="KGH52" s="16"/>
      <c r="KGI52" s="16"/>
      <c r="KGJ52" s="16"/>
      <c r="KGK52" s="16"/>
      <c r="KGL52" s="16"/>
      <c r="KGM52" s="16"/>
      <c r="KGN52" s="16"/>
      <c r="KGO52" s="16"/>
      <c r="KGP52" s="16"/>
      <c r="KGQ52" s="16"/>
      <c r="KGR52" s="16"/>
      <c r="KGS52" s="16"/>
      <c r="KGT52" s="16"/>
      <c r="KGU52" s="16"/>
      <c r="KGV52" s="16"/>
      <c r="KGW52" s="16"/>
      <c r="KGX52" s="16"/>
      <c r="KGY52" s="16"/>
      <c r="KGZ52" s="16"/>
      <c r="KHA52" s="16"/>
      <c r="KHB52" s="16"/>
      <c r="KHC52" s="16"/>
      <c r="KHD52" s="16"/>
      <c r="KHE52" s="16"/>
      <c r="KHF52" s="16"/>
      <c r="KHG52" s="16"/>
      <c r="KHH52" s="16"/>
      <c r="KHI52" s="16"/>
      <c r="KHJ52" s="16"/>
      <c r="KHK52" s="16"/>
      <c r="KHL52" s="16"/>
      <c r="KHM52" s="16"/>
      <c r="KHN52" s="16"/>
      <c r="KHO52" s="16"/>
      <c r="KHP52" s="16"/>
      <c r="KHQ52" s="16"/>
      <c r="KHR52" s="16"/>
      <c r="KHS52" s="16"/>
      <c r="KHT52" s="16"/>
      <c r="KHU52" s="16"/>
      <c r="KHV52" s="16"/>
      <c r="KHW52" s="16"/>
      <c r="KHX52" s="16"/>
      <c r="KHY52" s="16"/>
      <c r="KHZ52" s="16"/>
      <c r="KIA52" s="16"/>
      <c r="KIB52" s="16"/>
      <c r="KIC52" s="16"/>
      <c r="KID52" s="16"/>
      <c r="KIE52" s="16"/>
      <c r="KIF52" s="16"/>
      <c r="KIG52" s="16"/>
      <c r="KIH52" s="16"/>
      <c r="KII52" s="16"/>
      <c r="KIJ52" s="16"/>
      <c r="KIK52" s="16"/>
      <c r="KIL52" s="16"/>
      <c r="KIM52" s="16"/>
      <c r="KIN52" s="16"/>
      <c r="KIO52" s="16"/>
      <c r="KIP52" s="16"/>
      <c r="KIQ52" s="16"/>
      <c r="KIR52" s="16"/>
      <c r="KIS52" s="16"/>
      <c r="KIT52" s="16"/>
      <c r="KIU52" s="16"/>
      <c r="KIV52" s="16"/>
      <c r="KIW52" s="16"/>
      <c r="KIX52" s="16"/>
      <c r="KIY52" s="16"/>
      <c r="KIZ52" s="16"/>
      <c r="KJA52" s="16"/>
      <c r="KJB52" s="16"/>
      <c r="KJC52" s="16"/>
      <c r="KJD52" s="16"/>
      <c r="KJE52" s="16"/>
      <c r="KJF52" s="16"/>
      <c r="KJG52" s="16"/>
      <c r="KJH52" s="16"/>
      <c r="KJI52" s="16"/>
      <c r="KJJ52" s="16"/>
      <c r="KJK52" s="16"/>
      <c r="KJL52" s="16"/>
      <c r="KJM52" s="16"/>
      <c r="KJN52" s="16"/>
      <c r="KJO52" s="16"/>
      <c r="KJP52" s="16"/>
      <c r="KJQ52" s="16"/>
      <c r="KJR52" s="16"/>
      <c r="KJS52" s="16"/>
      <c r="KJT52" s="16"/>
      <c r="KJU52" s="16"/>
      <c r="KJV52" s="16"/>
      <c r="KJW52" s="16"/>
      <c r="KJX52" s="16"/>
      <c r="KJY52" s="16"/>
      <c r="KJZ52" s="16"/>
      <c r="KKA52" s="16"/>
      <c r="KKB52" s="16"/>
      <c r="KKC52" s="16"/>
      <c r="KKD52" s="16"/>
      <c r="KKE52" s="16"/>
      <c r="KKF52" s="16"/>
      <c r="KKG52" s="16"/>
      <c r="KKH52" s="16"/>
      <c r="KKI52" s="16"/>
      <c r="KKJ52" s="16"/>
      <c r="KKK52" s="16"/>
      <c r="KKL52" s="16"/>
      <c r="KKM52" s="16"/>
      <c r="KKN52" s="16"/>
      <c r="KKO52" s="16"/>
      <c r="KKP52" s="16"/>
      <c r="KKQ52" s="16"/>
      <c r="KKR52" s="16"/>
      <c r="KKS52" s="16"/>
      <c r="KKT52" s="16"/>
      <c r="KKU52" s="16"/>
      <c r="KKV52" s="16"/>
      <c r="KKW52" s="16"/>
      <c r="KKX52" s="16"/>
      <c r="KKY52" s="16"/>
      <c r="KKZ52" s="16"/>
      <c r="KLA52" s="16"/>
      <c r="KLB52" s="16"/>
      <c r="KLC52" s="16"/>
      <c r="KLD52" s="16"/>
      <c r="KLE52" s="16"/>
      <c r="KLF52" s="16"/>
      <c r="KLG52" s="16"/>
      <c r="KLH52" s="16"/>
      <c r="KLI52" s="16"/>
      <c r="KLJ52" s="16"/>
      <c r="KLK52" s="16"/>
      <c r="KLL52" s="16"/>
      <c r="KLM52" s="16"/>
      <c r="KLN52" s="16"/>
      <c r="KLO52" s="16"/>
      <c r="KLP52" s="16"/>
      <c r="KLQ52" s="16"/>
      <c r="KLR52" s="16"/>
      <c r="KLS52" s="16"/>
      <c r="KLT52" s="16"/>
      <c r="KLU52" s="16"/>
      <c r="KLV52" s="16"/>
      <c r="KLW52" s="16"/>
      <c r="KLX52" s="16"/>
      <c r="KLY52" s="16"/>
      <c r="KLZ52" s="16"/>
      <c r="KMA52" s="16"/>
      <c r="KMB52" s="16"/>
      <c r="KMC52" s="16"/>
      <c r="KMD52" s="16"/>
      <c r="KME52" s="16"/>
      <c r="KMF52" s="16"/>
      <c r="KMG52" s="16"/>
      <c r="KMH52" s="16"/>
      <c r="KMI52" s="16"/>
      <c r="KMJ52" s="16"/>
      <c r="KMK52" s="16"/>
      <c r="KML52" s="16"/>
      <c r="KMM52" s="16"/>
      <c r="KMN52" s="16"/>
      <c r="KMO52" s="16"/>
      <c r="KMP52" s="16"/>
      <c r="KMQ52" s="16"/>
      <c r="KMR52" s="16"/>
      <c r="KMS52" s="16"/>
      <c r="KMT52" s="16"/>
      <c r="KMU52" s="16"/>
      <c r="KMV52" s="16"/>
      <c r="KMW52" s="16"/>
      <c r="KMX52" s="16"/>
      <c r="KMY52" s="16"/>
      <c r="KMZ52" s="16"/>
      <c r="KNA52" s="16"/>
      <c r="KNB52" s="16"/>
      <c r="KNC52" s="16"/>
      <c r="KND52" s="16"/>
      <c r="KNE52" s="16"/>
      <c r="KNF52" s="16"/>
      <c r="KNG52" s="16"/>
      <c r="KNH52" s="16"/>
      <c r="KNI52" s="16"/>
      <c r="KNJ52" s="16"/>
      <c r="KNK52" s="16"/>
      <c r="KNL52" s="16"/>
      <c r="KNM52" s="16"/>
      <c r="KNN52" s="16"/>
      <c r="KNO52" s="16"/>
      <c r="KNP52" s="16"/>
      <c r="KNQ52" s="16"/>
      <c r="KNR52" s="16"/>
      <c r="KNS52" s="16"/>
      <c r="KNT52" s="16"/>
      <c r="KNU52" s="16"/>
      <c r="KNV52" s="16"/>
      <c r="KNW52" s="16"/>
      <c r="KNX52" s="16"/>
      <c r="KNY52" s="16"/>
      <c r="KNZ52" s="16"/>
      <c r="KOA52" s="16"/>
      <c r="KOB52" s="16"/>
      <c r="KOC52" s="16"/>
      <c r="KOD52" s="16"/>
      <c r="KOE52" s="16"/>
      <c r="KOF52" s="16"/>
      <c r="KOG52" s="16"/>
      <c r="KOH52" s="16"/>
      <c r="KOI52" s="16"/>
      <c r="KOJ52" s="16"/>
      <c r="KOK52" s="16"/>
      <c r="KOL52" s="16"/>
      <c r="KOM52" s="16"/>
      <c r="KON52" s="16"/>
      <c r="KOO52" s="16"/>
      <c r="KOP52" s="16"/>
      <c r="KOQ52" s="16"/>
      <c r="KOR52" s="16"/>
      <c r="KOS52" s="16"/>
      <c r="KOT52" s="16"/>
      <c r="KOU52" s="16"/>
      <c r="KOV52" s="16"/>
      <c r="KOW52" s="16"/>
      <c r="KOX52" s="16"/>
      <c r="KOY52" s="16"/>
      <c r="KOZ52" s="16"/>
      <c r="KPA52" s="16"/>
      <c r="KPB52" s="16"/>
      <c r="KPC52" s="16"/>
      <c r="KPD52" s="16"/>
      <c r="KPE52" s="16"/>
      <c r="KPF52" s="16"/>
      <c r="KPG52" s="16"/>
      <c r="KPH52" s="16"/>
      <c r="KPI52" s="16"/>
      <c r="KPJ52" s="16"/>
      <c r="KPK52" s="16"/>
      <c r="KPL52" s="16"/>
      <c r="KPM52" s="16"/>
      <c r="KPN52" s="16"/>
      <c r="KPO52" s="16"/>
      <c r="KPP52" s="16"/>
      <c r="KPQ52" s="16"/>
      <c r="KPR52" s="16"/>
      <c r="KPS52" s="16"/>
      <c r="KPT52" s="16"/>
      <c r="KPU52" s="16"/>
      <c r="KPV52" s="16"/>
      <c r="KPW52" s="16"/>
      <c r="KPX52" s="16"/>
      <c r="KPY52" s="16"/>
      <c r="KPZ52" s="16"/>
      <c r="KQA52" s="16"/>
      <c r="KQB52" s="16"/>
      <c r="KQC52" s="16"/>
      <c r="KQD52" s="16"/>
      <c r="KQE52" s="16"/>
      <c r="KQF52" s="16"/>
      <c r="KQG52" s="16"/>
      <c r="KQH52" s="16"/>
      <c r="KQI52" s="16"/>
      <c r="KQJ52" s="16"/>
      <c r="KQK52" s="16"/>
      <c r="KQL52" s="16"/>
      <c r="KQM52" s="16"/>
      <c r="KQN52" s="16"/>
      <c r="KQO52" s="16"/>
      <c r="KQP52" s="16"/>
      <c r="KQQ52" s="16"/>
      <c r="KQR52" s="16"/>
      <c r="KQS52" s="16"/>
      <c r="KQT52" s="16"/>
      <c r="KQU52" s="16"/>
      <c r="KQV52" s="16"/>
      <c r="KQW52" s="16"/>
      <c r="KQX52" s="16"/>
      <c r="KQY52" s="16"/>
      <c r="KQZ52" s="16"/>
      <c r="KRA52" s="16"/>
      <c r="KRB52" s="16"/>
      <c r="KRC52" s="16"/>
      <c r="KRD52" s="16"/>
      <c r="KRE52" s="16"/>
      <c r="KRF52" s="16"/>
      <c r="KRG52" s="16"/>
      <c r="KRH52" s="16"/>
      <c r="KRI52" s="16"/>
      <c r="KRJ52" s="16"/>
      <c r="KRK52" s="16"/>
      <c r="KRL52" s="16"/>
      <c r="KRM52" s="16"/>
      <c r="KRN52" s="16"/>
      <c r="KRO52" s="16"/>
      <c r="KRP52" s="16"/>
      <c r="KRQ52" s="16"/>
      <c r="KRR52" s="16"/>
      <c r="KRS52" s="16"/>
      <c r="KRT52" s="16"/>
      <c r="KRU52" s="16"/>
      <c r="KRV52" s="16"/>
      <c r="KRW52" s="16"/>
      <c r="KRX52" s="16"/>
      <c r="KRY52" s="16"/>
      <c r="KRZ52" s="16"/>
      <c r="KSA52" s="16"/>
      <c r="KSB52" s="16"/>
      <c r="KSC52" s="16"/>
      <c r="KSD52" s="16"/>
      <c r="KSE52" s="16"/>
      <c r="KSF52" s="16"/>
      <c r="KSG52" s="16"/>
      <c r="KSH52" s="16"/>
      <c r="KSI52" s="16"/>
      <c r="KSJ52" s="16"/>
      <c r="KSK52" s="16"/>
      <c r="KSL52" s="16"/>
      <c r="KSM52" s="16"/>
      <c r="KSN52" s="16"/>
      <c r="KSO52" s="16"/>
      <c r="KSP52" s="16"/>
      <c r="KSQ52" s="16"/>
      <c r="KSR52" s="16"/>
      <c r="KSS52" s="16"/>
      <c r="KST52" s="16"/>
      <c r="KSU52" s="16"/>
      <c r="KSV52" s="16"/>
      <c r="KSW52" s="16"/>
      <c r="KSX52" s="16"/>
      <c r="KSY52" s="16"/>
      <c r="KSZ52" s="16"/>
      <c r="KTA52" s="16"/>
      <c r="KTB52" s="16"/>
      <c r="KTC52" s="16"/>
      <c r="KTD52" s="16"/>
      <c r="KTE52" s="16"/>
      <c r="KTF52" s="16"/>
      <c r="KTG52" s="16"/>
      <c r="KTH52" s="16"/>
      <c r="KTI52" s="16"/>
      <c r="KTJ52" s="16"/>
      <c r="KTK52" s="16"/>
      <c r="KTL52" s="16"/>
      <c r="KTM52" s="16"/>
      <c r="KTN52" s="16"/>
      <c r="KTO52" s="16"/>
      <c r="KTP52" s="16"/>
      <c r="KTQ52" s="16"/>
      <c r="KTR52" s="16"/>
      <c r="KTS52" s="16"/>
      <c r="KTT52" s="16"/>
      <c r="KTU52" s="16"/>
      <c r="KTV52" s="16"/>
      <c r="KTW52" s="16"/>
      <c r="KTX52" s="16"/>
      <c r="KTY52" s="16"/>
      <c r="KTZ52" s="16"/>
      <c r="KUA52" s="16"/>
      <c r="KUB52" s="16"/>
      <c r="KUC52" s="16"/>
      <c r="KUD52" s="16"/>
      <c r="KUE52" s="16"/>
      <c r="KUF52" s="16"/>
      <c r="KUG52" s="16"/>
      <c r="KUH52" s="16"/>
      <c r="KUI52" s="16"/>
      <c r="KUJ52" s="16"/>
      <c r="KUK52" s="16"/>
      <c r="KUL52" s="16"/>
      <c r="KUM52" s="16"/>
      <c r="KUN52" s="16"/>
      <c r="KUO52" s="16"/>
      <c r="KUP52" s="16"/>
      <c r="KUQ52" s="16"/>
      <c r="KUR52" s="16"/>
      <c r="KUS52" s="16"/>
      <c r="KUT52" s="16"/>
      <c r="KUU52" s="16"/>
      <c r="KUV52" s="16"/>
      <c r="KUW52" s="16"/>
      <c r="KUX52" s="16"/>
      <c r="KUY52" s="16"/>
      <c r="KUZ52" s="16"/>
      <c r="KVA52" s="16"/>
      <c r="KVB52" s="16"/>
      <c r="KVC52" s="16"/>
      <c r="KVD52" s="16"/>
      <c r="KVE52" s="16"/>
      <c r="KVF52" s="16"/>
      <c r="KVG52" s="16"/>
      <c r="KVH52" s="16"/>
      <c r="KVI52" s="16"/>
      <c r="KVJ52" s="16"/>
      <c r="KVK52" s="16"/>
      <c r="KVL52" s="16"/>
      <c r="KVM52" s="16"/>
      <c r="KVN52" s="16"/>
      <c r="KVO52" s="16"/>
      <c r="KVP52" s="16"/>
      <c r="KVQ52" s="16"/>
      <c r="KVR52" s="16"/>
      <c r="KVS52" s="16"/>
      <c r="KVT52" s="16"/>
      <c r="KVU52" s="16"/>
      <c r="KVV52" s="16"/>
      <c r="KVW52" s="16"/>
      <c r="KVX52" s="16"/>
      <c r="KVY52" s="16"/>
      <c r="KVZ52" s="16"/>
      <c r="KWA52" s="16"/>
      <c r="KWB52" s="16"/>
      <c r="KWC52" s="16"/>
      <c r="KWD52" s="16"/>
      <c r="KWE52" s="16"/>
      <c r="KWF52" s="16"/>
      <c r="KWG52" s="16"/>
      <c r="KWH52" s="16"/>
      <c r="KWI52" s="16"/>
      <c r="KWJ52" s="16"/>
      <c r="KWK52" s="16"/>
      <c r="KWL52" s="16"/>
      <c r="KWM52" s="16"/>
      <c r="KWN52" s="16"/>
      <c r="KWO52" s="16"/>
      <c r="KWP52" s="16"/>
      <c r="KWQ52" s="16"/>
      <c r="KWR52" s="16"/>
      <c r="KWS52" s="16"/>
      <c r="KWT52" s="16"/>
      <c r="KWU52" s="16"/>
      <c r="KWV52" s="16"/>
      <c r="KWW52" s="16"/>
      <c r="KWX52" s="16"/>
      <c r="KWY52" s="16"/>
      <c r="KWZ52" s="16"/>
      <c r="KXA52" s="16"/>
      <c r="KXB52" s="16"/>
      <c r="KXC52" s="16"/>
      <c r="KXD52" s="16"/>
      <c r="KXE52" s="16"/>
      <c r="KXF52" s="16"/>
      <c r="KXG52" s="16"/>
      <c r="KXH52" s="16"/>
      <c r="KXI52" s="16"/>
      <c r="KXJ52" s="16"/>
      <c r="KXK52" s="16"/>
      <c r="KXL52" s="16"/>
      <c r="KXM52" s="16"/>
      <c r="KXN52" s="16"/>
      <c r="KXO52" s="16"/>
      <c r="KXP52" s="16"/>
      <c r="KXQ52" s="16"/>
      <c r="KXR52" s="16"/>
      <c r="KXS52" s="16"/>
      <c r="KXT52" s="16"/>
      <c r="KXU52" s="16"/>
      <c r="KXV52" s="16"/>
      <c r="KXW52" s="16"/>
      <c r="KXX52" s="16"/>
      <c r="KXY52" s="16"/>
      <c r="KXZ52" s="16"/>
      <c r="KYA52" s="16"/>
      <c r="KYB52" s="16"/>
      <c r="KYC52" s="16"/>
      <c r="KYD52" s="16"/>
      <c r="KYE52" s="16"/>
      <c r="KYF52" s="16"/>
      <c r="KYG52" s="16"/>
      <c r="KYH52" s="16"/>
      <c r="KYI52" s="16"/>
      <c r="KYJ52" s="16"/>
      <c r="KYK52" s="16"/>
      <c r="KYL52" s="16"/>
      <c r="KYM52" s="16"/>
      <c r="KYN52" s="16"/>
      <c r="KYO52" s="16"/>
      <c r="KYP52" s="16"/>
      <c r="KYQ52" s="16"/>
      <c r="KYR52" s="16"/>
      <c r="KYS52" s="16"/>
      <c r="KYT52" s="16"/>
      <c r="KYU52" s="16"/>
      <c r="KYV52" s="16"/>
      <c r="KYW52" s="16"/>
      <c r="KYX52" s="16"/>
      <c r="KYY52" s="16"/>
      <c r="KYZ52" s="16"/>
      <c r="KZA52" s="16"/>
      <c r="KZB52" s="16"/>
      <c r="KZC52" s="16"/>
      <c r="KZD52" s="16"/>
      <c r="KZE52" s="16"/>
      <c r="KZF52" s="16"/>
      <c r="KZG52" s="16"/>
      <c r="KZH52" s="16"/>
      <c r="KZI52" s="16"/>
      <c r="KZJ52" s="16"/>
      <c r="KZK52" s="16"/>
      <c r="KZL52" s="16"/>
      <c r="KZM52" s="16"/>
      <c r="KZN52" s="16"/>
      <c r="KZO52" s="16"/>
      <c r="KZP52" s="16"/>
      <c r="KZQ52" s="16"/>
      <c r="KZR52" s="16"/>
      <c r="KZS52" s="16"/>
      <c r="KZT52" s="16"/>
      <c r="KZU52" s="16"/>
      <c r="KZV52" s="16"/>
      <c r="KZW52" s="16"/>
      <c r="KZX52" s="16"/>
      <c r="KZY52" s="16"/>
      <c r="KZZ52" s="16"/>
      <c r="LAA52" s="16"/>
      <c r="LAB52" s="16"/>
      <c r="LAC52" s="16"/>
      <c r="LAD52" s="16"/>
      <c r="LAE52" s="16"/>
      <c r="LAF52" s="16"/>
      <c r="LAG52" s="16"/>
      <c r="LAH52" s="16"/>
      <c r="LAI52" s="16"/>
      <c r="LAJ52" s="16"/>
      <c r="LAK52" s="16"/>
      <c r="LAL52" s="16"/>
      <c r="LAM52" s="16"/>
      <c r="LAN52" s="16"/>
      <c r="LAO52" s="16"/>
      <c r="LAP52" s="16"/>
      <c r="LAQ52" s="16"/>
      <c r="LAR52" s="16"/>
      <c r="LAS52" s="16"/>
      <c r="LAT52" s="16"/>
      <c r="LAU52" s="16"/>
      <c r="LAV52" s="16"/>
      <c r="LAW52" s="16"/>
      <c r="LAX52" s="16"/>
      <c r="LAY52" s="16"/>
      <c r="LAZ52" s="16"/>
      <c r="LBA52" s="16"/>
      <c r="LBB52" s="16"/>
      <c r="LBC52" s="16"/>
      <c r="LBD52" s="16"/>
      <c r="LBE52" s="16"/>
      <c r="LBF52" s="16"/>
      <c r="LBG52" s="16"/>
      <c r="LBH52" s="16"/>
      <c r="LBI52" s="16"/>
      <c r="LBJ52" s="16"/>
      <c r="LBK52" s="16"/>
      <c r="LBL52" s="16"/>
      <c r="LBM52" s="16"/>
      <c r="LBN52" s="16"/>
      <c r="LBO52" s="16"/>
      <c r="LBP52" s="16"/>
      <c r="LBQ52" s="16"/>
      <c r="LBR52" s="16"/>
      <c r="LBS52" s="16"/>
      <c r="LBT52" s="16"/>
      <c r="LBU52" s="16"/>
      <c r="LBV52" s="16"/>
      <c r="LBW52" s="16"/>
      <c r="LBX52" s="16"/>
      <c r="LBY52" s="16"/>
      <c r="LBZ52" s="16"/>
      <c r="LCA52" s="16"/>
      <c r="LCB52" s="16"/>
      <c r="LCC52" s="16"/>
      <c r="LCD52" s="16"/>
      <c r="LCE52" s="16"/>
      <c r="LCF52" s="16"/>
      <c r="LCG52" s="16"/>
      <c r="LCH52" s="16"/>
      <c r="LCI52" s="16"/>
      <c r="LCJ52" s="16"/>
      <c r="LCK52" s="16"/>
      <c r="LCL52" s="16"/>
      <c r="LCM52" s="16"/>
      <c r="LCN52" s="16"/>
      <c r="LCO52" s="16"/>
      <c r="LCP52" s="16"/>
      <c r="LCQ52" s="16"/>
      <c r="LCR52" s="16"/>
      <c r="LCS52" s="16"/>
      <c r="LCT52" s="16"/>
      <c r="LCU52" s="16"/>
      <c r="LCV52" s="16"/>
      <c r="LCW52" s="16"/>
      <c r="LCX52" s="16"/>
      <c r="LCY52" s="16"/>
      <c r="LCZ52" s="16"/>
      <c r="LDA52" s="16"/>
      <c r="LDB52" s="16"/>
      <c r="LDC52" s="16"/>
      <c r="LDD52" s="16"/>
      <c r="LDE52" s="16"/>
      <c r="LDF52" s="16"/>
      <c r="LDG52" s="16"/>
      <c r="LDH52" s="16"/>
      <c r="LDI52" s="16"/>
      <c r="LDJ52" s="16"/>
      <c r="LDK52" s="16"/>
      <c r="LDL52" s="16"/>
      <c r="LDM52" s="16"/>
      <c r="LDN52" s="16"/>
      <c r="LDO52" s="16"/>
      <c r="LDP52" s="16"/>
      <c r="LDQ52" s="16"/>
      <c r="LDR52" s="16"/>
      <c r="LDS52" s="16"/>
      <c r="LDT52" s="16"/>
      <c r="LDU52" s="16"/>
      <c r="LDV52" s="16"/>
      <c r="LDW52" s="16"/>
      <c r="LDX52" s="16"/>
      <c r="LDY52" s="16"/>
      <c r="LDZ52" s="16"/>
      <c r="LEA52" s="16"/>
      <c r="LEB52" s="16"/>
      <c r="LEC52" s="16"/>
      <c r="LED52" s="16"/>
      <c r="LEE52" s="16"/>
      <c r="LEF52" s="16"/>
      <c r="LEG52" s="16"/>
      <c r="LEH52" s="16"/>
      <c r="LEI52" s="16"/>
      <c r="LEJ52" s="16"/>
      <c r="LEK52" s="16"/>
      <c r="LEL52" s="16"/>
      <c r="LEM52" s="16"/>
      <c r="LEN52" s="16"/>
      <c r="LEO52" s="16"/>
      <c r="LEP52" s="16"/>
      <c r="LEQ52" s="16"/>
      <c r="LER52" s="16"/>
      <c r="LES52" s="16"/>
      <c r="LET52" s="16"/>
      <c r="LEU52" s="16"/>
      <c r="LEV52" s="16"/>
      <c r="LEW52" s="16"/>
      <c r="LEX52" s="16"/>
      <c r="LEY52" s="16"/>
      <c r="LEZ52" s="16"/>
      <c r="LFA52" s="16"/>
      <c r="LFB52" s="16"/>
      <c r="LFC52" s="16"/>
      <c r="LFD52" s="16"/>
      <c r="LFE52" s="16"/>
      <c r="LFF52" s="16"/>
      <c r="LFG52" s="16"/>
      <c r="LFH52" s="16"/>
      <c r="LFI52" s="16"/>
      <c r="LFJ52" s="16"/>
      <c r="LFK52" s="16"/>
      <c r="LFL52" s="16"/>
      <c r="LFM52" s="16"/>
      <c r="LFN52" s="16"/>
      <c r="LFO52" s="16"/>
      <c r="LFP52" s="16"/>
      <c r="LFQ52" s="16"/>
      <c r="LFR52" s="16"/>
      <c r="LFS52" s="16"/>
      <c r="LFT52" s="16"/>
      <c r="LFU52" s="16"/>
      <c r="LFV52" s="16"/>
      <c r="LFW52" s="16"/>
      <c r="LFX52" s="16"/>
      <c r="LFY52" s="16"/>
      <c r="LFZ52" s="16"/>
      <c r="LGA52" s="16"/>
      <c r="LGB52" s="16"/>
      <c r="LGC52" s="16"/>
      <c r="LGD52" s="16"/>
      <c r="LGE52" s="16"/>
      <c r="LGF52" s="16"/>
      <c r="LGG52" s="16"/>
      <c r="LGH52" s="16"/>
      <c r="LGI52" s="16"/>
      <c r="LGJ52" s="16"/>
      <c r="LGK52" s="16"/>
      <c r="LGL52" s="16"/>
      <c r="LGM52" s="16"/>
      <c r="LGN52" s="16"/>
      <c r="LGO52" s="16"/>
      <c r="LGP52" s="16"/>
      <c r="LGQ52" s="16"/>
      <c r="LGR52" s="16"/>
      <c r="LGS52" s="16"/>
      <c r="LGT52" s="16"/>
      <c r="LGU52" s="16"/>
      <c r="LGV52" s="16"/>
      <c r="LGW52" s="16"/>
      <c r="LGX52" s="16"/>
      <c r="LGY52" s="16"/>
      <c r="LGZ52" s="16"/>
      <c r="LHA52" s="16"/>
      <c r="LHB52" s="16"/>
      <c r="LHC52" s="16"/>
      <c r="LHD52" s="16"/>
      <c r="LHE52" s="16"/>
      <c r="LHF52" s="16"/>
      <c r="LHG52" s="16"/>
      <c r="LHH52" s="16"/>
      <c r="LHI52" s="16"/>
      <c r="LHJ52" s="16"/>
      <c r="LHK52" s="16"/>
      <c r="LHL52" s="16"/>
      <c r="LHM52" s="16"/>
      <c r="LHN52" s="16"/>
      <c r="LHO52" s="16"/>
      <c r="LHP52" s="16"/>
      <c r="LHQ52" s="16"/>
      <c r="LHR52" s="16"/>
      <c r="LHS52" s="16"/>
      <c r="LHT52" s="16"/>
      <c r="LHU52" s="16"/>
      <c r="LHV52" s="16"/>
      <c r="LHW52" s="16"/>
      <c r="LHX52" s="16"/>
      <c r="LHY52" s="16"/>
      <c r="LHZ52" s="16"/>
      <c r="LIA52" s="16"/>
      <c r="LIB52" s="16"/>
      <c r="LIC52" s="16"/>
      <c r="LID52" s="16"/>
      <c r="LIE52" s="16"/>
      <c r="LIF52" s="16"/>
      <c r="LIG52" s="16"/>
      <c r="LIH52" s="16"/>
      <c r="LII52" s="16"/>
      <c r="LIJ52" s="16"/>
      <c r="LIK52" s="16"/>
      <c r="LIL52" s="16"/>
      <c r="LIM52" s="16"/>
      <c r="LIN52" s="16"/>
      <c r="LIO52" s="16"/>
      <c r="LIP52" s="16"/>
      <c r="LIQ52" s="16"/>
      <c r="LIR52" s="16"/>
      <c r="LIS52" s="16"/>
      <c r="LIT52" s="16"/>
      <c r="LIU52" s="16"/>
      <c r="LIV52" s="16"/>
      <c r="LIW52" s="16"/>
      <c r="LIX52" s="16"/>
      <c r="LIY52" s="16"/>
      <c r="LIZ52" s="16"/>
      <c r="LJA52" s="16"/>
      <c r="LJB52" s="16"/>
      <c r="LJC52" s="16"/>
      <c r="LJD52" s="16"/>
      <c r="LJE52" s="16"/>
      <c r="LJF52" s="16"/>
      <c r="LJG52" s="16"/>
      <c r="LJH52" s="16"/>
      <c r="LJI52" s="16"/>
      <c r="LJJ52" s="16"/>
      <c r="LJK52" s="16"/>
      <c r="LJL52" s="16"/>
      <c r="LJM52" s="16"/>
      <c r="LJN52" s="16"/>
      <c r="LJO52" s="16"/>
      <c r="LJP52" s="16"/>
      <c r="LJQ52" s="16"/>
      <c r="LJR52" s="16"/>
      <c r="LJS52" s="16"/>
      <c r="LJT52" s="16"/>
      <c r="LJU52" s="16"/>
      <c r="LJV52" s="16"/>
      <c r="LJW52" s="16"/>
      <c r="LJX52" s="16"/>
      <c r="LJY52" s="16"/>
      <c r="LJZ52" s="16"/>
      <c r="LKA52" s="16"/>
      <c r="LKB52" s="16"/>
      <c r="LKC52" s="16"/>
      <c r="LKD52" s="16"/>
      <c r="LKE52" s="16"/>
      <c r="LKF52" s="16"/>
      <c r="LKG52" s="16"/>
      <c r="LKH52" s="16"/>
      <c r="LKI52" s="16"/>
      <c r="LKJ52" s="16"/>
      <c r="LKK52" s="16"/>
      <c r="LKL52" s="16"/>
      <c r="LKM52" s="16"/>
      <c r="LKN52" s="16"/>
      <c r="LKO52" s="16"/>
      <c r="LKP52" s="16"/>
      <c r="LKQ52" s="16"/>
      <c r="LKR52" s="16"/>
      <c r="LKS52" s="16"/>
      <c r="LKT52" s="16"/>
      <c r="LKU52" s="16"/>
      <c r="LKV52" s="16"/>
      <c r="LKW52" s="16"/>
      <c r="LKX52" s="16"/>
      <c r="LKY52" s="16"/>
      <c r="LKZ52" s="16"/>
      <c r="LLA52" s="16"/>
      <c r="LLB52" s="16"/>
      <c r="LLC52" s="16"/>
      <c r="LLD52" s="16"/>
      <c r="LLE52" s="16"/>
      <c r="LLF52" s="16"/>
      <c r="LLG52" s="16"/>
      <c r="LLH52" s="16"/>
      <c r="LLI52" s="16"/>
      <c r="LLJ52" s="16"/>
      <c r="LLK52" s="16"/>
      <c r="LLL52" s="16"/>
      <c r="LLM52" s="16"/>
      <c r="LLN52" s="16"/>
      <c r="LLO52" s="16"/>
      <c r="LLP52" s="16"/>
      <c r="LLQ52" s="16"/>
      <c r="LLR52" s="16"/>
      <c r="LLS52" s="16"/>
      <c r="LLT52" s="16"/>
      <c r="LLU52" s="16"/>
      <c r="LLV52" s="16"/>
      <c r="LLW52" s="16"/>
      <c r="LLX52" s="16"/>
      <c r="LLY52" s="16"/>
      <c r="LLZ52" s="16"/>
      <c r="LMA52" s="16"/>
      <c r="LMB52" s="16"/>
      <c r="LMC52" s="16"/>
      <c r="LMD52" s="16"/>
      <c r="LME52" s="16"/>
      <c r="LMF52" s="16"/>
      <c r="LMG52" s="16"/>
      <c r="LMH52" s="16"/>
      <c r="LMI52" s="16"/>
      <c r="LMJ52" s="16"/>
      <c r="LMK52" s="16"/>
      <c r="LML52" s="16"/>
      <c r="LMM52" s="16"/>
      <c r="LMN52" s="16"/>
      <c r="LMO52" s="16"/>
      <c r="LMP52" s="16"/>
      <c r="LMQ52" s="16"/>
      <c r="LMR52" s="16"/>
      <c r="LMS52" s="16"/>
      <c r="LMT52" s="16"/>
      <c r="LMU52" s="16"/>
      <c r="LMV52" s="16"/>
      <c r="LMW52" s="16"/>
      <c r="LMX52" s="16"/>
      <c r="LMY52" s="16"/>
      <c r="LMZ52" s="16"/>
      <c r="LNA52" s="16"/>
      <c r="LNB52" s="16"/>
      <c r="LNC52" s="16"/>
      <c r="LND52" s="16"/>
      <c r="LNE52" s="16"/>
      <c r="LNF52" s="16"/>
      <c r="LNG52" s="16"/>
      <c r="LNH52" s="16"/>
      <c r="LNI52" s="16"/>
      <c r="LNJ52" s="16"/>
      <c r="LNK52" s="16"/>
      <c r="LNL52" s="16"/>
      <c r="LNM52" s="16"/>
      <c r="LNN52" s="16"/>
      <c r="LNO52" s="16"/>
      <c r="LNP52" s="16"/>
      <c r="LNQ52" s="16"/>
      <c r="LNR52" s="16"/>
      <c r="LNS52" s="16"/>
      <c r="LNT52" s="16"/>
      <c r="LNU52" s="16"/>
      <c r="LNV52" s="16"/>
      <c r="LNW52" s="16"/>
      <c r="LNX52" s="16"/>
      <c r="LNY52" s="16"/>
      <c r="LNZ52" s="16"/>
      <c r="LOA52" s="16"/>
      <c r="LOB52" s="16"/>
      <c r="LOC52" s="16"/>
      <c r="LOD52" s="16"/>
      <c r="LOE52" s="16"/>
      <c r="LOF52" s="16"/>
      <c r="LOG52" s="16"/>
      <c r="LOH52" s="16"/>
      <c r="LOI52" s="16"/>
      <c r="LOJ52" s="16"/>
      <c r="LOK52" s="16"/>
      <c r="LOL52" s="16"/>
      <c r="LOM52" s="16"/>
      <c r="LON52" s="16"/>
      <c r="LOO52" s="16"/>
      <c r="LOP52" s="16"/>
      <c r="LOQ52" s="16"/>
      <c r="LOR52" s="16"/>
      <c r="LOS52" s="16"/>
      <c r="LOT52" s="16"/>
      <c r="LOU52" s="16"/>
      <c r="LOV52" s="16"/>
      <c r="LOW52" s="16"/>
      <c r="LOX52" s="16"/>
      <c r="LOY52" s="16"/>
      <c r="LOZ52" s="16"/>
      <c r="LPA52" s="16"/>
      <c r="LPB52" s="16"/>
      <c r="LPC52" s="16"/>
      <c r="LPD52" s="16"/>
      <c r="LPE52" s="16"/>
      <c r="LPF52" s="16"/>
      <c r="LPG52" s="16"/>
      <c r="LPH52" s="16"/>
      <c r="LPI52" s="16"/>
      <c r="LPJ52" s="16"/>
      <c r="LPK52" s="16"/>
      <c r="LPL52" s="16"/>
      <c r="LPM52" s="16"/>
      <c r="LPN52" s="16"/>
      <c r="LPO52" s="16"/>
      <c r="LPP52" s="16"/>
      <c r="LPQ52" s="16"/>
      <c r="LPR52" s="16"/>
      <c r="LPS52" s="16"/>
      <c r="LPT52" s="16"/>
      <c r="LPU52" s="16"/>
      <c r="LPV52" s="16"/>
      <c r="LPW52" s="16"/>
      <c r="LPX52" s="16"/>
      <c r="LPY52" s="16"/>
      <c r="LPZ52" s="16"/>
      <c r="LQA52" s="16"/>
      <c r="LQB52" s="16"/>
      <c r="LQC52" s="16"/>
      <c r="LQD52" s="16"/>
      <c r="LQE52" s="16"/>
      <c r="LQF52" s="16"/>
      <c r="LQG52" s="16"/>
      <c r="LQH52" s="16"/>
      <c r="LQI52" s="16"/>
      <c r="LQJ52" s="16"/>
      <c r="LQK52" s="16"/>
      <c r="LQL52" s="16"/>
      <c r="LQM52" s="16"/>
      <c r="LQN52" s="16"/>
      <c r="LQO52" s="16"/>
      <c r="LQP52" s="16"/>
      <c r="LQQ52" s="16"/>
      <c r="LQR52" s="16"/>
      <c r="LQS52" s="16"/>
      <c r="LQT52" s="16"/>
      <c r="LQU52" s="16"/>
      <c r="LQV52" s="16"/>
      <c r="LQW52" s="16"/>
      <c r="LQX52" s="16"/>
      <c r="LQY52" s="16"/>
      <c r="LQZ52" s="16"/>
      <c r="LRA52" s="16"/>
      <c r="LRB52" s="16"/>
      <c r="LRC52" s="16"/>
      <c r="LRD52" s="16"/>
      <c r="LRE52" s="16"/>
      <c r="LRF52" s="16"/>
      <c r="LRG52" s="16"/>
      <c r="LRH52" s="16"/>
      <c r="LRI52" s="16"/>
      <c r="LRJ52" s="16"/>
      <c r="LRK52" s="16"/>
      <c r="LRL52" s="16"/>
      <c r="LRM52" s="16"/>
      <c r="LRN52" s="16"/>
      <c r="LRO52" s="16"/>
      <c r="LRP52" s="16"/>
      <c r="LRQ52" s="16"/>
      <c r="LRR52" s="16"/>
      <c r="LRS52" s="16"/>
      <c r="LRT52" s="16"/>
      <c r="LRU52" s="16"/>
      <c r="LRV52" s="16"/>
      <c r="LRW52" s="16"/>
      <c r="LRX52" s="16"/>
      <c r="LRY52" s="16"/>
      <c r="LRZ52" s="16"/>
      <c r="LSA52" s="16"/>
      <c r="LSB52" s="16"/>
      <c r="LSC52" s="16"/>
      <c r="LSD52" s="16"/>
      <c r="LSE52" s="16"/>
      <c r="LSF52" s="16"/>
      <c r="LSG52" s="16"/>
      <c r="LSH52" s="16"/>
      <c r="LSI52" s="16"/>
      <c r="LSJ52" s="16"/>
      <c r="LSK52" s="16"/>
      <c r="LSL52" s="16"/>
      <c r="LSM52" s="16"/>
      <c r="LSN52" s="16"/>
      <c r="LSO52" s="16"/>
      <c r="LSP52" s="16"/>
      <c r="LSQ52" s="16"/>
      <c r="LSR52" s="16"/>
      <c r="LSS52" s="16"/>
      <c r="LST52" s="16"/>
      <c r="LSU52" s="16"/>
      <c r="LSV52" s="16"/>
      <c r="LSW52" s="16"/>
      <c r="LSX52" s="16"/>
      <c r="LSY52" s="16"/>
      <c r="LSZ52" s="16"/>
      <c r="LTA52" s="16"/>
      <c r="LTB52" s="16"/>
      <c r="LTC52" s="16"/>
      <c r="LTD52" s="16"/>
      <c r="LTE52" s="16"/>
      <c r="LTF52" s="16"/>
      <c r="LTG52" s="16"/>
      <c r="LTH52" s="16"/>
      <c r="LTI52" s="16"/>
      <c r="LTJ52" s="16"/>
      <c r="LTK52" s="16"/>
      <c r="LTL52" s="16"/>
      <c r="LTM52" s="16"/>
      <c r="LTN52" s="16"/>
      <c r="LTO52" s="16"/>
      <c r="LTP52" s="16"/>
      <c r="LTQ52" s="16"/>
      <c r="LTR52" s="16"/>
      <c r="LTS52" s="16"/>
      <c r="LTT52" s="16"/>
      <c r="LTU52" s="16"/>
      <c r="LTV52" s="16"/>
      <c r="LTW52" s="16"/>
      <c r="LTX52" s="16"/>
      <c r="LTY52" s="16"/>
      <c r="LTZ52" s="16"/>
      <c r="LUA52" s="16"/>
      <c r="LUB52" s="16"/>
      <c r="LUC52" s="16"/>
      <c r="LUD52" s="16"/>
      <c r="LUE52" s="16"/>
      <c r="LUF52" s="16"/>
      <c r="LUG52" s="16"/>
      <c r="LUH52" s="16"/>
      <c r="LUI52" s="16"/>
      <c r="LUJ52" s="16"/>
      <c r="LUK52" s="16"/>
      <c r="LUL52" s="16"/>
      <c r="LUM52" s="16"/>
      <c r="LUN52" s="16"/>
      <c r="LUO52" s="16"/>
      <c r="LUP52" s="16"/>
      <c r="LUQ52" s="16"/>
      <c r="LUR52" s="16"/>
      <c r="LUS52" s="16"/>
      <c r="LUT52" s="16"/>
      <c r="LUU52" s="16"/>
      <c r="LUV52" s="16"/>
      <c r="LUW52" s="16"/>
      <c r="LUX52" s="16"/>
      <c r="LUY52" s="16"/>
      <c r="LUZ52" s="16"/>
      <c r="LVA52" s="16"/>
      <c r="LVB52" s="16"/>
      <c r="LVC52" s="16"/>
      <c r="LVD52" s="16"/>
      <c r="LVE52" s="16"/>
      <c r="LVF52" s="16"/>
      <c r="LVG52" s="16"/>
      <c r="LVH52" s="16"/>
      <c r="LVI52" s="16"/>
      <c r="LVJ52" s="16"/>
      <c r="LVK52" s="16"/>
      <c r="LVL52" s="16"/>
      <c r="LVM52" s="16"/>
      <c r="LVN52" s="16"/>
      <c r="LVO52" s="16"/>
      <c r="LVP52" s="16"/>
      <c r="LVQ52" s="16"/>
      <c r="LVR52" s="16"/>
      <c r="LVS52" s="16"/>
      <c r="LVT52" s="16"/>
      <c r="LVU52" s="16"/>
      <c r="LVV52" s="16"/>
      <c r="LVW52" s="16"/>
      <c r="LVX52" s="16"/>
      <c r="LVY52" s="16"/>
      <c r="LVZ52" s="16"/>
      <c r="LWA52" s="16"/>
      <c r="LWB52" s="16"/>
      <c r="LWC52" s="16"/>
      <c r="LWD52" s="16"/>
      <c r="LWE52" s="16"/>
      <c r="LWF52" s="16"/>
      <c r="LWG52" s="16"/>
      <c r="LWH52" s="16"/>
      <c r="LWI52" s="16"/>
      <c r="LWJ52" s="16"/>
      <c r="LWK52" s="16"/>
      <c r="LWL52" s="16"/>
      <c r="LWM52" s="16"/>
      <c r="LWN52" s="16"/>
      <c r="LWO52" s="16"/>
      <c r="LWP52" s="16"/>
      <c r="LWQ52" s="16"/>
      <c r="LWR52" s="16"/>
      <c r="LWS52" s="16"/>
      <c r="LWT52" s="16"/>
      <c r="LWU52" s="16"/>
      <c r="LWV52" s="16"/>
      <c r="LWW52" s="16"/>
      <c r="LWX52" s="16"/>
      <c r="LWY52" s="16"/>
      <c r="LWZ52" s="16"/>
      <c r="LXA52" s="16"/>
      <c r="LXB52" s="16"/>
      <c r="LXC52" s="16"/>
      <c r="LXD52" s="16"/>
      <c r="LXE52" s="16"/>
      <c r="LXF52" s="16"/>
      <c r="LXG52" s="16"/>
      <c r="LXH52" s="16"/>
      <c r="LXI52" s="16"/>
      <c r="LXJ52" s="16"/>
      <c r="LXK52" s="16"/>
      <c r="LXL52" s="16"/>
      <c r="LXM52" s="16"/>
      <c r="LXN52" s="16"/>
      <c r="LXO52" s="16"/>
      <c r="LXP52" s="16"/>
      <c r="LXQ52" s="16"/>
      <c r="LXR52" s="16"/>
      <c r="LXS52" s="16"/>
      <c r="LXT52" s="16"/>
      <c r="LXU52" s="16"/>
      <c r="LXV52" s="16"/>
      <c r="LXW52" s="16"/>
      <c r="LXX52" s="16"/>
      <c r="LXY52" s="16"/>
      <c r="LXZ52" s="16"/>
      <c r="LYA52" s="16"/>
      <c r="LYB52" s="16"/>
      <c r="LYC52" s="16"/>
      <c r="LYD52" s="16"/>
      <c r="LYE52" s="16"/>
      <c r="LYF52" s="16"/>
      <c r="LYG52" s="16"/>
      <c r="LYH52" s="16"/>
      <c r="LYI52" s="16"/>
      <c r="LYJ52" s="16"/>
      <c r="LYK52" s="16"/>
      <c r="LYL52" s="16"/>
      <c r="LYM52" s="16"/>
      <c r="LYN52" s="16"/>
      <c r="LYO52" s="16"/>
      <c r="LYP52" s="16"/>
      <c r="LYQ52" s="16"/>
      <c r="LYR52" s="16"/>
      <c r="LYS52" s="16"/>
      <c r="LYT52" s="16"/>
      <c r="LYU52" s="16"/>
      <c r="LYV52" s="16"/>
      <c r="LYW52" s="16"/>
      <c r="LYX52" s="16"/>
      <c r="LYY52" s="16"/>
      <c r="LYZ52" s="16"/>
      <c r="LZA52" s="16"/>
      <c r="LZB52" s="16"/>
      <c r="LZC52" s="16"/>
      <c r="LZD52" s="16"/>
      <c r="LZE52" s="16"/>
      <c r="LZF52" s="16"/>
      <c r="LZG52" s="16"/>
      <c r="LZH52" s="16"/>
      <c r="LZI52" s="16"/>
      <c r="LZJ52" s="16"/>
      <c r="LZK52" s="16"/>
      <c r="LZL52" s="16"/>
      <c r="LZM52" s="16"/>
      <c r="LZN52" s="16"/>
      <c r="LZO52" s="16"/>
      <c r="LZP52" s="16"/>
      <c r="LZQ52" s="16"/>
      <c r="LZR52" s="16"/>
      <c r="LZS52" s="16"/>
      <c r="LZT52" s="16"/>
      <c r="LZU52" s="16"/>
      <c r="LZV52" s="16"/>
      <c r="LZW52" s="16"/>
      <c r="LZX52" s="16"/>
      <c r="LZY52" s="16"/>
      <c r="LZZ52" s="16"/>
      <c r="MAA52" s="16"/>
      <c r="MAB52" s="16"/>
      <c r="MAC52" s="16"/>
      <c r="MAD52" s="16"/>
      <c r="MAE52" s="16"/>
      <c r="MAF52" s="16"/>
      <c r="MAG52" s="16"/>
      <c r="MAH52" s="16"/>
      <c r="MAI52" s="16"/>
      <c r="MAJ52" s="16"/>
      <c r="MAK52" s="16"/>
      <c r="MAL52" s="16"/>
      <c r="MAM52" s="16"/>
      <c r="MAN52" s="16"/>
      <c r="MAO52" s="16"/>
      <c r="MAP52" s="16"/>
      <c r="MAQ52" s="16"/>
      <c r="MAR52" s="16"/>
      <c r="MAS52" s="16"/>
      <c r="MAT52" s="16"/>
      <c r="MAU52" s="16"/>
      <c r="MAV52" s="16"/>
      <c r="MAW52" s="16"/>
      <c r="MAX52" s="16"/>
      <c r="MAY52" s="16"/>
      <c r="MAZ52" s="16"/>
      <c r="MBA52" s="16"/>
      <c r="MBB52" s="16"/>
      <c r="MBC52" s="16"/>
      <c r="MBD52" s="16"/>
      <c r="MBE52" s="16"/>
      <c r="MBF52" s="16"/>
      <c r="MBG52" s="16"/>
      <c r="MBH52" s="16"/>
      <c r="MBI52" s="16"/>
      <c r="MBJ52" s="16"/>
      <c r="MBK52" s="16"/>
      <c r="MBL52" s="16"/>
      <c r="MBM52" s="16"/>
      <c r="MBN52" s="16"/>
      <c r="MBO52" s="16"/>
      <c r="MBP52" s="16"/>
      <c r="MBQ52" s="16"/>
      <c r="MBR52" s="16"/>
      <c r="MBS52" s="16"/>
      <c r="MBT52" s="16"/>
      <c r="MBU52" s="16"/>
      <c r="MBV52" s="16"/>
      <c r="MBW52" s="16"/>
      <c r="MBX52" s="16"/>
      <c r="MBY52" s="16"/>
      <c r="MBZ52" s="16"/>
      <c r="MCA52" s="16"/>
      <c r="MCB52" s="16"/>
      <c r="MCC52" s="16"/>
      <c r="MCD52" s="16"/>
      <c r="MCE52" s="16"/>
      <c r="MCF52" s="16"/>
      <c r="MCG52" s="16"/>
      <c r="MCH52" s="16"/>
      <c r="MCI52" s="16"/>
      <c r="MCJ52" s="16"/>
      <c r="MCK52" s="16"/>
      <c r="MCL52" s="16"/>
      <c r="MCM52" s="16"/>
      <c r="MCN52" s="16"/>
      <c r="MCO52" s="16"/>
      <c r="MCP52" s="16"/>
      <c r="MCQ52" s="16"/>
      <c r="MCR52" s="16"/>
      <c r="MCS52" s="16"/>
      <c r="MCT52" s="16"/>
      <c r="MCU52" s="16"/>
      <c r="MCV52" s="16"/>
      <c r="MCW52" s="16"/>
      <c r="MCX52" s="16"/>
      <c r="MCY52" s="16"/>
      <c r="MCZ52" s="16"/>
      <c r="MDA52" s="16"/>
      <c r="MDB52" s="16"/>
      <c r="MDC52" s="16"/>
      <c r="MDD52" s="16"/>
      <c r="MDE52" s="16"/>
      <c r="MDF52" s="16"/>
      <c r="MDG52" s="16"/>
      <c r="MDH52" s="16"/>
      <c r="MDI52" s="16"/>
      <c r="MDJ52" s="16"/>
      <c r="MDK52" s="16"/>
      <c r="MDL52" s="16"/>
      <c r="MDM52" s="16"/>
      <c r="MDN52" s="16"/>
      <c r="MDO52" s="16"/>
      <c r="MDP52" s="16"/>
      <c r="MDQ52" s="16"/>
      <c r="MDR52" s="16"/>
      <c r="MDS52" s="16"/>
      <c r="MDT52" s="16"/>
      <c r="MDU52" s="16"/>
      <c r="MDV52" s="16"/>
      <c r="MDW52" s="16"/>
      <c r="MDX52" s="16"/>
      <c r="MDY52" s="16"/>
      <c r="MDZ52" s="16"/>
      <c r="MEA52" s="16"/>
      <c r="MEB52" s="16"/>
      <c r="MEC52" s="16"/>
      <c r="MED52" s="16"/>
      <c r="MEE52" s="16"/>
      <c r="MEF52" s="16"/>
      <c r="MEG52" s="16"/>
      <c r="MEH52" s="16"/>
      <c r="MEI52" s="16"/>
      <c r="MEJ52" s="16"/>
      <c r="MEK52" s="16"/>
      <c r="MEL52" s="16"/>
      <c r="MEM52" s="16"/>
      <c r="MEN52" s="16"/>
      <c r="MEO52" s="16"/>
      <c r="MEP52" s="16"/>
      <c r="MEQ52" s="16"/>
      <c r="MER52" s="16"/>
      <c r="MES52" s="16"/>
      <c r="MET52" s="16"/>
      <c r="MEU52" s="16"/>
      <c r="MEV52" s="16"/>
      <c r="MEW52" s="16"/>
      <c r="MEX52" s="16"/>
      <c r="MEY52" s="16"/>
      <c r="MEZ52" s="16"/>
      <c r="MFA52" s="16"/>
      <c r="MFB52" s="16"/>
      <c r="MFC52" s="16"/>
      <c r="MFD52" s="16"/>
      <c r="MFE52" s="16"/>
      <c r="MFF52" s="16"/>
      <c r="MFG52" s="16"/>
      <c r="MFH52" s="16"/>
      <c r="MFI52" s="16"/>
      <c r="MFJ52" s="16"/>
      <c r="MFK52" s="16"/>
      <c r="MFL52" s="16"/>
      <c r="MFM52" s="16"/>
      <c r="MFN52" s="16"/>
      <c r="MFO52" s="16"/>
      <c r="MFP52" s="16"/>
      <c r="MFQ52" s="16"/>
      <c r="MFR52" s="16"/>
      <c r="MFS52" s="16"/>
      <c r="MFT52" s="16"/>
      <c r="MFU52" s="16"/>
      <c r="MFV52" s="16"/>
      <c r="MFW52" s="16"/>
      <c r="MFX52" s="16"/>
      <c r="MFY52" s="16"/>
      <c r="MFZ52" s="16"/>
      <c r="MGA52" s="16"/>
      <c r="MGB52" s="16"/>
      <c r="MGC52" s="16"/>
      <c r="MGD52" s="16"/>
      <c r="MGE52" s="16"/>
      <c r="MGF52" s="16"/>
      <c r="MGG52" s="16"/>
      <c r="MGH52" s="16"/>
      <c r="MGI52" s="16"/>
      <c r="MGJ52" s="16"/>
      <c r="MGK52" s="16"/>
      <c r="MGL52" s="16"/>
      <c r="MGM52" s="16"/>
      <c r="MGN52" s="16"/>
      <c r="MGO52" s="16"/>
      <c r="MGP52" s="16"/>
      <c r="MGQ52" s="16"/>
      <c r="MGR52" s="16"/>
      <c r="MGS52" s="16"/>
      <c r="MGT52" s="16"/>
      <c r="MGU52" s="16"/>
      <c r="MGV52" s="16"/>
      <c r="MGW52" s="16"/>
      <c r="MGX52" s="16"/>
      <c r="MGY52" s="16"/>
      <c r="MGZ52" s="16"/>
      <c r="MHA52" s="16"/>
      <c r="MHB52" s="16"/>
      <c r="MHC52" s="16"/>
      <c r="MHD52" s="16"/>
      <c r="MHE52" s="16"/>
      <c r="MHF52" s="16"/>
      <c r="MHG52" s="16"/>
      <c r="MHH52" s="16"/>
      <c r="MHI52" s="16"/>
      <c r="MHJ52" s="16"/>
      <c r="MHK52" s="16"/>
      <c r="MHL52" s="16"/>
      <c r="MHM52" s="16"/>
      <c r="MHN52" s="16"/>
      <c r="MHO52" s="16"/>
      <c r="MHP52" s="16"/>
      <c r="MHQ52" s="16"/>
      <c r="MHR52" s="16"/>
      <c r="MHS52" s="16"/>
      <c r="MHT52" s="16"/>
      <c r="MHU52" s="16"/>
      <c r="MHV52" s="16"/>
      <c r="MHW52" s="16"/>
      <c r="MHX52" s="16"/>
      <c r="MHY52" s="16"/>
      <c r="MHZ52" s="16"/>
      <c r="MIA52" s="16"/>
      <c r="MIB52" s="16"/>
      <c r="MIC52" s="16"/>
      <c r="MID52" s="16"/>
      <c r="MIE52" s="16"/>
      <c r="MIF52" s="16"/>
      <c r="MIG52" s="16"/>
      <c r="MIH52" s="16"/>
      <c r="MII52" s="16"/>
      <c r="MIJ52" s="16"/>
      <c r="MIK52" s="16"/>
      <c r="MIL52" s="16"/>
      <c r="MIM52" s="16"/>
      <c r="MIN52" s="16"/>
      <c r="MIO52" s="16"/>
      <c r="MIP52" s="16"/>
      <c r="MIQ52" s="16"/>
      <c r="MIR52" s="16"/>
      <c r="MIS52" s="16"/>
      <c r="MIT52" s="16"/>
      <c r="MIU52" s="16"/>
      <c r="MIV52" s="16"/>
      <c r="MIW52" s="16"/>
      <c r="MIX52" s="16"/>
      <c r="MIY52" s="16"/>
      <c r="MIZ52" s="16"/>
      <c r="MJA52" s="16"/>
      <c r="MJB52" s="16"/>
      <c r="MJC52" s="16"/>
      <c r="MJD52" s="16"/>
      <c r="MJE52" s="16"/>
      <c r="MJF52" s="16"/>
      <c r="MJG52" s="16"/>
      <c r="MJH52" s="16"/>
      <c r="MJI52" s="16"/>
      <c r="MJJ52" s="16"/>
      <c r="MJK52" s="16"/>
      <c r="MJL52" s="16"/>
      <c r="MJM52" s="16"/>
      <c r="MJN52" s="16"/>
      <c r="MJO52" s="16"/>
      <c r="MJP52" s="16"/>
      <c r="MJQ52" s="16"/>
      <c r="MJR52" s="16"/>
      <c r="MJS52" s="16"/>
      <c r="MJT52" s="16"/>
      <c r="MJU52" s="16"/>
      <c r="MJV52" s="16"/>
      <c r="MJW52" s="16"/>
      <c r="MJX52" s="16"/>
      <c r="MJY52" s="16"/>
      <c r="MJZ52" s="16"/>
      <c r="MKA52" s="16"/>
      <c r="MKB52" s="16"/>
      <c r="MKC52" s="16"/>
      <c r="MKD52" s="16"/>
      <c r="MKE52" s="16"/>
      <c r="MKF52" s="16"/>
      <c r="MKG52" s="16"/>
      <c r="MKH52" s="16"/>
      <c r="MKI52" s="16"/>
      <c r="MKJ52" s="16"/>
      <c r="MKK52" s="16"/>
      <c r="MKL52" s="16"/>
      <c r="MKM52" s="16"/>
      <c r="MKN52" s="16"/>
      <c r="MKO52" s="16"/>
      <c r="MKP52" s="16"/>
      <c r="MKQ52" s="16"/>
      <c r="MKR52" s="16"/>
      <c r="MKS52" s="16"/>
      <c r="MKT52" s="16"/>
      <c r="MKU52" s="16"/>
      <c r="MKV52" s="16"/>
      <c r="MKW52" s="16"/>
      <c r="MKX52" s="16"/>
      <c r="MKY52" s="16"/>
      <c r="MKZ52" s="16"/>
      <c r="MLA52" s="16"/>
      <c r="MLB52" s="16"/>
      <c r="MLC52" s="16"/>
      <c r="MLD52" s="16"/>
      <c r="MLE52" s="16"/>
      <c r="MLF52" s="16"/>
      <c r="MLG52" s="16"/>
      <c r="MLH52" s="16"/>
      <c r="MLI52" s="16"/>
      <c r="MLJ52" s="16"/>
      <c r="MLK52" s="16"/>
      <c r="MLL52" s="16"/>
      <c r="MLM52" s="16"/>
      <c r="MLN52" s="16"/>
      <c r="MLO52" s="16"/>
      <c r="MLP52" s="16"/>
      <c r="MLQ52" s="16"/>
      <c r="MLR52" s="16"/>
      <c r="MLS52" s="16"/>
      <c r="MLT52" s="16"/>
      <c r="MLU52" s="16"/>
      <c r="MLV52" s="16"/>
      <c r="MLW52" s="16"/>
      <c r="MLX52" s="16"/>
      <c r="MLY52" s="16"/>
      <c r="MLZ52" s="16"/>
      <c r="MMA52" s="16"/>
      <c r="MMB52" s="16"/>
      <c r="MMC52" s="16"/>
      <c r="MMD52" s="16"/>
      <c r="MME52" s="16"/>
      <c r="MMF52" s="16"/>
      <c r="MMG52" s="16"/>
      <c r="MMH52" s="16"/>
      <c r="MMI52" s="16"/>
      <c r="MMJ52" s="16"/>
      <c r="MMK52" s="16"/>
      <c r="MML52" s="16"/>
      <c r="MMM52" s="16"/>
      <c r="MMN52" s="16"/>
      <c r="MMO52" s="16"/>
      <c r="MMP52" s="16"/>
      <c r="MMQ52" s="16"/>
      <c r="MMR52" s="16"/>
      <c r="MMS52" s="16"/>
      <c r="MMT52" s="16"/>
      <c r="MMU52" s="16"/>
      <c r="MMV52" s="16"/>
      <c r="MMW52" s="16"/>
      <c r="MMX52" s="16"/>
      <c r="MMY52" s="16"/>
      <c r="MMZ52" s="16"/>
      <c r="MNA52" s="16"/>
      <c r="MNB52" s="16"/>
      <c r="MNC52" s="16"/>
      <c r="MND52" s="16"/>
      <c r="MNE52" s="16"/>
      <c r="MNF52" s="16"/>
      <c r="MNG52" s="16"/>
      <c r="MNH52" s="16"/>
      <c r="MNI52" s="16"/>
      <c r="MNJ52" s="16"/>
      <c r="MNK52" s="16"/>
      <c r="MNL52" s="16"/>
      <c r="MNM52" s="16"/>
      <c r="MNN52" s="16"/>
      <c r="MNO52" s="16"/>
      <c r="MNP52" s="16"/>
      <c r="MNQ52" s="16"/>
      <c r="MNR52" s="16"/>
      <c r="MNS52" s="16"/>
      <c r="MNT52" s="16"/>
      <c r="MNU52" s="16"/>
      <c r="MNV52" s="16"/>
      <c r="MNW52" s="16"/>
      <c r="MNX52" s="16"/>
      <c r="MNY52" s="16"/>
      <c r="MNZ52" s="16"/>
      <c r="MOA52" s="16"/>
      <c r="MOB52" s="16"/>
      <c r="MOC52" s="16"/>
      <c r="MOD52" s="16"/>
      <c r="MOE52" s="16"/>
      <c r="MOF52" s="16"/>
      <c r="MOG52" s="16"/>
      <c r="MOH52" s="16"/>
      <c r="MOI52" s="16"/>
      <c r="MOJ52" s="16"/>
      <c r="MOK52" s="16"/>
      <c r="MOL52" s="16"/>
      <c r="MOM52" s="16"/>
      <c r="MON52" s="16"/>
      <c r="MOO52" s="16"/>
      <c r="MOP52" s="16"/>
      <c r="MOQ52" s="16"/>
      <c r="MOR52" s="16"/>
      <c r="MOS52" s="16"/>
      <c r="MOT52" s="16"/>
      <c r="MOU52" s="16"/>
      <c r="MOV52" s="16"/>
      <c r="MOW52" s="16"/>
      <c r="MOX52" s="16"/>
      <c r="MOY52" s="16"/>
      <c r="MOZ52" s="16"/>
      <c r="MPA52" s="16"/>
      <c r="MPB52" s="16"/>
      <c r="MPC52" s="16"/>
      <c r="MPD52" s="16"/>
      <c r="MPE52" s="16"/>
      <c r="MPF52" s="16"/>
      <c r="MPG52" s="16"/>
      <c r="MPH52" s="16"/>
      <c r="MPI52" s="16"/>
      <c r="MPJ52" s="16"/>
      <c r="MPK52" s="16"/>
      <c r="MPL52" s="16"/>
      <c r="MPM52" s="16"/>
      <c r="MPN52" s="16"/>
      <c r="MPO52" s="16"/>
      <c r="MPP52" s="16"/>
      <c r="MPQ52" s="16"/>
      <c r="MPR52" s="16"/>
      <c r="MPS52" s="16"/>
      <c r="MPT52" s="16"/>
      <c r="MPU52" s="16"/>
      <c r="MPV52" s="16"/>
      <c r="MPW52" s="16"/>
      <c r="MPX52" s="16"/>
      <c r="MPY52" s="16"/>
      <c r="MPZ52" s="16"/>
      <c r="MQA52" s="16"/>
      <c r="MQB52" s="16"/>
      <c r="MQC52" s="16"/>
      <c r="MQD52" s="16"/>
      <c r="MQE52" s="16"/>
      <c r="MQF52" s="16"/>
      <c r="MQG52" s="16"/>
      <c r="MQH52" s="16"/>
      <c r="MQI52" s="16"/>
      <c r="MQJ52" s="16"/>
      <c r="MQK52" s="16"/>
      <c r="MQL52" s="16"/>
      <c r="MQM52" s="16"/>
      <c r="MQN52" s="16"/>
      <c r="MQO52" s="16"/>
      <c r="MQP52" s="16"/>
      <c r="MQQ52" s="16"/>
      <c r="MQR52" s="16"/>
      <c r="MQS52" s="16"/>
      <c r="MQT52" s="16"/>
      <c r="MQU52" s="16"/>
      <c r="MQV52" s="16"/>
      <c r="MQW52" s="16"/>
      <c r="MQX52" s="16"/>
      <c r="MQY52" s="16"/>
      <c r="MQZ52" s="16"/>
      <c r="MRA52" s="16"/>
      <c r="MRB52" s="16"/>
      <c r="MRC52" s="16"/>
      <c r="MRD52" s="16"/>
      <c r="MRE52" s="16"/>
      <c r="MRF52" s="16"/>
      <c r="MRG52" s="16"/>
      <c r="MRH52" s="16"/>
      <c r="MRI52" s="16"/>
      <c r="MRJ52" s="16"/>
      <c r="MRK52" s="16"/>
      <c r="MRL52" s="16"/>
      <c r="MRM52" s="16"/>
      <c r="MRN52" s="16"/>
      <c r="MRO52" s="16"/>
      <c r="MRP52" s="16"/>
      <c r="MRQ52" s="16"/>
      <c r="MRR52" s="16"/>
      <c r="MRS52" s="16"/>
      <c r="MRT52" s="16"/>
      <c r="MRU52" s="16"/>
      <c r="MRV52" s="16"/>
      <c r="MRW52" s="16"/>
      <c r="MRX52" s="16"/>
      <c r="MRY52" s="16"/>
      <c r="MRZ52" s="16"/>
      <c r="MSA52" s="16"/>
      <c r="MSB52" s="16"/>
      <c r="MSC52" s="16"/>
      <c r="MSD52" s="16"/>
      <c r="MSE52" s="16"/>
      <c r="MSF52" s="16"/>
      <c r="MSG52" s="16"/>
      <c r="MSH52" s="16"/>
      <c r="MSI52" s="16"/>
      <c r="MSJ52" s="16"/>
      <c r="MSK52" s="16"/>
      <c r="MSL52" s="16"/>
      <c r="MSM52" s="16"/>
      <c r="MSN52" s="16"/>
      <c r="MSO52" s="16"/>
      <c r="MSP52" s="16"/>
      <c r="MSQ52" s="16"/>
      <c r="MSR52" s="16"/>
      <c r="MSS52" s="16"/>
      <c r="MST52" s="16"/>
      <c r="MSU52" s="16"/>
      <c r="MSV52" s="16"/>
      <c r="MSW52" s="16"/>
      <c r="MSX52" s="16"/>
      <c r="MSY52" s="16"/>
      <c r="MSZ52" s="16"/>
      <c r="MTA52" s="16"/>
      <c r="MTB52" s="16"/>
      <c r="MTC52" s="16"/>
      <c r="MTD52" s="16"/>
      <c r="MTE52" s="16"/>
      <c r="MTF52" s="16"/>
      <c r="MTG52" s="16"/>
      <c r="MTH52" s="16"/>
      <c r="MTI52" s="16"/>
      <c r="MTJ52" s="16"/>
      <c r="MTK52" s="16"/>
      <c r="MTL52" s="16"/>
      <c r="MTM52" s="16"/>
      <c r="MTN52" s="16"/>
      <c r="MTO52" s="16"/>
      <c r="MTP52" s="16"/>
      <c r="MTQ52" s="16"/>
      <c r="MTR52" s="16"/>
      <c r="MTS52" s="16"/>
      <c r="MTT52" s="16"/>
      <c r="MTU52" s="16"/>
      <c r="MTV52" s="16"/>
      <c r="MTW52" s="16"/>
      <c r="MTX52" s="16"/>
      <c r="MTY52" s="16"/>
      <c r="MTZ52" s="16"/>
      <c r="MUA52" s="16"/>
      <c r="MUB52" s="16"/>
      <c r="MUC52" s="16"/>
      <c r="MUD52" s="16"/>
      <c r="MUE52" s="16"/>
      <c r="MUF52" s="16"/>
      <c r="MUG52" s="16"/>
      <c r="MUH52" s="16"/>
      <c r="MUI52" s="16"/>
      <c r="MUJ52" s="16"/>
      <c r="MUK52" s="16"/>
      <c r="MUL52" s="16"/>
      <c r="MUM52" s="16"/>
      <c r="MUN52" s="16"/>
      <c r="MUO52" s="16"/>
      <c r="MUP52" s="16"/>
      <c r="MUQ52" s="16"/>
      <c r="MUR52" s="16"/>
      <c r="MUS52" s="16"/>
      <c r="MUT52" s="16"/>
      <c r="MUU52" s="16"/>
      <c r="MUV52" s="16"/>
      <c r="MUW52" s="16"/>
      <c r="MUX52" s="16"/>
      <c r="MUY52" s="16"/>
      <c r="MUZ52" s="16"/>
      <c r="MVA52" s="16"/>
      <c r="MVB52" s="16"/>
      <c r="MVC52" s="16"/>
      <c r="MVD52" s="16"/>
      <c r="MVE52" s="16"/>
      <c r="MVF52" s="16"/>
      <c r="MVG52" s="16"/>
      <c r="MVH52" s="16"/>
      <c r="MVI52" s="16"/>
      <c r="MVJ52" s="16"/>
      <c r="MVK52" s="16"/>
      <c r="MVL52" s="16"/>
      <c r="MVM52" s="16"/>
      <c r="MVN52" s="16"/>
      <c r="MVO52" s="16"/>
      <c r="MVP52" s="16"/>
      <c r="MVQ52" s="16"/>
      <c r="MVR52" s="16"/>
      <c r="MVS52" s="16"/>
      <c r="MVT52" s="16"/>
      <c r="MVU52" s="16"/>
      <c r="MVV52" s="16"/>
      <c r="MVW52" s="16"/>
      <c r="MVX52" s="16"/>
      <c r="MVY52" s="16"/>
      <c r="MVZ52" s="16"/>
      <c r="MWA52" s="16"/>
      <c r="MWB52" s="16"/>
      <c r="MWC52" s="16"/>
      <c r="MWD52" s="16"/>
      <c r="MWE52" s="16"/>
      <c r="MWF52" s="16"/>
      <c r="MWG52" s="16"/>
      <c r="MWH52" s="16"/>
      <c r="MWI52" s="16"/>
      <c r="MWJ52" s="16"/>
      <c r="MWK52" s="16"/>
      <c r="MWL52" s="16"/>
      <c r="MWM52" s="16"/>
      <c r="MWN52" s="16"/>
      <c r="MWO52" s="16"/>
      <c r="MWP52" s="16"/>
      <c r="MWQ52" s="16"/>
      <c r="MWR52" s="16"/>
      <c r="MWS52" s="16"/>
      <c r="MWT52" s="16"/>
      <c r="MWU52" s="16"/>
      <c r="MWV52" s="16"/>
      <c r="MWW52" s="16"/>
      <c r="MWX52" s="16"/>
      <c r="MWY52" s="16"/>
      <c r="MWZ52" s="16"/>
      <c r="MXA52" s="16"/>
      <c r="MXB52" s="16"/>
      <c r="MXC52" s="16"/>
      <c r="MXD52" s="16"/>
      <c r="MXE52" s="16"/>
      <c r="MXF52" s="16"/>
      <c r="MXG52" s="16"/>
      <c r="MXH52" s="16"/>
      <c r="MXI52" s="16"/>
      <c r="MXJ52" s="16"/>
      <c r="MXK52" s="16"/>
      <c r="MXL52" s="16"/>
      <c r="MXM52" s="16"/>
      <c r="MXN52" s="16"/>
      <c r="MXO52" s="16"/>
      <c r="MXP52" s="16"/>
      <c r="MXQ52" s="16"/>
      <c r="MXR52" s="16"/>
      <c r="MXS52" s="16"/>
      <c r="MXT52" s="16"/>
      <c r="MXU52" s="16"/>
      <c r="MXV52" s="16"/>
      <c r="MXW52" s="16"/>
      <c r="MXX52" s="16"/>
      <c r="MXY52" s="16"/>
      <c r="MXZ52" s="16"/>
      <c r="MYA52" s="16"/>
      <c r="MYB52" s="16"/>
      <c r="MYC52" s="16"/>
      <c r="MYD52" s="16"/>
      <c r="MYE52" s="16"/>
      <c r="MYF52" s="16"/>
      <c r="MYG52" s="16"/>
      <c r="MYH52" s="16"/>
      <c r="MYI52" s="16"/>
      <c r="MYJ52" s="16"/>
      <c r="MYK52" s="16"/>
      <c r="MYL52" s="16"/>
      <c r="MYM52" s="16"/>
      <c r="MYN52" s="16"/>
      <c r="MYO52" s="16"/>
      <c r="MYP52" s="16"/>
      <c r="MYQ52" s="16"/>
      <c r="MYR52" s="16"/>
      <c r="MYS52" s="16"/>
      <c r="MYT52" s="16"/>
      <c r="MYU52" s="16"/>
      <c r="MYV52" s="16"/>
      <c r="MYW52" s="16"/>
      <c r="MYX52" s="16"/>
      <c r="MYY52" s="16"/>
      <c r="MYZ52" s="16"/>
      <c r="MZA52" s="16"/>
      <c r="MZB52" s="16"/>
      <c r="MZC52" s="16"/>
      <c r="MZD52" s="16"/>
      <c r="MZE52" s="16"/>
      <c r="MZF52" s="16"/>
      <c r="MZG52" s="16"/>
      <c r="MZH52" s="16"/>
      <c r="MZI52" s="16"/>
      <c r="MZJ52" s="16"/>
      <c r="MZK52" s="16"/>
      <c r="MZL52" s="16"/>
      <c r="MZM52" s="16"/>
      <c r="MZN52" s="16"/>
      <c r="MZO52" s="16"/>
      <c r="MZP52" s="16"/>
      <c r="MZQ52" s="16"/>
      <c r="MZR52" s="16"/>
      <c r="MZS52" s="16"/>
      <c r="MZT52" s="16"/>
      <c r="MZU52" s="16"/>
      <c r="MZV52" s="16"/>
      <c r="MZW52" s="16"/>
      <c r="MZX52" s="16"/>
      <c r="MZY52" s="16"/>
      <c r="MZZ52" s="16"/>
      <c r="NAA52" s="16"/>
      <c r="NAB52" s="16"/>
      <c r="NAC52" s="16"/>
      <c r="NAD52" s="16"/>
      <c r="NAE52" s="16"/>
      <c r="NAF52" s="16"/>
      <c r="NAG52" s="16"/>
      <c r="NAH52" s="16"/>
      <c r="NAI52" s="16"/>
      <c r="NAJ52" s="16"/>
      <c r="NAK52" s="16"/>
      <c r="NAL52" s="16"/>
      <c r="NAM52" s="16"/>
      <c r="NAN52" s="16"/>
      <c r="NAO52" s="16"/>
      <c r="NAP52" s="16"/>
      <c r="NAQ52" s="16"/>
      <c r="NAR52" s="16"/>
      <c r="NAS52" s="16"/>
      <c r="NAT52" s="16"/>
      <c r="NAU52" s="16"/>
      <c r="NAV52" s="16"/>
      <c r="NAW52" s="16"/>
      <c r="NAX52" s="16"/>
      <c r="NAY52" s="16"/>
      <c r="NAZ52" s="16"/>
      <c r="NBA52" s="16"/>
      <c r="NBB52" s="16"/>
      <c r="NBC52" s="16"/>
      <c r="NBD52" s="16"/>
      <c r="NBE52" s="16"/>
      <c r="NBF52" s="16"/>
      <c r="NBG52" s="16"/>
      <c r="NBH52" s="16"/>
      <c r="NBI52" s="16"/>
      <c r="NBJ52" s="16"/>
      <c r="NBK52" s="16"/>
      <c r="NBL52" s="16"/>
      <c r="NBM52" s="16"/>
      <c r="NBN52" s="16"/>
      <c r="NBO52" s="16"/>
      <c r="NBP52" s="16"/>
      <c r="NBQ52" s="16"/>
      <c r="NBR52" s="16"/>
      <c r="NBS52" s="16"/>
      <c r="NBT52" s="16"/>
      <c r="NBU52" s="16"/>
      <c r="NBV52" s="16"/>
      <c r="NBW52" s="16"/>
      <c r="NBX52" s="16"/>
      <c r="NBY52" s="16"/>
      <c r="NBZ52" s="16"/>
      <c r="NCA52" s="16"/>
      <c r="NCB52" s="16"/>
      <c r="NCC52" s="16"/>
      <c r="NCD52" s="16"/>
      <c r="NCE52" s="16"/>
      <c r="NCF52" s="16"/>
      <c r="NCG52" s="16"/>
      <c r="NCH52" s="16"/>
      <c r="NCI52" s="16"/>
      <c r="NCJ52" s="16"/>
      <c r="NCK52" s="16"/>
      <c r="NCL52" s="16"/>
      <c r="NCM52" s="16"/>
      <c r="NCN52" s="16"/>
      <c r="NCO52" s="16"/>
      <c r="NCP52" s="16"/>
      <c r="NCQ52" s="16"/>
      <c r="NCR52" s="16"/>
      <c r="NCS52" s="16"/>
      <c r="NCT52" s="16"/>
      <c r="NCU52" s="16"/>
      <c r="NCV52" s="16"/>
      <c r="NCW52" s="16"/>
      <c r="NCX52" s="16"/>
      <c r="NCY52" s="16"/>
      <c r="NCZ52" s="16"/>
      <c r="NDA52" s="16"/>
      <c r="NDB52" s="16"/>
      <c r="NDC52" s="16"/>
      <c r="NDD52" s="16"/>
      <c r="NDE52" s="16"/>
      <c r="NDF52" s="16"/>
      <c r="NDG52" s="16"/>
      <c r="NDH52" s="16"/>
      <c r="NDI52" s="16"/>
      <c r="NDJ52" s="16"/>
      <c r="NDK52" s="16"/>
      <c r="NDL52" s="16"/>
      <c r="NDM52" s="16"/>
      <c r="NDN52" s="16"/>
      <c r="NDO52" s="16"/>
      <c r="NDP52" s="16"/>
      <c r="NDQ52" s="16"/>
      <c r="NDR52" s="16"/>
      <c r="NDS52" s="16"/>
      <c r="NDT52" s="16"/>
      <c r="NDU52" s="16"/>
      <c r="NDV52" s="16"/>
      <c r="NDW52" s="16"/>
      <c r="NDX52" s="16"/>
      <c r="NDY52" s="16"/>
      <c r="NDZ52" s="16"/>
      <c r="NEA52" s="16"/>
      <c r="NEB52" s="16"/>
      <c r="NEC52" s="16"/>
      <c r="NED52" s="16"/>
      <c r="NEE52" s="16"/>
      <c r="NEF52" s="16"/>
      <c r="NEG52" s="16"/>
      <c r="NEH52" s="16"/>
      <c r="NEI52" s="16"/>
      <c r="NEJ52" s="16"/>
      <c r="NEK52" s="16"/>
      <c r="NEL52" s="16"/>
      <c r="NEM52" s="16"/>
      <c r="NEN52" s="16"/>
      <c r="NEO52" s="16"/>
      <c r="NEP52" s="16"/>
      <c r="NEQ52" s="16"/>
      <c r="NER52" s="16"/>
      <c r="NES52" s="16"/>
      <c r="NET52" s="16"/>
      <c r="NEU52" s="16"/>
      <c r="NEV52" s="16"/>
      <c r="NEW52" s="16"/>
      <c r="NEX52" s="16"/>
      <c r="NEY52" s="16"/>
      <c r="NEZ52" s="16"/>
      <c r="NFA52" s="16"/>
      <c r="NFB52" s="16"/>
      <c r="NFC52" s="16"/>
      <c r="NFD52" s="16"/>
      <c r="NFE52" s="16"/>
      <c r="NFF52" s="16"/>
      <c r="NFG52" s="16"/>
      <c r="NFH52" s="16"/>
      <c r="NFI52" s="16"/>
      <c r="NFJ52" s="16"/>
      <c r="NFK52" s="16"/>
      <c r="NFL52" s="16"/>
      <c r="NFM52" s="16"/>
      <c r="NFN52" s="16"/>
      <c r="NFO52" s="16"/>
      <c r="NFP52" s="16"/>
      <c r="NFQ52" s="16"/>
      <c r="NFR52" s="16"/>
      <c r="NFS52" s="16"/>
      <c r="NFT52" s="16"/>
      <c r="NFU52" s="16"/>
      <c r="NFV52" s="16"/>
      <c r="NFW52" s="16"/>
      <c r="NFX52" s="16"/>
      <c r="NFY52" s="16"/>
      <c r="NFZ52" s="16"/>
      <c r="NGA52" s="16"/>
      <c r="NGB52" s="16"/>
      <c r="NGC52" s="16"/>
      <c r="NGD52" s="16"/>
      <c r="NGE52" s="16"/>
      <c r="NGF52" s="16"/>
      <c r="NGG52" s="16"/>
      <c r="NGH52" s="16"/>
      <c r="NGI52" s="16"/>
      <c r="NGJ52" s="16"/>
      <c r="NGK52" s="16"/>
      <c r="NGL52" s="16"/>
      <c r="NGM52" s="16"/>
      <c r="NGN52" s="16"/>
      <c r="NGO52" s="16"/>
      <c r="NGP52" s="16"/>
      <c r="NGQ52" s="16"/>
      <c r="NGR52" s="16"/>
      <c r="NGS52" s="16"/>
      <c r="NGT52" s="16"/>
      <c r="NGU52" s="16"/>
      <c r="NGV52" s="16"/>
      <c r="NGW52" s="16"/>
      <c r="NGX52" s="16"/>
      <c r="NGY52" s="16"/>
      <c r="NGZ52" s="16"/>
      <c r="NHA52" s="16"/>
      <c r="NHB52" s="16"/>
      <c r="NHC52" s="16"/>
      <c r="NHD52" s="16"/>
      <c r="NHE52" s="16"/>
      <c r="NHF52" s="16"/>
      <c r="NHG52" s="16"/>
      <c r="NHH52" s="16"/>
      <c r="NHI52" s="16"/>
      <c r="NHJ52" s="16"/>
      <c r="NHK52" s="16"/>
      <c r="NHL52" s="16"/>
      <c r="NHM52" s="16"/>
      <c r="NHN52" s="16"/>
      <c r="NHO52" s="16"/>
      <c r="NHP52" s="16"/>
      <c r="NHQ52" s="16"/>
      <c r="NHR52" s="16"/>
      <c r="NHS52" s="16"/>
      <c r="NHT52" s="16"/>
      <c r="NHU52" s="16"/>
      <c r="NHV52" s="16"/>
      <c r="NHW52" s="16"/>
      <c r="NHX52" s="16"/>
      <c r="NHY52" s="16"/>
      <c r="NHZ52" s="16"/>
      <c r="NIA52" s="16"/>
      <c r="NIB52" s="16"/>
      <c r="NIC52" s="16"/>
      <c r="NID52" s="16"/>
      <c r="NIE52" s="16"/>
      <c r="NIF52" s="16"/>
      <c r="NIG52" s="16"/>
      <c r="NIH52" s="16"/>
      <c r="NII52" s="16"/>
      <c r="NIJ52" s="16"/>
      <c r="NIK52" s="16"/>
      <c r="NIL52" s="16"/>
      <c r="NIM52" s="16"/>
      <c r="NIN52" s="16"/>
      <c r="NIO52" s="16"/>
      <c r="NIP52" s="16"/>
      <c r="NIQ52" s="16"/>
      <c r="NIR52" s="16"/>
      <c r="NIS52" s="16"/>
      <c r="NIT52" s="16"/>
      <c r="NIU52" s="16"/>
      <c r="NIV52" s="16"/>
      <c r="NIW52" s="16"/>
      <c r="NIX52" s="16"/>
      <c r="NIY52" s="16"/>
      <c r="NIZ52" s="16"/>
      <c r="NJA52" s="16"/>
      <c r="NJB52" s="16"/>
      <c r="NJC52" s="16"/>
      <c r="NJD52" s="16"/>
      <c r="NJE52" s="16"/>
      <c r="NJF52" s="16"/>
      <c r="NJG52" s="16"/>
      <c r="NJH52" s="16"/>
      <c r="NJI52" s="16"/>
      <c r="NJJ52" s="16"/>
      <c r="NJK52" s="16"/>
      <c r="NJL52" s="16"/>
      <c r="NJM52" s="16"/>
      <c r="NJN52" s="16"/>
      <c r="NJO52" s="16"/>
      <c r="NJP52" s="16"/>
      <c r="NJQ52" s="16"/>
      <c r="NJR52" s="16"/>
      <c r="NJS52" s="16"/>
      <c r="NJT52" s="16"/>
      <c r="NJU52" s="16"/>
      <c r="NJV52" s="16"/>
      <c r="NJW52" s="16"/>
      <c r="NJX52" s="16"/>
      <c r="NJY52" s="16"/>
      <c r="NJZ52" s="16"/>
      <c r="NKA52" s="16"/>
      <c r="NKB52" s="16"/>
      <c r="NKC52" s="16"/>
      <c r="NKD52" s="16"/>
      <c r="NKE52" s="16"/>
      <c r="NKF52" s="16"/>
      <c r="NKG52" s="16"/>
      <c r="NKH52" s="16"/>
      <c r="NKI52" s="16"/>
      <c r="NKJ52" s="16"/>
      <c r="NKK52" s="16"/>
      <c r="NKL52" s="16"/>
      <c r="NKM52" s="16"/>
      <c r="NKN52" s="16"/>
      <c r="NKO52" s="16"/>
      <c r="NKP52" s="16"/>
      <c r="NKQ52" s="16"/>
      <c r="NKR52" s="16"/>
      <c r="NKS52" s="16"/>
      <c r="NKT52" s="16"/>
      <c r="NKU52" s="16"/>
      <c r="NKV52" s="16"/>
      <c r="NKW52" s="16"/>
      <c r="NKX52" s="16"/>
      <c r="NKY52" s="16"/>
      <c r="NKZ52" s="16"/>
      <c r="NLA52" s="16"/>
      <c r="NLB52" s="16"/>
      <c r="NLC52" s="16"/>
      <c r="NLD52" s="16"/>
      <c r="NLE52" s="16"/>
      <c r="NLF52" s="16"/>
      <c r="NLG52" s="16"/>
      <c r="NLH52" s="16"/>
      <c r="NLI52" s="16"/>
      <c r="NLJ52" s="16"/>
      <c r="NLK52" s="16"/>
      <c r="NLL52" s="16"/>
      <c r="NLM52" s="16"/>
      <c r="NLN52" s="16"/>
      <c r="NLO52" s="16"/>
      <c r="NLP52" s="16"/>
      <c r="NLQ52" s="16"/>
      <c r="NLR52" s="16"/>
      <c r="NLS52" s="16"/>
      <c r="NLT52" s="16"/>
      <c r="NLU52" s="16"/>
      <c r="NLV52" s="16"/>
      <c r="NLW52" s="16"/>
      <c r="NLX52" s="16"/>
      <c r="NLY52" s="16"/>
      <c r="NLZ52" s="16"/>
      <c r="NMA52" s="16"/>
      <c r="NMB52" s="16"/>
      <c r="NMC52" s="16"/>
      <c r="NMD52" s="16"/>
      <c r="NME52" s="16"/>
      <c r="NMF52" s="16"/>
      <c r="NMG52" s="16"/>
      <c r="NMH52" s="16"/>
      <c r="NMI52" s="16"/>
      <c r="NMJ52" s="16"/>
      <c r="NMK52" s="16"/>
      <c r="NML52" s="16"/>
      <c r="NMM52" s="16"/>
      <c r="NMN52" s="16"/>
      <c r="NMO52" s="16"/>
      <c r="NMP52" s="16"/>
      <c r="NMQ52" s="16"/>
      <c r="NMR52" s="16"/>
      <c r="NMS52" s="16"/>
      <c r="NMT52" s="16"/>
      <c r="NMU52" s="16"/>
      <c r="NMV52" s="16"/>
      <c r="NMW52" s="16"/>
      <c r="NMX52" s="16"/>
      <c r="NMY52" s="16"/>
      <c r="NMZ52" s="16"/>
      <c r="NNA52" s="16"/>
      <c r="NNB52" s="16"/>
      <c r="NNC52" s="16"/>
      <c r="NND52" s="16"/>
      <c r="NNE52" s="16"/>
      <c r="NNF52" s="16"/>
      <c r="NNG52" s="16"/>
      <c r="NNH52" s="16"/>
      <c r="NNI52" s="16"/>
      <c r="NNJ52" s="16"/>
      <c r="NNK52" s="16"/>
      <c r="NNL52" s="16"/>
      <c r="NNM52" s="16"/>
      <c r="NNN52" s="16"/>
      <c r="NNO52" s="16"/>
      <c r="NNP52" s="16"/>
      <c r="NNQ52" s="16"/>
      <c r="NNR52" s="16"/>
      <c r="NNS52" s="16"/>
      <c r="NNT52" s="16"/>
      <c r="NNU52" s="16"/>
      <c r="NNV52" s="16"/>
      <c r="NNW52" s="16"/>
      <c r="NNX52" s="16"/>
      <c r="NNY52" s="16"/>
      <c r="NNZ52" s="16"/>
      <c r="NOA52" s="16"/>
      <c r="NOB52" s="16"/>
      <c r="NOC52" s="16"/>
      <c r="NOD52" s="16"/>
      <c r="NOE52" s="16"/>
      <c r="NOF52" s="16"/>
      <c r="NOG52" s="16"/>
      <c r="NOH52" s="16"/>
      <c r="NOI52" s="16"/>
      <c r="NOJ52" s="16"/>
      <c r="NOK52" s="16"/>
      <c r="NOL52" s="16"/>
      <c r="NOM52" s="16"/>
      <c r="NON52" s="16"/>
      <c r="NOO52" s="16"/>
      <c r="NOP52" s="16"/>
      <c r="NOQ52" s="16"/>
      <c r="NOR52" s="16"/>
      <c r="NOS52" s="16"/>
      <c r="NOT52" s="16"/>
      <c r="NOU52" s="16"/>
      <c r="NOV52" s="16"/>
      <c r="NOW52" s="16"/>
      <c r="NOX52" s="16"/>
      <c r="NOY52" s="16"/>
      <c r="NOZ52" s="16"/>
      <c r="NPA52" s="16"/>
      <c r="NPB52" s="16"/>
      <c r="NPC52" s="16"/>
      <c r="NPD52" s="16"/>
      <c r="NPE52" s="16"/>
      <c r="NPF52" s="16"/>
      <c r="NPG52" s="16"/>
      <c r="NPH52" s="16"/>
      <c r="NPI52" s="16"/>
      <c r="NPJ52" s="16"/>
      <c r="NPK52" s="16"/>
      <c r="NPL52" s="16"/>
      <c r="NPM52" s="16"/>
      <c r="NPN52" s="16"/>
      <c r="NPO52" s="16"/>
      <c r="NPP52" s="16"/>
      <c r="NPQ52" s="16"/>
      <c r="NPR52" s="16"/>
      <c r="NPS52" s="16"/>
      <c r="NPT52" s="16"/>
      <c r="NPU52" s="16"/>
      <c r="NPV52" s="16"/>
      <c r="NPW52" s="16"/>
      <c r="NPX52" s="16"/>
      <c r="NPY52" s="16"/>
      <c r="NPZ52" s="16"/>
      <c r="NQA52" s="16"/>
      <c r="NQB52" s="16"/>
      <c r="NQC52" s="16"/>
      <c r="NQD52" s="16"/>
      <c r="NQE52" s="16"/>
      <c r="NQF52" s="16"/>
      <c r="NQG52" s="16"/>
      <c r="NQH52" s="16"/>
      <c r="NQI52" s="16"/>
      <c r="NQJ52" s="16"/>
      <c r="NQK52" s="16"/>
      <c r="NQL52" s="16"/>
      <c r="NQM52" s="16"/>
      <c r="NQN52" s="16"/>
      <c r="NQO52" s="16"/>
      <c r="NQP52" s="16"/>
      <c r="NQQ52" s="16"/>
      <c r="NQR52" s="16"/>
      <c r="NQS52" s="16"/>
      <c r="NQT52" s="16"/>
      <c r="NQU52" s="16"/>
      <c r="NQV52" s="16"/>
      <c r="NQW52" s="16"/>
      <c r="NQX52" s="16"/>
      <c r="NQY52" s="16"/>
      <c r="NQZ52" s="16"/>
      <c r="NRA52" s="16"/>
      <c r="NRB52" s="16"/>
      <c r="NRC52" s="16"/>
      <c r="NRD52" s="16"/>
      <c r="NRE52" s="16"/>
      <c r="NRF52" s="16"/>
      <c r="NRG52" s="16"/>
      <c r="NRH52" s="16"/>
      <c r="NRI52" s="16"/>
      <c r="NRJ52" s="16"/>
      <c r="NRK52" s="16"/>
      <c r="NRL52" s="16"/>
      <c r="NRM52" s="16"/>
      <c r="NRN52" s="16"/>
      <c r="NRO52" s="16"/>
      <c r="NRP52" s="16"/>
      <c r="NRQ52" s="16"/>
      <c r="NRR52" s="16"/>
      <c r="NRS52" s="16"/>
      <c r="NRT52" s="16"/>
      <c r="NRU52" s="16"/>
      <c r="NRV52" s="16"/>
      <c r="NRW52" s="16"/>
      <c r="NRX52" s="16"/>
      <c r="NRY52" s="16"/>
      <c r="NRZ52" s="16"/>
      <c r="NSA52" s="16"/>
      <c r="NSB52" s="16"/>
      <c r="NSC52" s="16"/>
      <c r="NSD52" s="16"/>
      <c r="NSE52" s="16"/>
      <c r="NSF52" s="16"/>
      <c r="NSG52" s="16"/>
      <c r="NSH52" s="16"/>
      <c r="NSI52" s="16"/>
      <c r="NSJ52" s="16"/>
      <c r="NSK52" s="16"/>
      <c r="NSL52" s="16"/>
      <c r="NSM52" s="16"/>
      <c r="NSN52" s="16"/>
      <c r="NSO52" s="16"/>
      <c r="NSP52" s="16"/>
      <c r="NSQ52" s="16"/>
      <c r="NSR52" s="16"/>
      <c r="NSS52" s="16"/>
      <c r="NST52" s="16"/>
      <c r="NSU52" s="16"/>
      <c r="NSV52" s="16"/>
      <c r="NSW52" s="16"/>
      <c r="NSX52" s="16"/>
      <c r="NSY52" s="16"/>
      <c r="NSZ52" s="16"/>
      <c r="NTA52" s="16"/>
      <c r="NTB52" s="16"/>
      <c r="NTC52" s="16"/>
      <c r="NTD52" s="16"/>
      <c r="NTE52" s="16"/>
      <c r="NTF52" s="16"/>
      <c r="NTG52" s="16"/>
      <c r="NTH52" s="16"/>
      <c r="NTI52" s="16"/>
      <c r="NTJ52" s="16"/>
      <c r="NTK52" s="16"/>
      <c r="NTL52" s="16"/>
      <c r="NTM52" s="16"/>
      <c r="NTN52" s="16"/>
      <c r="NTO52" s="16"/>
      <c r="NTP52" s="16"/>
      <c r="NTQ52" s="16"/>
      <c r="NTR52" s="16"/>
      <c r="NTS52" s="16"/>
      <c r="NTT52" s="16"/>
      <c r="NTU52" s="16"/>
      <c r="NTV52" s="16"/>
      <c r="NTW52" s="16"/>
      <c r="NTX52" s="16"/>
      <c r="NTY52" s="16"/>
      <c r="NTZ52" s="16"/>
      <c r="NUA52" s="16"/>
      <c r="NUB52" s="16"/>
      <c r="NUC52" s="16"/>
      <c r="NUD52" s="16"/>
      <c r="NUE52" s="16"/>
      <c r="NUF52" s="16"/>
      <c r="NUG52" s="16"/>
      <c r="NUH52" s="16"/>
      <c r="NUI52" s="16"/>
      <c r="NUJ52" s="16"/>
      <c r="NUK52" s="16"/>
      <c r="NUL52" s="16"/>
      <c r="NUM52" s="16"/>
      <c r="NUN52" s="16"/>
      <c r="NUO52" s="16"/>
      <c r="NUP52" s="16"/>
      <c r="NUQ52" s="16"/>
      <c r="NUR52" s="16"/>
      <c r="NUS52" s="16"/>
      <c r="NUT52" s="16"/>
      <c r="NUU52" s="16"/>
      <c r="NUV52" s="16"/>
      <c r="NUW52" s="16"/>
      <c r="NUX52" s="16"/>
      <c r="NUY52" s="16"/>
      <c r="NUZ52" s="16"/>
      <c r="NVA52" s="16"/>
      <c r="NVB52" s="16"/>
      <c r="NVC52" s="16"/>
      <c r="NVD52" s="16"/>
      <c r="NVE52" s="16"/>
      <c r="NVF52" s="16"/>
      <c r="NVG52" s="16"/>
      <c r="NVH52" s="16"/>
      <c r="NVI52" s="16"/>
      <c r="NVJ52" s="16"/>
      <c r="NVK52" s="16"/>
      <c r="NVL52" s="16"/>
      <c r="NVM52" s="16"/>
      <c r="NVN52" s="16"/>
      <c r="NVO52" s="16"/>
      <c r="NVP52" s="16"/>
      <c r="NVQ52" s="16"/>
      <c r="NVR52" s="16"/>
      <c r="NVS52" s="16"/>
      <c r="NVT52" s="16"/>
      <c r="NVU52" s="16"/>
      <c r="NVV52" s="16"/>
      <c r="NVW52" s="16"/>
      <c r="NVX52" s="16"/>
      <c r="NVY52" s="16"/>
      <c r="NVZ52" s="16"/>
      <c r="NWA52" s="16"/>
      <c r="NWB52" s="16"/>
      <c r="NWC52" s="16"/>
      <c r="NWD52" s="16"/>
      <c r="NWE52" s="16"/>
      <c r="NWF52" s="16"/>
      <c r="NWG52" s="16"/>
      <c r="NWH52" s="16"/>
      <c r="NWI52" s="16"/>
      <c r="NWJ52" s="16"/>
      <c r="NWK52" s="16"/>
      <c r="NWL52" s="16"/>
      <c r="NWM52" s="16"/>
      <c r="NWN52" s="16"/>
      <c r="NWO52" s="16"/>
      <c r="NWP52" s="16"/>
      <c r="NWQ52" s="16"/>
      <c r="NWR52" s="16"/>
      <c r="NWS52" s="16"/>
      <c r="NWT52" s="16"/>
      <c r="NWU52" s="16"/>
      <c r="NWV52" s="16"/>
      <c r="NWW52" s="16"/>
      <c r="NWX52" s="16"/>
      <c r="NWY52" s="16"/>
      <c r="NWZ52" s="16"/>
      <c r="NXA52" s="16"/>
      <c r="NXB52" s="16"/>
      <c r="NXC52" s="16"/>
      <c r="NXD52" s="16"/>
      <c r="NXE52" s="16"/>
      <c r="NXF52" s="16"/>
      <c r="NXG52" s="16"/>
      <c r="NXH52" s="16"/>
      <c r="NXI52" s="16"/>
      <c r="NXJ52" s="16"/>
      <c r="NXK52" s="16"/>
      <c r="NXL52" s="16"/>
      <c r="NXM52" s="16"/>
      <c r="NXN52" s="16"/>
      <c r="NXO52" s="16"/>
      <c r="NXP52" s="16"/>
      <c r="NXQ52" s="16"/>
      <c r="NXR52" s="16"/>
      <c r="NXS52" s="16"/>
      <c r="NXT52" s="16"/>
      <c r="NXU52" s="16"/>
      <c r="NXV52" s="16"/>
      <c r="NXW52" s="16"/>
      <c r="NXX52" s="16"/>
      <c r="NXY52" s="16"/>
      <c r="NXZ52" s="16"/>
      <c r="NYA52" s="16"/>
      <c r="NYB52" s="16"/>
      <c r="NYC52" s="16"/>
      <c r="NYD52" s="16"/>
      <c r="NYE52" s="16"/>
      <c r="NYF52" s="16"/>
      <c r="NYG52" s="16"/>
      <c r="NYH52" s="16"/>
      <c r="NYI52" s="16"/>
      <c r="NYJ52" s="16"/>
      <c r="NYK52" s="16"/>
      <c r="NYL52" s="16"/>
      <c r="NYM52" s="16"/>
      <c r="NYN52" s="16"/>
      <c r="NYO52" s="16"/>
      <c r="NYP52" s="16"/>
      <c r="NYQ52" s="16"/>
      <c r="NYR52" s="16"/>
      <c r="NYS52" s="16"/>
      <c r="NYT52" s="16"/>
      <c r="NYU52" s="16"/>
      <c r="NYV52" s="16"/>
      <c r="NYW52" s="16"/>
      <c r="NYX52" s="16"/>
      <c r="NYY52" s="16"/>
      <c r="NYZ52" s="16"/>
      <c r="NZA52" s="16"/>
      <c r="NZB52" s="16"/>
      <c r="NZC52" s="16"/>
      <c r="NZD52" s="16"/>
      <c r="NZE52" s="16"/>
      <c r="NZF52" s="16"/>
      <c r="NZG52" s="16"/>
      <c r="NZH52" s="16"/>
      <c r="NZI52" s="16"/>
      <c r="NZJ52" s="16"/>
      <c r="NZK52" s="16"/>
      <c r="NZL52" s="16"/>
      <c r="NZM52" s="16"/>
      <c r="NZN52" s="16"/>
      <c r="NZO52" s="16"/>
      <c r="NZP52" s="16"/>
      <c r="NZQ52" s="16"/>
      <c r="NZR52" s="16"/>
      <c r="NZS52" s="16"/>
      <c r="NZT52" s="16"/>
      <c r="NZU52" s="16"/>
      <c r="NZV52" s="16"/>
      <c r="NZW52" s="16"/>
      <c r="NZX52" s="16"/>
      <c r="NZY52" s="16"/>
      <c r="NZZ52" s="16"/>
      <c r="OAA52" s="16"/>
      <c r="OAB52" s="16"/>
      <c r="OAC52" s="16"/>
      <c r="OAD52" s="16"/>
      <c r="OAE52" s="16"/>
      <c r="OAF52" s="16"/>
      <c r="OAG52" s="16"/>
      <c r="OAH52" s="16"/>
      <c r="OAI52" s="16"/>
      <c r="OAJ52" s="16"/>
      <c r="OAK52" s="16"/>
      <c r="OAL52" s="16"/>
      <c r="OAM52" s="16"/>
      <c r="OAN52" s="16"/>
      <c r="OAO52" s="16"/>
      <c r="OAP52" s="16"/>
      <c r="OAQ52" s="16"/>
      <c r="OAR52" s="16"/>
      <c r="OAS52" s="16"/>
      <c r="OAT52" s="16"/>
      <c r="OAU52" s="16"/>
      <c r="OAV52" s="16"/>
      <c r="OAW52" s="16"/>
      <c r="OAX52" s="16"/>
      <c r="OAY52" s="16"/>
      <c r="OAZ52" s="16"/>
      <c r="OBA52" s="16"/>
      <c r="OBB52" s="16"/>
      <c r="OBC52" s="16"/>
      <c r="OBD52" s="16"/>
      <c r="OBE52" s="16"/>
      <c r="OBF52" s="16"/>
      <c r="OBG52" s="16"/>
      <c r="OBH52" s="16"/>
      <c r="OBI52" s="16"/>
      <c r="OBJ52" s="16"/>
      <c r="OBK52" s="16"/>
      <c r="OBL52" s="16"/>
      <c r="OBM52" s="16"/>
      <c r="OBN52" s="16"/>
      <c r="OBO52" s="16"/>
      <c r="OBP52" s="16"/>
      <c r="OBQ52" s="16"/>
      <c r="OBR52" s="16"/>
      <c r="OBS52" s="16"/>
      <c r="OBT52" s="16"/>
      <c r="OBU52" s="16"/>
      <c r="OBV52" s="16"/>
      <c r="OBW52" s="16"/>
      <c r="OBX52" s="16"/>
      <c r="OBY52" s="16"/>
      <c r="OBZ52" s="16"/>
      <c r="OCA52" s="16"/>
      <c r="OCB52" s="16"/>
      <c r="OCC52" s="16"/>
      <c r="OCD52" s="16"/>
      <c r="OCE52" s="16"/>
      <c r="OCF52" s="16"/>
      <c r="OCG52" s="16"/>
      <c r="OCH52" s="16"/>
      <c r="OCI52" s="16"/>
      <c r="OCJ52" s="16"/>
      <c r="OCK52" s="16"/>
      <c r="OCL52" s="16"/>
      <c r="OCM52" s="16"/>
      <c r="OCN52" s="16"/>
      <c r="OCO52" s="16"/>
      <c r="OCP52" s="16"/>
      <c r="OCQ52" s="16"/>
      <c r="OCR52" s="16"/>
      <c r="OCS52" s="16"/>
      <c r="OCT52" s="16"/>
      <c r="OCU52" s="16"/>
      <c r="OCV52" s="16"/>
      <c r="OCW52" s="16"/>
      <c r="OCX52" s="16"/>
      <c r="OCY52" s="16"/>
      <c r="OCZ52" s="16"/>
      <c r="ODA52" s="16"/>
      <c r="ODB52" s="16"/>
      <c r="ODC52" s="16"/>
      <c r="ODD52" s="16"/>
      <c r="ODE52" s="16"/>
      <c r="ODF52" s="16"/>
      <c r="ODG52" s="16"/>
      <c r="ODH52" s="16"/>
      <c r="ODI52" s="16"/>
      <c r="ODJ52" s="16"/>
      <c r="ODK52" s="16"/>
      <c r="ODL52" s="16"/>
      <c r="ODM52" s="16"/>
      <c r="ODN52" s="16"/>
      <c r="ODO52" s="16"/>
      <c r="ODP52" s="16"/>
      <c r="ODQ52" s="16"/>
      <c r="ODR52" s="16"/>
      <c r="ODS52" s="16"/>
      <c r="ODT52" s="16"/>
      <c r="ODU52" s="16"/>
      <c r="ODV52" s="16"/>
      <c r="ODW52" s="16"/>
      <c r="ODX52" s="16"/>
      <c r="ODY52" s="16"/>
      <c r="ODZ52" s="16"/>
      <c r="OEA52" s="16"/>
      <c r="OEB52" s="16"/>
      <c r="OEC52" s="16"/>
      <c r="OED52" s="16"/>
      <c r="OEE52" s="16"/>
      <c r="OEF52" s="16"/>
      <c r="OEG52" s="16"/>
      <c r="OEH52" s="16"/>
      <c r="OEI52" s="16"/>
      <c r="OEJ52" s="16"/>
      <c r="OEK52" s="16"/>
      <c r="OEL52" s="16"/>
      <c r="OEM52" s="16"/>
      <c r="OEN52" s="16"/>
      <c r="OEO52" s="16"/>
      <c r="OEP52" s="16"/>
      <c r="OEQ52" s="16"/>
      <c r="OER52" s="16"/>
      <c r="OES52" s="16"/>
      <c r="OET52" s="16"/>
      <c r="OEU52" s="16"/>
      <c r="OEV52" s="16"/>
      <c r="OEW52" s="16"/>
      <c r="OEX52" s="16"/>
      <c r="OEY52" s="16"/>
      <c r="OEZ52" s="16"/>
      <c r="OFA52" s="16"/>
      <c r="OFB52" s="16"/>
      <c r="OFC52" s="16"/>
      <c r="OFD52" s="16"/>
      <c r="OFE52" s="16"/>
      <c r="OFF52" s="16"/>
      <c r="OFG52" s="16"/>
      <c r="OFH52" s="16"/>
      <c r="OFI52" s="16"/>
      <c r="OFJ52" s="16"/>
      <c r="OFK52" s="16"/>
      <c r="OFL52" s="16"/>
      <c r="OFM52" s="16"/>
      <c r="OFN52" s="16"/>
      <c r="OFO52" s="16"/>
      <c r="OFP52" s="16"/>
      <c r="OFQ52" s="16"/>
      <c r="OFR52" s="16"/>
      <c r="OFS52" s="16"/>
      <c r="OFT52" s="16"/>
      <c r="OFU52" s="16"/>
      <c r="OFV52" s="16"/>
      <c r="OFW52" s="16"/>
      <c r="OFX52" s="16"/>
      <c r="OFY52" s="16"/>
      <c r="OFZ52" s="16"/>
      <c r="OGA52" s="16"/>
      <c r="OGB52" s="16"/>
      <c r="OGC52" s="16"/>
      <c r="OGD52" s="16"/>
      <c r="OGE52" s="16"/>
      <c r="OGF52" s="16"/>
      <c r="OGG52" s="16"/>
      <c r="OGH52" s="16"/>
      <c r="OGI52" s="16"/>
      <c r="OGJ52" s="16"/>
      <c r="OGK52" s="16"/>
      <c r="OGL52" s="16"/>
      <c r="OGM52" s="16"/>
      <c r="OGN52" s="16"/>
      <c r="OGO52" s="16"/>
      <c r="OGP52" s="16"/>
      <c r="OGQ52" s="16"/>
      <c r="OGR52" s="16"/>
      <c r="OGS52" s="16"/>
      <c r="OGT52" s="16"/>
      <c r="OGU52" s="16"/>
      <c r="OGV52" s="16"/>
      <c r="OGW52" s="16"/>
      <c r="OGX52" s="16"/>
      <c r="OGY52" s="16"/>
      <c r="OGZ52" s="16"/>
      <c r="OHA52" s="16"/>
      <c r="OHB52" s="16"/>
      <c r="OHC52" s="16"/>
      <c r="OHD52" s="16"/>
      <c r="OHE52" s="16"/>
      <c r="OHF52" s="16"/>
      <c r="OHG52" s="16"/>
      <c r="OHH52" s="16"/>
      <c r="OHI52" s="16"/>
      <c r="OHJ52" s="16"/>
      <c r="OHK52" s="16"/>
      <c r="OHL52" s="16"/>
      <c r="OHM52" s="16"/>
      <c r="OHN52" s="16"/>
      <c r="OHO52" s="16"/>
      <c r="OHP52" s="16"/>
      <c r="OHQ52" s="16"/>
      <c r="OHR52" s="16"/>
      <c r="OHS52" s="16"/>
      <c r="OHT52" s="16"/>
      <c r="OHU52" s="16"/>
      <c r="OHV52" s="16"/>
      <c r="OHW52" s="16"/>
      <c r="OHX52" s="16"/>
      <c r="OHY52" s="16"/>
      <c r="OHZ52" s="16"/>
      <c r="OIA52" s="16"/>
      <c r="OIB52" s="16"/>
      <c r="OIC52" s="16"/>
      <c r="OID52" s="16"/>
      <c r="OIE52" s="16"/>
      <c r="OIF52" s="16"/>
      <c r="OIG52" s="16"/>
      <c r="OIH52" s="16"/>
      <c r="OII52" s="16"/>
      <c r="OIJ52" s="16"/>
      <c r="OIK52" s="16"/>
      <c r="OIL52" s="16"/>
      <c r="OIM52" s="16"/>
      <c r="OIN52" s="16"/>
      <c r="OIO52" s="16"/>
      <c r="OIP52" s="16"/>
      <c r="OIQ52" s="16"/>
      <c r="OIR52" s="16"/>
      <c r="OIS52" s="16"/>
      <c r="OIT52" s="16"/>
      <c r="OIU52" s="16"/>
      <c r="OIV52" s="16"/>
      <c r="OIW52" s="16"/>
      <c r="OIX52" s="16"/>
      <c r="OIY52" s="16"/>
      <c r="OIZ52" s="16"/>
      <c r="OJA52" s="16"/>
      <c r="OJB52" s="16"/>
      <c r="OJC52" s="16"/>
      <c r="OJD52" s="16"/>
      <c r="OJE52" s="16"/>
      <c r="OJF52" s="16"/>
      <c r="OJG52" s="16"/>
      <c r="OJH52" s="16"/>
      <c r="OJI52" s="16"/>
      <c r="OJJ52" s="16"/>
      <c r="OJK52" s="16"/>
      <c r="OJL52" s="16"/>
      <c r="OJM52" s="16"/>
      <c r="OJN52" s="16"/>
      <c r="OJO52" s="16"/>
      <c r="OJP52" s="16"/>
      <c r="OJQ52" s="16"/>
      <c r="OJR52" s="16"/>
      <c r="OJS52" s="16"/>
      <c r="OJT52" s="16"/>
      <c r="OJU52" s="16"/>
      <c r="OJV52" s="16"/>
      <c r="OJW52" s="16"/>
      <c r="OJX52" s="16"/>
      <c r="OJY52" s="16"/>
      <c r="OJZ52" s="16"/>
      <c r="OKA52" s="16"/>
      <c r="OKB52" s="16"/>
      <c r="OKC52" s="16"/>
      <c r="OKD52" s="16"/>
      <c r="OKE52" s="16"/>
      <c r="OKF52" s="16"/>
      <c r="OKG52" s="16"/>
      <c r="OKH52" s="16"/>
      <c r="OKI52" s="16"/>
      <c r="OKJ52" s="16"/>
      <c r="OKK52" s="16"/>
      <c r="OKL52" s="16"/>
      <c r="OKM52" s="16"/>
      <c r="OKN52" s="16"/>
      <c r="OKO52" s="16"/>
      <c r="OKP52" s="16"/>
      <c r="OKQ52" s="16"/>
      <c r="OKR52" s="16"/>
      <c r="OKS52" s="16"/>
      <c r="OKT52" s="16"/>
      <c r="OKU52" s="16"/>
      <c r="OKV52" s="16"/>
      <c r="OKW52" s="16"/>
      <c r="OKX52" s="16"/>
      <c r="OKY52" s="16"/>
      <c r="OKZ52" s="16"/>
      <c r="OLA52" s="16"/>
      <c r="OLB52" s="16"/>
      <c r="OLC52" s="16"/>
      <c r="OLD52" s="16"/>
      <c r="OLE52" s="16"/>
      <c r="OLF52" s="16"/>
      <c r="OLG52" s="16"/>
      <c r="OLH52" s="16"/>
      <c r="OLI52" s="16"/>
      <c r="OLJ52" s="16"/>
      <c r="OLK52" s="16"/>
      <c r="OLL52" s="16"/>
      <c r="OLM52" s="16"/>
      <c r="OLN52" s="16"/>
      <c r="OLO52" s="16"/>
      <c r="OLP52" s="16"/>
      <c r="OLQ52" s="16"/>
      <c r="OLR52" s="16"/>
      <c r="OLS52" s="16"/>
      <c r="OLT52" s="16"/>
      <c r="OLU52" s="16"/>
      <c r="OLV52" s="16"/>
      <c r="OLW52" s="16"/>
      <c r="OLX52" s="16"/>
      <c r="OLY52" s="16"/>
      <c r="OLZ52" s="16"/>
      <c r="OMA52" s="16"/>
      <c r="OMB52" s="16"/>
      <c r="OMC52" s="16"/>
      <c r="OMD52" s="16"/>
      <c r="OME52" s="16"/>
      <c r="OMF52" s="16"/>
      <c r="OMG52" s="16"/>
      <c r="OMH52" s="16"/>
      <c r="OMI52" s="16"/>
      <c r="OMJ52" s="16"/>
      <c r="OMK52" s="16"/>
      <c r="OML52" s="16"/>
      <c r="OMM52" s="16"/>
      <c r="OMN52" s="16"/>
      <c r="OMO52" s="16"/>
      <c r="OMP52" s="16"/>
      <c r="OMQ52" s="16"/>
      <c r="OMR52" s="16"/>
      <c r="OMS52" s="16"/>
      <c r="OMT52" s="16"/>
      <c r="OMU52" s="16"/>
      <c r="OMV52" s="16"/>
      <c r="OMW52" s="16"/>
      <c r="OMX52" s="16"/>
      <c r="OMY52" s="16"/>
      <c r="OMZ52" s="16"/>
      <c r="ONA52" s="16"/>
      <c r="ONB52" s="16"/>
      <c r="ONC52" s="16"/>
      <c r="OND52" s="16"/>
      <c r="ONE52" s="16"/>
      <c r="ONF52" s="16"/>
      <c r="ONG52" s="16"/>
      <c r="ONH52" s="16"/>
      <c r="ONI52" s="16"/>
      <c r="ONJ52" s="16"/>
      <c r="ONK52" s="16"/>
      <c r="ONL52" s="16"/>
      <c r="ONM52" s="16"/>
      <c r="ONN52" s="16"/>
      <c r="ONO52" s="16"/>
      <c r="ONP52" s="16"/>
      <c r="ONQ52" s="16"/>
      <c r="ONR52" s="16"/>
      <c r="ONS52" s="16"/>
      <c r="ONT52" s="16"/>
      <c r="ONU52" s="16"/>
      <c r="ONV52" s="16"/>
      <c r="ONW52" s="16"/>
      <c r="ONX52" s="16"/>
      <c r="ONY52" s="16"/>
      <c r="ONZ52" s="16"/>
      <c r="OOA52" s="16"/>
      <c r="OOB52" s="16"/>
      <c r="OOC52" s="16"/>
      <c r="OOD52" s="16"/>
      <c r="OOE52" s="16"/>
      <c r="OOF52" s="16"/>
      <c r="OOG52" s="16"/>
      <c r="OOH52" s="16"/>
      <c r="OOI52" s="16"/>
      <c r="OOJ52" s="16"/>
      <c r="OOK52" s="16"/>
      <c r="OOL52" s="16"/>
      <c r="OOM52" s="16"/>
      <c r="OON52" s="16"/>
      <c r="OOO52" s="16"/>
      <c r="OOP52" s="16"/>
      <c r="OOQ52" s="16"/>
      <c r="OOR52" s="16"/>
      <c r="OOS52" s="16"/>
      <c r="OOT52" s="16"/>
      <c r="OOU52" s="16"/>
      <c r="OOV52" s="16"/>
      <c r="OOW52" s="16"/>
      <c r="OOX52" s="16"/>
      <c r="OOY52" s="16"/>
      <c r="OOZ52" s="16"/>
      <c r="OPA52" s="16"/>
      <c r="OPB52" s="16"/>
      <c r="OPC52" s="16"/>
      <c r="OPD52" s="16"/>
      <c r="OPE52" s="16"/>
      <c r="OPF52" s="16"/>
      <c r="OPG52" s="16"/>
      <c r="OPH52" s="16"/>
      <c r="OPI52" s="16"/>
      <c r="OPJ52" s="16"/>
      <c r="OPK52" s="16"/>
      <c r="OPL52" s="16"/>
      <c r="OPM52" s="16"/>
      <c r="OPN52" s="16"/>
      <c r="OPO52" s="16"/>
      <c r="OPP52" s="16"/>
      <c r="OPQ52" s="16"/>
      <c r="OPR52" s="16"/>
      <c r="OPS52" s="16"/>
      <c r="OPT52" s="16"/>
      <c r="OPU52" s="16"/>
      <c r="OPV52" s="16"/>
      <c r="OPW52" s="16"/>
      <c r="OPX52" s="16"/>
      <c r="OPY52" s="16"/>
      <c r="OPZ52" s="16"/>
      <c r="OQA52" s="16"/>
      <c r="OQB52" s="16"/>
      <c r="OQC52" s="16"/>
      <c r="OQD52" s="16"/>
      <c r="OQE52" s="16"/>
      <c r="OQF52" s="16"/>
      <c r="OQG52" s="16"/>
      <c r="OQH52" s="16"/>
      <c r="OQI52" s="16"/>
      <c r="OQJ52" s="16"/>
      <c r="OQK52" s="16"/>
      <c r="OQL52" s="16"/>
      <c r="OQM52" s="16"/>
      <c r="OQN52" s="16"/>
      <c r="OQO52" s="16"/>
      <c r="OQP52" s="16"/>
      <c r="OQQ52" s="16"/>
      <c r="OQR52" s="16"/>
      <c r="OQS52" s="16"/>
      <c r="OQT52" s="16"/>
      <c r="OQU52" s="16"/>
      <c r="OQV52" s="16"/>
      <c r="OQW52" s="16"/>
      <c r="OQX52" s="16"/>
      <c r="OQY52" s="16"/>
      <c r="OQZ52" s="16"/>
      <c r="ORA52" s="16"/>
      <c r="ORB52" s="16"/>
      <c r="ORC52" s="16"/>
      <c r="ORD52" s="16"/>
      <c r="ORE52" s="16"/>
      <c r="ORF52" s="16"/>
      <c r="ORG52" s="16"/>
      <c r="ORH52" s="16"/>
      <c r="ORI52" s="16"/>
      <c r="ORJ52" s="16"/>
      <c r="ORK52" s="16"/>
      <c r="ORL52" s="16"/>
      <c r="ORM52" s="16"/>
      <c r="ORN52" s="16"/>
      <c r="ORO52" s="16"/>
      <c r="ORP52" s="16"/>
      <c r="ORQ52" s="16"/>
      <c r="ORR52" s="16"/>
      <c r="ORS52" s="16"/>
      <c r="ORT52" s="16"/>
      <c r="ORU52" s="16"/>
      <c r="ORV52" s="16"/>
      <c r="ORW52" s="16"/>
      <c r="ORX52" s="16"/>
      <c r="ORY52" s="16"/>
      <c r="ORZ52" s="16"/>
      <c r="OSA52" s="16"/>
      <c r="OSB52" s="16"/>
      <c r="OSC52" s="16"/>
      <c r="OSD52" s="16"/>
      <c r="OSE52" s="16"/>
      <c r="OSF52" s="16"/>
      <c r="OSG52" s="16"/>
      <c r="OSH52" s="16"/>
      <c r="OSI52" s="16"/>
      <c r="OSJ52" s="16"/>
      <c r="OSK52" s="16"/>
      <c r="OSL52" s="16"/>
      <c r="OSM52" s="16"/>
      <c r="OSN52" s="16"/>
      <c r="OSO52" s="16"/>
      <c r="OSP52" s="16"/>
      <c r="OSQ52" s="16"/>
      <c r="OSR52" s="16"/>
      <c r="OSS52" s="16"/>
      <c r="OST52" s="16"/>
      <c r="OSU52" s="16"/>
      <c r="OSV52" s="16"/>
      <c r="OSW52" s="16"/>
      <c r="OSX52" s="16"/>
      <c r="OSY52" s="16"/>
      <c r="OSZ52" s="16"/>
      <c r="OTA52" s="16"/>
      <c r="OTB52" s="16"/>
      <c r="OTC52" s="16"/>
      <c r="OTD52" s="16"/>
      <c r="OTE52" s="16"/>
      <c r="OTF52" s="16"/>
      <c r="OTG52" s="16"/>
      <c r="OTH52" s="16"/>
      <c r="OTI52" s="16"/>
      <c r="OTJ52" s="16"/>
      <c r="OTK52" s="16"/>
      <c r="OTL52" s="16"/>
      <c r="OTM52" s="16"/>
      <c r="OTN52" s="16"/>
      <c r="OTO52" s="16"/>
      <c r="OTP52" s="16"/>
      <c r="OTQ52" s="16"/>
      <c r="OTR52" s="16"/>
      <c r="OTS52" s="16"/>
      <c r="OTT52" s="16"/>
      <c r="OTU52" s="16"/>
      <c r="OTV52" s="16"/>
      <c r="OTW52" s="16"/>
      <c r="OTX52" s="16"/>
      <c r="OTY52" s="16"/>
      <c r="OTZ52" s="16"/>
      <c r="OUA52" s="16"/>
      <c r="OUB52" s="16"/>
      <c r="OUC52" s="16"/>
      <c r="OUD52" s="16"/>
      <c r="OUE52" s="16"/>
      <c r="OUF52" s="16"/>
      <c r="OUG52" s="16"/>
      <c r="OUH52" s="16"/>
      <c r="OUI52" s="16"/>
      <c r="OUJ52" s="16"/>
      <c r="OUK52" s="16"/>
      <c r="OUL52" s="16"/>
      <c r="OUM52" s="16"/>
      <c r="OUN52" s="16"/>
      <c r="OUO52" s="16"/>
      <c r="OUP52" s="16"/>
      <c r="OUQ52" s="16"/>
      <c r="OUR52" s="16"/>
      <c r="OUS52" s="16"/>
      <c r="OUT52" s="16"/>
      <c r="OUU52" s="16"/>
      <c r="OUV52" s="16"/>
      <c r="OUW52" s="16"/>
      <c r="OUX52" s="16"/>
      <c r="OUY52" s="16"/>
      <c r="OUZ52" s="16"/>
      <c r="OVA52" s="16"/>
      <c r="OVB52" s="16"/>
      <c r="OVC52" s="16"/>
      <c r="OVD52" s="16"/>
      <c r="OVE52" s="16"/>
      <c r="OVF52" s="16"/>
      <c r="OVG52" s="16"/>
      <c r="OVH52" s="16"/>
      <c r="OVI52" s="16"/>
      <c r="OVJ52" s="16"/>
      <c r="OVK52" s="16"/>
      <c r="OVL52" s="16"/>
      <c r="OVM52" s="16"/>
      <c r="OVN52" s="16"/>
      <c r="OVO52" s="16"/>
      <c r="OVP52" s="16"/>
      <c r="OVQ52" s="16"/>
      <c r="OVR52" s="16"/>
      <c r="OVS52" s="16"/>
      <c r="OVT52" s="16"/>
      <c r="OVU52" s="16"/>
      <c r="OVV52" s="16"/>
      <c r="OVW52" s="16"/>
      <c r="OVX52" s="16"/>
      <c r="OVY52" s="16"/>
      <c r="OVZ52" s="16"/>
      <c r="OWA52" s="16"/>
      <c r="OWB52" s="16"/>
      <c r="OWC52" s="16"/>
      <c r="OWD52" s="16"/>
      <c r="OWE52" s="16"/>
      <c r="OWF52" s="16"/>
      <c r="OWG52" s="16"/>
      <c r="OWH52" s="16"/>
      <c r="OWI52" s="16"/>
      <c r="OWJ52" s="16"/>
      <c r="OWK52" s="16"/>
      <c r="OWL52" s="16"/>
      <c r="OWM52" s="16"/>
      <c r="OWN52" s="16"/>
      <c r="OWO52" s="16"/>
      <c r="OWP52" s="16"/>
      <c r="OWQ52" s="16"/>
      <c r="OWR52" s="16"/>
      <c r="OWS52" s="16"/>
      <c r="OWT52" s="16"/>
      <c r="OWU52" s="16"/>
      <c r="OWV52" s="16"/>
      <c r="OWW52" s="16"/>
      <c r="OWX52" s="16"/>
      <c r="OWY52" s="16"/>
      <c r="OWZ52" s="16"/>
      <c r="OXA52" s="16"/>
      <c r="OXB52" s="16"/>
      <c r="OXC52" s="16"/>
      <c r="OXD52" s="16"/>
      <c r="OXE52" s="16"/>
      <c r="OXF52" s="16"/>
      <c r="OXG52" s="16"/>
      <c r="OXH52" s="16"/>
      <c r="OXI52" s="16"/>
      <c r="OXJ52" s="16"/>
      <c r="OXK52" s="16"/>
      <c r="OXL52" s="16"/>
      <c r="OXM52" s="16"/>
      <c r="OXN52" s="16"/>
      <c r="OXO52" s="16"/>
      <c r="OXP52" s="16"/>
      <c r="OXQ52" s="16"/>
      <c r="OXR52" s="16"/>
      <c r="OXS52" s="16"/>
      <c r="OXT52" s="16"/>
      <c r="OXU52" s="16"/>
      <c r="OXV52" s="16"/>
      <c r="OXW52" s="16"/>
      <c r="OXX52" s="16"/>
      <c r="OXY52" s="16"/>
      <c r="OXZ52" s="16"/>
      <c r="OYA52" s="16"/>
      <c r="OYB52" s="16"/>
      <c r="OYC52" s="16"/>
      <c r="OYD52" s="16"/>
      <c r="OYE52" s="16"/>
      <c r="OYF52" s="16"/>
      <c r="OYG52" s="16"/>
      <c r="OYH52" s="16"/>
      <c r="OYI52" s="16"/>
      <c r="OYJ52" s="16"/>
      <c r="OYK52" s="16"/>
      <c r="OYL52" s="16"/>
      <c r="OYM52" s="16"/>
      <c r="OYN52" s="16"/>
      <c r="OYO52" s="16"/>
      <c r="OYP52" s="16"/>
      <c r="OYQ52" s="16"/>
      <c r="OYR52" s="16"/>
      <c r="OYS52" s="16"/>
      <c r="OYT52" s="16"/>
      <c r="OYU52" s="16"/>
      <c r="OYV52" s="16"/>
      <c r="OYW52" s="16"/>
      <c r="OYX52" s="16"/>
      <c r="OYY52" s="16"/>
      <c r="OYZ52" s="16"/>
      <c r="OZA52" s="16"/>
      <c r="OZB52" s="16"/>
      <c r="OZC52" s="16"/>
      <c r="OZD52" s="16"/>
      <c r="OZE52" s="16"/>
      <c r="OZF52" s="16"/>
      <c r="OZG52" s="16"/>
      <c r="OZH52" s="16"/>
      <c r="OZI52" s="16"/>
      <c r="OZJ52" s="16"/>
      <c r="OZK52" s="16"/>
      <c r="OZL52" s="16"/>
      <c r="OZM52" s="16"/>
      <c r="OZN52" s="16"/>
      <c r="OZO52" s="16"/>
      <c r="OZP52" s="16"/>
      <c r="OZQ52" s="16"/>
      <c r="OZR52" s="16"/>
      <c r="OZS52" s="16"/>
      <c r="OZT52" s="16"/>
      <c r="OZU52" s="16"/>
      <c r="OZV52" s="16"/>
      <c r="OZW52" s="16"/>
      <c r="OZX52" s="16"/>
      <c r="OZY52" s="16"/>
      <c r="OZZ52" s="16"/>
      <c r="PAA52" s="16"/>
      <c r="PAB52" s="16"/>
      <c r="PAC52" s="16"/>
      <c r="PAD52" s="16"/>
      <c r="PAE52" s="16"/>
      <c r="PAF52" s="16"/>
      <c r="PAG52" s="16"/>
      <c r="PAH52" s="16"/>
      <c r="PAI52" s="16"/>
      <c r="PAJ52" s="16"/>
      <c r="PAK52" s="16"/>
      <c r="PAL52" s="16"/>
      <c r="PAM52" s="16"/>
      <c r="PAN52" s="16"/>
      <c r="PAO52" s="16"/>
      <c r="PAP52" s="16"/>
      <c r="PAQ52" s="16"/>
      <c r="PAR52" s="16"/>
      <c r="PAS52" s="16"/>
      <c r="PAT52" s="16"/>
      <c r="PAU52" s="16"/>
      <c r="PAV52" s="16"/>
      <c r="PAW52" s="16"/>
      <c r="PAX52" s="16"/>
      <c r="PAY52" s="16"/>
      <c r="PAZ52" s="16"/>
      <c r="PBA52" s="16"/>
      <c r="PBB52" s="16"/>
      <c r="PBC52" s="16"/>
      <c r="PBD52" s="16"/>
      <c r="PBE52" s="16"/>
      <c r="PBF52" s="16"/>
      <c r="PBG52" s="16"/>
      <c r="PBH52" s="16"/>
      <c r="PBI52" s="16"/>
      <c r="PBJ52" s="16"/>
      <c r="PBK52" s="16"/>
      <c r="PBL52" s="16"/>
      <c r="PBM52" s="16"/>
      <c r="PBN52" s="16"/>
      <c r="PBO52" s="16"/>
      <c r="PBP52" s="16"/>
      <c r="PBQ52" s="16"/>
      <c r="PBR52" s="16"/>
      <c r="PBS52" s="16"/>
      <c r="PBT52" s="16"/>
      <c r="PBU52" s="16"/>
      <c r="PBV52" s="16"/>
      <c r="PBW52" s="16"/>
      <c r="PBX52" s="16"/>
      <c r="PBY52" s="16"/>
      <c r="PBZ52" s="16"/>
      <c r="PCA52" s="16"/>
      <c r="PCB52" s="16"/>
      <c r="PCC52" s="16"/>
      <c r="PCD52" s="16"/>
      <c r="PCE52" s="16"/>
      <c r="PCF52" s="16"/>
      <c r="PCG52" s="16"/>
      <c r="PCH52" s="16"/>
      <c r="PCI52" s="16"/>
      <c r="PCJ52" s="16"/>
      <c r="PCK52" s="16"/>
      <c r="PCL52" s="16"/>
      <c r="PCM52" s="16"/>
      <c r="PCN52" s="16"/>
      <c r="PCO52" s="16"/>
      <c r="PCP52" s="16"/>
      <c r="PCQ52" s="16"/>
      <c r="PCR52" s="16"/>
      <c r="PCS52" s="16"/>
      <c r="PCT52" s="16"/>
      <c r="PCU52" s="16"/>
      <c r="PCV52" s="16"/>
      <c r="PCW52" s="16"/>
      <c r="PCX52" s="16"/>
      <c r="PCY52" s="16"/>
      <c r="PCZ52" s="16"/>
      <c r="PDA52" s="16"/>
      <c r="PDB52" s="16"/>
      <c r="PDC52" s="16"/>
      <c r="PDD52" s="16"/>
      <c r="PDE52" s="16"/>
      <c r="PDF52" s="16"/>
      <c r="PDG52" s="16"/>
      <c r="PDH52" s="16"/>
      <c r="PDI52" s="16"/>
      <c r="PDJ52" s="16"/>
      <c r="PDK52" s="16"/>
      <c r="PDL52" s="16"/>
      <c r="PDM52" s="16"/>
      <c r="PDN52" s="16"/>
      <c r="PDO52" s="16"/>
      <c r="PDP52" s="16"/>
      <c r="PDQ52" s="16"/>
      <c r="PDR52" s="16"/>
      <c r="PDS52" s="16"/>
      <c r="PDT52" s="16"/>
      <c r="PDU52" s="16"/>
      <c r="PDV52" s="16"/>
      <c r="PDW52" s="16"/>
      <c r="PDX52" s="16"/>
      <c r="PDY52" s="16"/>
      <c r="PDZ52" s="16"/>
      <c r="PEA52" s="16"/>
      <c r="PEB52" s="16"/>
      <c r="PEC52" s="16"/>
      <c r="PED52" s="16"/>
      <c r="PEE52" s="16"/>
      <c r="PEF52" s="16"/>
      <c r="PEG52" s="16"/>
      <c r="PEH52" s="16"/>
      <c r="PEI52" s="16"/>
      <c r="PEJ52" s="16"/>
      <c r="PEK52" s="16"/>
      <c r="PEL52" s="16"/>
      <c r="PEM52" s="16"/>
      <c r="PEN52" s="16"/>
      <c r="PEO52" s="16"/>
      <c r="PEP52" s="16"/>
      <c r="PEQ52" s="16"/>
      <c r="PER52" s="16"/>
      <c r="PES52" s="16"/>
      <c r="PET52" s="16"/>
      <c r="PEU52" s="16"/>
      <c r="PEV52" s="16"/>
      <c r="PEW52" s="16"/>
      <c r="PEX52" s="16"/>
      <c r="PEY52" s="16"/>
      <c r="PEZ52" s="16"/>
      <c r="PFA52" s="16"/>
      <c r="PFB52" s="16"/>
      <c r="PFC52" s="16"/>
      <c r="PFD52" s="16"/>
      <c r="PFE52" s="16"/>
      <c r="PFF52" s="16"/>
      <c r="PFG52" s="16"/>
      <c r="PFH52" s="16"/>
      <c r="PFI52" s="16"/>
      <c r="PFJ52" s="16"/>
      <c r="PFK52" s="16"/>
      <c r="PFL52" s="16"/>
      <c r="PFM52" s="16"/>
      <c r="PFN52" s="16"/>
      <c r="PFO52" s="16"/>
      <c r="PFP52" s="16"/>
      <c r="PFQ52" s="16"/>
      <c r="PFR52" s="16"/>
      <c r="PFS52" s="16"/>
      <c r="PFT52" s="16"/>
      <c r="PFU52" s="16"/>
      <c r="PFV52" s="16"/>
      <c r="PFW52" s="16"/>
      <c r="PFX52" s="16"/>
      <c r="PFY52" s="16"/>
      <c r="PFZ52" s="16"/>
      <c r="PGA52" s="16"/>
      <c r="PGB52" s="16"/>
      <c r="PGC52" s="16"/>
      <c r="PGD52" s="16"/>
      <c r="PGE52" s="16"/>
      <c r="PGF52" s="16"/>
      <c r="PGG52" s="16"/>
      <c r="PGH52" s="16"/>
      <c r="PGI52" s="16"/>
      <c r="PGJ52" s="16"/>
      <c r="PGK52" s="16"/>
      <c r="PGL52" s="16"/>
      <c r="PGM52" s="16"/>
      <c r="PGN52" s="16"/>
      <c r="PGO52" s="16"/>
      <c r="PGP52" s="16"/>
      <c r="PGQ52" s="16"/>
      <c r="PGR52" s="16"/>
      <c r="PGS52" s="16"/>
      <c r="PGT52" s="16"/>
      <c r="PGU52" s="16"/>
      <c r="PGV52" s="16"/>
      <c r="PGW52" s="16"/>
      <c r="PGX52" s="16"/>
      <c r="PGY52" s="16"/>
      <c r="PGZ52" s="16"/>
      <c r="PHA52" s="16"/>
      <c r="PHB52" s="16"/>
      <c r="PHC52" s="16"/>
      <c r="PHD52" s="16"/>
      <c r="PHE52" s="16"/>
      <c r="PHF52" s="16"/>
      <c r="PHG52" s="16"/>
      <c r="PHH52" s="16"/>
      <c r="PHI52" s="16"/>
      <c r="PHJ52" s="16"/>
      <c r="PHK52" s="16"/>
      <c r="PHL52" s="16"/>
      <c r="PHM52" s="16"/>
      <c r="PHN52" s="16"/>
      <c r="PHO52" s="16"/>
      <c r="PHP52" s="16"/>
      <c r="PHQ52" s="16"/>
      <c r="PHR52" s="16"/>
      <c r="PHS52" s="16"/>
      <c r="PHT52" s="16"/>
      <c r="PHU52" s="16"/>
      <c r="PHV52" s="16"/>
      <c r="PHW52" s="16"/>
      <c r="PHX52" s="16"/>
      <c r="PHY52" s="16"/>
      <c r="PHZ52" s="16"/>
      <c r="PIA52" s="16"/>
      <c r="PIB52" s="16"/>
      <c r="PIC52" s="16"/>
      <c r="PID52" s="16"/>
      <c r="PIE52" s="16"/>
      <c r="PIF52" s="16"/>
      <c r="PIG52" s="16"/>
      <c r="PIH52" s="16"/>
      <c r="PII52" s="16"/>
      <c r="PIJ52" s="16"/>
      <c r="PIK52" s="16"/>
      <c r="PIL52" s="16"/>
      <c r="PIM52" s="16"/>
      <c r="PIN52" s="16"/>
      <c r="PIO52" s="16"/>
      <c r="PIP52" s="16"/>
      <c r="PIQ52" s="16"/>
      <c r="PIR52" s="16"/>
      <c r="PIS52" s="16"/>
      <c r="PIT52" s="16"/>
      <c r="PIU52" s="16"/>
      <c r="PIV52" s="16"/>
      <c r="PIW52" s="16"/>
      <c r="PIX52" s="16"/>
      <c r="PIY52" s="16"/>
      <c r="PIZ52" s="16"/>
      <c r="PJA52" s="16"/>
      <c r="PJB52" s="16"/>
      <c r="PJC52" s="16"/>
      <c r="PJD52" s="16"/>
      <c r="PJE52" s="16"/>
      <c r="PJF52" s="16"/>
      <c r="PJG52" s="16"/>
      <c r="PJH52" s="16"/>
      <c r="PJI52" s="16"/>
      <c r="PJJ52" s="16"/>
      <c r="PJK52" s="16"/>
      <c r="PJL52" s="16"/>
      <c r="PJM52" s="16"/>
      <c r="PJN52" s="16"/>
      <c r="PJO52" s="16"/>
      <c r="PJP52" s="16"/>
      <c r="PJQ52" s="16"/>
      <c r="PJR52" s="16"/>
      <c r="PJS52" s="16"/>
      <c r="PJT52" s="16"/>
      <c r="PJU52" s="16"/>
      <c r="PJV52" s="16"/>
      <c r="PJW52" s="16"/>
      <c r="PJX52" s="16"/>
      <c r="PJY52" s="16"/>
      <c r="PJZ52" s="16"/>
      <c r="PKA52" s="16"/>
      <c r="PKB52" s="16"/>
      <c r="PKC52" s="16"/>
      <c r="PKD52" s="16"/>
      <c r="PKE52" s="16"/>
      <c r="PKF52" s="16"/>
      <c r="PKG52" s="16"/>
      <c r="PKH52" s="16"/>
      <c r="PKI52" s="16"/>
      <c r="PKJ52" s="16"/>
      <c r="PKK52" s="16"/>
      <c r="PKL52" s="16"/>
      <c r="PKM52" s="16"/>
      <c r="PKN52" s="16"/>
      <c r="PKO52" s="16"/>
      <c r="PKP52" s="16"/>
      <c r="PKQ52" s="16"/>
      <c r="PKR52" s="16"/>
      <c r="PKS52" s="16"/>
      <c r="PKT52" s="16"/>
      <c r="PKU52" s="16"/>
      <c r="PKV52" s="16"/>
      <c r="PKW52" s="16"/>
      <c r="PKX52" s="16"/>
      <c r="PKY52" s="16"/>
      <c r="PKZ52" s="16"/>
      <c r="PLA52" s="16"/>
      <c r="PLB52" s="16"/>
      <c r="PLC52" s="16"/>
      <c r="PLD52" s="16"/>
      <c r="PLE52" s="16"/>
      <c r="PLF52" s="16"/>
      <c r="PLG52" s="16"/>
      <c r="PLH52" s="16"/>
      <c r="PLI52" s="16"/>
      <c r="PLJ52" s="16"/>
      <c r="PLK52" s="16"/>
      <c r="PLL52" s="16"/>
      <c r="PLM52" s="16"/>
      <c r="PLN52" s="16"/>
      <c r="PLO52" s="16"/>
      <c r="PLP52" s="16"/>
      <c r="PLQ52" s="16"/>
      <c r="PLR52" s="16"/>
      <c r="PLS52" s="16"/>
      <c r="PLT52" s="16"/>
      <c r="PLU52" s="16"/>
      <c r="PLV52" s="16"/>
      <c r="PLW52" s="16"/>
      <c r="PLX52" s="16"/>
      <c r="PLY52" s="16"/>
      <c r="PLZ52" s="16"/>
      <c r="PMA52" s="16"/>
      <c r="PMB52" s="16"/>
      <c r="PMC52" s="16"/>
      <c r="PMD52" s="16"/>
      <c r="PME52" s="16"/>
      <c r="PMF52" s="16"/>
      <c r="PMG52" s="16"/>
      <c r="PMH52" s="16"/>
      <c r="PMI52" s="16"/>
      <c r="PMJ52" s="16"/>
      <c r="PMK52" s="16"/>
      <c r="PML52" s="16"/>
      <c r="PMM52" s="16"/>
      <c r="PMN52" s="16"/>
      <c r="PMO52" s="16"/>
      <c r="PMP52" s="16"/>
      <c r="PMQ52" s="16"/>
      <c r="PMR52" s="16"/>
      <c r="PMS52" s="16"/>
      <c r="PMT52" s="16"/>
      <c r="PMU52" s="16"/>
      <c r="PMV52" s="16"/>
      <c r="PMW52" s="16"/>
      <c r="PMX52" s="16"/>
      <c r="PMY52" s="16"/>
      <c r="PMZ52" s="16"/>
      <c r="PNA52" s="16"/>
      <c r="PNB52" s="16"/>
      <c r="PNC52" s="16"/>
      <c r="PND52" s="16"/>
      <c r="PNE52" s="16"/>
      <c r="PNF52" s="16"/>
      <c r="PNG52" s="16"/>
      <c r="PNH52" s="16"/>
      <c r="PNI52" s="16"/>
      <c r="PNJ52" s="16"/>
      <c r="PNK52" s="16"/>
      <c r="PNL52" s="16"/>
      <c r="PNM52" s="16"/>
      <c r="PNN52" s="16"/>
      <c r="PNO52" s="16"/>
      <c r="PNP52" s="16"/>
      <c r="PNQ52" s="16"/>
      <c r="PNR52" s="16"/>
      <c r="PNS52" s="16"/>
      <c r="PNT52" s="16"/>
      <c r="PNU52" s="16"/>
      <c r="PNV52" s="16"/>
      <c r="PNW52" s="16"/>
      <c r="PNX52" s="16"/>
      <c r="PNY52" s="16"/>
      <c r="PNZ52" s="16"/>
      <c r="POA52" s="16"/>
      <c r="POB52" s="16"/>
      <c r="POC52" s="16"/>
      <c r="POD52" s="16"/>
      <c r="POE52" s="16"/>
      <c r="POF52" s="16"/>
      <c r="POG52" s="16"/>
      <c r="POH52" s="16"/>
      <c r="POI52" s="16"/>
      <c r="POJ52" s="16"/>
      <c r="POK52" s="16"/>
      <c r="POL52" s="16"/>
      <c r="POM52" s="16"/>
      <c r="PON52" s="16"/>
      <c r="POO52" s="16"/>
      <c r="POP52" s="16"/>
      <c r="POQ52" s="16"/>
      <c r="POR52" s="16"/>
      <c r="POS52" s="16"/>
      <c r="POT52" s="16"/>
      <c r="POU52" s="16"/>
      <c r="POV52" s="16"/>
      <c r="POW52" s="16"/>
      <c r="POX52" s="16"/>
      <c r="POY52" s="16"/>
      <c r="POZ52" s="16"/>
      <c r="PPA52" s="16"/>
      <c r="PPB52" s="16"/>
      <c r="PPC52" s="16"/>
      <c r="PPD52" s="16"/>
      <c r="PPE52" s="16"/>
      <c r="PPF52" s="16"/>
      <c r="PPG52" s="16"/>
      <c r="PPH52" s="16"/>
      <c r="PPI52" s="16"/>
      <c r="PPJ52" s="16"/>
      <c r="PPK52" s="16"/>
      <c r="PPL52" s="16"/>
      <c r="PPM52" s="16"/>
      <c r="PPN52" s="16"/>
      <c r="PPO52" s="16"/>
      <c r="PPP52" s="16"/>
      <c r="PPQ52" s="16"/>
      <c r="PPR52" s="16"/>
      <c r="PPS52" s="16"/>
      <c r="PPT52" s="16"/>
      <c r="PPU52" s="16"/>
      <c r="PPV52" s="16"/>
      <c r="PPW52" s="16"/>
      <c r="PPX52" s="16"/>
      <c r="PPY52" s="16"/>
      <c r="PPZ52" s="16"/>
      <c r="PQA52" s="16"/>
      <c r="PQB52" s="16"/>
      <c r="PQC52" s="16"/>
      <c r="PQD52" s="16"/>
      <c r="PQE52" s="16"/>
      <c r="PQF52" s="16"/>
      <c r="PQG52" s="16"/>
      <c r="PQH52" s="16"/>
      <c r="PQI52" s="16"/>
      <c r="PQJ52" s="16"/>
      <c r="PQK52" s="16"/>
      <c r="PQL52" s="16"/>
      <c r="PQM52" s="16"/>
      <c r="PQN52" s="16"/>
      <c r="PQO52" s="16"/>
      <c r="PQP52" s="16"/>
      <c r="PQQ52" s="16"/>
      <c r="PQR52" s="16"/>
      <c r="PQS52" s="16"/>
      <c r="PQT52" s="16"/>
      <c r="PQU52" s="16"/>
      <c r="PQV52" s="16"/>
      <c r="PQW52" s="16"/>
      <c r="PQX52" s="16"/>
      <c r="PQY52" s="16"/>
      <c r="PQZ52" s="16"/>
      <c r="PRA52" s="16"/>
      <c r="PRB52" s="16"/>
      <c r="PRC52" s="16"/>
      <c r="PRD52" s="16"/>
      <c r="PRE52" s="16"/>
      <c r="PRF52" s="16"/>
      <c r="PRG52" s="16"/>
      <c r="PRH52" s="16"/>
      <c r="PRI52" s="16"/>
      <c r="PRJ52" s="16"/>
      <c r="PRK52" s="16"/>
      <c r="PRL52" s="16"/>
      <c r="PRM52" s="16"/>
      <c r="PRN52" s="16"/>
      <c r="PRO52" s="16"/>
      <c r="PRP52" s="16"/>
      <c r="PRQ52" s="16"/>
      <c r="PRR52" s="16"/>
      <c r="PRS52" s="16"/>
      <c r="PRT52" s="16"/>
      <c r="PRU52" s="16"/>
      <c r="PRV52" s="16"/>
      <c r="PRW52" s="16"/>
      <c r="PRX52" s="16"/>
      <c r="PRY52" s="16"/>
      <c r="PRZ52" s="16"/>
      <c r="PSA52" s="16"/>
      <c r="PSB52" s="16"/>
      <c r="PSC52" s="16"/>
      <c r="PSD52" s="16"/>
      <c r="PSE52" s="16"/>
      <c r="PSF52" s="16"/>
      <c r="PSG52" s="16"/>
      <c r="PSH52" s="16"/>
      <c r="PSI52" s="16"/>
      <c r="PSJ52" s="16"/>
      <c r="PSK52" s="16"/>
      <c r="PSL52" s="16"/>
      <c r="PSM52" s="16"/>
      <c r="PSN52" s="16"/>
      <c r="PSO52" s="16"/>
      <c r="PSP52" s="16"/>
      <c r="PSQ52" s="16"/>
      <c r="PSR52" s="16"/>
      <c r="PSS52" s="16"/>
      <c r="PST52" s="16"/>
      <c r="PSU52" s="16"/>
      <c r="PSV52" s="16"/>
      <c r="PSW52" s="16"/>
      <c r="PSX52" s="16"/>
      <c r="PSY52" s="16"/>
      <c r="PSZ52" s="16"/>
      <c r="PTA52" s="16"/>
      <c r="PTB52" s="16"/>
      <c r="PTC52" s="16"/>
      <c r="PTD52" s="16"/>
      <c r="PTE52" s="16"/>
      <c r="PTF52" s="16"/>
      <c r="PTG52" s="16"/>
      <c r="PTH52" s="16"/>
      <c r="PTI52" s="16"/>
      <c r="PTJ52" s="16"/>
      <c r="PTK52" s="16"/>
      <c r="PTL52" s="16"/>
      <c r="PTM52" s="16"/>
      <c r="PTN52" s="16"/>
      <c r="PTO52" s="16"/>
      <c r="PTP52" s="16"/>
      <c r="PTQ52" s="16"/>
      <c r="PTR52" s="16"/>
      <c r="PTS52" s="16"/>
      <c r="PTT52" s="16"/>
      <c r="PTU52" s="16"/>
      <c r="PTV52" s="16"/>
      <c r="PTW52" s="16"/>
      <c r="PTX52" s="16"/>
      <c r="PTY52" s="16"/>
      <c r="PTZ52" s="16"/>
      <c r="PUA52" s="16"/>
      <c r="PUB52" s="16"/>
      <c r="PUC52" s="16"/>
      <c r="PUD52" s="16"/>
      <c r="PUE52" s="16"/>
      <c r="PUF52" s="16"/>
      <c r="PUG52" s="16"/>
      <c r="PUH52" s="16"/>
      <c r="PUI52" s="16"/>
      <c r="PUJ52" s="16"/>
      <c r="PUK52" s="16"/>
      <c r="PUL52" s="16"/>
      <c r="PUM52" s="16"/>
      <c r="PUN52" s="16"/>
      <c r="PUO52" s="16"/>
      <c r="PUP52" s="16"/>
      <c r="PUQ52" s="16"/>
      <c r="PUR52" s="16"/>
      <c r="PUS52" s="16"/>
      <c r="PUT52" s="16"/>
      <c r="PUU52" s="16"/>
      <c r="PUV52" s="16"/>
      <c r="PUW52" s="16"/>
      <c r="PUX52" s="16"/>
      <c r="PUY52" s="16"/>
      <c r="PUZ52" s="16"/>
      <c r="PVA52" s="16"/>
      <c r="PVB52" s="16"/>
      <c r="PVC52" s="16"/>
      <c r="PVD52" s="16"/>
      <c r="PVE52" s="16"/>
      <c r="PVF52" s="16"/>
      <c r="PVG52" s="16"/>
      <c r="PVH52" s="16"/>
      <c r="PVI52" s="16"/>
      <c r="PVJ52" s="16"/>
      <c r="PVK52" s="16"/>
      <c r="PVL52" s="16"/>
      <c r="PVM52" s="16"/>
      <c r="PVN52" s="16"/>
      <c r="PVO52" s="16"/>
      <c r="PVP52" s="16"/>
      <c r="PVQ52" s="16"/>
      <c r="PVR52" s="16"/>
      <c r="PVS52" s="16"/>
      <c r="PVT52" s="16"/>
      <c r="PVU52" s="16"/>
      <c r="PVV52" s="16"/>
      <c r="PVW52" s="16"/>
      <c r="PVX52" s="16"/>
      <c r="PVY52" s="16"/>
      <c r="PVZ52" s="16"/>
      <c r="PWA52" s="16"/>
      <c r="PWB52" s="16"/>
      <c r="PWC52" s="16"/>
      <c r="PWD52" s="16"/>
      <c r="PWE52" s="16"/>
      <c r="PWF52" s="16"/>
      <c r="PWG52" s="16"/>
      <c r="PWH52" s="16"/>
      <c r="PWI52" s="16"/>
      <c r="PWJ52" s="16"/>
      <c r="PWK52" s="16"/>
      <c r="PWL52" s="16"/>
      <c r="PWM52" s="16"/>
      <c r="PWN52" s="16"/>
      <c r="PWO52" s="16"/>
      <c r="PWP52" s="16"/>
      <c r="PWQ52" s="16"/>
      <c r="PWR52" s="16"/>
      <c r="PWS52" s="16"/>
      <c r="PWT52" s="16"/>
      <c r="PWU52" s="16"/>
      <c r="PWV52" s="16"/>
      <c r="PWW52" s="16"/>
      <c r="PWX52" s="16"/>
      <c r="PWY52" s="16"/>
      <c r="PWZ52" s="16"/>
      <c r="PXA52" s="16"/>
      <c r="PXB52" s="16"/>
      <c r="PXC52" s="16"/>
      <c r="PXD52" s="16"/>
      <c r="PXE52" s="16"/>
      <c r="PXF52" s="16"/>
      <c r="PXG52" s="16"/>
      <c r="PXH52" s="16"/>
      <c r="PXI52" s="16"/>
      <c r="PXJ52" s="16"/>
      <c r="PXK52" s="16"/>
      <c r="PXL52" s="16"/>
      <c r="PXM52" s="16"/>
      <c r="PXN52" s="16"/>
      <c r="PXO52" s="16"/>
      <c r="PXP52" s="16"/>
      <c r="PXQ52" s="16"/>
      <c r="PXR52" s="16"/>
      <c r="PXS52" s="16"/>
      <c r="PXT52" s="16"/>
      <c r="PXU52" s="16"/>
      <c r="PXV52" s="16"/>
      <c r="PXW52" s="16"/>
      <c r="PXX52" s="16"/>
      <c r="PXY52" s="16"/>
      <c r="PXZ52" s="16"/>
      <c r="PYA52" s="16"/>
      <c r="PYB52" s="16"/>
      <c r="PYC52" s="16"/>
      <c r="PYD52" s="16"/>
      <c r="PYE52" s="16"/>
      <c r="PYF52" s="16"/>
      <c r="PYG52" s="16"/>
      <c r="PYH52" s="16"/>
      <c r="PYI52" s="16"/>
      <c r="PYJ52" s="16"/>
      <c r="PYK52" s="16"/>
      <c r="PYL52" s="16"/>
      <c r="PYM52" s="16"/>
      <c r="PYN52" s="16"/>
      <c r="PYO52" s="16"/>
      <c r="PYP52" s="16"/>
      <c r="PYQ52" s="16"/>
      <c r="PYR52" s="16"/>
      <c r="PYS52" s="16"/>
      <c r="PYT52" s="16"/>
      <c r="PYU52" s="16"/>
      <c r="PYV52" s="16"/>
      <c r="PYW52" s="16"/>
      <c r="PYX52" s="16"/>
      <c r="PYY52" s="16"/>
      <c r="PYZ52" s="16"/>
      <c r="PZA52" s="16"/>
      <c r="PZB52" s="16"/>
      <c r="PZC52" s="16"/>
      <c r="PZD52" s="16"/>
      <c r="PZE52" s="16"/>
      <c r="PZF52" s="16"/>
      <c r="PZG52" s="16"/>
      <c r="PZH52" s="16"/>
      <c r="PZI52" s="16"/>
      <c r="PZJ52" s="16"/>
      <c r="PZK52" s="16"/>
      <c r="PZL52" s="16"/>
      <c r="PZM52" s="16"/>
      <c r="PZN52" s="16"/>
      <c r="PZO52" s="16"/>
      <c r="PZP52" s="16"/>
      <c r="PZQ52" s="16"/>
      <c r="PZR52" s="16"/>
      <c r="PZS52" s="16"/>
      <c r="PZT52" s="16"/>
      <c r="PZU52" s="16"/>
      <c r="PZV52" s="16"/>
      <c r="PZW52" s="16"/>
      <c r="PZX52" s="16"/>
      <c r="PZY52" s="16"/>
      <c r="PZZ52" s="16"/>
      <c r="QAA52" s="16"/>
      <c r="QAB52" s="16"/>
      <c r="QAC52" s="16"/>
      <c r="QAD52" s="16"/>
      <c r="QAE52" s="16"/>
      <c r="QAF52" s="16"/>
      <c r="QAG52" s="16"/>
      <c r="QAH52" s="16"/>
      <c r="QAI52" s="16"/>
      <c r="QAJ52" s="16"/>
      <c r="QAK52" s="16"/>
      <c r="QAL52" s="16"/>
      <c r="QAM52" s="16"/>
      <c r="QAN52" s="16"/>
      <c r="QAO52" s="16"/>
      <c r="QAP52" s="16"/>
      <c r="QAQ52" s="16"/>
      <c r="QAR52" s="16"/>
      <c r="QAS52" s="16"/>
      <c r="QAT52" s="16"/>
      <c r="QAU52" s="16"/>
      <c r="QAV52" s="16"/>
      <c r="QAW52" s="16"/>
      <c r="QAX52" s="16"/>
      <c r="QAY52" s="16"/>
      <c r="QAZ52" s="16"/>
      <c r="QBA52" s="16"/>
      <c r="QBB52" s="16"/>
      <c r="QBC52" s="16"/>
      <c r="QBD52" s="16"/>
      <c r="QBE52" s="16"/>
      <c r="QBF52" s="16"/>
      <c r="QBG52" s="16"/>
      <c r="QBH52" s="16"/>
      <c r="QBI52" s="16"/>
      <c r="QBJ52" s="16"/>
      <c r="QBK52" s="16"/>
      <c r="QBL52" s="16"/>
      <c r="QBM52" s="16"/>
      <c r="QBN52" s="16"/>
      <c r="QBO52" s="16"/>
      <c r="QBP52" s="16"/>
      <c r="QBQ52" s="16"/>
      <c r="QBR52" s="16"/>
      <c r="QBS52" s="16"/>
      <c r="QBT52" s="16"/>
      <c r="QBU52" s="16"/>
      <c r="QBV52" s="16"/>
      <c r="QBW52" s="16"/>
      <c r="QBX52" s="16"/>
      <c r="QBY52" s="16"/>
      <c r="QBZ52" s="16"/>
      <c r="QCA52" s="16"/>
      <c r="QCB52" s="16"/>
      <c r="QCC52" s="16"/>
      <c r="QCD52" s="16"/>
      <c r="QCE52" s="16"/>
      <c r="QCF52" s="16"/>
      <c r="QCG52" s="16"/>
      <c r="QCH52" s="16"/>
      <c r="QCI52" s="16"/>
      <c r="QCJ52" s="16"/>
      <c r="QCK52" s="16"/>
      <c r="QCL52" s="16"/>
      <c r="QCM52" s="16"/>
      <c r="QCN52" s="16"/>
      <c r="QCO52" s="16"/>
      <c r="QCP52" s="16"/>
      <c r="QCQ52" s="16"/>
      <c r="QCR52" s="16"/>
      <c r="QCS52" s="16"/>
      <c r="QCT52" s="16"/>
      <c r="QCU52" s="16"/>
      <c r="QCV52" s="16"/>
      <c r="QCW52" s="16"/>
      <c r="QCX52" s="16"/>
      <c r="QCY52" s="16"/>
      <c r="QCZ52" s="16"/>
      <c r="QDA52" s="16"/>
      <c r="QDB52" s="16"/>
      <c r="QDC52" s="16"/>
      <c r="QDD52" s="16"/>
      <c r="QDE52" s="16"/>
      <c r="QDF52" s="16"/>
      <c r="QDG52" s="16"/>
      <c r="QDH52" s="16"/>
      <c r="QDI52" s="16"/>
      <c r="QDJ52" s="16"/>
      <c r="QDK52" s="16"/>
      <c r="QDL52" s="16"/>
      <c r="QDM52" s="16"/>
      <c r="QDN52" s="16"/>
      <c r="QDO52" s="16"/>
      <c r="QDP52" s="16"/>
      <c r="QDQ52" s="16"/>
      <c r="QDR52" s="16"/>
      <c r="QDS52" s="16"/>
      <c r="QDT52" s="16"/>
      <c r="QDU52" s="16"/>
      <c r="QDV52" s="16"/>
      <c r="QDW52" s="16"/>
      <c r="QDX52" s="16"/>
      <c r="QDY52" s="16"/>
      <c r="QDZ52" s="16"/>
      <c r="QEA52" s="16"/>
      <c r="QEB52" s="16"/>
      <c r="QEC52" s="16"/>
      <c r="QED52" s="16"/>
      <c r="QEE52" s="16"/>
      <c r="QEF52" s="16"/>
      <c r="QEG52" s="16"/>
      <c r="QEH52" s="16"/>
      <c r="QEI52" s="16"/>
      <c r="QEJ52" s="16"/>
      <c r="QEK52" s="16"/>
      <c r="QEL52" s="16"/>
      <c r="QEM52" s="16"/>
      <c r="QEN52" s="16"/>
      <c r="QEO52" s="16"/>
      <c r="QEP52" s="16"/>
      <c r="QEQ52" s="16"/>
      <c r="QER52" s="16"/>
      <c r="QES52" s="16"/>
      <c r="QET52" s="16"/>
      <c r="QEU52" s="16"/>
      <c r="QEV52" s="16"/>
      <c r="QEW52" s="16"/>
      <c r="QEX52" s="16"/>
      <c r="QEY52" s="16"/>
      <c r="QEZ52" s="16"/>
      <c r="QFA52" s="16"/>
      <c r="QFB52" s="16"/>
      <c r="QFC52" s="16"/>
      <c r="QFD52" s="16"/>
      <c r="QFE52" s="16"/>
      <c r="QFF52" s="16"/>
      <c r="QFG52" s="16"/>
      <c r="QFH52" s="16"/>
      <c r="QFI52" s="16"/>
      <c r="QFJ52" s="16"/>
      <c r="QFK52" s="16"/>
      <c r="QFL52" s="16"/>
      <c r="QFM52" s="16"/>
      <c r="QFN52" s="16"/>
      <c r="QFO52" s="16"/>
      <c r="QFP52" s="16"/>
      <c r="QFQ52" s="16"/>
      <c r="QFR52" s="16"/>
      <c r="QFS52" s="16"/>
      <c r="QFT52" s="16"/>
      <c r="QFU52" s="16"/>
      <c r="QFV52" s="16"/>
      <c r="QFW52" s="16"/>
      <c r="QFX52" s="16"/>
      <c r="QFY52" s="16"/>
      <c r="QFZ52" s="16"/>
      <c r="QGA52" s="16"/>
      <c r="QGB52" s="16"/>
      <c r="QGC52" s="16"/>
      <c r="QGD52" s="16"/>
      <c r="QGE52" s="16"/>
      <c r="QGF52" s="16"/>
      <c r="QGG52" s="16"/>
      <c r="QGH52" s="16"/>
      <c r="QGI52" s="16"/>
      <c r="QGJ52" s="16"/>
      <c r="QGK52" s="16"/>
      <c r="QGL52" s="16"/>
      <c r="QGM52" s="16"/>
      <c r="QGN52" s="16"/>
      <c r="QGO52" s="16"/>
      <c r="QGP52" s="16"/>
      <c r="QGQ52" s="16"/>
      <c r="QGR52" s="16"/>
      <c r="QGS52" s="16"/>
      <c r="QGT52" s="16"/>
      <c r="QGU52" s="16"/>
      <c r="QGV52" s="16"/>
      <c r="QGW52" s="16"/>
      <c r="QGX52" s="16"/>
      <c r="QGY52" s="16"/>
      <c r="QGZ52" s="16"/>
      <c r="QHA52" s="16"/>
      <c r="QHB52" s="16"/>
      <c r="QHC52" s="16"/>
      <c r="QHD52" s="16"/>
      <c r="QHE52" s="16"/>
      <c r="QHF52" s="16"/>
      <c r="QHG52" s="16"/>
      <c r="QHH52" s="16"/>
      <c r="QHI52" s="16"/>
      <c r="QHJ52" s="16"/>
      <c r="QHK52" s="16"/>
      <c r="QHL52" s="16"/>
      <c r="QHM52" s="16"/>
      <c r="QHN52" s="16"/>
      <c r="QHO52" s="16"/>
      <c r="QHP52" s="16"/>
      <c r="QHQ52" s="16"/>
      <c r="QHR52" s="16"/>
      <c r="QHS52" s="16"/>
      <c r="QHT52" s="16"/>
      <c r="QHU52" s="16"/>
      <c r="QHV52" s="16"/>
      <c r="QHW52" s="16"/>
      <c r="QHX52" s="16"/>
      <c r="QHY52" s="16"/>
      <c r="QHZ52" s="16"/>
      <c r="QIA52" s="16"/>
      <c r="QIB52" s="16"/>
      <c r="QIC52" s="16"/>
      <c r="QID52" s="16"/>
      <c r="QIE52" s="16"/>
      <c r="QIF52" s="16"/>
      <c r="QIG52" s="16"/>
      <c r="QIH52" s="16"/>
      <c r="QII52" s="16"/>
      <c r="QIJ52" s="16"/>
      <c r="QIK52" s="16"/>
      <c r="QIL52" s="16"/>
      <c r="QIM52" s="16"/>
      <c r="QIN52" s="16"/>
      <c r="QIO52" s="16"/>
      <c r="QIP52" s="16"/>
      <c r="QIQ52" s="16"/>
      <c r="QIR52" s="16"/>
      <c r="QIS52" s="16"/>
      <c r="QIT52" s="16"/>
      <c r="QIU52" s="16"/>
      <c r="QIV52" s="16"/>
      <c r="QIW52" s="16"/>
      <c r="QIX52" s="16"/>
      <c r="QIY52" s="16"/>
      <c r="QIZ52" s="16"/>
      <c r="QJA52" s="16"/>
      <c r="QJB52" s="16"/>
      <c r="QJC52" s="16"/>
      <c r="QJD52" s="16"/>
      <c r="QJE52" s="16"/>
      <c r="QJF52" s="16"/>
      <c r="QJG52" s="16"/>
      <c r="QJH52" s="16"/>
      <c r="QJI52" s="16"/>
      <c r="QJJ52" s="16"/>
      <c r="QJK52" s="16"/>
      <c r="QJL52" s="16"/>
      <c r="QJM52" s="16"/>
      <c r="QJN52" s="16"/>
      <c r="QJO52" s="16"/>
      <c r="QJP52" s="16"/>
      <c r="QJQ52" s="16"/>
      <c r="QJR52" s="16"/>
      <c r="QJS52" s="16"/>
      <c r="QJT52" s="16"/>
      <c r="QJU52" s="16"/>
      <c r="QJV52" s="16"/>
      <c r="QJW52" s="16"/>
      <c r="QJX52" s="16"/>
      <c r="QJY52" s="16"/>
      <c r="QJZ52" s="16"/>
      <c r="QKA52" s="16"/>
      <c r="QKB52" s="16"/>
      <c r="QKC52" s="16"/>
      <c r="QKD52" s="16"/>
      <c r="QKE52" s="16"/>
      <c r="QKF52" s="16"/>
      <c r="QKG52" s="16"/>
      <c r="QKH52" s="16"/>
      <c r="QKI52" s="16"/>
      <c r="QKJ52" s="16"/>
      <c r="QKK52" s="16"/>
      <c r="QKL52" s="16"/>
      <c r="QKM52" s="16"/>
      <c r="QKN52" s="16"/>
      <c r="QKO52" s="16"/>
      <c r="QKP52" s="16"/>
      <c r="QKQ52" s="16"/>
      <c r="QKR52" s="16"/>
      <c r="QKS52" s="16"/>
      <c r="QKT52" s="16"/>
      <c r="QKU52" s="16"/>
      <c r="QKV52" s="16"/>
      <c r="QKW52" s="16"/>
      <c r="QKX52" s="16"/>
      <c r="QKY52" s="16"/>
      <c r="QKZ52" s="16"/>
      <c r="QLA52" s="16"/>
      <c r="QLB52" s="16"/>
      <c r="QLC52" s="16"/>
      <c r="QLD52" s="16"/>
      <c r="QLE52" s="16"/>
      <c r="QLF52" s="16"/>
      <c r="QLG52" s="16"/>
      <c r="QLH52" s="16"/>
      <c r="QLI52" s="16"/>
      <c r="QLJ52" s="16"/>
      <c r="QLK52" s="16"/>
      <c r="QLL52" s="16"/>
      <c r="QLM52" s="16"/>
      <c r="QLN52" s="16"/>
      <c r="QLO52" s="16"/>
      <c r="QLP52" s="16"/>
      <c r="QLQ52" s="16"/>
      <c r="QLR52" s="16"/>
      <c r="QLS52" s="16"/>
      <c r="QLT52" s="16"/>
      <c r="QLU52" s="16"/>
      <c r="QLV52" s="16"/>
      <c r="QLW52" s="16"/>
      <c r="QLX52" s="16"/>
      <c r="QLY52" s="16"/>
      <c r="QLZ52" s="16"/>
      <c r="QMA52" s="16"/>
      <c r="QMB52" s="16"/>
      <c r="QMC52" s="16"/>
      <c r="QMD52" s="16"/>
      <c r="QME52" s="16"/>
      <c r="QMF52" s="16"/>
      <c r="QMG52" s="16"/>
      <c r="QMH52" s="16"/>
      <c r="QMI52" s="16"/>
      <c r="QMJ52" s="16"/>
      <c r="QMK52" s="16"/>
      <c r="QML52" s="16"/>
      <c r="QMM52" s="16"/>
      <c r="QMN52" s="16"/>
      <c r="QMO52" s="16"/>
      <c r="QMP52" s="16"/>
      <c r="QMQ52" s="16"/>
      <c r="QMR52" s="16"/>
      <c r="QMS52" s="16"/>
      <c r="QMT52" s="16"/>
      <c r="QMU52" s="16"/>
      <c r="QMV52" s="16"/>
      <c r="QMW52" s="16"/>
      <c r="QMX52" s="16"/>
      <c r="QMY52" s="16"/>
      <c r="QMZ52" s="16"/>
      <c r="QNA52" s="16"/>
      <c r="QNB52" s="16"/>
      <c r="QNC52" s="16"/>
      <c r="QND52" s="16"/>
      <c r="QNE52" s="16"/>
      <c r="QNF52" s="16"/>
      <c r="QNG52" s="16"/>
      <c r="QNH52" s="16"/>
      <c r="QNI52" s="16"/>
      <c r="QNJ52" s="16"/>
      <c r="QNK52" s="16"/>
      <c r="QNL52" s="16"/>
      <c r="QNM52" s="16"/>
      <c r="QNN52" s="16"/>
      <c r="QNO52" s="16"/>
      <c r="QNP52" s="16"/>
      <c r="QNQ52" s="16"/>
      <c r="QNR52" s="16"/>
      <c r="QNS52" s="16"/>
      <c r="QNT52" s="16"/>
      <c r="QNU52" s="16"/>
      <c r="QNV52" s="16"/>
      <c r="QNW52" s="16"/>
      <c r="QNX52" s="16"/>
      <c r="QNY52" s="16"/>
      <c r="QNZ52" s="16"/>
      <c r="QOA52" s="16"/>
      <c r="QOB52" s="16"/>
      <c r="QOC52" s="16"/>
      <c r="QOD52" s="16"/>
      <c r="QOE52" s="16"/>
      <c r="QOF52" s="16"/>
      <c r="QOG52" s="16"/>
      <c r="QOH52" s="16"/>
      <c r="QOI52" s="16"/>
      <c r="QOJ52" s="16"/>
      <c r="QOK52" s="16"/>
      <c r="QOL52" s="16"/>
      <c r="QOM52" s="16"/>
      <c r="QON52" s="16"/>
      <c r="QOO52" s="16"/>
      <c r="QOP52" s="16"/>
      <c r="QOQ52" s="16"/>
      <c r="QOR52" s="16"/>
      <c r="QOS52" s="16"/>
      <c r="QOT52" s="16"/>
      <c r="QOU52" s="16"/>
      <c r="QOV52" s="16"/>
      <c r="QOW52" s="16"/>
      <c r="QOX52" s="16"/>
      <c r="QOY52" s="16"/>
      <c r="QOZ52" s="16"/>
      <c r="QPA52" s="16"/>
      <c r="QPB52" s="16"/>
      <c r="QPC52" s="16"/>
      <c r="QPD52" s="16"/>
      <c r="QPE52" s="16"/>
      <c r="QPF52" s="16"/>
      <c r="QPG52" s="16"/>
      <c r="QPH52" s="16"/>
      <c r="QPI52" s="16"/>
      <c r="QPJ52" s="16"/>
      <c r="QPK52" s="16"/>
      <c r="QPL52" s="16"/>
      <c r="QPM52" s="16"/>
      <c r="QPN52" s="16"/>
      <c r="QPO52" s="16"/>
      <c r="QPP52" s="16"/>
      <c r="QPQ52" s="16"/>
      <c r="QPR52" s="16"/>
      <c r="QPS52" s="16"/>
      <c r="QPT52" s="16"/>
      <c r="QPU52" s="16"/>
      <c r="QPV52" s="16"/>
      <c r="QPW52" s="16"/>
      <c r="QPX52" s="16"/>
      <c r="QPY52" s="16"/>
      <c r="QPZ52" s="16"/>
      <c r="QQA52" s="16"/>
      <c r="QQB52" s="16"/>
      <c r="QQC52" s="16"/>
      <c r="QQD52" s="16"/>
      <c r="QQE52" s="16"/>
      <c r="QQF52" s="16"/>
      <c r="QQG52" s="16"/>
      <c r="QQH52" s="16"/>
      <c r="QQI52" s="16"/>
      <c r="QQJ52" s="16"/>
      <c r="QQK52" s="16"/>
      <c r="QQL52" s="16"/>
      <c r="QQM52" s="16"/>
      <c r="QQN52" s="16"/>
      <c r="QQO52" s="16"/>
      <c r="QQP52" s="16"/>
      <c r="QQQ52" s="16"/>
      <c r="QQR52" s="16"/>
      <c r="QQS52" s="16"/>
      <c r="QQT52" s="16"/>
      <c r="QQU52" s="16"/>
      <c r="QQV52" s="16"/>
      <c r="QQW52" s="16"/>
      <c r="QQX52" s="16"/>
      <c r="QQY52" s="16"/>
      <c r="QQZ52" s="16"/>
      <c r="QRA52" s="16"/>
      <c r="QRB52" s="16"/>
      <c r="QRC52" s="16"/>
      <c r="QRD52" s="16"/>
      <c r="QRE52" s="16"/>
      <c r="QRF52" s="16"/>
      <c r="QRG52" s="16"/>
      <c r="QRH52" s="16"/>
      <c r="QRI52" s="16"/>
      <c r="QRJ52" s="16"/>
      <c r="QRK52" s="16"/>
      <c r="QRL52" s="16"/>
      <c r="QRM52" s="16"/>
      <c r="QRN52" s="16"/>
      <c r="QRO52" s="16"/>
      <c r="QRP52" s="16"/>
      <c r="QRQ52" s="16"/>
      <c r="QRR52" s="16"/>
      <c r="QRS52" s="16"/>
      <c r="QRT52" s="16"/>
      <c r="QRU52" s="16"/>
      <c r="QRV52" s="16"/>
      <c r="QRW52" s="16"/>
      <c r="QRX52" s="16"/>
      <c r="QRY52" s="16"/>
      <c r="QRZ52" s="16"/>
      <c r="QSA52" s="16"/>
      <c r="QSB52" s="16"/>
      <c r="QSC52" s="16"/>
      <c r="QSD52" s="16"/>
      <c r="QSE52" s="16"/>
      <c r="QSF52" s="16"/>
      <c r="QSG52" s="16"/>
      <c r="QSH52" s="16"/>
      <c r="QSI52" s="16"/>
      <c r="QSJ52" s="16"/>
      <c r="QSK52" s="16"/>
      <c r="QSL52" s="16"/>
      <c r="QSM52" s="16"/>
      <c r="QSN52" s="16"/>
      <c r="QSO52" s="16"/>
      <c r="QSP52" s="16"/>
      <c r="QSQ52" s="16"/>
      <c r="QSR52" s="16"/>
      <c r="QSS52" s="16"/>
      <c r="QST52" s="16"/>
      <c r="QSU52" s="16"/>
      <c r="QSV52" s="16"/>
      <c r="QSW52" s="16"/>
      <c r="QSX52" s="16"/>
      <c r="QSY52" s="16"/>
      <c r="QSZ52" s="16"/>
      <c r="QTA52" s="16"/>
      <c r="QTB52" s="16"/>
      <c r="QTC52" s="16"/>
      <c r="QTD52" s="16"/>
      <c r="QTE52" s="16"/>
      <c r="QTF52" s="16"/>
      <c r="QTG52" s="16"/>
      <c r="QTH52" s="16"/>
      <c r="QTI52" s="16"/>
      <c r="QTJ52" s="16"/>
      <c r="QTK52" s="16"/>
      <c r="QTL52" s="16"/>
      <c r="QTM52" s="16"/>
      <c r="QTN52" s="16"/>
      <c r="QTO52" s="16"/>
      <c r="QTP52" s="16"/>
      <c r="QTQ52" s="16"/>
      <c r="QTR52" s="16"/>
      <c r="QTS52" s="16"/>
      <c r="QTT52" s="16"/>
      <c r="QTU52" s="16"/>
      <c r="QTV52" s="16"/>
      <c r="QTW52" s="16"/>
      <c r="QTX52" s="16"/>
      <c r="QTY52" s="16"/>
      <c r="QTZ52" s="16"/>
      <c r="QUA52" s="16"/>
      <c r="QUB52" s="16"/>
      <c r="QUC52" s="16"/>
      <c r="QUD52" s="16"/>
      <c r="QUE52" s="16"/>
      <c r="QUF52" s="16"/>
      <c r="QUG52" s="16"/>
      <c r="QUH52" s="16"/>
      <c r="QUI52" s="16"/>
      <c r="QUJ52" s="16"/>
      <c r="QUK52" s="16"/>
      <c r="QUL52" s="16"/>
      <c r="QUM52" s="16"/>
      <c r="QUN52" s="16"/>
      <c r="QUO52" s="16"/>
      <c r="QUP52" s="16"/>
      <c r="QUQ52" s="16"/>
      <c r="QUR52" s="16"/>
      <c r="QUS52" s="16"/>
      <c r="QUT52" s="16"/>
      <c r="QUU52" s="16"/>
      <c r="QUV52" s="16"/>
      <c r="QUW52" s="16"/>
      <c r="QUX52" s="16"/>
      <c r="QUY52" s="16"/>
      <c r="QUZ52" s="16"/>
      <c r="QVA52" s="16"/>
      <c r="QVB52" s="16"/>
      <c r="QVC52" s="16"/>
      <c r="QVD52" s="16"/>
      <c r="QVE52" s="16"/>
      <c r="QVF52" s="16"/>
      <c r="QVG52" s="16"/>
      <c r="QVH52" s="16"/>
      <c r="QVI52" s="16"/>
      <c r="QVJ52" s="16"/>
      <c r="QVK52" s="16"/>
      <c r="QVL52" s="16"/>
      <c r="QVM52" s="16"/>
      <c r="QVN52" s="16"/>
      <c r="QVO52" s="16"/>
      <c r="QVP52" s="16"/>
      <c r="QVQ52" s="16"/>
      <c r="QVR52" s="16"/>
      <c r="QVS52" s="16"/>
      <c r="QVT52" s="16"/>
      <c r="QVU52" s="16"/>
      <c r="QVV52" s="16"/>
      <c r="QVW52" s="16"/>
      <c r="QVX52" s="16"/>
      <c r="QVY52" s="16"/>
      <c r="QVZ52" s="16"/>
      <c r="QWA52" s="16"/>
      <c r="QWB52" s="16"/>
      <c r="QWC52" s="16"/>
      <c r="QWD52" s="16"/>
      <c r="QWE52" s="16"/>
      <c r="QWF52" s="16"/>
      <c r="QWG52" s="16"/>
      <c r="QWH52" s="16"/>
      <c r="QWI52" s="16"/>
      <c r="QWJ52" s="16"/>
      <c r="QWK52" s="16"/>
      <c r="QWL52" s="16"/>
      <c r="QWM52" s="16"/>
      <c r="QWN52" s="16"/>
      <c r="QWO52" s="16"/>
      <c r="QWP52" s="16"/>
      <c r="QWQ52" s="16"/>
      <c r="QWR52" s="16"/>
      <c r="QWS52" s="16"/>
      <c r="QWT52" s="16"/>
      <c r="QWU52" s="16"/>
      <c r="QWV52" s="16"/>
      <c r="QWW52" s="16"/>
      <c r="QWX52" s="16"/>
      <c r="QWY52" s="16"/>
      <c r="QWZ52" s="16"/>
      <c r="QXA52" s="16"/>
      <c r="QXB52" s="16"/>
      <c r="QXC52" s="16"/>
      <c r="QXD52" s="16"/>
      <c r="QXE52" s="16"/>
      <c r="QXF52" s="16"/>
      <c r="QXG52" s="16"/>
      <c r="QXH52" s="16"/>
      <c r="QXI52" s="16"/>
      <c r="QXJ52" s="16"/>
      <c r="QXK52" s="16"/>
      <c r="QXL52" s="16"/>
      <c r="QXM52" s="16"/>
      <c r="QXN52" s="16"/>
      <c r="QXO52" s="16"/>
      <c r="QXP52" s="16"/>
      <c r="QXQ52" s="16"/>
      <c r="QXR52" s="16"/>
      <c r="QXS52" s="16"/>
      <c r="QXT52" s="16"/>
      <c r="QXU52" s="16"/>
      <c r="QXV52" s="16"/>
      <c r="QXW52" s="16"/>
      <c r="QXX52" s="16"/>
      <c r="QXY52" s="16"/>
      <c r="QXZ52" s="16"/>
      <c r="QYA52" s="16"/>
      <c r="QYB52" s="16"/>
      <c r="QYC52" s="16"/>
      <c r="QYD52" s="16"/>
      <c r="QYE52" s="16"/>
      <c r="QYF52" s="16"/>
      <c r="QYG52" s="16"/>
      <c r="QYH52" s="16"/>
      <c r="QYI52" s="16"/>
      <c r="QYJ52" s="16"/>
      <c r="QYK52" s="16"/>
      <c r="QYL52" s="16"/>
      <c r="QYM52" s="16"/>
      <c r="QYN52" s="16"/>
      <c r="QYO52" s="16"/>
      <c r="QYP52" s="16"/>
      <c r="QYQ52" s="16"/>
      <c r="QYR52" s="16"/>
      <c r="QYS52" s="16"/>
      <c r="QYT52" s="16"/>
      <c r="QYU52" s="16"/>
      <c r="QYV52" s="16"/>
      <c r="QYW52" s="16"/>
      <c r="QYX52" s="16"/>
      <c r="QYY52" s="16"/>
      <c r="QYZ52" s="16"/>
      <c r="QZA52" s="16"/>
      <c r="QZB52" s="16"/>
      <c r="QZC52" s="16"/>
      <c r="QZD52" s="16"/>
      <c r="QZE52" s="16"/>
      <c r="QZF52" s="16"/>
      <c r="QZG52" s="16"/>
      <c r="QZH52" s="16"/>
      <c r="QZI52" s="16"/>
      <c r="QZJ52" s="16"/>
      <c r="QZK52" s="16"/>
      <c r="QZL52" s="16"/>
      <c r="QZM52" s="16"/>
      <c r="QZN52" s="16"/>
      <c r="QZO52" s="16"/>
      <c r="QZP52" s="16"/>
      <c r="QZQ52" s="16"/>
      <c r="QZR52" s="16"/>
      <c r="QZS52" s="16"/>
      <c r="QZT52" s="16"/>
      <c r="QZU52" s="16"/>
      <c r="QZV52" s="16"/>
      <c r="QZW52" s="16"/>
      <c r="QZX52" s="16"/>
      <c r="QZY52" s="16"/>
      <c r="QZZ52" s="16"/>
      <c r="RAA52" s="16"/>
      <c r="RAB52" s="16"/>
      <c r="RAC52" s="16"/>
      <c r="RAD52" s="16"/>
      <c r="RAE52" s="16"/>
      <c r="RAF52" s="16"/>
      <c r="RAG52" s="16"/>
      <c r="RAH52" s="16"/>
      <c r="RAI52" s="16"/>
      <c r="RAJ52" s="16"/>
      <c r="RAK52" s="16"/>
      <c r="RAL52" s="16"/>
      <c r="RAM52" s="16"/>
      <c r="RAN52" s="16"/>
      <c r="RAO52" s="16"/>
      <c r="RAP52" s="16"/>
      <c r="RAQ52" s="16"/>
      <c r="RAR52" s="16"/>
      <c r="RAS52" s="16"/>
      <c r="RAT52" s="16"/>
      <c r="RAU52" s="16"/>
      <c r="RAV52" s="16"/>
      <c r="RAW52" s="16"/>
      <c r="RAX52" s="16"/>
      <c r="RAY52" s="16"/>
      <c r="RAZ52" s="16"/>
      <c r="RBA52" s="16"/>
      <c r="RBB52" s="16"/>
      <c r="RBC52" s="16"/>
      <c r="RBD52" s="16"/>
      <c r="RBE52" s="16"/>
      <c r="RBF52" s="16"/>
      <c r="RBG52" s="16"/>
      <c r="RBH52" s="16"/>
      <c r="RBI52" s="16"/>
      <c r="RBJ52" s="16"/>
      <c r="RBK52" s="16"/>
      <c r="RBL52" s="16"/>
      <c r="RBM52" s="16"/>
      <c r="RBN52" s="16"/>
      <c r="RBO52" s="16"/>
      <c r="RBP52" s="16"/>
      <c r="RBQ52" s="16"/>
      <c r="RBR52" s="16"/>
      <c r="RBS52" s="16"/>
      <c r="RBT52" s="16"/>
      <c r="RBU52" s="16"/>
      <c r="RBV52" s="16"/>
      <c r="RBW52" s="16"/>
      <c r="RBX52" s="16"/>
      <c r="RBY52" s="16"/>
      <c r="RBZ52" s="16"/>
      <c r="RCA52" s="16"/>
      <c r="RCB52" s="16"/>
      <c r="RCC52" s="16"/>
      <c r="RCD52" s="16"/>
      <c r="RCE52" s="16"/>
      <c r="RCF52" s="16"/>
      <c r="RCG52" s="16"/>
      <c r="RCH52" s="16"/>
      <c r="RCI52" s="16"/>
      <c r="RCJ52" s="16"/>
      <c r="RCK52" s="16"/>
      <c r="RCL52" s="16"/>
      <c r="RCM52" s="16"/>
      <c r="RCN52" s="16"/>
      <c r="RCO52" s="16"/>
      <c r="RCP52" s="16"/>
      <c r="RCQ52" s="16"/>
      <c r="RCR52" s="16"/>
      <c r="RCS52" s="16"/>
      <c r="RCT52" s="16"/>
      <c r="RCU52" s="16"/>
      <c r="RCV52" s="16"/>
      <c r="RCW52" s="16"/>
      <c r="RCX52" s="16"/>
      <c r="RCY52" s="16"/>
      <c r="RCZ52" s="16"/>
      <c r="RDA52" s="16"/>
      <c r="RDB52" s="16"/>
      <c r="RDC52" s="16"/>
      <c r="RDD52" s="16"/>
      <c r="RDE52" s="16"/>
      <c r="RDF52" s="16"/>
      <c r="RDG52" s="16"/>
      <c r="RDH52" s="16"/>
      <c r="RDI52" s="16"/>
      <c r="RDJ52" s="16"/>
      <c r="RDK52" s="16"/>
      <c r="RDL52" s="16"/>
      <c r="RDM52" s="16"/>
      <c r="RDN52" s="16"/>
      <c r="RDO52" s="16"/>
      <c r="RDP52" s="16"/>
      <c r="RDQ52" s="16"/>
      <c r="RDR52" s="16"/>
      <c r="RDS52" s="16"/>
      <c r="RDT52" s="16"/>
      <c r="RDU52" s="16"/>
      <c r="RDV52" s="16"/>
      <c r="RDW52" s="16"/>
      <c r="RDX52" s="16"/>
      <c r="RDY52" s="16"/>
      <c r="RDZ52" s="16"/>
      <c r="REA52" s="16"/>
      <c r="REB52" s="16"/>
      <c r="REC52" s="16"/>
      <c r="RED52" s="16"/>
      <c r="REE52" s="16"/>
      <c r="REF52" s="16"/>
      <c r="REG52" s="16"/>
      <c r="REH52" s="16"/>
      <c r="REI52" s="16"/>
      <c r="REJ52" s="16"/>
      <c r="REK52" s="16"/>
      <c r="REL52" s="16"/>
      <c r="REM52" s="16"/>
      <c r="REN52" s="16"/>
      <c r="REO52" s="16"/>
      <c r="REP52" s="16"/>
      <c r="REQ52" s="16"/>
      <c r="RER52" s="16"/>
      <c r="RES52" s="16"/>
      <c r="RET52" s="16"/>
      <c r="REU52" s="16"/>
      <c r="REV52" s="16"/>
      <c r="REW52" s="16"/>
      <c r="REX52" s="16"/>
      <c r="REY52" s="16"/>
      <c r="REZ52" s="16"/>
      <c r="RFA52" s="16"/>
      <c r="RFB52" s="16"/>
      <c r="RFC52" s="16"/>
      <c r="RFD52" s="16"/>
      <c r="RFE52" s="16"/>
      <c r="RFF52" s="16"/>
      <c r="RFG52" s="16"/>
      <c r="RFH52" s="16"/>
      <c r="RFI52" s="16"/>
      <c r="RFJ52" s="16"/>
      <c r="RFK52" s="16"/>
      <c r="RFL52" s="16"/>
      <c r="RFM52" s="16"/>
      <c r="RFN52" s="16"/>
      <c r="RFO52" s="16"/>
      <c r="RFP52" s="16"/>
      <c r="RFQ52" s="16"/>
      <c r="RFR52" s="16"/>
      <c r="RFS52" s="16"/>
      <c r="RFT52" s="16"/>
      <c r="RFU52" s="16"/>
      <c r="RFV52" s="16"/>
      <c r="RFW52" s="16"/>
      <c r="RFX52" s="16"/>
      <c r="RFY52" s="16"/>
      <c r="RFZ52" s="16"/>
      <c r="RGA52" s="16"/>
      <c r="RGB52" s="16"/>
      <c r="RGC52" s="16"/>
      <c r="RGD52" s="16"/>
      <c r="RGE52" s="16"/>
      <c r="RGF52" s="16"/>
      <c r="RGG52" s="16"/>
      <c r="RGH52" s="16"/>
      <c r="RGI52" s="16"/>
      <c r="RGJ52" s="16"/>
      <c r="RGK52" s="16"/>
      <c r="RGL52" s="16"/>
      <c r="RGM52" s="16"/>
      <c r="RGN52" s="16"/>
      <c r="RGO52" s="16"/>
      <c r="RGP52" s="16"/>
      <c r="RGQ52" s="16"/>
      <c r="RGR52" s="16"/>
      <c r="RGS52" s="16"/>
      <c r="RGT52" s="16"/>
      <c r="RGU52" s="16"/>
      <c r="RGV52" s="16"/>
      <c r="RGW52" s="16"/>
      <c r="RGX52" s="16"/>
      <c r="RGY52" s="16"/>
      <c r="RGZ52" s="16"/>
      <c r="RHA52" s="16"/>
      <c r="RHB52" s="16"/>
      <c r="RHC52" s="16"/>
      <c r="RHD52" s="16"/>
      <c r="RHE52" s="16"/>
      <c r="RHF52" s="16"/>
      <c r="RHG52" s="16"/>
      <c r="RHH52" s="16"/>
      <c r="RHI52" s="16"/>
      <c r="RHJ52" s="16"/>
      <c r="RHK52" s="16"/>
      <c r="RHL52" s="16"/>
      <c r="RHM52" s="16"/>
      <c r="RHN52" s="16"/>
      <c r="RHO52" s="16"/>
      <c r="RHP52" s="16"/>
      <c r="RHQ52" s="16"/>
      <c r="RHR52" s="16"/>
      <c r="RHS52" s="16"/>
      <c r="RHT52" s="16"/>
      <c r="RHU52" s="16"/>
      <c r="RHV52" s="16"/>
      <c r="RHW52" s="16"/>
      <c r="RHX52" s="16"/>
      <c r="RHY52" s="16"/>
      <c r="RHZ52" s="16"/>
      <c r="RIA52" s="16"/>
      <c r="RIB52" s="16"/>
      <c r="RIC52" s="16"/>
      <c r="RID52" s="16"/>
      <c r="RIE52" s="16"/>
      <c r="RIF52" s="16"/>
      <c r="RIG52" s="16"/>
      <c r="RIH52" s="16"/>
      <c r="RII52" s="16"/>
      <c r="RIJ52" s="16"/>
      <c r="RIK52" s="16"/>
      <c r="RIL52" s="16"/>
      <c r="RIM52" s="16"/>
      <c r="RIN52" s="16"/>
      <c r="RIO52" s="16"/>
      <c r="RIP52" s="16"/>
      <c r="RIQ52" s="16"/>
      <c r="RIR52" s="16"/>
      <c r="RIS52" s="16"/>
      <c r="RIT52" s="16"/>
      <c r="RIU52" s="16"/>
      <c r="RIV52" s="16"/>
      <c r="RIW52" s="16"/>
      <c r="RIX52" s="16"/>
      <c r="RIY52" s="16"/>
      <c r="RIZ52" s="16"/>
      <c r="RJA52" s="16"/>
      <c r="RJB52" s="16"/>
      <c r="RJC52" s="16"/>
      <c r="RJD52" s="16"/>
      <c r="RJE52" s="16"/>
      <c r="RJF52" s="16"/>
      <c r="RJG52" s="16"/>
      <c r="RJH52" s="16"/>
      <c r="RJI52" s="16"/>
      <c r="RJJ52" s="16"/>
      <c r="RJK52" s="16"/>
      <c r="RJL52" s="16"/>
      <c r="RJM52" s="16"/>
      <c r="RJN52" s="16"/>
      <c r="RJO52" s="16"/>
      <c r="RJP52" s="16"/>
      <c r="RJQ52" s="16"/>
      <c r="RJR52" s="16"/>
      <c r="RJS52" s="16"/>
      <c r="RJT52" s="16"/>
      <c r="RJU52" s="16"/>
      <c r="RJV52" s="16"/>
      <c r="RJW52" s="16"/>
      <c r="RJX52" s="16"/>
      <c r="RJY52" s="16"/>
      <c r="RJZ52" s="16"/>
      <c r="RKA52" s="16"/>
      <c r="RKB52" s="16"/>
      <c r="RKC52" s="16"/>
      <c r="RKD52" s="16"/>
      <c r="RKE52" s="16"/>
      <c r="RKF52" s="16"/>
      <c r="RKG52" s="16"/>
      <c r="RKH52" s="16"/>
      <c r="RKI52" s="16"/>
      <c r="RKJ52" s="16"/>
      <c r="RKK52" s="16"/>
      <c r="RKL52" s="16"/>
      <c r="RKM52" s="16"/>
      <c r="RKN52" s="16"/>
      <c r="RKO52" s="16"/>
      <c r="RKP52" s="16"/>
      <c r="RKQ52" s="16"/>
      <c r="RKR52" s="16"/>
      <c r="RKS52" s="16"/>
      <c r="RKT52" s="16"/>
      <c r="RKU52" s="16"/>
      <c r="RKV52" s="16"/>
      <c r="RKW52" s="16"/>
      <c r="RKX52" s="16"/>
      <c r="RKY52" s="16"/>
      <c r="RKZ52" s="16"/>
      <c r="RLA52" s="16"/>
      <c r="RLB52" s="16"/>
      <c r="RLC52" s="16"/>
      <c r="RLD52" s="16"/>
      <c r="RLE52" s="16"/>
      <c r="RLF52" s="16"/>
      <c r="RLG52" s="16"/>
      <c r="RLH52" s="16"/>
      <c r="RLI52" s="16"/>
      <c r="RLJ52" s="16"/>
      <c r="RLK52" s="16"/>
      <c r="RLL52" s="16"/>
      <c r="RLM52" s="16"/>
      <c r="RLN52" s="16"/>
      <c r="RLO52" s="16"/>
      <c r="RLP52" s="16"/>
      <c r="RLQ52" s="16"/>
      <c r="RLR52" s="16"/>
      <c r="RLS52" s="16"/>
      <c r="RLT52" s="16"/>
      <c r="RLU52" s="16"/>
      <c r="RLV52" s="16"/>
      <c r="RLW52" s="16"/>
      <c r="RLX52" s="16"/>
      <c r="RLY52" s="16"/>
      <c r="RLZ52" s="16"/>
      <c r="RMA52" s="16"/>
      <c r="RMB52" s="16"/>
      <c r="RMC52" s="16"/>
      <c r="RMD52" s="16"/>
      <c r="RME52" s="16"/>
      <c r="RMF52" s="16"/>
      <c r="RMG52" s="16"/>
      <c r="RMH52" s="16"/>
      <c r="RMI52" s="16"/>
      <c r="RMJ52" s="16"/>
      <c r="RMK52" s="16"/>
      <c r="RML52" s="16"/>
      <c r="RMM52" s="16"/>
      <c r="RMN52" s="16"/>
      <c r="RMO52" s="16"/>
      <c r="RMP52" s="16"/>
      <c r="RMQ52" s="16"/>
      <c r="RMR52" s="16"/>
      <c r="RMS52" s="16"/>
      <c r="RMT52" s="16"/>
      <c r="RMU52" s="16"/>
      <c r="RMV52" s="16"/>
      <c r="RMW52" s="16"/>
      <c r="RMX52" s="16"/>
      <c r="RMY52" s="16"/>
      <c r="RMZ52" s="16"/>
      <c r="RNA52" s="16"/>
      <c r="RNB52" s="16"/>
      <c r="RNC52" s="16"/>
      <c r="RND52" s="16"/>
      <c r="RNE52" s="16"/>
      <c r="RNF52" s="16"/>
      <c r="RNG52" s="16"/>
      <c r="RNH52" s="16"/>
      <c r="RNI52" s="16"/>
      <c r="RNJ52" s="16"/>
      <c r="RNK52" s="16"/>
      <c r="RNL52" s="16"/>
      <c r="RNM52" s="16"/>
      <c r="RNN52" s="16"/>
      <c r="RNO52" s="16"/>
      <c r="RNP52" s="16"/>
      <c r="RNQ52" s="16"/>
      <c r="RNR52" s="16"/>
      <c r="RNS52" s="16"/>
      <c r="RNT52" s="16"/>
      <c r="RNU52" s="16"/>
      <c r="RNV52" s="16"/>
      <c r="RNW52" s="16"/>
      <c r="RNX52" s="16"/>
      <c r="RNY52" s="16"/>
      <c r="RNZ52" s="16"/>
      <c r="ROA52" s="16"/>
      <c r="ROB52" s="16"/>
      <c r="ROC52" s="16"/>
      <c r="ROD52" s="16"/>
      <c r="ROE52" s="16"/>
      <c r="ROF52" s="16"/>
      <c r="ROG52" s="16"/>
      <c r="ROH52" s="16"/>
      <c r="ROI52" s="16"/>
      <c r="ROJ52" s="16"/>
      <c r="ROK52" s="16"/>
      <c r="ROL52" s="16"/>
      <c r="ROM52" s="16"/>
      <c r="RON52" s="16"/>
      <c r="ROO52" s="16"/>
      <c r="ROP52" s="16"/>
      <c r="ROQ52" s="16"/>
      <c r="ROR52" s="16"/>
      <c r="ROS52" s="16"/>
      <c r="ROT52" s="16"/>
      <c r="ROU52" s="16"/>
      <c r="ROV52" s="16"/>
      <c r="ROW52" s="16"/>
      <c r="ROX52" s="16"/>
      <c r="ROY52" s="16"/>
      <c r="ROZ52" s="16"/>
      <c r="RPA52" s="16"/>
      <c r="RPB52" s="16"/>
      <c r="RPC52" s="16"/>
      <c r="RPD52" s="16"/>
      <c r="RPE52" s="16"/>
      <c r="RPF52" s="16"/>
      <c r="RPG52" s="16"/>
      <c r="RPH52" s="16"/>
      <c r="RPI52" s="16"/>
      <c r="RPJ52" s="16"/>
      <c r="RPK52" s="16"/>
      <c r="RPL52" s="16"/>
      <c r="RPM52" s="16"/>
      <c r="RPN52" s="16"/>
      <c r="RPO52" s="16"/>
      <c r="RPP52" s="16"/>
      <c r="RPQ52" s="16"/>
      <c r="RPR52" s="16"/>
      <c r="RPS52" s="16"/>
      <c r="RPT52" s="16"/>
      <c r="RPU52" s="16"/>
      <c r="RPV52" s="16"/>
      <c r="RPW52" s="16"/>
      <c r="RPX52" s="16"/>
      <c r="RPY52" s="16"/>
      <c r="RPZ52" s="16"/>
      <c r="RQA52" s="16"/>
      <c r="RQB52" s="16"/>
      <c r="RQC52" s="16"/>
      <c r="RQD52" s="16"/>
      <c r="RQE52" s="16"/>
      <c r="RQF52" s="16"/>
      <c r="RQG52" s="16"/>
      <c r="RQH52" s="16"/>
      <c r="RQI52" s="16"/>
      <c r="RQJ52" s="16"/>
      <c r="RQK52" s="16"/>
      <c r="RQL52" s="16"/>
      <c r="RQM52" s="16"/>
      <c r="RQN52" s="16"/>
      <c r="RQO52" s="16"/>
      <c r="RQP52" s="16"/>
      <c r="RQQ52" s="16"/>
      <c r="RQR52" s="16"/>
      <c r="RQS52" s="16"/>
      <c r="RQT52" s="16"/>
      <c r="RQU52" s="16"/>
      <c r="RQV52" s="16"/>
      <c r="RQW52" s="16"/>
      <c r="RQX52" s="16"/>
      <c r="RQY52" s="16"/>
      <c r="RQZ52" s="16"/>
      <c r="RRA52" s="16"/>
      <c r="RRB52" s="16"/>
      <c r="RRC52" s="16"/>
      <c r="RRD52" s="16"/>
      <c r="RRE52" s="16"/>
      <c r="RRF52" s="16"/>
      <c r="RRG52" s="16"/>
      <c r="RRH52" s="16"/>
      <c r="RRI52" s="16"/>
      <c r="RRJ52" s="16"/>
      <c r="RRK52" s="16"/>
      <c r="RRL52" s="16"/>
      <c r="RRM52" s="16"/>
      <c r="RRN52" s="16"/>
      <c r="RRO52" s="16"/>
      <c r="RRP52" s="16"/>
      <c r="RRQ52" s="16"/>
      <c r="RRR52" s="16"/>
      <c r="RRS52" s="16"/>
      <c r="RRT52" s="16"/>
      <c r="RRU52" s="16"/>
      <c r="RRV52" s="16"/>
      <c r="RRW52" s="16"/>
      <c r="RRX52" s="16"/>
      <c r="RRY52" s="16"/>
      <c r="RRZ52" s="16"/>
      <c r="RSA52" s="16"/>
      <c r="RSB52" s="16"/>
      <c r="RSC52" s="16"/>
      <c r="RSD52" s="16"/>
      <c r="RSE52" s="16"/>
      <c r="RSF52" s="16"/>
      <c r="RSG52" s="16"/>
      <c r="RSH52" s="16"/>
      <c r="RSI52" s="16"/>
      <c r="RSJ52" s="16"/>
      <c r="RSK52" s="16"/>
      <c r="RSL52" s="16"/>
      <c r="RSM52" s="16"/>
      <c r="RSN52" s="16"/>
      <c r="RSO52" s="16"/>
      <c r="RSP52" s="16"/>
      <c r="RSQ52" s="16"/>
      <c r="RSR52" s="16"/>
      <c r="RSS52" s="16"/>
      <c r="RST52" s="16"/>
      <c r="RSU52" s="16"/>
      <c r="RSV52" s="16"/>
      <c r="RSW52" s="16"/>
      <c r="RSX52" s="16"/>
      <c r="RSY52" s="16"/>
      <c r="RSZ52" s="16"/>
      <c r="RTA52" s="16"/>
      <c r="RTB52" s="16"/>
      <c r="RTC52" s="16"/>
      <c r="RTD52" s="16"/>
      <c r="RTE52" s="16"/>
      <c r="RTF52" s="16"/>
      <c r="RTG52" s="16"/>
      <c r="RTH52" s="16"/>
      <c r="RTI52" s="16"/>
      <c r="RTJ52" s="16"/>
      <c r="RTK52" s="16"/>
      <c r="RTL52" s="16"/>
      <c r="RTM52" s="16"/>
      <c r="RTN52" s="16"/>
      <c r="RTO52" s="16"/>
      <c r="RTP52" s="16"/>
      <c r="RTQ52" s="16"/>
      <c r="RTR52" s="16"/>
      <c r="RTS52" s="16"/>
      <c r="RTT52" s="16"/>
      <c r="RTU52" s="16"/>
      <c r="RTV52" s="16"/>
      <c r="RTW52" s="16"/>
      <c r="RTX52" s="16"/>
      <c r="RTY52" s="16"/>
      <c r="RTZ52" s="16"/>
      <c r="RUA52" s="16"/>
      <c r="RUB52" s="16"/>
      <c r="RUC52" s="16"/>
      <c r="RUD52" s="16"/>
      <c r="RUE52" s="16"/>
      <c r="RUF52" s="16"/>
      <c r="RUG52" s="16"/>
      <c r="RUH52" s="16"/>
      <c r="RUI52" s="16"/>
      <c r="RUJ52" s="16"/>
      <c r="RUK52" s="16"/>
      <c r="RUL52" s="16"/>
      <c r="RUM52" s="16"/>
      <c r="RUN52" s="16"/>
      <c r="RUO52" s="16"/>
      <c r="RUP52" s="16"/>
      <c r="RUQ52" s="16"/>
      <c r="RUR52" s="16"/>
      <c r="RUS52" s="16"/>
      <c r="RUT52" s="16"/>
      <c r="RUU52" s="16"/>
      <c r="RUV52" s="16"/>
      <c r="RUW52" s="16"/>
      <c r="RUX52" s="16"/>
      <c r="RUY52" s="16"/>
      <c r="RUZ52" s="16"/>
      <c r="RVA52" s="16"/>
      <c r="RVB52" s="16"/>
      <c r="RVC52" s="16"/>
      <c r="RVD52" s="16"/>
      <c r="RVE52" s="16"/>
      <c r="RVF52" s="16"/>
      <c r="RVG52" s="16"/>
      <c r="RVH52" s="16"/>
      <c r="RVI52" s="16"/>
      <c r="RVJ52" s="16"/>
      <c r="RVK52" s="16"/>
      <c r="RVL52" s="16"/>
      <c r="RVM52" s="16"/>
      <c r="RVN52" s="16"/>
      <c r="RVO52" s="16"/>
      <c r="RVP52" s="16"/>
      <c r="RVQ52" s="16"/>
      <c r="RVR52" s="16"/>
      <c r="RVS52" s="16"/>
      <c r="RVT52" s="16"/>
      <c r="RVU52" s="16"/>
      <c r="RVV52" s="16"/>
      <c r="RVW52" s="16"/>
      <c r="RVX52" s="16"/>
      <c r="RVY52" s="16"/>
      <c r="RVZ52" s="16"/>
      <c r="RWA52" s="16"/>
      <c r="RWB52" s="16"/>
      <c r="RWC52" s="16"/>
      <c r="RWD52" s="16"/>
      <c r="RWE52" s="16"/>
      <c r="RWF52" s="16"/>
      <c r="RWG52" s="16"/>
      <c r="RWH52" s="16"/>
      <c r="RWI52" s="16"/>
      <c r="RWJ52" s="16"/>
      <c r="RWK52" s="16"/>
      <c r="RWL52" s="16"/>
      <c r="RWM52" s="16"/>
      <c r="RWN52" s="16"/>
      <c r="RWO52" s="16"/>
      <c r="RWP52" s="16"/>
      <c r="RWQ52" s="16"/>
      <c r="RWR52" s="16"/>
      <c r="RWS52" s="16"/>
      <c r="RWT52" s="16"/>
      <c r="RWU52" s="16"/>
      <c r="RWV52" s="16"/>
      <c r="RWW52" s="16"/>
      <c r="RWX52" s="16"/>
      <c r="RWY52" s="16"/>
      <c r="RWZ52" s="16"/>
      <c r="RXA52" s="16"/>
      <c r="RXB52" s="16"/>
      <c r="RXC52" s="16"/>
      <c r="RXD52" s="16"/>
      <c r="RXE52" s="16"/>
      <c r="RXF52" s="16"/>
      <c r="RXG52" s="16"/>
      <c r="RXH52" s="16"/>
      <c r="RXI52" s="16"/>
      <c r="RXJ52" s="16"/>
      <c r="RXK52" s="16"/>
      <c r="RXL52" s="16"/>
      <c r="RXM52" s="16"/>
      <c r="RXN52" s="16"/>
      <c r="RXO52" s="16"/>
      <c r="RXP52" s="16"/>
      <c r="RXQ52" s="16"/>
      <c r="RXR52" s="16"/>
      <c r="RXS52" s="16"/>
      <c r="RXT52" s="16"/>
      <c r="RXU52" s="16"/>
      <c r="RXV52" s="16"/>
      <c r="RXW52" s="16"/>
      <c r="RXX52" s="16"/>
      <c r="RXY52" s="16"/>
      <c r="RXZ52" s="16"/>
      <c r="RYA52" s="16"/>
      <c r="RYB52" s="16"/>
      <c r="RYC52" s="16"/>
      <c r="RYD52" s="16"/>
      <c r="RYE52" s="16"/>
      <c r="RYF52" s="16"/>
      <c r="RYG52" s="16"/>
      <c r="RYH52" s="16"/>
      <c r="RYI52" s="16"/>
      <c r="RYJ52" s="16"/>
      <c r="RYK52" s="16"/>
      <c r="RYL52" s="16"/>
      <c r="RYM52" s="16"/>
      <c r="RYN52" s="16"/>
      <c r="RYO52" s="16"/>
      <c r="RYP52" s="16"/>
      <c r="RYQ52" s="16"/>
      <c r="RYR52" s="16"/>
      <c r="RYS52" s="16"/>
      <c r="RYT52" s="16"/>
      <c r="RYU52" s="16"/>
      <c r="RYV52" s="16"/>
      <c r="RYW52" s="16"/>
      <c r="RYX52" s="16"/>
      <c r="RYY52" s="16"/>
      <c r="RYZ52" s="16"/>
      <c r="RZA52" s="16"/>
      <c r="RZB52" s="16"/>
      <c r="RZC52" s="16"/>
      <c r="RZD52" s="16"/>
      <c r="RZE52" s="16"/>
      <c r="RZF52" s="16"/>
      <c r="RZG52" s="16"/>
      <c r="RZH52" s="16"/>
      <c r="RZI52" s="16"/>
      <c r="RZJ52" s="16"/>
      <c r="RZK52" s="16"/>
      <c r="RZL52" s="16"/>
      <c r="RZM52" s="16"/>
      <c r="RZN52" s="16"/>
      <c r="RZO52" s="16"/>
      <c r="RZP52" s="16"/>
      <c r="RZQ52" s="16"/>
      <c r="RZR52" s="16"/>
      <c r="RZS52" s="16"/>
      <c r="RZT52" s="16"/>
      <c r="RZU52" s="16"/>
      <c r="RZV52" s="16"/>
      <c r="RZW52" s="16"/>
      <c r="RZX52" s="16"/>
      <c r="RZY52" s="16"/>
      <c r="RZZ52" s="16"/>
      <c r="SAA52" s="16"/>
      <c r="SAB52" s="16"/>
      <c r="SAC52" s="16"/>
      <c r="SAD52" s="16"/>
      <c r="SAE52" s="16"/>
      <c r="SAF52" s="16"/>
      <c r="SAG52" s="16"/>
      <c r="SAH52" s="16"/>
      <c r="SAI52" s="16"/>
      <c r="SAJ52" s="16"/>
      <c r="SAK52" s="16"/>
      <c r="SAL52" s="16"/>
      <c r="SAM52" s="16"/>
      <c r="SAN52" s="16"/>
      <c r="SAO52" s="16"/>
      <c r="SAP52" s="16"/>
      <c r="SAQ52" s="16"/>
      <c r="SAR52" s="16"/>
      <c r="SAS52" s="16"/>
      <c r="SAT52" s="16"/>
      <c r="SAU52" s="16"/>
      <c r="SAV52" s="16"/>
      <c r="SAW52" s="16"/>
      <c r="SAX52" s="16"/>
      <c r="SAY52" s="16"/>
      <c r="SAZ52" s="16"/>
      <c r="SBA52" s="16"/>
      <c r="SBB52" s="16"/>
      <c r="SBC52" s="16"/>
      <c r="SBD52" s="16"/>
      <c r="SBE52" s="16"/>
      <c r="SBF52" s="16"/>
      <c r="SBG52" s="16"/>
      <c r="SBH52" s="16"/>
      <c r="SBI52" s="16"/>
      <c r="SBJ52" s="16"/>
      <c r="SBK52" s="16"/>
      <c r="SBL52" s="16"/>
      <c r="SBM52" s="16"/>
      <c r="SBN52" s="16"/>
      <c r="SBO52" s="16"/>
      <c r="SBP52" s="16"/>
      <c r="SBQ52" s="16"/>
      <c r="SBR52" s="16"/>
      <c r="SBS52" s="16"/>
      <c r="SBT52" s="16"/>
      <c r="SBU52" s="16"/>
      <c r="SBV52" s="16"/>
      <c r="SBW52" s="16"/>
      <c r="SBX52" s="16"/>
      <c r="SBY52" s="16"/>
      <c r="SBZ52" s="16"/>
      <c r="SCA52" s="16"/>
      <c r="SCB52" s="16"/>
      <c r="SCC52" s="16"/>
      <c r="SCD52" s="16"/>
      <c r="SCE52" s="16"/>
      <c r="SCF52" s="16"/>
      <c r="SCG52" s="16"/>
      <c r="SCH52" s="16"/>
      <c r="SCI52" s="16"/>
      <c r="SCJ52" s="16"/>
      <c r="SCK52" s="16"/>
      <c r="SCL52" s="16"/>
      <c r="SCM52" s="16"/>
      <c r="SCN52" s="16"/>
      <c r="SCO52" s="16"/>
      <c r="SCP52" s="16"/>
      <c r="SCQ52" s="16"/>
      <c r="SCR52" s="16"/>
      <c r="SCS52" s="16"/>
      <c r="SCT52" s="16"/>
      <c r="SCU52" s="16"/>
      <c r="SCV52" s="16"/>
      <c r="SCW52" s="16"/>
      <c r="SCX52" s="16"/>
      <c r="SCY52" s="16"/>
      <c r="SCZ52" s="16"/>
      <c r="SDA52" s="16"/>
      <c r="SDB52" s="16"/>
      <c r="SDC52" s="16"/>
      <c r="SDD52" s="16"/>
      <c r="SDE52" s="16"/>
      <c r="SDF52" s="16"/>
      <c r="SDG52" s="16"/>
      <c r="SDH52" s="16"/>
      <c r="SDI52" s="16"/>
      <c r="SDJ52" s="16"/>
      <c r="SDK52" s="16"/>
      <c r="SDL52" s="16"/>
      <c r="SDM52" s="16"/>
      <c r="SDN52" s="16"/>
      <c r="SDO52" s="16"/>
      <c r="SDP52" s="16"/>
      <c r="SDQ52" s="16"/>
      <c r="SDR52" s="16"/>
      <c r="SDS52" s="16"/>
      <c r="SDT52" s="16"/>
      <c r="SDU52" s="16"/>
      <c r="SDV52" s="16"/>
      <c r="SDW52" s="16"/>
      <c r="SDX52" s="16"/>
      <c r="SDY52" s="16"/>
      <c r="SDZ52" s="16"/>
      <c r="SEA52" s="16"/>
      <c r="SEB52" s="16"/>
      <c r="SEC52" s="16"/>
      <c r="SED52" s="16"/>
      <c r="SEE52" s="16"/>
      <c r="SEF52" s="16"/>
      <c r="SEG52" s="16"/>
      <c r="SEH52" s="16"/>
      <c r="SEI52" s="16"/>
      <c r="SEJ52" s="16"/>
      <c r="SEK52" s="16"/>
      <c r="SEL52" s="16"/>
      <c r="SEM52" s="16"/>
      <c r="SEN52" s="16"/>
      <c r="SEO52" s="16"/>
      <c r="SEP52" s="16"/>
      <c r="SEQ52" s="16"/>
      <c r="SER52" s="16"/>
      <c r="SES52" s="16"/>
      <c r="SET52" s="16"/>
      <c r="SEU52" s="16"/>
      <c r="SEV52" s="16"/>
      <c r="SEW52" s="16"/>
      <c r="SEX52" s="16"/>
      <c r="SEY52" s="16"/>
      <c r="SEZ52" s="16"/>
      <c r="SFA52" s="16"/>
      <c r="SFB52" s="16"/>
      <c r="SFC52" s="16"/>
      <c r="SFD52" s="16"/>
      <c r="SFE52" s="16"/>
      <c r="SFF52" s="16"/>
      <c r="SFG52" s="16"/>
      <c r="SFH52" s="16"/>
      <c r="SFI52" s="16"/>
      <c r="SFJ52" s="16"/>
      <c r="SFK52" s="16"/>
      <c r="SFL52" s="16"/>
      <c r="SFM52" s="16"/>
      <c r="SFN52" s="16"/>
      <c r="SFO52" s="16"/>
      <c r="SFP52" s="16"/>
      <c r="SFQ52" s="16"/>
      <c r="SFR52" s="16"/>
      <c r="SFS52" s="16"/>
      <c r="SFT52" s="16"/>
      <c r="SFU52" s="16"/>
      <c r="SFV52" s="16"/>
      <c r="SFW52" s="16"/>
      <c r="SFX52" s="16"/>
      <c r="SFY52" s="16"/>
      <c r="SFZ52" s="16"/>
      <c r="SGA52" s="16"/>
      <c r="SGB52" s="16"/>
      <c r="SGC52" s="16"/>
      <c r="SGD52" s="16"/>
      <c r="SGE52" s="16"/>
      <c r="SGF52" s="16"/>
      <c r="SGG52" s="16"/>
      <c r="SGH52" s="16"/>
      <c r="SGI52" s="16"/>
      <c r="SGJ52" s="16"/>
      <c r="SGK52" s="16"/>
      <c r="SGL52" s="16"/>
      <c r="SGM52" s="16"/>
      <c r="SGN52" s="16"/>
      <c r="SGO52" s="16"/>
      <c r="SGP52" s="16"/>
      <c r="SGQ52" s="16"/>
      <c r="SGR52" s="16"/>
      <c r="SGS52" s="16"/>
      <c r="SGT52" s="16"/>
      <c r="SGU52" s="16"/>
      <c r="SGV52" s="16"/>
      <c r="SGW52" s="16"/>
      <c r="SGX52" s="16"/>
      <c r="SGY52" s="16"/>
      <c r="SGZ52" s="16"/>
      <c r="SHA52" s="16"/>
      <c r="SHB52" s="16"/>
      <c r="SHC52" s="16"/>
      <c r="SHD52" s="16"/>
      <c r="SHE52" s="16"/>
      <c r="SHF52" s="16"/>
      <c r="SHG52" s="16"/>
      <c r="SHH52" s="16"/>
      <c r="SHI52" s="16"/>
      <c r="SHJ52" s="16"/>
      <c r="SHK52" s="16"/>
      <c r="SHL52" s="16"/>
      <c r="SHM52" s="16"/>
      <c r="SHN52" s="16"/>
      <c r="SHO52" s="16"/>
      <c r="SHP52" s="16"/>
      <c r="SHQ52" s="16"/>
      <c r="SHR52" s="16"/>
      <c r="SHS52" s="16"/>
      <c r="SHT52" s="16"/>
      <c r="SHU52" s="16"/>
      <c r="SHV52" s="16"/>
      <c r="SHW52" s="16"/>
      <c r="SHX52" s="16"/>
      <c r="SHY52" s="16"/>
      <c r="SHZ52" s="16"/>
      <c r="SIA52" s="16"/>
      <c r="SIB52" s="16"/>
      <c r="SIC52" s="16"/>
      <c r="SID52" s="16"/>
      <c r="SIE52" s="16"/>
      <c r="SIF52" s="16"/>
      <c r="SIG52" s="16"/>
      <c r="SIH52" s="16"/>
      <c r="SII52" s="16"/>
      <c r="SIJ52" s="16"/>
      <c r="SIK52" s="16"/>
      <c r="SIL52" s="16"/>
      <c r="SIM52" s="16"/>
      <c r="SIN52" s="16"/>
      <c r="SIO52" s="16"/>
      <c r="SIP52" s="16"/>
      <c r="SIQ52" s="16"/>
      <c r="SIR52" s="16"/>
      <c r="SIS52" s="16"/>
      <c r="SIT52" s="16"/>
      <c r="SIU52" s="16"/>
      <c r="SIV52" s="16"/>
      <c r="SIW52" s="16"/>
      <c r="SIX52" s="16"/>
      <c r="SIY52" s="16"/>
      <c r="SIZ52" s="16"/>
      <c r="SJA52" s="16"/>
      <c r="SJB52" s="16"/>
      <c r="SJC52" s="16"/>
      <c r="SJD52" s="16"/>
      <c r="SJE52" s="16"/>
      <c r="SJF52" s="16"/>
      <c r="SJG52" s="16"/>
      <c r="SJH52" s="16"/>
      <c r="SJI52" s="16"/>
      <c r="SJJ52" s="16"/>
      <c r="SJK52" s="16"/>
      <c r="SJL52" s="16"/>
      <c r="SJM52" s="16"/>
      <c r="SJN52" s="16"/>
      <c r="SJO52" s="16"/>
      <c r="SJP52" s="16"/>
      <c r="SJQ52" s="16"/>
      <c r="SJR52" s="16"/>
      <c r="SJS52" s="16"/>
      <c r="SJT52" s="16"/>
      <c r="SJU52" s="16"/>
      <c r="SJV52" s="16"/>
      <c r="SJW52" s="16"/>
      <c r="SJX52" s="16"/>
      <c r="SJY52" s="16"/>
      <c r="SJZ52" s="16"/>
      <c r="SKA52" s="16"/>
      <c r="SKB52" s="16"/>
      <c r="SKC52" s="16"/>
      <c r="SKD52" s="16"/>
      <c r="SKE52" s="16"/>
      <c r="SKF52" s="16"/>
      <c r="SKG52" s="16"/>
      <c r="SKH52" s="16"/>
      <c r="SKI52" s="16"/>
      <c r="SKJ52" s="16"/>
      <c r="SKK52" s="16"/>
      <c r="SKL52" s="16"/>
      <c r="SKM52" s="16"/>
      <c r="SKN52" s="16"/>
      <c r="SKO52" s="16"/>
      <c r="SKP52" s="16"/>
      <c r="SKQ52" s="16"/>
      <c r="SKR52" s="16"/>
      <c r="SKS52" s="16"/>
      <c r="SKT52" s="16"/>
      <c r="SKU52" s="16"/>
      <c r="SKV52" s="16"/>
      <c r="SKW52" s="16"/>
      <c r="SKX52" s="16"/>
      <c r="SKY52" s="16"/>
      <c r="SKZ52" s="16"/>
      <c r="SLA52" s="16"/>
      <c r="SLB52" s="16"/>
      <c r="SLC52" s="16"/>
      <c r="SLD52" s="16"/>
      <c r="SLE52" s="16"/>
      <c r="SLF52" s="16"/>
      <c r="SLG52" s="16"/>
      <c r="SLH52" s="16"/>
      <c r="SLI52" s="16"/>
      <c r="SLJ52" s="16"/>
      <c r="SLK52" s="16"/>
      <c r="SLL52" s="16"/>
      <c r="SLM52" s="16"/>
      <c r="SLN52" s="16"/>
      <c r="SLO52" s="16"/>
      <c r="SLP52" s="16"/>
      <c r="SLQ52" s="16"/>
      <c r="SLR52" s="16"/>
      <c r="SLS52" s="16"/>
      <c r="SLT52" s="16"/>
      <c r="SLU52" s="16"/>
      <c r="SLV52" s="16"/>
      <c r="SLW52" s="16"/>
      <c r="SLX52" s="16"/>
      <c r="SLY52" s="16"/>
      <c r="SLZ52" s="16"/>
      <c r="SMA52" s="16"/>
      <c r="SMB52" s="16"/>
      <c r="SMC52" s="16"/>
      <c r="SMD52" s="16"/>
      <c r="SME52" s="16"/>
      <c r="SMF52" s="16"/>
      <c r="SMG52" s="16"/>
      <c r="SMH52" s="16"/>
      <c r="SMI52" s="16"/>
      <c r="SMJ52" s="16"/>
      <c r="SMK52" s="16"/>
      <c r="SML52" s="16"/>
      <c r="SMM52" s="16"/>
      <c r="SMN52" s="16"/>
      <c r="SMO52" s="16"/>
      <c r="SMP52" s="16"/>
      <c r="SMQ52" s="16"/>
      <c r="SMR52" s="16"/>
      <c r="SMS52" s="16"/>
      <c r="SMT52" s="16"/>
      <c r="SMU52" s="16"/>
      <c r="SMV52" s="16"/>
      <c r="SMW52" s="16"/>
      <c r="SMX52" s="16"/>
      <c r="SMY52" s="16"/>
      <c r="SMZ52" s="16"/>
      <c r="SNA52" s="16"/>
      <c r="SNB52" s="16"/>
      <c r="SNC52" s="16"/>
      <c r="SND52" s="16"/>
      <c r="SNE52" s="16"/>
      <c r="SNF52" s="16"/>
      <c r="SNG52" s="16"/>
      <c r="SNH52" s="16"/>
      <c r="SNI52" s="16"/>
      <c r="SNJ52" s="16"/>
      <c r="SNK52" s="16"/>
      <c r="SNL52" s="16"/>
      <c r="SNM52" s="16"/>
      <c r="SNN52" s="16"/>
      <c r="SNO52" s="16"/>
      <c r="SNP52" s="16"/>
      <c r="SNQ52" s="16"/>
      <c r="SNR52" s="16"/>
      <c r="SNS52" s="16"/>
      <c r="SNT52" s="16"/>
      <c r="SNU52" s="16"/>
      <c r="SNV52" s="16"/>
      <c r="SNW52" s="16"/>
      <c r="SNX52" s="16"/>
      <c r="SNY52" s="16"/>
      <c r="SNZ52" s="16"/>
      <c r="SOA52" s="16"/>
      <c r="SOB52" s="16"/>
      <c r="SOC52" s="16"/>
      <c r="SOD52" s="16"/>
      <c r="SOE52" s="16"/>
      <c r="SOF52" s="16"/>
      <c r="SOG52" s="16"/>
      <c r="SOH52" s="16"/>
      <c r="SOI52" s="16"/>
      <c r="SOJ52" s="16"/>
      <c r="SOK52" s="16"/>
      <c r="SOL52" s="16"/>
      <c r="SOM52" s="16"/>
      <c r="SON52" s="16"/>
      <c r="SOO52" s="16"/>
      <c r="SOP52" s="16"/>
      <c r="SOQ52" s="16"/>
      <c r="SOR52" s="16"/>
      <c r="SOS52" s="16"/>
      <c r="SOT52" s="16"/>
      <c r="SOU52" s="16"/>
      <c r="SOV52" s="16"/>
      <c r="SOW52" s="16"/>
      <c r="SOX52" s="16"/>
      <c r="SOY52" s="16"/>
      <c r="SOZ52" s="16"/>
      <c r="SPA52" s="16"/>
      <c r="SPB52" s="16"/>
      <c r="SPC52" s="16"/>
      <c r="SPD52" s="16"/>
      <c r="SPE52" s="16"/>
      <c r="SPF52" s="16"/>
      <c r="SPG52" s="16"/>
      <c r="SPH52" s="16"/>
      <c r="SPI52" s="16"/>
      <c r="SPJ52" s="16"/>
      <c r="SPK52" s="16"/>
      <c r="SPL52" s="16"/>
      <c r="SPM52" s="16"/>
      <c r="SPN52" s="16"/>
      <c r="SPO52" s="16"/>
      <c r="SPP52" s="16"/>
      <c r="SPQ52" s="16"/>
      <c r="SPR52" s="16"/>
      <c r="SPS52" s="16"/>
      <c r="SPT52" s="16"/>
      <c r="SPU52" s="16"/>
      <c r="SPV52" s="16"/>
      <c r="SPW52" s="16"/>
      <c r="SPX52" s="16"/>
      <c r="SPY52" s="16"/>
      <c r="SPZ52" s="16"/>
      <c r="SQA52" s="16"/>
      <c r="SQB52" s="16"/>
      <c r="SQC52" s="16"/>
      <c r="SQD52" s="16"/>
      <c r="SQE52" s="16"/>
      <c r="SQF52" s="16"/>
      <c r="SQG52" s="16"/>
      <c r="SQH52" s="16"/>
      <c r="SQI52" s="16"/>
      <c r="SQJ52" s="16"/>
      <c r="SQK52" s="16"/>
      <c r="SQL52" s="16"/>
      <c r="SQM52" s="16"/>
      <c r="SQN52" s="16"/>
      <c r="SQO52" s="16"/>
      <c r="SQP52" s="16"/>
      <c r="SQQ52" s="16"/>
      <c r="SQR52" s="16"/>
      <c r="SQS52" s="16"/>
      <c r="SQT52" s="16"/>
      <c r="SQU52" s="16"/>
      <c r="SQV52" s="16"/>
      <c r="SQW52" s="16"/>
      <c r="SQX52" s="16"/>
      <c r="SQY52" s="16"/>
      <c r="SQZ52" s="16"/>
      <c r="SRA52" s="16"/>
      <c r="SRB52" s="16"/>
      <c r="SRC52" s="16"/>
      <c r="SRD52" s="16"/>
      <c r="SRE52" s="16"/>
      <c r="SRF52" s="16"/>
      <c r="SRG52" s="16"/>
      <c r="SRH52" s="16"/>
      <c r="SRI52" s="16"/>
      <c r="SRJ52" s="16"/>
      <c r="SRK52" s="16"/>
      <c r="SRL52" s="16"/>
      <c r="SRM52" s="16"/>
      <c r="SRN52" s="16"/>
      <c r="SRO52" s="16"/>
      <c r="SRP52" s="16"/>
      <c r="SRQ52" s="16"/>
      <c r="SRR52" s="16"/>
      <c r="SRS52" s="16"/>
      <c r="SRT52" s="16"/>
      <c r="SRU52" s="16"/>
      <c r="SRV52" s="16"/>
      <c r="SRW52" s="16"/>
      <c r="SRX52" s="16"/>
      <c r="SRY52" s="16"/>
      <c r="SRZ52" s="16"/>
      <c r="SSA52" s="16"/>
      <c r="SSB52" s="16"/>
      <c r="SSC52" s="16"/>
      <c r="SSD52" s="16"/>
      <c r="SSE52" s="16"/>
      <c r="SSF52" s="16"/>
      <c r="SSG52" s="16"/>
      <c r="SSH52" s="16"/>
      <c r="SSI52" s="16"/>
      <c r="SSJ52" s="16"/>
      <c r="SSK52" s="16"/>
      <c r="SSL52" s="16"/>
      <c r="SSM52" s="16"/>
      <c r="SSN52" s="16"/>
      <c r="SSO52" s="16"/>
      <c r="SSP52" s="16"/>
      <c r="SSQ52" s="16"/>
      <c r="SSR52" s="16"/>
      <c r="SSS52" s="16"/>
      <c r="SST52" s="16"/>
      <c r="SSU52" s="16"/>
      <c r="SSV52" s="16"/>
      <c r="SSW52" s="16"/>
      <c r="SSX52" s="16"/>
      <c r="SSY52" s="16"/>
      <c r="SSZ52" s="16"/>
      <c r="STA52" s="16"/>
      <c r="STB52" s="16"/>
      <c r="STC52" s="16"/>
      <c r="STD52" s="16"/>
      <c r="STE52" s="16"/>
      <c r="STF52" s="16"/>
      <c r="STG52" s="16"/>
      <c r="STH52" s="16"/>
      <c r="STI52" s="16"/>
      <c r="STJ52" s="16"/>
      <c r="STK52" s="16"/>
      <c r="STL52" s="16"/>
      <c r="STM52" s="16"/>
      <c r="STN52" s="16"/>
      <c r="STO52" s="16"/>
      <c r="STP52" s="16"/>
      <c r="STQ52" s="16"/>
      <c r="STR52" s="16"/>
      <c r="STS52" s="16"/>
      <c r="STT52" s="16"/>
      <c r="STU52" s="16"/>
      <c r="STV52" s="16"/>
      <c r="STW52" s="16"/>
      <c r="STX52" s="16"/>
      <c r="STY52" s="16"/>
      <c r="STZ52" s="16"/>
      <c r="SUA52" s="16"/>
      <c r="SUB52" s="16"/>
      <c r="SUC52" s="16"/>
      <c r="SUD52" s="16"/>
      <c r="SUE52" s="16"/>
      <c r="SUF52" s="16"/>
      <c r="SUG52" s="16"/>
      <c r="SUH52" s="16"/>
      <c r="SUI52" s="16"/>
      <c r="SUJ52" s="16"/>
      <c r="SUK52" s="16"/>
      <c r="SUL52" s="16"/>
      <c r="SUM52" s="16"/>
      <c r="SUN52" s="16"/>
      <c r="SUO52" s="16"/>
      <c r="SUP52" s="16"/>
      <c r="SUQ52" s="16"/>
      <c r="SUR52" s="16"/>
      <c r="SUS52" s="16"/>
      <c r="SUT52" s="16"/>
      <c r="SUU52" s="16"/>
      <c r="SUV52" s="16"/>
      <c r="SUW52" s="16"/>
      <c r="SUX52" s="16"/>
      <c r="SUY52" s="16"/>
      <c r="SUZ52" s="16"/>
      <c r="SVA52" s="16"/>
      <c r="SVB52" s="16"/>
      <c r="SVC52" s="16"/>
      <c r="SVD52" s="16"/>
      <c r="SVE52" s="16"/>
      <c r="SVF52" s="16"/>
      <c r="SVG52" s="16"/>
      <c r="SVH52" s="16"/>
      <c r="SVI52" s="16"/>
      <c r="SVJ52" s="16"/>
      <c r="SVK52" s="16"/>
      <c r="SVL52" s="16"/>
      <c r="SVM52" s="16"/>
      <c r="SVN52" s="16"/>
      <c r="SVO52" s="16"/>
      <c r="SVP52" s="16"/>
      <c r="SVQ52" s="16"/>
      <c r="SVR52" s="16"/>
      <c r="SVS52" s="16"/>
      <c r="SVT52" s="16"/>
      <c r="SVU52" s="16"/>
      <c r="SVV52" s="16"/>
      <c r="SVW52" s="16"/>
      <c r="SVX52" s="16"/>
      <c r="SVY52" s="16"/>
      <c r="SVZ52" s="16"/>
      <c r="SWA52" s="16"/>
      <c r="SWB52" s="16"/>
      <c r="SWC52" s="16"/>
      <c r="SWD52" s="16"/>
      <c r="SWE52" s="16"/>
      <c r="SWF52" s="16"/>
      <c r="SWG52" s="16"/>
      <c r="SWH52" s="16"/>
      <c r="SWI52" s="16"/>
      <c r="SWJ52" s="16"/>
      <c r="SWK52" s="16"/>
      <c r="SWL52" s="16"/>
      <c r="SWM52" s="16"/>
      <c r="SWN52" s="16"/>
      <c r="SWO52" s="16"/>
      <c r="SWP52" s="16"/>
      <c r="SWQ52" s="16"/>
      <c r="SWR52" s="16"/>
      <c r="SWS52" s="16"/>
      <c r="SWT52" s="16"/>
      <c r="SWU52" s="16"/>
      <c r="SWV52" s="16"/>
      <c r="SWW52" s="16"/>
      <c r="SWX52" s="16"/>
      <c r="SWY52" s="16"/>
      <c r="SWZ52" s="16"/>
      <c r="SXA52" s="16"/>
      <c r="SXB52" s="16"/>
      <c r="SXC52" s="16"/>
      <c r="SXD52" s="16"/>
      <c r="SXE52" s="16"/>
      <c r="SXF52" s="16"/>
      <c r="SXG52" s="16"/>
      <c r="SXH52" s="16"/>
      <c r="SXI52" s="16"/>
      <c r="SXJ52" s="16"/>
      <c r="SXK52" s="16"/>
      <c r="SXL52" s="16"/>
      <c r="SXM52" s="16"/>
      <c r="SXN52" s="16"/>
      <c r="SXO52" s="16"/>
      <c r="SXP52" s="16"/>
      <c r="SXQ52" s="16"/>
      <c r="SXR52" s="16"/>
      <c r="SXS52" s="16"/>
      <c r="SXT52" s="16"/>
      <c r="SXU52" s="16"/>
      <c r="SXV52" s="16"/>
      <c r="SXW52" s="16"/>
      <c r="SXX52" s="16"/>
      <c r="SXY52" s="16"/>
      <c r="SXZ52" s="16"/>
      <c r="SYA52" s="16"/>
      <c r="SYB52" s="16"/>
      <c r="SYC52" s="16"/>
      <c r="SYD52" s="16"/>
      <c r="SYE52" s="16"/>
      <c r="SYF52" s="16"/>
      <c r="SYG52" s="16"/>
      <c r="SYH52" s="16"/>
      <c r="SYI52" s="16"/>
      <c r="SYJ52" s="16"/>
      <c r="SYK52" s="16"/>
      <c r="SYL52" s="16"/>
      <c r="SYM52" s="16"/>
      <c r="SYN52" s="16"/>
      <c r="SYO52" s="16"/>
      <c r="SYP52" s="16"/>
      <c r="SYQ52" s="16"/>
      <c r="SYR52" s="16"/>
      <c r="SYS52" s="16"/>
      <c r="SYT52" s="16"/>
      <c r="SYU52" s="16"/>
      <c r="SYV52" s="16"/>
      <c r="SYW52" s="16"/>
      <c r="SYX52" s="16"/>
      <c r="SYY52" s="16"/>
      <c r="SYZ52" s="16"/>
      <c r="SZA52" s="16"/>
      <c r="SZB52" s="16"/>
      <c r="SZC52" s="16"/>
      <c r="SZD52" s="16"/>
      <c r="SZE52" s="16"/>
      <c r="SZF52" s="16"/>
      <c r="SZG52" s="16"/>
      <c r="SZH52" s="16"/>
      <c r="SZI52" s="16"/>
      <c r="SZJ52" s="16"/>
      <c r="SZK52" s="16"/>
      <c r="SZL52" s="16"/>
      <c r="SZM52" s="16"/>
      <c r="SZN52" s="16"/>
      <c r="SZO52" s="16"/>
      <c r="SZP52" s="16"/>
      <c r="SZQ52" s="16"/>
      <c r="SZR52" s="16"/>
      <c r="SZS52" s="16"/>
      <c r="SZT52" s="16"/>
      <c r="SZU52" s="16"/>
      <c r="SZV52" s="16"/>
      <c r="SZW52" s="16"/>
      <c r="SZX52" s="16"/>
      <c r="SZY52" s="16"/>
      <c r="SZZ52" s="16"/>
      <c r="TAA52" s="16"/>
      <c r="TAB52" s="16"/>
      <c r="TAC52" s="16"/>
      <c r="TAD52" s="16"/>
      <c r="TAE52" s="16"/>
      <c r="TAF52" s="16"/>
      <c r="TAG52" s="16"/>
      <c r="TAH52" s="16"/>
      <c r="TAI52" s="16"/>
      <c r="TAJ52" s="16"/>
      <c r="TAK52" s="16"/>
      <c r="TAL52" s="16"/>
      <c r="TAM52" s="16"/>
      <c r="TAN52" s="16"/>
      <c r="TAO52" s="16"/>
      <c r="TAP52" s="16"/>
      <c r="TAQ52" s="16"/>
      <c r="TAR52" s="16"/>
      <c r="TAS52" s="16"/>
      <c r="TAT52" s="16"/>
      <c r="TAU52" s="16"/>
      <c r="TAV52" s="16"/>
      <c r="TAW52" s="16"/>
      <c r="TAX52" s="16"/>
      <c r="TAY52" s="16"/>
      <c r="TAZ52" s="16"/>
      <c r="TBA52" s="16"/>
      <c r="TBB52" s="16"/>
      <c r="TBC52" s="16"/>
      <c r="TBD52" s="16"/>
      <c r="TBE52" s="16"/>
      <c r="TBF52" s="16"/>
      <c r="TBG52" s="16"/>
      <c r="TBH52" s="16"/>
      <c r="TBI52" s="16"/>
      <c r="TBJ52" s="16"/>
      <c r="TBK52" s="16"/>
      <c r="TBL52" s="16"/>
      <c r="TBM52" s="16"/>
      <c r="TBN52" s="16"/>
      <c r="TBO52" s="16"/>
      <c r="TBP52" s="16"/>
      <c r="TBQ52" s="16"/>
      <c r="TBR52" s="16"/>
      <c r="TBS52" s="16"/>
      <c r="TBT52" s="16"/>
      <c r="TBU52" s="16"/>
      <c r="TBV52" s="16"/>
      <c r="TBW52" s="16"/>
      <c r="TBX52" s="16"/>
      <c r="TBY52" s="16"/>
      <c r="TBZ52" s="16"/>
      <c r="TCA52" s="16"/>
      <c r="TCB52" s="16"/>
      <c r="TCC52" s="16"/>
      <c r="TCD52" s="16"/>
      <c r="TCE52" s="16"/>
      <c r="TCF52" s="16"/>
      <c r="TCG52" s="16"/>
      <c r="TCH52" s="16"/>
      <c r="TCI52" s="16"/>
      <c r="TCJ52" s="16"/>
      <c r="TCK52" s="16"/>
      <c r="TCL52" s="16"/>
      <c r="TCM52" s="16"/>
      <c r="TCN52" s="16"/>
      <c r="TCO52" s="16"/>
      <c r="TCP52" s="16"/>
      <c r="TCQ52" s="16"/>
      <c r="TCR52" s="16"/>
      <c r="TCS52" s="16"/>
      <c r="TCT52" s="16"/>
      <c r="TCU52" s="16"/>
      <c r="TCV52" s="16"/>
      <c r="TCW52" s="16"/>
      <c r="TCX52" s="16"/>
      <c r="TCY52" s="16"/>
      <c r="TCZ52" s="16"/>
      <c r="TDA52" s="16"/>
      <c r="TDB52" s="16"/>
      <c r="TDC52" s="16"/>
      <c r="TDD52" s="16"/>
      <c r="TDE52" s="16"/>
      <c r="TDF52" s="16"/>
      <c r="TDG52" s="16"/>
      <c r="TDH52" s="16"/>
      <c r="TDI52" s="16"/>
      <c r="TDJ52" s="16"/>
      <c r="TDK52" s="16"/>
      <c r="TDL52" s="16"/>
      <c r="TDM52" s="16"/>
      <c r="TDN52" s="16"/>
      <c r="TDO52" s="16"/>
      <c r="TDP52" s="16"/>
      <c r="TDQ52" s="16"/>
      <c r="TDR52" s="16"/>
      <c r="TDS52" s="16"/>
      <c r="TDT52" s="16"/>
      <c r="TDU52" s="16"/>
      <c r="TDV52" s="16"/>
      <c r="TDW52" s="16"/>
      <c r="TDX52" s="16"/>
      <c r="TDY52" s="16"/>
      <c r="TDZ52" s="16"/>
      <c r="TEA52" s="16"/>
      <c r="TEB52" s="16"/>
      <c r="TEC52" s="16"/>
      <c r="TED52" s="16"/>
      <c r="TEE52" s="16"/>
      <c r="TEF52" s="16"/>
      <c r="TEG52" s="16"/>
      <c r="TEH52" s="16"/>
      <c r="TEI52" s="16"/>
      <c r="TEJ52" s="16"/>
      <c r="TEK52" s="16"/>
      <c r="TEL52" s="16"/>
      <c r="TEM52" s="16"/>
      <c r="TEN52" s="16"/>
      <c r="TEO52" s="16"/>
      <c r="TEP52" s="16"/>
      <c r="TEQ52" s="16"/>
      <c r="TER52" s="16"/>
      <c r="TES52" s="16"/>
      <c r="TET52" s="16"/>
      <c r="TEU52" s="16"/>
      <c r="TEV52" s="16"/>
      <c r="TEW52" s="16"/>
      <c r="TEX52" s="16"/>
      <c r="TEY52" s="16"/>
      <c r="TEZ52" s="16"/>
      <c r="TFA52" s="16"/>
      <c r="TFB52" s="16"/>
      <c r="TFC52" s="16"/>
      <c r="TFD52" s="16"/>
      <c r="TFE52" s="16"/>
      <c r="TFF52" s="16"/>
      <c r="TFG52" s="16"/>
      <c r="TFH52" s="16"/>
      <c r="TFI52" s="16"/>
      <c r="TFJ52" s="16"/>
      <c r="TFK52" s="16"/>
      <c r="TFL52" s="16"/>
      <c r="TFM52" s="16"/>
      <c r="TFN52" s="16"/>
      <c r="TFO52" s="16"/>
      <c r="TFP52" s="16"/>
      <c r="TFQ52" s="16"/>
      <c r="TFR52" s="16"/>
      <c r="TFS52" s="16"/>
      <c r="TFT52" s="16"/>
      <c r="TFU52" s="16"/>
      <c r="TFV52" s="16"/>
      <c r="TFW52" s="16"/>
      <c r="TFX52" s="16"/>
      <c r="TFY52" s="16"/>
      <c r="TFZ52" s="16"/>
      <c r="TGA52" s="16"/>
      <c r="TGB52" s="16"/>
      <c r="TGC52" s="16"/>
      <c r="TGD52" s="16"/>
      <c r="TGE52" s="16"/>
      <c r="TGF52" s="16"/>
      <c r="TGG52" s="16"/>
      <c r="TGH52" s="16"/>
      <c r="TGI52" s="16"/>
      <c r="TGJ52" s="16"/>
      <c r="TGK52" s="16"/>
      <c r="TGL52" s="16"/>
      <c r="TGM52" s="16"/>
      <c r="TGN52" s="16"/>
      <c r="TGO52" s="16"/>
      <c r="TGP52" s="16"/>
      <c r="TGQ52" s="16"/>
      <c r="TGR52" s="16"/>
      <c r="TGS52" s="16"/>
      <c r="TGT52" s="16"/>
      <c r="TGU52" s="16"/>
      <c r="TGV52" s="16"/>
      <c r="TGW52" s="16"/>
      <c r="TGX52" s="16"/>
      <c r="TGY52" s="16"/>
      <c r="TGZ52" s="16"/>
      <c r="THA52" s="16"/>
      <c r="THB52" s="16"/>
      <c r="THC52" s="16"/>
      <c r="THD52" s="16"/>
      <c r="THE52" s="16"/>
      <c r="THF52" s="16"/>
      <c r="THG52" s="16"/>
      <c r="THH52" s="16"/>
      <c r="THI52" s="16"/>
      <c r="THJ52" s="16"/>
      <c r="THK52" s="16"/>
      <c r="THL52" s="16"/>
      <c r="THM52" s="16"/>
      <c r="THN52" s="16"/>
      <c r="THO52" s="16"/>
      <c r="THP52" s="16"/>
      <c r="THQ52" s="16"/>
      <c r="THR52" s="16"/>
      <c r="THS52" s="16"/>
      <c r="THT52" s="16"/>
      <c r="THU52" s="16"/>
      <c r="THV52" s="16"/>
      <c r="THW52" s="16"/>
      <c r="THX52" s="16"/>
      <c r="THY52" s="16"/>
      <c r="THZ52" s="16"/>
      <c r="TIA52" s="16"/>
      <c r="TIB52" s="16"/>
      <c r="TIC52" s="16"/>
      <c r="TID52" s="16"/>
      <c r="TIE52" s="16"/>
      <c r="TIF52" s="16"/>
      <c r="TIG52" s="16"/>
      <c r="TIH52" s="16"/>
      <c r="TII52" s="16"/>
      <c r="TIJ52" s="16"/>
      <c r="TIK52" s="16"/>
      <c r="TIL52" s="16"/>
      <c r="TIM52" s="16"/>
      <c r="TIN52" s="16"/>
      <c r="TIO52" s="16"/>
      <c r="TIP52" s="16"/>
      <c r="TIQ52" s="16"/>
      <c r="TIR52" s="16"/>
      <c r="TIS52" s="16"/>
      <c r="TIT52" s="16"/>
      <c r="TIU52" s="16"/>
      <c r="TIV52" s="16"/>
      <c r="TIW52" s="16"/>
      <c r="TIX52" s="16"/>
      <c r="TIY52" s="16"/>
      <c r="TIZ52" s="16"/>
      <c r="TJA52" s="16"/>
      <c r="TJB52" s="16"/>
      <c r="TJC52" s="16"/>
      <c r="TJD52" s="16"/>
      <c r="TJE52" s="16"/>
      <c r="TJF52" s="16"/>
      <c r="TJG52" s="16"/>
      <c r="TJH52" s="16"/>
      <c r="TJI52" s="16"/>
      <c r="TJJ52" s="16"/>
      <c r="TJK52" s="16"/>
      <c r="TJL52" s="16"/>
      <c r="TJM52" s="16"/>
      <c r="TJN52" s="16"/>
      <c r="TJO52" s="16"/>
      <c r="TJP52" s="16"/>
      <c r="TJQ52" s="16"/>
      <c r="TJR52" s="16"/>
      <c r="TJS52" s="16"/>
      <c r="TJT52" s="16"/>
      <c r="TJU52" s="16"/>
      <c r="TJV52" s="16"/>
      <c r="TJW52" s="16"/>
      <c r="TJX52" s="16"/>
      <c r="TJY52" s="16"/>
      <c r="TJZ52" s="16"/>
      <c r="TKA52" s="16"/>
      <c r="TKB52" s="16"/>
      <c r="TKC52" s="16"/>
      <c r="TKD52" s="16"/>
      <c r="TKE52" s="16"/>
      <c r="TKF52" s="16"/>
      <c r="TKG52" s="16"/>
      <c r="TKH52" s="16"/>
      <c r="TKI52" s="16"/>
      <c r="TKJ52" s="16"/>
      <c r="TKK52" s="16"/>
      <c r="TKL52" s="16"/>
      <c r="TKM52" s="16"/>
      <c r="TKN52" s="16"/>
      <c r="TKO52" s="16"/>
      <c r="TKP52" s="16"/>
      <c r="TKQ52" s="16"/>
      <c r="TKR52" s="16"/>
      <c r="TKS52" s="16"/>
      <c r="TKT52" s="16"/>
      <c r="TKU52" s="16"/>
      <c r="TKV52" s="16"/>
      <c r="TKW52" s="16"/>
      <c r="TKX52" s="16"/>
      <c r="TKY52" s="16"/>
      <c r="TKZ52" s="16"/>
      <c r="TLA52" s="16"/>
      <c r="TLB52" s="16"/>
      <c r="TLC52" s="16"/>
      <c r="TLD52" s="16"/>
      <c r="TLE52" s="16"/>
      <c r="TLF52" s="16"/>
      <c r="TLG52" s="16"/>
      <c r="TLH52" s="16"/>
      <c r="TLI52" s="16"/>
      <c r="TLJ52" s="16"/>
      <c r="TLK52" s="16"/>
      <c r="TLL52" s="16"/>
      <c r="TLM52" s="16"/>
      <c r="TLN52" s="16"/>
      <c r="TLO52" s="16"/>
      <c r="TLP52" s="16"/>
      <c r="TLQ52" s="16"/>
      <c r="TLR52" s="16"/>
      <c r="TLS52" s="16"/>
      <c r="TLT52" s="16"/>
      <c r="TLU52" s="16"/>
      <c r="TLV52" s="16"/>
      <c r="TLW52" s="16"/>
      <c r="TLX52" s="16"/>
      <c r="TLY52" s="16"/>
      <c r="TLZ52" s="16"/>
      <c r="TMA52" s="16"/>
      <c r="TMB52" s="16"/>
      <c r="TMC52" s="16"/>
      <c r="TMD52" s="16"/>
      <c r="TME52" s="16"/>
      <c r="TMF52" s="16"/>
      <c r="TMG52" s="16"/>
      <c r="TMH52" s="16"/>
      <c r="TMI52" s="16"/>
      <c r="TMJ52" s="16"/>
      <c r="TMK52" s="16"/>
      <c r="TML52" s="16"/>
      <c r="TMM52" s="16"/>
      <c r="TMN52" s="16"/>
      <c r="TMO52" s="16"/>
      <c r="TMP52" s="16"/>
      <c r="TMQ52" s="16"/>
      <c r="TMR52" s="16"/>
      <c r="TMS52" s="16"/>
      <c r="TMT52" s="16"/>
      <c r="TMU52" s="16"/>
      <c r="TMV52" s="16"/>
      <c r="TMW52" s="16"/>
      <c r="TMX52" s="16"/>
      <c r="TMY52" s="16"/>
      <c r="TMZ52" s="16"/>
      <c r="TNA52" s="16"/>
      <c r="TNB52" s="16"/>
      <c r="TNC52" s="16"/>
      <c r="TND52" s="16"/>
      <c r="TNE52" s="16"/>
      <c r="TNF52" s="16"/>
      <c r="TNG52" s="16"/>
      <c r="TNH52" s="16"/>
      <c r="TNI52" s="16"/>
      <c r="TNJ52" s="16"/>
      <c r="TNK52" s="16"/>
      <c r="TNL52" s="16"/>
      <c r="TNM52" s="16"/>
      <c r="TNN52" s="16"/>
      <c r="TNO52" s="16"/>
      <c r="TNP52" s="16"/>
      <c r="TNQ52" s="16"/>
      <c r="TNR52" s="16"/>
      <c r="TNS52" s="16"/>
      <c r="TNT52" s="16"/>
      <c r="TNU52" s="16"/>
      <c r="TNV52" s="16"/>
      <c r="TNW52" s="16"/>
      <c r="TNX52" s="16"/>
      <c r="TNY52" s="16"/>
      <c r="TNZ52" s="16"/>
      <c r="TOA52" s="16"/>
      <c r="TOB52" s="16"/>
      <c r="TOC52" s="16"/>
      <c r="TOD52" s="16"/>
      <c r="TOE52" s="16"/>
      <c r="TOF52" s="16"/>
      <c r="TOG52" s="16"/>
      <c r="TOH52" s="16"/>
      <c r="TOI52" s="16"/>
      <c r="TOJ52" s="16"/>
      <c r="TOK52" s="16"/>
      <c r="TOL52" s="16"/>
      <c r="TOM52" s="16"/>
      <c r="TON52" s="16"/>
      <c r="TOO52" s="16"/>
      <c r="TOP52" s="16"/>
      <c r="TOQ52" s="16"/>
      <c r="TOR52" s="16"/>
      <c r="TOS52" s="16"/>
      <c r="TOT52" s="16"/>
      <c r="TOU52" s="16"/>
      <c r="TOV52" s="16"/>
      <c r="TOW52" s="16"/>
      <c r="TOX52" s="16"/>
      <c r="TOY52" s="16"/>
      <c r="TOZ52" s="16"/>
      <c r="TPA52" s="16"/>
      <c r="TPB52" s="16"/>
      <c r="TPC52" s="16"/>
      <c r="TPD52" s="16"/>
      <c r="TPE52" s="16"/>
      <c r="TPF52" s="16"/>
      <c r="TPG52" s="16"/>
      <c r="TPH52" s="16"/>
      <c r="TPI52" s="16"/>
      <c r="TPJ52" s="16"/>
      <c r="TPK52" s="16"/>
      <c r="TPL52" s="16"/>
      <c r="TPM52" s="16"/>
      <c r="TPN52" s="16"/>
      <c r="TPO52" s="16"/>
      <c r="TPP52" s="16"/>
      <c r="TPQ52" s="16"/>
      <c r="TPR52" s="16"/>
      <c r="TPS52" s="16"/>
      <c r="TPT52" s="16"/>
      <c r="TPU52" s="16"/>
      <c r="TPV52" s="16"/>
      <c r="TPW52" s="16"/>
      <c r="TPX52" s="16"/>
      <c r="TPY52" s="16"/>
      <c r="TPZ52" s="16"/>
      <c r="TQA52" s="16"/>
      <c r="TQB52" s="16"/>
      <c r="TQC52" s="16"/>
      <c r="TQD52" s="16"/>
      <c r="TQE52" s="16"/>
      <c r="TQF52" s="16"/>
      <c r="TQG52" s="16"/>
      <c r="TQH52" s="16"/>
      <c r="TQI52" s="16"/>
      <c r="TQJ52" s="16"/>
      <c r="TQK52" s="16"/>
      <c r="TQL52" s="16"/>
      <c r="TQM52" s="16"/>
      <c r="TQN52" s="16"/>
      <c r="TQO52" s="16"/>
      <c r="TQP52" s="16"/>
      <c r="TQQ52" s="16"/>
      <c r="TQR52" s="16"/>
      <c r="TQS52" s="16"/>
      <c r="TQT52" s="16"/>
      <c r="TQU52" s="16"/>
      <c r="TQV52" s="16"/>
      <c r="TQW52" s="16"/>
      <c r="TQX52" s="16"/>
      <c r="TQY52" s="16"/>
      <c r="TQZ52" s="16"/>
      <c r="TRA52" s="16"/>
      <c r="TRB52" s="16"/>
      <c r="TRC52" s="16"/>
      <c r="TRD52" s="16"/>
      <c r="TRE52" s="16"/>
      <c r="TRF52" s="16"/>
      <c r="TRG52" s="16"/>
      <c r="TRH52" s="16"/>
      <c r="TRI52" s="16"/>
      <c r="TRJ52" s="16"/>
      <c r="TRK52" s="16"/>
      <c r="TRL52" s="16"/>
      <c r="TRM52" s="16"/>
      <c r="TRN52" s="16"/>
      <c r="TRO52" s="16"/>
      <c r="TRP52" s="16"/>
      <c r="TRQ52" s="16"/>
      <c r="TRR52" s="16"/>
      <c r="TRS52" s="16"/>
      <c r="TRT52" s="16"/>
      <c r="TRU52" s="16"/>
      <c r="TRV52" s="16"/>
      <c r="TRW52" s="16"/>
      <c r="TRX52" s="16"/>
      <c r="TRY52" s="16"/>
      <c r="TRZ52" s="16"/>
      <c r="TSA52" s="16"/>
      <c r="TSB52" s="16"/>
      <c r="TSC52" s="16"/>
      <c r="TSD52" s="16"/>
      <c r="TSE52" s="16"/>
      <c r="TSF52" s="16"/>
      <c r="TSG52" s="16"/>
      <c r="TSH52" s="16"/>
      <c r="TSI52" s="16"/>
      <c r="TSJ52" s="16"/>
      <c r="TSK52" s="16"/>
      <c r="TSL52" s="16"/>
      <c r="TSM52" s="16"/>
      <c r="TSN52" s="16"/>
      <c r="TSO52" s="16"/>
      <c r="TSP52" s="16"/>
      <c r="TSQ52" s="16"/>
      <c r="TSR52" s="16"/>
      <c r="TSS52" s="16"/>
      <c r="TST52" s="16"/>
      <c r="TSU52" s="16"/>
      <c r="TSV52" s="16"/>
      <c r="TSW52" s="16"/>
      <c r="TSX52" s="16"/>
      <c r="TSY52" s="16"/>
      <c r="TSZ52" s="16"/>
      <c r="TTA52" s="16"/>
      <c r="TTB52" s="16"/>
      <c r="TTC52" s="16"/>
      <c r="TTD52" s="16"/>
      <c r="TTE52" s="16"/>
      <c r="TTF52" s="16"/>
      <c r="TTG52" s="16"/>
      <c r="TTH52" s="16"/>
      <c r="TTI52" s="16"/>
      <c r="TTJ52" s="16"/>
      <c r="TTK52" s="16"/>
      <c r="TTL52" s="16"/>
      <c r="TTM52" s="16"/>
      <c r="TTN52" s="16"/>
      <c r="TTO52" s="16"/>
      <c r="TTP52" s="16"/>
      <c r="TTQ52" s="16"/>
      <c r="TTR52" s="16"/>
      <c r="TTS52" s="16"/>
      <c r="TTT52" s="16"/>
      <c r="TTU52" s="16"/>
      <c r="TTV52" s="16"/>
      <c r="TTW52" s="16"/>
      <c r="TTX52" s="16"/>
      <c r="TTY52" s="16"/>
      <c r="TTZ52" s="16"/>
      <c r="TUA52" s="16"/>
      <c r="TUB52" s="16"/>
      <c r="TUC52" s="16"/>
      <c r="TUD52" s="16"/>
      <c r="TUE52" s="16"/>
      <c r="TUF52" s="16"/>
      <c r="TUG52" s="16"/>
      <c r="TUH52" s="16"/>
      <c r="TUI52" s="16"/>
      <c r="TUJ52" s="16"/>
      <c r="TUK52" s="16"/>
      <c r="TUL52" s="16"/>
      <c r="TUM52" s="16"/>
      <c r="TUN52" s="16"/>
      <c r="TUO52" s="16"/>
      <c r="TUP52" s="16"/>
      <c r="TUQ52" s="16"/>
      <c r="TUR52" s="16"/>
      <c r="TUS52" s="16"/>
      <c r="TUT52" s="16"/>
      <c r="TUU52" s="16"/>
      <c r="TUV52" s="16"/>
      <c r="TUW52" s="16"/>
      <c r="TUX52" s="16"/>
      <c r="TUY52" s="16"/>
      <c r="TUZ52" s="16"/>
      <c r="TVA52" s="16"/>
      <c r="TVB52" s="16"/>
      <c r="TVC52" s="16"/>
      <c r="TVD52" s="16"/>
      <c r="TVE52" s="16"/>
      <c r="TVF52" s="16"/>
      <c r="TVG52" s="16"/>
      <c r="TVH52" s="16"/>
      <c r="TVI52" s="16"/>
      <c r="TVJ52" s="16"/>
      <c r="TVK52" s="16"/>
      <c r="TVL52" s="16"/>
      <c r="TVM52" s="16"/>
      <c r="TVN52" s="16"/>
      <c r="TVO52" s="16"/>
      <c r="TVP52" s="16"/>
      <c r="TVQ52" s="16"/>
      <c r="TVR52" s="16"/>
      <c r="TVS52" s="16"/>
      <c r="TVT52" s="16"/>
      <c r="TVU52" s="16"/>
      <c r="TVV52" s="16"/>
      <c r="TVW52" s="16"/>
      <c r="TVX52" s="16"/>
      <c r="TVY52" s="16"/>
      <c r="TVZ52" s="16"/>
      <c r="TWA52" s="16"/>
      <c r="TWB52" s="16"/>
      <c r="TWC52" s="16"/>
      <c r="TWD52" s="16"/>
      <c r="TWE52" s="16"/>
      <c r="TWF52" s="16"/>
      <c r="TWG52" s="16"/>
      <c r="TWH52" s="16"/>
      <c r="TWI52" s="16"/>
      <c r="TWJ52" s="16"/>
      <c r="TWK52" s="16"/>
      <c r="TWL52" s="16"/>
      <c r="TWM52" s="16"/>
      <c r="TWN52" s="16"/>
      <c r="TWO52" s="16"/>
      <c r="TWP52" s="16"/>
      <c r="TWQ52" s="16"/>
      <c r="TWR52" s="16"/>
      <c r="TWS52" s="16"/>
      <c r="TWT52" s="16"/>
      <c r="TWU52" s="16"/>
      <c r="TWV52" s="16"/>
      <c r="TWW52" s="16"/>
      <c r="TWX52" s="16"/>
      <c r="TWY52" s="16"/>
      <c r="TWZ52" s="16"/>
      <c r="TXA52" s="16"/>
      <c r="TXB52" s="16"/>
      <c r="TXC52" s="16"/>
      <c r="TXD52" s="16"/>
      <c r="TXE52" s="16"/>
      <c r="TXF52" s="16"/>
      <c r="TXG52" s="16"/>
      <c r="TXH52" s="16"/>
      <c r="TXI52" s="16"/>
      <c r="TXJ52" s="16"/>
      <c r="TXK52" s="16"/>
      <c r="TXL52" s="16"/>
      <c r="TXM52" s="16"/>
      <c r="TXN52" s="16"/>
      <c r="TXO52" s="16"/>
      <c r="TXP52" s="16"/>
      <c r="TXQ52" s="16"/>
      <c r="TXR52" s="16"/>
      <c r="TXS52" s="16"/>
      <c r="TXT52" s="16"/>
      <c r="TXU52" s="16"/>
      <c r="TXV52" s="16"/>
      <c r="TXW52" s="16"/>
      <c r="TXX52" s="16"/>
      <c r="TXY52" s="16"/>
      <c r="TXZ52" s="16"/>
      <c r="TYA52" s="16"/>
      <c r="TYB52" s="16"/>
      <c r="TYC52" s="16"/>
      <c r="TYD52" s="16"/>
      <c r="TYE52" s="16"/>
      <c r="TYF52" s="16"/>
      <c r="TYG52" s="16"/>
      <c r="TYH52" s="16"/>
      <c r="TYI52" s="16"/>
      <c r="TYJ52" s="16"/>
      <c r="TYK52" s="16"/>
      <c r="TYL52" s="16"/>
      <c r="TYM52" s="16"/>
      <c r="TYN52" s="16"/>
      <c r="TYO52" s="16"/>
      <c r="TYP52" s="16"/>
      <c r="TYQ52" s="16"/>
      <c r="TYR52" s="16"/>
      <c r="TYS52" s="16"/>
      <c r="TYT52" s="16"/>
      <c r="TYU52" s="16"/>
      <c r="TYV52" s="16"/>
      <c r="TYW52" s="16"/>
      <c r="TYX52" s="16"/>
      <c r="TYY52" s="16"/>
      <c r="TYZ52" s="16"/>
      <c r="TZA52" s="16"/>
      <c r="TZB52" s="16"/>
      <c r="TZC52" s="16"/>
      <c r="TZD52" s="16"/>
      <c r="TZE52" s="16"/>
      <c r="TZF52" s="16"/>
      <c r="TZG52" s="16"/>
      <c r="TZH52" s="16"/>
      <c r="TZI52" s="16"/>
      <c r="TZJ52" s="16"/>
      <c r="TZK52" s="16"/>
      <c r="TZL52" s="16"/>
      <c r="TZM52" s="16"/>
      <c r="TZN52" s="16"/>
      <c r="TZO52" s="16"/>
      <c r="TZP52" s="16"/>
      <c r="TZQ52" s="16"/>
      <c r="TZR52" s="16"/>
      <c r="TZS52" s="16"/>
      <c r="TZT52" s="16"/>
      <c r="TZU52" s="16"/>
      <c r="TZV52" s="16"/>
      <c r="TZW52" s="16"/>
      <c r="TZX52" s="16"/>
      <c r="TZY52" s="16"/>
      <c r="TZZ52" s="16"/>
      <c r="UAA52" s="16"/>
      <c r="UAB52" s="16"/>
      <c r="UAC52" s="16"/>
      <c r="UAD52" s="16"/>
      <c r="UAE52" s="16"/>
      <c r="UAF52" s="16"/>
      <c r="UAG52" s="16"/>
      <c r="UAH52" s="16"/>
      <c r="UAI52" s="16"/>
      <c r="UAJ52" s="16"/>
      <c r="UAK52" s="16"/>
      <c r="UAL52" s="16"/>
      <c r="UAM52" s="16"/>
      <c r="UAN52" s="16"/>
      <c r="UAO52" s="16"/>
      <c r="UAP52" s="16"/>
      <c r="UAQ52" s="16"/>
      <c r="UAR52" s="16"/>
      <c r="UAS52" s="16"/>
      <c r="UAT52" s="16"/>
      <c r="UAU52" s="16"/>
      <c r="UAV52" s="16"/>
      <c r="UAW52" s="16"/>
      <c r="UAX52" s="16"/>
      <c r="UAY52" s="16"/>
      <c r="UAZ52" s="16"/>
      <c r="UBA52" s="16"/>
      <c r="UBB52" s="16"/>
      <c r="UBC52" s="16"/>
      <c r="UBD52" s="16"/>
      <c r="UBE52" s="16"/>
      <c r="UBF52" s="16"/>
      <c r="UBG52" s="16"/>
      <c r="UBH52" s="16"/>
      <c r="UBI52" s="16"/>
      <c r="UBJ52" s="16"/>
      <c r="UBK52" s="16"/>
      <c r="UBL52" s="16"/>
      <c r="UBM52" s="16"/>
      <c r="UBN52" s="16"/>
      <c r="UBO52" s="16"/>
      <c r="UBP52" s="16"/>
      <c r="UBQ52" s="16"/>
      <c r="UBR52" s="16"/>
      <c r="UBS52" s="16"/>
      <c r="UBT52" s="16"/>
      <c r="UBU52" s="16"/>
      <c r="UBV52" s="16"/>
      <c r="UBW52" s="16"/>
      <c r="UBX52" s="16"/>
      <c r="UBY52" s="16"/>
      <c r="UBZ52" s="16"/>
      <c r="UCA52" s="16"/>
      <c r="UCB52" s="16"/>
      <c r="UCC52" s="16"/>
      <c r="UCD52" s="16"/>
      <c r="UCE52" s="16"/>
      <c r="UCF52" s="16"/>
      <c r="UCG52" s="16"/>
      <c r="UCH52" s="16"/>
      <c r="UCI52" s="16"/>
      <c r="UCJ52" s="16"/>
      <c r="UCK52" s="16"/>
      <c r="UCL52" s="16"/>
      <c r="UCM52" s="16"/>
      <c r="UCN52" s="16"/>
      <c r="UCO52" s="16"/>
      <c r="UCP52" s="16"/>
      <c r="UCQ52" s="16"/>
      <c r="UCR52" s="16"/>
      <c r="UCS52" s="16"/>
      <c r="UCT52" s="16"/>
      <c r="UCU52" s="16"/>
      <c r="UCV52" s="16"/>
      <c r="UCW52" s="16"/>
      <c r="UCX52" s="16"/>
      <c r="UCY52" s="16"/>
      <c r="UCZ52" s="16"/>
      <c r="UDA52" s="16"/>
      <c r="UDB52" s="16"/>
      <c r="UDC52" s="16"/>
      <c r="UDD52" s="16"/>
      <c r="UDE52" s="16"/>
      <c r="UDF52" s="16"/>
      <c r="UDG52" s="16"/>
      <c r="UDH52" s="16"/>
      <c r="UDI52" s="16"/>
      <c r="UDJ52" s="16"/>
      <c r="UDK52" s="16"/>
      <c r="UDL52" s="16"/>
      <c r="UDM52" s="16"/>
      <c r="UDN52" s="16"/>
      <c r="UDO52" s="16"/>
      <c r="UDP52" s="16"/>
      <c r="UDQ52" s="16"/>
      <c r="UDR52" s="16"/>
      <c r="UDS52" s="16"/>
      <c r="UDT52" s="16"/>
      <c r="UDU52" s="16"/>
      <c r="UDV52" s="16"/>
      <c r="UDW52" s="16"/>
      <c r="UDX52" s="16"/>
      <c r="UDY52" s="16"/>
      <c r="UDZ52" s="16"/>
      <c r="UEA52" s="16"/>
      <c r="UEB52" s="16"/>
      <c r="UEC52" s="16"/>
      <c r="UED52" s="16"/>
      <c r="UEE52" s="16"/>
      <c r="UEF52" s="16"/>
      <c r="UEG52" s="16"/>
      <c r="UEH52" s="16"/>
      <c r="UEI52" s="16"/>
      <c r="UEJ52" s="16"/>
      <c r="UEK52" s="16"/>
      <c r="UEL52" s="16"/>
      <c r="UEM52" s="16"/>
      <c r="UEN52" s="16"/>
      <c r="UEO52" s="16"/>
      <c r="UEP52" s="16"/>
      <c r="UEQ52" s="16"/>
      <c r="UER52" s="16"/>
      <c r="UES52" s="16"/>
      <c r="UET52" s="16"/>
      <c r="UEU52" s="16"/>
      <c r="UEV52" s="16"/>
      <c r="UEW52" s="16"/>
      <c r="UEX52" s="16"/>
      <c r="UEY52" s="16"/>
      <c r="UEZ52" s="16"/>
      <c r="UFA52" s="16"/>
      <c r="UFB52" s="16"/>
      <c r="UFC52" s="16"/>
      <c r="UFD52" s="16"/>
      <c r="UFE52" s="16"/>
      <c r="UFF52" s="16"/>
      <c r="UFG52" s="16"/>
      <c r="UFH52" s="16"/>
      <c r="UFI52" s="16"/>
      <c r="UFJ52" s="16"/>
      <c r="UFK52" s="16"/>
      <c r="UFL52" s="16"/>
      <c r="UFM52" s="16"/>
      <c r="UFN52" s="16"/>
      <c r="UFO52" s="16"/>
      <c r="UFP52" s="16"/>
      <c r="UFQ52" s="16"/>
      <c r="UFR52" s="16"/>
      <c r="UFS52" s="16"/>
      <c r="UFT52" s="16"/>
      <c r="UFU52" s="16"/>
      <c r="UFV52" s="16"/>
      <c r="UFW52" s="16"/>
      <c r="UFX52" s="16"/>
      <c r="UFY52" s="16"/>
      <c r="UFZ52" s="16"/>
      <c r="UGA52" s="16"/>
      <c r="UGB52" s="16"/>
      <c r="UGC52" s="16"/>
      <c r="UGD52" s="16"/>
      <c r="UGE52" s="16"/>
      <c r="UGF52" s="16"/>
      <c r="UGG52" s="16"/>
      <c r="UGH52" s="16"/>
      <c r="UGI52" s="16"/>
      <c r="UGJ52" s="16"/>
      <c r="UGK52" s="16"/>
      <c r="UGL52" s="16"/>
      <c r="UGM52" s="16"/>
      <c r="UGN52" s="16"/>
      <c r="UGO52" s="16"/>
      <c r="UGP52" s="16"/>
      <c r="UGQ52" s="16"/>
      <c r="UGR52" s="16"/>
      <c r="UGS52" s="16"/>
      <c r="UGT52" s="16"/>
      <c r="UGU52" s="16"/>
      <c r="UGV52" s="16"/>
      <c r="UGW52" s="16"/>
      <c r="UGX52" s="16"/>
      <c r="UGY52" s="16"/>
      <c r="UGZ52" s="16"/>
      <c r="UHA52" s="16"/>
      <c r="UHB52" s="16"/>
      <c r="UHC52" s="16"/>
      <c r="UHD52" s="16"/>
      <c r="UHE52" s="16"/>
      <c r="UHF52" s="16"/>
      <c r="UHG52" s="16"/>
      <c r="UHH52" s="16"/>
      <c r="UHI52" s="16"/>
      <c r="UHJ52" s="16"/>
      <c r="UHK52" s="16"/>
      <c r="UHL52" s="16"/>
      <c r="UHM52" s="16"/>
      <c r="UHN52" s="16"/>
      <c r="UHO52" s="16"/>
      <c r="UHP52" s="16"/>
      <c r="UHQ52" s="16"/>
      <c r="UHR52" s="16"/>
      <c r="UHS52" s="16"/>
      <c r="UHT52" s="16"/>
      <c r="UHU52" s="16"/>
      <c r="UHV52" s="16"/>
      <c r="UHW52" s="16"/>
      <c r="UHX52" s="16"/>
      <c r="UHY52" s="16"/>
      <c r="UHZ52" s="16"/>
      <c r="UIA52" s="16"/>
      <c r="UIB52" s="16"/>
      <c r="UIC52" s="16"/>
      <c r="UID52" s="16"/>
      <c r="UIE52" s="16"/>
      <c r="UIF52" s="16"/>
      <c r="UIG52" s="16"/>
      <c r="UIH52" s="16"/>
      <c r="UII52" s="16"/>
      <c r="UIJ52" s="16"/>
      <c r="UIK52" s="16"/>
      <c r="UIL52" s="16"/>
      <c r="UIM52" s="16"/>
      <c r="UIN52" s="16"/>
      <c r="UIO52" s="16"/>
      <c r="UIP52" s="16"/>
      <c r="UIQ52" s="16"/>
      <c r="UIR52" s="16"/>
      <c r="UIS52" s="16"/>
      <c r="UIT52" s="16"/>
      <c r="UIU52" s="16"/>
      <c r="UIV52" s="16"/>
      <c r="UIW52" s="16"/>
      <c r="UIX52" s="16"/>
      <c r="UIY52" s="16"/>
      <c r="UIZ52" s="16"/>
      <c r="UJA52" s="16"/>
      <c r="UJB52" s="16"/>
      <c r="UJC52" s="16"/>
      <c r="UJD52" s="16"/>
      <c r="UJE52" s="16"/>
      <c r="UJF52" s="16"/>
      <c r="UJG52" s="16"/>
      <c r="UJH52" s="16"/>
      <c r="UJI52" s="16"/>
      <c r="UJJ52" s="16"/>
      <c r="UJK52" s="16"/>
      <c r="UJL52" s="16"/>
      <c r="UJM52" s="16"/>
      <c r="UJN52" s="16"/>
      <c r="UJO52" s="16"/>
      <c r="UJP52" s="16"/>
      <c r="UJQ52" s="16"/>
      <c r="UJR52" s="16"/>
      <c r="UJS52" s="16"/>
      <c r="UJT52" s="16"/>
      <c r="UJU52" s="16"/>
      <c r="UJV52" s="16"/>
      <c r="UJW52" s="16"/>
      <c r="UJX52" s="16"/>
      <c r="UJY52" s="16"/>
      <c r="UJZ52" s="16"/>
      <c r="UKA52" s="16"/>
      <c r="UKB52" s="16"/>
      <c r="UKC52" s="16"/>
      <c r="UKD52" s="16"/>
      <c r="UKE52" s="16"/>
      <c r="UKF52" s="16"/>
      <c r="UKG52" s="16"/>
      <c r="UKH52" s="16"/>
      <c r="UKI52" s="16"/>
      <c r="UKJ52" s="16"/>
      <c r="UKK52" s="16"/>
      <c r="UKL52" s="16"/>
      <c r="UKM52" s="16"/>
      <c r="UKN52" s="16"/>
      <c r="UKO52" s="16"/>
      <c r="UKP52" s="16"/>
      <c r="UKQ52" s="16"/>
      <c r="UKR52" s="16"/>
      <c r="UKS52" s="16"/>
      <c r="UKT52" s="16"/>
      <c r="UKU52" s="16"/>
      <c r="UKV52" s="16"/>
      <c r="UKW52" s="16"/>
      <c r="UKX52" s="16"/>
      <c r="UKY52" s="16"/>
      <c r="UKZ52" s="16"/>
      <c r="ULA52" s="16"/>
      <c r="ULB52" s="16"/>
      <c r="ULC52" s="16"/>
      <c r="ULD52" s="16"/>
      <c r="ULE52" s="16"/>
      <c r="ULF52" s="16"/>
      <c r="ULG52" s="16"/>
      <c r="ULH52" s="16"/>
      <c r="ULI52" s="16"/>
      <c r="ULJ52" s="16"/>
      <c r="ULK52" s="16"/>
      <c r="ULL52" s="16"/>
      <c r="ULM52" s="16"/>
      <c r="ULN52" s="16"/>
      <c r="ULO52" s="16"/>
      <c r="ULP52" s="16"/>
      <c r="ULQ52" s="16"/>
      <c r="ULR52" s="16"/>
      <c r="ULS52" s="16"/>
      <c r="ULT52" s="16"/>
      <c r="ULU52" s="16"/>
      <c r="ULV52" s="16"/>
      <c r="ULW52" s="16"/>
      <c r="ULX52" s="16"/>
      <c r="ULY52" s="16"/>
      <c r="ULZ52" s="16"/>
      <c r="UMA52" s="16"/>
      <c r="UMB52" s="16"/>
      <c r="UMC52" s="16"/>
      <c r="UMD52" s="16"/>
      <c r="UME52" s="16"/>
      <c r="UMF52" s="16"/>
      <c r="UMG52" s="16"/>
      <c r="UMH52" s="16"/>
      <c r="UMI52" s="16"/>
      <c r="UMJ52" s="16"/>
      <c r="UMK52" s="16"/>
      <c r="UML52" s="16"/>
      <c r="UMM52" s="16"/>
      <c r="UMN52" s="16"/>
      <c r="UMO52" s="16"/>
      <c r="UMP52" s="16"/>
      <c r="UMQ52" s="16"/>
      <c r="UMR52" s="16"/>
      <c r="UMS52" s="16"/>
      <c r="UMT52" s="16"/>
      <c r="UMU52" s="16"/>
      <c r="UMV52" s="16"/>
      <c r="UMW52" s="16"/>
      <c r="UMX52" s="16"/>
      <c r="UMY52" s="16"/>
      <c r="UMZ52" s="16"/>
      <c r="UNA52" s="16"/>
      <c r="UNB52" s="16"/>
      <c r="UNC52" s="16"/>
      <c r="UND52" s="16"/>
      <c r="UNE52" s="16"/>
      <c r="UNF52" s="16"/>
      <c r="UNG52" s="16"/>
      <c r="UNH52" s="16"/>
      <c r="UNI52" s="16"/>
      <c r="UNJ52" s="16"/>
      <c r="UNK52" s="16"/>
      <c r="UNL52" s="16"/>
      <c r="UNM52" s="16"/>
      <c r="UNN52" s="16"/>
      <c r="UNO52" s="16"/>
      <c r="UNP52" s="16"/>
      <c r="UNQ52" s="16"/>
      <c r="UNR52" s="16"/>
      <c r="UNS52" s="16"/>
      <c r="UNT52" s="16"/>
      <c r="UNU52" s="16"/>
      <c r="UNV52" s="16"/>
      <c r="UNW52" s="16"/>
      <c r="UNX52" s="16"/>
      <c r="UNY52" s="16"/>
      <c r="UNZ52" s="16"/>
      <c r="UOA52" s="16"/>
      <c r="UOB52" s="16"/>
      <c r="UOC52" s="16"/>
      <c r="UOD52" s="16"/>
      <c r="UOE52" s="16"/>
      <c r="UOF52" s="16"/>
      <c r="UOG52" s="16"/>
      <c r="UOH52" s="16"/>
      <c r="UOI52" s="16"/>
      <c r="UOJ52" s="16"/>
      <c r="UOK52" s="16"/>
      <c r="UOL52" s="16"/>
      <c r="UOM52" s="16"/>
      <c r="UON52" s="16"/>
      <c r="UOO52" s="16"/>
      <c r="UOP52" s="16"/>
      <c r="UOQ52" s="16"/>
      <c r="UOR52" s="16"/>
      <c r="UOS52" s="16"/>
      <c r="UOT52" s="16"/>
      <c r="UOU52" s="16"/>
      <c r="UOV52" s="16"/>
      <c r="UOW52" s="16"/>
      <c r="UOX52" s="16"/>
      <c r="UOY52" s="16"/>
      <c r="UOZ52" s="16"/>
      <c r="UPA52" s="16"/>
      <c r="UPB52" s="16"/>
      <c r="UPC52" s="16"/>
      <c r="UPD52" s="16"/>
      <c r="UPE52" s="16"/>
      <c r="UPF52" s="16"/>
      <c r="UPG52" s="16"/>
      <c r="UPH52" s="16"/>
      <c r="UPI52" s="16"/>
      <c r="UPJ52" s="16"/>
      <c r="UPK52" s="16"/>
      <c r="UPL52" s="16"/>
      <c r="UPM52" s="16"/>
      <c r="UPN52" s="16"/>
      <c r="UPO52" s="16"/>
      <c r="UPP52" s="16"/>
      <c r="UPQ52" s="16"/>
      <c r="UPR52" s="16"/>
      <c r="UPS52" s="16"/>
      <c r="UPT52" s="16"/>
      <c r="UPU52" s="16"/>
      <c r="UPV52" s="16"/>
      <c r="UPW52" s="16"/>
      <c r="UPX52" s="16"/>
      <c r="UPY52" s="16"/>
      <c r="UPZ52" s="16"/>
      <c r="UQA52" s="16"/>
      <c r="UQB52" s="16"/>
      <c r="UQC52" s="16"/>
      <c r="UQD52" s="16"/>
      <c r="UQE52" s="16"/>
      <c r="UQF52" s="16"/>
      <c r="UQG52" s="16"/>
      <c r="UQH52" s="16"/>
      <c r="UQI52" s="16"/>
      <c r="UQJ52" s="16"/>
      <c r="UQK52" s="16"/>
      <c r="UQL52" s="16"/>
      <c r="UQM52" s="16"/>
      <c r="UQN52" s="16"/>
      <c r="UQO52" s="16"/>
      <c r="UQP52" s="16"/>
      <c r="UQQ52" s="16"/>
      <c r="UQR52" s="16"/>
      <c r="UQS52" s="16"/>
      <c r="UQT52" s="16"/>
      <c r="UQU52" s="16"/>
      <c r="UQV52" s="16"/>
      <c r="UQW52" s="16"/>
      <c r="UQX52" s="16"/>
      <c r="UQY52" s="16"/>
      <c r="UQZ52" s="16"/>
      <c r="URA52" s="16"/>
      <c r="URB52" s="16"/>
      <c r="URC52" s="16"/>
      <c r="URD52" s="16"/>
      <c r="URE52" s="16"/>
      <c r="URF52" s="16"/>
      <c r="URG52" s="16"/>
      <c r="URH52" s="16"/>
      <c r="URI52" s="16"/>
      <c r="URJ52" s="16"/>
      <c r="URK52" s="16"/>
      <c r="URL52" s="16"/>
      <c r="URM52" s="16"/>
      <c r="URN52" s="16"/>
      <c r="URO52" s="16"/>
      <c r="URP52" s="16"/>
      <c r="URQ52" s="16"/>
      <c r="URR52" s="16"/>
      <c r="URS52" s="16"/>
      <c r="URT52" s="16"/>
      <c r="URU52" s="16"/>
      <c r="URV52" s="16"/>
      <c r="URW52" s="16"/>
      <c r="URX52" s="16"/>
      <c r="URY52" s="16"/>
      <c r="URZ52" s="16"/>
      <c r="USA52" s="16"/>
      <c r="USB52" s="16"/>
      <c r="USC52" s="16"/>
      <c r="USD52" s="16"/>
      <c r="USE52" s="16"/>
      <c r="USF52" s="16"/>
      <c r="USG52" s="16"/>
      <c r="USH52" s="16"/>
      <c r="USI52" s="16"/>
      <c r="USJ52" s="16"/>
      <c r="USK52" s="16"/>
      <c r="USL52" s="16"/>
      <c r="USM52" s="16"/>
      <c r="USN52" s="16"/>
      <c r="USO52" s="16"/>
      <c r="USP52" s="16"/>
      <c r="USQ52" s="16"/>
      <c r="USR52" s="16"/>
      <c r="USS52" s="16"/>
      <c r="UST52" s="16"/>
      <c r="USU52" s="16"/>
      <c r="USV52" s="16"/>
      <c r="USW52" s="16"/>
      <c r="USX52" s="16"/>
      <c r="USY52" s="16"/>
      <c r="USZ52" s="16"/>
      <c r="UTA52" s="16"/>
      <c r="UTB52" s="16"/>
      <c r="UTC52" s="16"/>
      <c r="UTD52" s="16"/>
      <c r="UTE52" s="16"/>
      <c r="UTF52" s="16"/>
      <c r="UTG52" s="16"/>
      <c r="UTH52" s="16"/>
      <c r="UTI52" s="16"/>
      <c r="UTJ52" s="16"/>
      <c r="UTK52" s="16"/>
      <c r="UTL52" s="16"/>
      <c r="UTM52" s="16"/>
      <c r="UTN52" s="16"/>
      <c r="UTO52" s="16"/>
      <c r="UTP52" s="16"/>
      <c r="UTQ52" s="16"/>
      <c r="UTR52" s="16"/>
      <c r="UTS52" s="16"/>
      <c r="UTT52" s="16"/>
      <c r="UTU52" s="16"/>
      <c r="UTV52" s="16"/>
      <c r="UTW52" s="16"/>
      <c r="UTX52" s="16"/>
      <c r="UTY52" s="16"/>
      <c r="UTZ52" s="16"/>
      <c r="UUA52" s="16"/>
      <c r="UUB52" s="16"/>
      <c r="UUC52" s="16"/>
      <c r="UUD52" s="16"/>
      <c r="UUE52" s="16"/>
      <c r="UUF52" s="16"/>
      <c r="UUG52" s="16"/>
      <c r="UUH52" s="16"/>
      <c r="UUI52" s="16"/>
      <c r="UUJ52" s="16"/>
      <c r="UUK52" s="16"/>
      <c r="UUL52" s="16"/>
      <c r="UUM52" s="16"/>
      <c r="UUN52" s="16"/>
      <c r="UUO52" s="16"/>
      <c r="UUP52" s="16"/>
      <c r="UUQ52" s="16"/>
      <c r="UUR52" s="16"/>
      <c r="UUS52" s="16"/>
      <c r="UUT52" s="16"/>
      <c r="UUU52" s="16"/>
      <c r="UUV52" s="16"/>
      <c r="UUW52" s="16"/>
      <c r="UUX52" s="16"/>
      <c r="UUY52" s="16"/>
      <c r="UUZ52" s="16"/>
      <c r="UVA52" s="16"/>
      <c r="UVB52" s="16"/>
      <c r="UVC52" s="16"/>
      <c r="UVD52" s="16"/>
      <c r="UVE52" s="16"/>
      <c r="UVF52" s="16"/>
      <c r="UVG52" s="16"/>
      <c r="UVH52" s="16"/>
      <c r="UVI52" s="16"/>
      <c r="UVJ52" s="16"/>
      <c r="UVK52" s="16"/>
      <c r="UVL52" s="16"/>
      <c r="UVM52" s="16"/>
      <c r="UVN52" s="16"/>
      <c r="UVO52" s="16"/>
      <c r="UVP52" s="16"/>
      <c r="UVQ52" s="16"/>
      <c r="UVR52" s="16"/>
      <c r="UVS52" s="16"/>
      <c r="UVT52" s="16"/>
      <c r="UVU52" s="16"/>
      <c r="UVV52" s="16"/>
      <c r="UVW52" s="16"/>
      <c r="UVX52" s="16"/>
      <c r="UVY52" s="16"/>
      <c r="UVZ52" s="16"/>
      <c r="UWA52" s="16"/>
      <c r="UWB52" s="16"/>
      <c r="UWC52" s="16"/>
      <c r="UWD52" s="16"/>
      <c r="UWE52" s="16"/>
      <c r="UWF52" s="16"/>
      <c r="UWG52" s="16"/>
      <c r="UWH52" s="16"/>
      <c r="UWI52" s="16"/>
      <c r="UWJ52" s="16"/>
      <c r="UWK52" s="16"/>
      <c r="UWL52" s="16"/>
      <c r="UWM52" s="16"/>
      <c r="UWN52" s="16"/>
      <c r="UWO52" s="16"/>
      <c r="UWP52" s="16"/>
      <c r="UWQ52" s="16"/>
      <c r="UWR52" s="16"/>
      <c r="UWS52" s="16"/>
      <c r="UWT52" s="16"/>
      <c r="UWU52" s="16"/>
      <c r="UWV52" s="16"/>
      <c r="UWW52" s="16"/>
      <c r="UWX52" s="16"/>
      <c r="UWY52" s="16"/>
      <c r="UWZ52" s="16"/>
      <c r="UXA52" s="16"/>
      <c r="UXB52" s="16"/>
      <c r="UXC52" s="16"/>
      <c r="UXD52" s="16"/>
      <c r="UXE52" s="16"/>
      <c r="UXF52" s="16"/>
      <c r="UXG52" s="16"/>
      <c r="UXH52" s="16"/>
      <c r="UXI52" s="16"/>
      <c r="UXJ52" s="16"/>
      <c r="UXK52" s="16"/>
      <c r="UXL52" s="16"/>
      <c r="UXM52" s="16"/>
      <c r="UXN52" s="16"/>
      <c r="UXO52" s="16"/>
      <c r="UXP52" s="16"/>
      <c r="UXQ52" s="16"/>
      <c r="UXR52" s="16"/>
      <c r="UXS52" s="16"/>
      <c r="UXT52" s="16"/>
      <c r="UXU52" s="16"/>
      <c r="UXV52" s="16"/>
      <c r="UXW52" s="16"/>
      <c r="UXX52" s="16"/>
      <c r="UXY52" s="16"/>
      <c r="UXZ52" s="16"/>
      <c r="UYA52" s="16"/>
      <c r="UYB52" s="16"/>
      <c r="UYC52" s="16"/>
      <c r="UYD52" s="16"/>
      <c r="UYE52" s="16"/>
      <c r="UYF52" s="16"/>
      <c r="UYG52" s="16"/>
      <c r="UYH52" s="16"/>
      <c r="UYI52" s="16"/>
      <c r="UYJ52" s="16"/>
      <c r="UYK52" s="16"/>
      <c r="UYL52" s="16"/>
      <c r="UYM52" s="16"/>
      <c r="UYN52" s="16"/>
      <c r="UYO52" s="16"/>
      <c r="UYP52" s="16"/>
      <c r="UYQ52" s="16"/>
      <c r="UYR52" s="16"/>
      <c r="UYS52" s="16"/>
      <c r="UYT52" s="16"/>
      <c r="UYU52" s="16"/>
      <c r="UYV52" s="16"/>
      <c r="UYW52" s="16"/>
      <c r="UYX52" s="16"/>
      <c r="UYY52" s="16"/>
      <c r="UYZ52" s="16"/>
      <c r="UZA52" s="16"/>
      <c r="UZB52" s="16"/>
      <c r="UZC52" s="16"/>
      <c r="UZD52" s="16"/>
      <c r="UZE52" s="16"/>
      <c r="UZF52" s="16"/>
      <c r="UZG52" s="16"/>
      <c r="UZH52" s="16"/>
      <c r="UZI52" s="16"/>
      <c r="UZJ52" s="16"/>
      <c r="UZK52" s="16"/>
      <c r="UZL52" s="16"/>
      <c r="UZM52" s="16"/>
      <c r="UZN52" s="16"/>
      <c r="UZO52" s="16"/>
      <c r="UZP52" s="16"/>
      <c r="UZQ52" s="16"/>
      <c r="UZR52" s="16"/>
      <c r="UZS52" s="16"/>
      <c r="UZT52" s="16"/>
      <c r="UZU52" s="16"/>
      <c r="UZV52" s="16"/>
      <c r="UZW52" s="16"/>
      <c r="UZX52" s="16"/>
      <c r="UZY52" s="16"/>
      <c r="UZZ52" s="16"/>
      <c r="VAA52" s="16"/>
      <c r="VAB52" s="16"/>
      <c r="VAC52" s="16"/>
      <c r="VAD52" s="16"/>
      <c r="VAE52" s="16"/>
      <c r="VAF52" s="16"/>
      <c r="VAG52" s="16"/>
      <c r="VAH52" s="16"/>
      <c r="VAI52" s="16"/>
      <c r="VAJ52" s="16"/>
      <c r="VAK52" s="16"/>
      <c r="VAL52" s="16"/>
      <c r="VAM52" s="16"/>
      <c r="VAN52" s="16"/>
      <c r="VAO52" s="16"/>
      <c r="VAP52" s="16"/>
      <c r="VAQ52" s="16"/>
      <c r="VAR52" s="16"/>
      <c r="VAS52" s="16"/>
      <c r="VAT52" s="16"/>
      <c r="VAU52" s="16"/>
      <c r="VAV52" s="16"/>
      <c r="VAW52" s="16"/>
      <c r="VAX52" s="16"/>
      <c r="VAY52" s="16"/>
      <c r="VAZ52" s="16"/>
      <c r="VBA52" s="16"/>
      <c r="VBB52" s="16"/>
      <c r="VBC52" s="16"/>
      <c r="VBD52" s="16"/>
      <c r="VBE52" s="16"/>
      <c r="VBF52" s="16"/>
      <c r="VBG52" s="16"/>
      <c r="VBH52" s="16"/>
      <c r="VBI52" s="16"/>
      <c r="VBJ52" s="16"/>
      <c r="VBK52" s="16"/>
      <c r="VBL52" s="16"/>
      <c r="VBM52" s="16"/>
      <c r="VBN52" s="16"/>
    </row>
    <row r="53" spans="1:14938" hidden="1" x14ac:dyDescent="0.25">
      <c r="B53" s="2305"/>
      <c r="C53" s="472" t="s">
        <v>70</v>
      </c>
      <c r="D53" s="489"/>
      <c r="E53" s="473" t="s">
        <v>14</v>
      </c>
      <c r="F53" s="439">
        <f>'Januari 2026 PMG 2'!AB55</f>
        <v>0</v>
      </c>
      <c r="G53" s="439"/>
      <c r="H53" s="1499"/>
      <c r="I53" s="1513"/>
      <c r="J53" s="1506"/>
      <c r="K53" s="439"/>
      <c r="L53" s="439"/>
      <c r="M53" s="439"/>
      <c r="N53" s="439"/>
      <c r="O53" s="439"/>
      <c r="P53" s="439"/>
      <c r="Q53" s="439"/>
      <c r="R53" s="697"/>
      <c r="S53" s="57">
        <f>S55+S56</f>
        <v>0</v>
      </c>
      <c r="T53" s="646">
        <f>T55+T56</f>
        <v>24558000</v>
      </c>
      <c r="U53" s="742">
        <f>S53/T53*100</f>
        <v>0</v>
      </c>
      <c r="V53" s="62"/>
      <c r="W53" s="1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Q53" s="62"/>
      <c r="AS53" s="447"/>
      <c r="AT53" s="447"/>
      <c r="AU53" s="1"/>
      <c r="AV53" s="1"/>
      <c r="AW53" s="143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41"/>
      <c r="BX53" s="1"/>
      <c r="CZ53" s="1"/>
      <c r="DE53" s="5"/>
      <c r="DF53" s="141">
        <v>2136</v>
      </c>
      <c r="DG53" s="141"/>
      <c r="DH53" s="141"/>
      <c r="DI53" s="141"/>
      <c r="FL53" s="141"/>
      <c r="JG53" s="141"/>
      <c r="JH53" s="141"/>
      <c r="JI53" s="141"/>
      <c r="JJ53" s="141"/>
      <c r="ON53" s="141"/>
      <c r="OO53" s="141"/>
      <c r="OQ53" s="141"/>
      <c r="PE53" s="144"/>
      <c r="PI53" s="141"/>
      <c r="RL53" s="144"/>
      <c r="AGU53" s="140"/>
      <c r="AIJ53" s="140"/>
      <c r="AIK53" s="140"/>
      <c r="AIL53" s="140"/>
    </row>
    <row r="54" spans="1:14938" hidden="1" x14ac:dyDescent="0.25">
      <c r="B54" s="2305"/>
      <c r="C54" s="472" t="s">
        <v>69</v>
      </c>
      <c r="D54" s="489"/>
      <c r="E54" s="473" t="s">
        <v>14</v>
      </c>
      <c r="F54" s="439"/>
      <c r="G54" s="439"/>
      <c r="H54" s="1499"/>
      <c r="I54" s="1513"/>
      <c r="J54" s="1506"/>
      <c r="K54" s="439"/>
      <c r="L54" s="439"/>
      <c r="M54" s="439"/>
      <c r="N54" s="439"/>
      <c r="O54" s="439"/>
      <c r="P54" s="439"/>
      <c r="Q54" s="439"/>
      <c r="R54" s="697"/>
      <c r="S54" s="57">
        <f>SUM(F54:Q54)</f>
        <v>0</v>
      </c>
      <c r="T54" s="650">
        <f>SUM(F54:Q54)</f>
        <v>0</v>
      </c>
      <c r="U54" s="745">
        <f>SUM(H54:S54)</f>
        <v>0</v>
      </c>
      <c r="V54" s="62"/>
      <c r="W54" s="1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Q54" s="62"/>
      <c r="AS54" s="447"/>
      <c r="AT54" s="447"/>
      <c r="AU54" s="1"/>
      <c r="AV54" s="1"/>
      <c r="AW54" s="143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41"/>
      <c r="BX54" s="1"/>
      <c r="CZ54" s="1"/>
      <c r="DE54" s="5"/>
      <c r="DF54" s="141"/>
      <c r="DG54" s="141"/>
      <c r="DH54" s="141"/>
      <c r="DI54" s="141"/>
      <c r="FL54" s="141"/>
      <c r="JG54" s="141"/>
      <c r="JH54" s="141"/>
      <c r="JI54" s="141"/>
      <c r="JJ54" s="141"/>
      <c r="ON54" s="141"/>
      <c r="OO54" s="141"/>
      <c r="OQ54" s="141"/>
      <c r="PE54" s="144"/>
      <c r="PI54" s="141"/>
      <c r="RL54" s="144"/>
      <c r="AGU54" s="140"/>
      <c r="AIJ54" s="140"/>
      <c r="AIK54" s="140"/>
      <c r="AIL54" s="140"/>
    </row>
    <row r="55" spans="1:14938" hidden="1" x14ac:dyDescent="0.25">
      <c r="B55" s="2305"/>
      <c r="C55" s="472" t="s">
        <v>68</v>
      </c>
      <c r="D55" s="489">
        <v>25000</v>
      </c>
      <c r="E55" s="473" t="s">
        <v>14</v>
      </c>
      <c r="F55" s="439">
        <f>'Januari 2026 PMG 2'!AB56</f>
        <v>0</v>
      </c>
      <c r="G55" s="439"/>
      <c r="H55" s="1499"/>
      <c r="I55" s="1513"/>
      <c r="J55" s="1506"/>
      <c r="K55" s="439"/>
      <c r="L55" s="439"/>
      <c r="M55" s="439"/>
      <c r="N55" s="439"/>
      <c r="O55" s="439"/>
      <c r="P55" s="439"/>
      <c r="Q55" s="439"/>
      <c r="R55" s="697"/>
      <c r="S55" s="57">
        <f>SUM(F55:Q55)</f>
        <v>0</v>
      </c>
      <c r="T55" s="650">
        <v>14736000</v>
      </c>
      <c r="U55" s="742">
        <f>S55/T55*100</f>
        <v>0</v>
      </c>
      <c r="V55" s="62"/>
      <c r="W55" s="1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Q55" s="62"/>
      <c r="AS55" s="447"/>
      <c r="AT55" s="447"/>
      <c r="AU55" s="3"/>
      <c r="AV55" s="1"/>
      <c r="AW55" s="14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41"/>
      <c r="BX55" s="1"/>
      <c r="CZ55" s="1"/>
      <c r="DE55" s="5"/>
      <c r="DF55" s="141">
        <v>1796</v>
      </c>
      <c r="DG55" s="141"/>
      <c r="DH55" s="141"/>
      <c r="DI55" s="141"/>
      <c r="FL55" s="141"/>
      <c r="JG55" s="141"/>
      <c r="JH55" s="141"/>
      <c r="JI55" s="141"/>
      <c r="JJ55" s="141"/>
      <c r="ON55" s="141"/>
      <c r="OO55" s="141"/>
      <c r="OQ55" s="141"/>
      <c r="PE55" s="144"/>
      <c r="PI55" s="141"/>
      <c r="RL55" s="144"/>
      <c r="AGU55" s="140"/>
      <c r="AIJ55" s="140"/>
      <c r="AIK55" s="140"/>
      <c r="AIL55" s="140"/>
    </row>
    <row r="56" spans="1:14938" hidden="1" x14ac:dyDescent="0.25">
      <c r="B56" s="2305"/>
      <c r="C56" s="472" t="s">
        <v>67</v>
      </c>
      <c r="D56" s="489">
        <v>10000</v>
      </c>
      <c r="E56" s="473" t="s">
        <v>14</v>
      </c>
      <c r="F56" s="439">
        <f>'Januari 2026 PMG 2'!AB57</f>
        <v>0</v>
      </c>
      <c r="G56" s="439"/>
      <c r="H56" s="1499"/>
      <c r="I56" s="1513"/>
      <c r="J56" s="1506"/>
      <c r="K56" s="439"/>
      <c r="L56" s="439"/>
      <c r="M56" s="439"/>
      <c r="N56" s="439"/>
      <c r="O56" s="439"/>
      <c r="P56" s="439"/>
      <c r="Q56" s="439"/>
      <c r="R56" s="697"/>
      <c r="S56" s="57">
        <f>SUM(F56:Q56)</f>
        <v>0</v>
      </c>
      <c r="T56" s="650">
        <v>9822000</v>
      </c>
      <c r="U56" s="742">
        <f>S56/T56*100</f>
        <v>0</v>
      </c>
      <c r="V56" s="62"/>
      <c r="W56" s="1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Q56" s="62"/>
      <c r="AS56" s="447"/>
      <c r="AT56" s="447"/>
      <c r="AU56" s="3"/>
      <c r="AV56" s="1"/>
      <c r="AW56" s="145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41"/>
      <c r="BX56" s="1"/>
      <c r="CZ56" s="1"/>
      <c r="DE56" s="5"/>
      <c r="DF56" s="141">
        <f>DF53/DF55*100</f>
        <v>118.93095768374164</v>
      </c>
      <c r="DG56" s="141"/>
      <c r="DH56" s="141"/>
      <c r="DI56" s="141"/>
      <c r="FL56" s="141"/>
      <c r="JG56" s="141"/>
      <c r="JH56" s="141"/>
      <c r="JI56" s="141"/>
      <c r="JJ56" s="141"/>
      <c r="ON56" s="141"/>
      <c r="OO56" s="141"/>
      <c r="OQ56" s="141"/>
      <c r="PE56" s="144"/>
      <c r="PI56" s="141"/>
      <c r="RL56" s="144"/>
      <c r="AGU56" s="140"/>
      <c r="AIJ56" s="140"/>
      <c r="AIK56" s="140"/>
      <c r="AIL56" s="140"/>
    </row>
    <row r="57" spans="1:14938" s="506" customFormat="1" hidden="1" x14ac:dyDescent="0.25">
      <c r="B57" s="2305"/>
      <c r="C57" s="11" t="s">
        <v>112</v>
      </c>
      <c r="D57" s="507"/>
      <c r="E57" s="508"/>
      <c r="F57" s="513"/>
      <c r="G57" s="512"/>
      <c r="H57" s="1503"/>
      <c r="I57" s="1517"/>
      <c r="J57" s="1511"/>
      <c r="K57" s="512"/>
      <c r="L57" s="513"/>
      <c r="M57" s="513"/>
      <c r="N57" s="513"/>
      <c r="O57" s="513"/>
      <c r="P57" s="513"/>
      <c r="Q57" s="513"/>
      <c r="R57" s="698"/>
      <c r="S57" s="84" t="e">
        <f>+AVERAGE(F57:Q57)</f>
        <v>#DIV/0!</v>
      </c>
      <c r="T57" s="655"/>
      <c r="U57" s="746"/>
      <c r="V57" s="62"/>
      <c r="W57" s="1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Q57" s="62"/>
      <c r="AS57" s="774"/>
      <c r="AT57" s="774"/>
      <c r="AU57" s="361"/>
      <c r="AV57" s="62"/>
      <c r="AW57" s="1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U57" s="62"/>
      <c r="BV57" s="62"/>
      <c r="BW57" s="142"/>
      <c r="BX57" s="62"/>
      <c r="CZ57" s="62"/>
      <c r="DE57" s="510"/>
      <c r="DF57" s="142"/>
      <c r="DG57" s="142"/>
      <c r="DH57" s="142"/>
      <c r="DI57" s="142"/>
      <c r="FL57" s="142"/>
      <c r="JG57" s="142"/>
      <c r="JH57" s="142"/>
      <c r="JI57" s="142"/>
      <c r="JJ57" s="142"/>
      <c r="ON57" s="142"/>
      <c r="OO57" s="142"/>
      <c r="OQ57" s="142"/>
      <c r="PE57" s="151"/>
      <c r="PI57" s="142"/>
      <c r="RL57" s="151"/>
      <c r="AGU57" s="142"/>
      <c r="AIJ57" s="142"/>
      <c r="AIK57" s="142"/>
      <c r="AIL57" s="142"/>
    </row>
    <row r="58" spans="1:14938" s="506" customFormat="1" hidden="1" x14ac:dyDescent="0.25">
      <c r="B58" s="2305"/>
      <c r="C58" s="11" t="s">
        <v>336</v>
      </c>
      <c r="D58" s="507"/>
      <c r="E58" s="508"/>
      <c r="F58" s="512"/>
      <c r="G58" s="512"/>
      <c r="H58" s="1503"/>
      <c r="I58" s="512"/>
      <c r="J58" s="1511"/>
      <c r="K58" s="512"/>
      <c r="L58" s="512"/>
      <c r="M58" s="512"/>
      <c r="N58" s="512"/>
      <c r="O58" s="512"/>
      <c r="P58" s="512"/>
      <c r="Q58" s="512"/>
      <c r="R58" s="698"/>
      <c r="S58" s="84" t="e">
        <f>+AVERAGE(F58:Q58)</f>
        <v>#DIV/0!</v>
      </c>
      <c r="T58" s="655"/>
      <c r="U58" s="746"/>
      <c r="V58" s="62"/>
      <c r="W58" s="1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Q58" s="62"/>
      <c r="AS58" s="774"/>
      <c r="AT58" s="774"/>
      <c r="AU58" s="361"/>
      <c r="AV58" s="62"/>
      <c r="AW58" s="1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U58" s="62"/>
      <c r="BV58" s="62"/>
      <c r="BW58" s="142"/>
      <c r="BX58" s="62"/>
      <c r="CZ58" s="62"/>
      <c r="DE58" s="510"/>
      <c r="DF58" s="142"/>
      <c r="DG58" s="142"/>
      <c r="DH58" s="142"/>
      <c r="DI58" s="142"/>
      <c r="FL58" s="142"/>
      <c r="JG58" s="142"/>
      <c r="JH58" s="142"/>
      <c r="JI58" s="142"/>
      <c r="JJ58" s="142"/>
      <c r="ON58" s="142"/>
      <c r="OO58" s="142"/>
      <c r="OQ58" s="142"/>
      <c r="PE58" s="151"/>
      <c r="PI58" s="142"/>
      <c r="RL58" s="151"/>
      <c r="AGU58" s="142"/>
      <c r="AIJ58" s="142"/>
      <c r="AIK58" s="142"/>
      <c r="AIL58" s="142"/>
    </row>
    <row r="59" spans="1:14938" s="506" customFormat="1" hidden="1" x14ac:dyDescent="0.25">
      <c r="B59" s="2305"/>
      <c r="C59" s="11" t="s">
        <v>337</v>
      </c>
      <c r="D59" s="507"/>
      <c r="E59" s="508"/>
      <c r="F59" s="716"/>
      <c r="G59" s="716"/>
      <c r="H59" s="1504"/>
      <c r="I59" s="1516"/>
      <c r="J59" s="1512"/>
      <c r="K59" s="716"/>
      <c r="L59" s="716"/>
      <c r="M59" s="716"/>
      <c r="N59" s="716"/>
      <c r="O59" s="716"/>
      <c r="P59" s="716"/>
      <c r="Q59" s="716"/>
      <c r="R59" s="698"/>
      <c r="S59" s="514">
        <f>SUM(F59:Q59)</f>
        <v>0</v>
      </c>
      <c r="T59" s="655"/>
      <c r="U59" s="746"/>
      <c r="V59" s="62"/>
      <c r="W59" s="1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Q59" s="62"/>
      <c r="AS59" s="774"/>
      <c r="AT59" s="774"/>
      <c r="AU59" s="361"/>
      <c r="AV59" s="62"/>
      <c r="AW59" s="1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U59" s="62"/>
      <c r="BV59" s="62"/>
      <c r="BW59" s="142"/>
      <c r="BX59" s="62"/>
      <c r="CZ59" s="62"/>
      <c r="DE59" s="510"/>
      <c r="DF59" s="142"/>
      <c r="DG59" s="142"/>
      <c r="DH59" s="142"/>
      <c r="DI59" s="142"/>
      <c r="FL59" s="142"/>
      <c r="JG59" s="142"/>
      <c r="JH59" s="142"/>
      <c r="JI59" s="142"/>
      <c r="JJ59" s="142"/>
      <c r="ON59" s="142"/>
      <c r="OO59" s="142"/>
      <c r="OQ59" s="142"/>
      <c r="PE59" s="151"/>
      <c r="PI59" s="142"/>
      <c r="RL59" s="151"/>
      <c r="AGU59" s="142"/>
      <c r="AIJ59" s="142"/>
      <c r="AIK59" s="142"/>
      <c r="AIL59" s="142"/>
    </row>
    <row r="60" spans="1:14938" x14ac:dyDescent="0.25">
      <c r="B60" s="2305"/>
      <c r="C60" s="515" t="s">
        <v>66</v>
      </c>
      <c r="D60" s="76"/>
      <c r="E60" s="76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697"/>
      <c r="S60" s="693" t="s">
        <v>127</v>
      </c>
      <c r="T60" s="656" t="s">
        <v>127</v>
      </c>
      <c r="U60" s="747" t="s">
        <v>127</v>
      </c>
      <c r="V60" s="62"/>
      <c r="W60" s="1">
        <f>153073+111053</f>
        <v>264126</v>
      </c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Q60" s="62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CE60" s="1" t="s">
        <v>215</v>
      </c>
      <c r="CZ60" s="1"/>
      <c r="OO60" s="140">
        <v>678</v>
      </c>
    </row>
    <row r="61" spans="1:14938" x14ac:dyDescent="0.25">
      <c r="B61" s="2305"/>
      <c r="C61" s="517" t="s">
        <v>65</v>
      </c>
      <c r="D61" s="458">
        <v>94.2</v>
      </c>
      <c r="E61" s="508" t="s">
        <v>25</v>
      </c>
      <c r="F61" s="435">
        <f>'Januari 2026 PMG 2'!AM60</f>
        <v>95.376980853514652</v>
      </c>
      <c r="G61" s="435"/>
      <c r="H61" s="435"/>
      <c r="I61" s="435"/>
      <c r="J61" s="435"/>
      <c r="K61" s="270"/>
      <c r="L61" s="435"/>
      <c r="M61" s="435"/>
      <c r="N61" s="435"/>
      <c r="O61" s="435"/>
      <c r="P61" s="435"/>
      <c r="Q61" s="435"/>
      <c r="R61" s="698"/>
      <c r="S61" s="519">
        <f>(S21/(S12))*100</f>
        <v>95.171511948429625</v>
      </c>
      <c r="T61" s="520">
        <f>(T21/(T12))*100</f>
        <v>94.769966822822482</v>
      </c>
      <c r="U61" s="748"/>
      <c r="V61" s="782"/>
      <c r="W61" s="1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Q61" s="62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CZ61" s="1"/>
      <c r="OO61" s="140">
        <v>420</v>
      </c>
      <c r="OQ61" s="475">
        <f>OO61/OO60*100</f>
        <v>61.946902654867252</v>
      </c>
    </row>
    <row r="62" spans="1:14938" x14ac:dyDescent="0.25">
      <c r="B62" s="2305"/>
      <c r="C62" s="517" t="s">
        <v>64</v>
      </c>
      <c r="D62" s="458">
        <v>5</v>
      </c>
      <c r="E62" s="508" t="s">
        <v>25</v>
      </c>
      <c r="F62" s="435">
        <f>'Januari 2026 PMG 2'!AM61</f>
        <v>4.3675299772861962</v>
      </c>
      <c r="G62" s="435"/>
      <c r="H62" s="435"/>
      <c r="I62" s="435"/>
      <c r="J62" s="435"/>
      <c r="K62" s="270"/>
      <c r="L62" s="435"/>
      <c r="M62" s="435"/>
      <c r="N62" s="435"/>
      <c r="O62" s="435"/>
      <c r="P62" s="435"/>
      <c r="Q62" s="435"/>
      <c r="R62" s="698"/>
      <c r="S62" s="519">
        <f>(S22/(S12))*100</f>
        <v>4.23190458712347</v>
      </c>
      <c r="T62" s="520">
        <f>(T22/(T12))*100</f>
        <v>4.5147541139225487</v>
      </c>
      <c r="U62" s="748"/>
      <c r="V62" s="782"/>
      <c r="W62" s="1">
        <v>111053</v>
      </c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Q62" s="62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CZ62" s="1"/>
      <c r="OO62" s="140">
        <f>OO60-OO61</f>
        <v>258</v>
      </c>
      <c r="OQ62" s="475">
        <f>OO62/OO60*100</f>
        <v>38.053097345132741</v>
      </c>
    </row>
    <row r="63" spans="1:14938" x14ac:dyDescent="0.25">
      <c r="B63" s="2305"/>
      <c r="C63" s="517" t="s">
        <v>63</v>
      </c>
      <c r="D63" s="458">
        <v>82</v>
      </c>
      <c r="E63" s="508" t="s">
        <v>25</v>
      </c>
      <c r="F63" s="435">
        <f>'Januari 2026 PMG 2'!AM62</f>
        <v>82.828482216195397</v>
      </c>
      <c r="G63" s="435"/>
      <c r="H63" s="435"/>
      <c r="I63" s="435"/>
      <c r="J63" s="435"/>
      <c r="K63" s="270"/>
      <c r="L63" s="435"/>
      <c r="M63" s="435"/>
      <c r="N63" s="435"/>
      <c r="O63" s="435"/>
      <c r="P63" s="435"/>
      <c r="Q63" s="435"/>
      <c r="R63" s="698"/>
      <c r="S63" s="519">
        <f>(S31/S30)*100</f>
        <v>82.825694044577531</v>
      </c>
      <c r="T63" s="520">
        <f>(T31/T30)*100</f>
        <v>82.036627687232993</v>
      </c>
      <c r="U63" s="748"/>
      <c r="V63" s="782"/>
      <c r="W63" s="1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Q63" s="62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CZ63" s="1"/>
    </row>
    <row r="64" spans="1:14938" x14ac:dyDescent="0.25">
      <c r="B64" s="2305"/>
      <c r="C64" s="517" t="s">
        <v>62</v>
      </c>
      <c r="D64" s="458">
        <v>18</v>
      </c>
      <c r="E64" s="508" t="s">
        <v>25</v>
      </c>
      <c r="F64" s="435">
        <f>'Januari 2026 PMG 2'!AM63</f>
        <v>17.171517783804596</v>
      </c>
      <c r="G64" s="435"/>
      <c r="H64" s="435"/>
      <c r="I64" s="435"/>
      <c r="J64" s="435"/>
      <c r="K64" s="270"/>
      <c r="L64" s="435"/>
      <c r="M64" s="435"/>
      <c r="N64" s="435"/>
      <c r="O64" s="435"/>
      <c r="P64" s="435"/>
      <c r="Q64" s="435"/>
      <c r="R64" s="698"/>
      <c r="S64" s="519">
        <f>(S32/S30)*100</f>
        <v>17.174305955422469</v>
      </c>
      <c r="T64" s="520">
        <f>(T32/T30)*100</f>
        <v>17.963372312767007</v>
      </c>
      <c r="U64" s="748"/>
      <c r="V64" s="782"/>
      <c r="W64" s="3">
        <f>S76-W69</f>
        <v>-335809</v>
      </c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Q64" s="62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CZ64" s="1"/>
    </row>
    <row r="65" spans="2:922" hidden="1" x14ac:dyDescent="0.25">
      <c r="B65" s="2305"/>
      <c r="C65" s="517" t="s">
        <v>105</v>
      </c>
      <c r="D65" s="521">
        <v>75</v>
      </c>
      <c r="E65" s="508" t="s">
        <v>25</v>
      </c>
      <c r="F65" s="435"/>
      <c r="G65" s="435"/>
      <c r="H65" s="435"/>
      <c r="I65" s="435"/>
      <c r="J65" s="435"/>
      <c r="K65" s="435"/>
      <c r="L65" s="435"/>
      <c r="M65" s="435"/>
      <c r="N65" s="435"/>
      <c r="O65" s="435"/>
      <c r="P65" s="435"/>
      <c r="Q65" s="435"/>
      <c r="R65" s="698"/>
      <c r="S65" s="519" t="e">
        <f>(S35/S34)*100</f>
        <v>#DIV/0!</v>
      </c>
      <c r="T65" s="520">
        <v>75</v>
      </c>
      <c r="U65" s="748"/>
      <c r="V65" s="782"/>
      <c r="W65" s="302"/>
      <c r="X65" s="777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Q65" s="62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CZ65" s="1"/>
    </row>
    <row r="66" spans="2:922" hidden="1" x14ac:dyDescent="0.25">
      <c r="B66" s="2305"/>
      <c r="C66" s="517" t="s">
        <v>62</v>
      </c>
      <c r="D66" s="521">
        <v>25</v>
      </c>
      <c r="E66" s="508" t="s">
        <v>25</v>
      </c>
      <c r="F66" s="435"/>
      <c r="G66" s="435"/>
      <c r="H66" s="435"/>
      <c r="I66" s="435"/>
      <c r="J66" s="435"/>
      <c r="K66" s="435"/>
      <c r="L66" s="435"/>
      <c r="M66" s="435"/>
      <c r="N66" s="435"/>
      <c r="O66" s="435"/>
      <c r="P66" s="435"/>
      <c r="Q66" s="435"/>
      <c r="R66" s="698"/>
      <c r="S66" s="519" t="e">
        <f>(S36/S34)*100</f>
        <v>#DIV/0!</v>
      </c>
      <c r="T66" s="520">
        <v>25</v>
      </c>
      <c r="U66" s="748"/>
      <c r="V66" s="782"/>
      <c r="W66" s="302"/>
      <c r="X66" s="777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Q66" s="62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CZ66" s="1"/>
    </row>
    <row r="67" spans="2:922" hidden="1" x14ac:dyDescent="0.25">
      <c r="B67" s="2305"/>
      <c r="C67" s="517" t="s">
        <v>107</v>
      </c>
      <c r="D67" s="458">
        <v>75</v>
      </c>
      <c r="E67" s="508" t="s">
        <v>25</v>
      </c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35"/>
      <c r="R67" s="698"/>
      <c r="S67" s="519" t="e">
        <f>(S40/S39)*100</f>
        <v>#DIV/0!</v>
      </c>
      <c r="T67" s="520">
        <v>75</v>
      </c>
      <c r="U67" s="748"/>
      <c r="V67" s="782"/>
      <c r="W67" s="139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Q67" s="62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CZ67" s="1"/>
    </row>
    <row r="68" spans="2:922" hidden="1" x14ac:dyDescent="0.25">
      <c r="B68" s="2305"/>
      <c r="C68" s="517" t="s">
        <v>62</v>
      </c>
      <c r="D68" s="458">
        <v>25</v>
      </c>
      <c r="E68" s="508" t="s">
        <v>25</v>
      </c>
      <c r="F68" s="435"/>
      <c r="G68" s="435"/>
      <c r="H68" s="435"/>
      <c r="I68" s="435"/>
      <c r="J68" s="435"/>
      <c r="K68" s="435"/>
      <c r="L68" s="435"/>
      <c r="M68" s="435"/>
      <c r="N68" s="435"/>
      <c r="O68" s="435"/>
      <c r="P68" s="435"/>
      <c r="Q68" s="435"/>
      <c r="R68" s="520"/>
      <c r="S68" s="519" t="e">
        <f>(S41/S39)*100</f>
        <v>#DIV/0!</v>
      </c>
      <c r="T68" s="520">
        <v>25</v>
      </c>
      <c r="U68" s="748"/>
      <c r="V68" s="782"/>
      <c r="W68" s="1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Q68" s="62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CZ68" s="1"/>
      <c r="FM68" s="1">
        <v>95.03</v>
      </c>
    </row>
    <row r="69" spans="2:922" x14ac:dyDescent="0.25">
      <c r="B69" s="2305"/>
      <c r="C69" s="517" t="s">
        <v>110</v>
      </c>
      <c r="D69" s="458">
        <v>70</v>
      </c>
      <c r="E69" s="508" t="s">
        <v>25</v>
      </c>
      <c r="F69" s="435">
        <f>'Januari 2026 PMG 2'!AM68</f>
        <v>75.866495879241143</v>
      </c>
      <c r="G69" s="435"/>
      <c r="H69" s="435"/>
      <c r="I69" s="435"/>
      <c r="J69" s="435"/>
      <c r="K69" s="435"/>
      <c r="L69" s="435"/>
      <c r="M69" s="435"/>
      <c r="N69" s="435"/>
      <c r="O69" s="435"/>
      <c r="P69" s="435"/>
      <c r="Q69" s="435"/>
      <c r="R69" s="520"/>
      <c r="S69" s="519">
        <f>(S44/S43)*100</f>
        <v>75.930593715142408</v>
      </c>
      <c r="T69" s="520">
        <v>70</v>
      </c>
      <c r="U69" s="748"/>
      <c r="V69" s="782"/>
      <c r="W69" s="1">
        <v>722634</v>
      </c>
      <c r="X69" s="62"/>
      <c r="Y69" s="62"/>
      <c r="Z69" s="62"/>
      <c r="AA69" s="777"/>
      <c r="AB69" s="62"/>
      <c r="AC69" s="62"/>
      <c r="AD69" s="62"/>
      <c r="AE69" s="62"/>
      <c r="AF69" s="361"/>
      <c r="AG69" s="62"/>
      <c r="AH69" s="62"/>
      <c r="AI69" s="62"/>
      <c r="AJ69" s="62"/>
      <c r="AK69" s="62"/>
      <c r="AL69" s="62"/>
      <c r="AM69" s="62"/>
      <c r="AN69" s="62"/>
      <c r="AO69" s="62"/>
      <c r="AQ69" s="62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CZ69" s="1"/>
      <c r="FM69" s="1"/>
    </row>
    <row r="70" spans="2:922" x14ac:dyDescent="0.25">
      <c r="B70" s="2305"/>
      <c r="C70" s="517" t="s">
        <v>62</v>
      </c>
      <c r="D70" s="458">
        <v>30</v>
      </c>
      <c r="E70" s="508" t="s">
        <v>25</v>
      </c>
      <c r="F70" s="435">
        <f>'Januari 2026 PMG 2'!AM69</f>
        <v>24.133504120758847</v>
      </c>
      <c r="G70" s="435"/>
      <c r="H70" s="435"/>
      <c r="I70" s="435"/>
      <c r="J70" s="435"/>
      <c r="K70" s="435"/>
      <c r="L70" s="435"/>
      <c r="M70" s="435"/>
      <c r="N70" s="435"/>
      <c r="O70" s="435"/>
      <c r="P70" s="435"/>
      <c r="Q70" s="435"/>
      <c r="R70" s="520"/>
      <c r="S70" s="519">
        <f>(S45/S43)*100</f>
        <v>24.069406284857596</v>
      </c>
      <c r="T70" s="520">
        <v>30</v>
      </c>
      <c r="U70" s="748"/>
      <c r="V70" s="782"/>
      <c r="W70" s="1"/>
      <c r="X70" s="62"/>
      <c r="Y70" s="62"/>
      <c r="Z70" s="62"/>
      <c r="AA70" s="62"/>
      <c r="AB70" s="62"/>
      <c r="AC70" s="62"/>
      <c r="AD70" s="62"/>
      <c r="AE70" s="62"/>
      <c r="AF70" s="62"/>
      <c r="AG70" s="361"/>
      <c r="AH70" s="62"/>
      <c r="AI70" s="62"/>
      <c r="AJ70" s="62"/>
      <c r="AK70" s="62"/>
      <c r="AL70" s="62"/>
      <c r="AM70" s="62"/>
      <c r="AN70" s="62"/>
      <c r="AO70" s="62"/>
      <c r="AQ70" s="62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CZ70" s="1"/>
      <c r="FM70" s="1"/>
    </row>
    <row r="71" spans="2:922" hidden="1" x14ac:dyDescent="0.25">
      <c r="B71" s="2305"/>
      <c r="C71" s="517" t="s">
        <v>835</v>
      </c>
      <c r="D71" s="458">
        <v>70</v>
      </c>
      <c r="E71" s="508" t="s">
        <v>25</v>
      </c>
      <c r="F71" s="435"/>
      <c r="G71" s="435"/>
      <c r="H71" s="435"/>
      <c r="I71" s="435"/>
      <c r="J71" s="435"/>
      <c r="K71" s="435"/>
      <c r="L71" s="435"/>
      <c r="M71" s="435"/>
      <c r="N71" s="435"/>
      <c r="O71" s="435"/>
      <c r="P71" s="435"/>
      <c r="Q71" s="435"/>
      <c r="R71" s="520"/>
      <c r="S71" s="435"/>
      <c r="T71" s="520"/>
      <c r="U71" s="748"/>
      <c r="V71" s="782"/>
      <c r="W71" s="1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Q71" s="62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CZ71" s="1"/>
      <c r="FM71" s="1"/>
    </row>
    <row r="72" spans="2:922" hidden="1" x14ac:dyDescent="0.25">
      <c r="B72" s="2305"/>
      <c r="C72" s="517" t="s">
        <v>62</v>
      </c>
      <c r="D72" s="458">
        <v>30</v>
      </c>
      <c r="E72" s="508" t="s">
        <v>25</v>
      </c>
      <c r="F72" s="435"/>
      <c r="G72" s="435"/>
      <c r="H72" s="435"/>
      <c r="I72" s="435"/>
      <c r="J72" s="435"/>
      <c r="K72" s="435"/>
      <c r="L72" s="435"/>
      <c r="M72" s="435"/>
      <c r="N72" s="435"/>
      <c r="O72" s="435"/>
      <c r="P72" s="435"/>
      <c r="Q72" s="435"/>
      <c r="R72" s="520"/>
      <c r="S72" s="435"/>
      <c r="T72" s="520"/>
      <c r="U72" s="748"/>
      <c r="V72" s="782"/>
      <c r="W72" s="1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Q72" s="62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CZ72" s="1"/>
      <c r="FM72" s="1"/>
    </row>
    <row r="73" spans="2:922" hidden="1" x14ac:dyDescent="0.25">
      <c r="B73" s="2305"/>
      <c r="C73" s="517" t="s">
        <v>61</v>
      </c>
      <c r="D73" s="458">
        <v>60</v>
      </c>
      <c r="E73" s="508" t="s">
        <v>25</v>
      </c>
      <c r="F73" s="435" t="e">
        <f>'Januari 2026 PMG 2'!AB72</f>
        <v>#DIV/0!</v>
      </c>
      <c r="G73" s="435"/>
      <c r="H73" s="435"/>
      <c r="I73" s="435"/>
      <c r="J73" s="435"/>
      <c r="K73" s="435"/>
      <c r="L73" s="435"/>
      <c r="M73" s="435"/>
      <c r="N73" s="435"/>
      <c r="O73" s="435"/>
      <c r="P73" s="435"/>
      <c r="Q73" s="435"/>
      <c r="R73" s="698"/>
      <c r="S73" s="519" t="e">
        <f>(S55/S53)*100</f>
        <v>#DIV/0!</v>
      </c>
      <c r="T73" s="520">
        <f>T55/T53*100</f>
        <v>60.00488639139995</v>
      </c>
      <c r="U73" s="748"/>
      <c r="V73" s="782"/>
      <c r="W73" s="1">
        <f>153073+138655</f>
        <v>291728</v>
      </c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Q73" s="62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CZ73" s="1"/>
      <c r="FM73" s="1">
        <v>4.2300000000000004</v>
      </c>
      <c r="OQ73" s="140">
        <f>OQ74/94.2%</f>
        <v>1307.8556263269638</v>
      </c>
      <c r="OR73" s="1" t="s">
        <v>338</v>
      </c>
    </row>
    <row r="74" spans="2:922" hidden="1" x14ac:dyDescent="0.25">
      <c r="B74" s="2306"/>
      <c r="C74" s="517" t="s">
        <v>60</v>
      </c>
      <c r="D74" s="458">
        <v>40</v>
      </c>
      <c r="E74" s="508" t="s">
        <v>25</v>
      </c>
      <c r="F74" s="435" t="e">
        <f>'Januari 2026 PMG 2'!AB73</f>
        <v>#DIV/0!</v>
      </c>
      <c r="G74" s="435"/>
      <c r="H74" s="435"/>
      <c r="I74" s="435"/>
      <c r="J74" s="435"/>
      <c r="K74" s="435"/>
      <c r="L74" s="435"/>
      <c r="M74" s="435"/>
      <c r="N74" s="435"/>
      <c r="O74" s="435"/>
      <c r="P74" s="435"/>
      <c r="Q74" s="435"/>
      <c r="R74" s="520"/>
      <c r="S74" s="522" t="e">
        <f>(S56/S53)*100</f>
        <v>#DIV/0!</v>
      </c>
      <c r="T74" s="520">
        <f>T56/T53*100</f>
        <v>39.99511360860005</v>
      </c>
      <c r="U74" s="749"/>
      <c r="V74" s="782"/>
      <c r="W74" s="1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Q74" s="62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CZ74" s="1"/>
      <c r="FM74" s="1">
        <f>100-FM68-FM73</f>
        <v>0.73999999999999844</v>
      </c>
      <c r="OQ74" s="140">
        <f>22*56</f>
        <v>1232</v>
      </c>
      <c r="OR74" s="1" t="s">
        <v>339</v>
      </c>
    </row>
    <row r="75" spans="2:922" x14ac:dyDescent="0.25">
      <c r="B75" s="2304">
        <v>2</v>
      </c>
      <c r="C75" s="523" t="s">
        <v>59</v>
      </c>
      <c r="D75" s="76"/>
      <c r="E75" s="76"/>
      <c r="F75" s="50"/>
      <c r="G75" s="50"/>
      <c r="H75" s="524"/>
      <c r="I75" s="50"/>
      <c r="J75" s="50"/>
      <c r="K75" s="50"/>
      <c r="L75" s="50"/>
      <c r="M75" s="50"/>
      <c r="N75" s="50"/>
      <c r="O75" s="50"/>
      <c r="P75" s="50"/>
      <c r="Q75" s="50"/>
      <c r="R75" s="697"/>
      <c r="S75" s="587" t="s">
        <v>128</v>
      </c>
      <c r="T75" s="657" t="s">
        <v>128</v>
      </c>
      <c r="U75" s="750" t="s">
        <v>128</v>
      </c>
      <c r="V75" s="62"/>
      <c r="W75" s="1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Q75" s="62"/>
      <c r="AS75" s="1"/>
      <c r="AT75" s="1"/>
      <c r="AU75" s="1"/>
      <c r="AV75" s="1"/>
      <c r="AW75" s="3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40"/>
      <c r="BS75" s="1"/>
      <c r="BU75" s="1"/>
      <c r="BV75" s="1"/>
      <c r="BW75" s="1"/>
      <c r="BX75" s="1"/>
      <c r="CZ75" s="1"/>
      <c r="OQ75" s="140">
        <f>16.5*OQ73</f>
        <v>21579.617834394903</v>
      </c>
    </row>
    <row r="76" spans="2:922" x14ac:dyDescent="0.25">
      <c r="B76" s="2305"/>
      <c r="C76" s="457" t="s">
        <v>58</v>
      </c>
      <c r="D76" s="458">
        <v>9</v>
      </c>
      <c r="E76" s="490" t="s">
        <v>56</v>
      </c>
      <c r="F76" s="434">
        <f>'Januari 2026 PMG 1'!AM75+'Januari 2026 PMG 2'!AM75</f>
        <v>386825</v>
      </c>
      <c r="G76" s="434"/>
      <c r="H76" s="526"/>
      <c r="I76" s="434"/>
      <c r="J76" s="434"/>
      <c r="K76" s="434"/>
      <c r="L76" s="434"/>
      <c r="M76" s="434"/>
      <c r="N76" s="434"/>
      <c r="O76" s="434"/>
      <c r="P76" s="434"/>
      <c r="Q76" s="434"/>
      <c r="R76" s="697"/>
      <c r="S76" s="445">
        <f>SUM(F76:Q76)</f>
        <v>386825</v>
      </c>
      <c r="T76" s="647">
        <v>2767753</v>
      </c>
      <c r="U76" s="742">
        <f>S76/T76*100</f>
        <v>13.976138766717982</v>
      </c>
      <c r="V76" s="62"/>
      <c r="W76" s="3">
        <f>S76-611581</f>
        <v>-224756</v>
      </c>
      <c r="X76" s="62"/>
      <c r="Y76" s="62"/>
      <c r="Z76" s="62"/>
      <c r="AA76" s="62"/>
      <c r="AB76" s="361"/>
      <c r="AC76" s="62"/>
      <c r="AD76" s="62"/>
      <c r="AE76" s="62"/>
      <c r="AF76" s="777"/>
      <c r="AG76" s="62"/>
      <c r="AH76" s="62"/>
      <c r="AI76" s="62"/>
      <c r="AJ76" s="62"/>
      <c r="AK76" s="62"/>
      <c r="AL76" s="62"/>
      <c r="AM76" s="62"/>
      <c r="AN76" s="62"/>
      <c r="AO76" s="62"/>
      <c r="AQ76" s="62"/>
      <c r="AS76" s="1"/>
      <c r="AT76" s="1"/>
      <c r="AU76" s="1"/>
      <c r="AV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40"/>
      <c r="BS76" s="1"/>
      <c r="BU76" s="1"/>
      <c r="BV76" s="1"/>
      <c r="BW76" s="1"/>
      <c r="BX76" s="1"/>
      <c r="CZ76" s="1"/>
    </row>
    <row r="77" spans="2:922" x14ac:dyDescent="0.25">
      <c r="B77" s="2305"/>
      <c r="C77" s="527"/>
      <c r="D77" s="470"/>
      <c r="E77" s="490" t="s">
        <v>25</v>
      </c>
      <c r="F77" s="435">
        <f>'Januari 2026 PMG 2'!AM76+'Januari 2026 PMG 1'!AM76/F12</f>
        <v>0.67460296918004181</v>
      </c>
      <c r="G77" s="435"/>
      <c r="H77" s="435"/>
      <c r="I77" s="435"/>
      <c r="J77" s="435"/>
      <c r="K77" s="435"/>
      <c r="L77" s="435"/>
      <c r="M77" s="435"/>
      <c r="N77" s="435"/>
      <c r="O77" s="435"/>
      <c r="P77" s="435"/>
      <c r="Q77" s="435"/>
      <c r="R77" s="697"/>
      <c r="S77" s="519">
        <f>S76/(S12)*100</f>
        <v>0.67959278227753439</v>
      </c>
      <c r="T77" s="658">
        <v>0.8</v>
      </c>
      <c r="U77" s="751">
        <v>0</v>
      </c>
      <c r="V77" s="777"/>
      <c r="W77" s="139"/>
      <c r="X77" s="62"/>
      <c r="Y77" s="777"/>
      <c r="Z77" s="62"/>
      <c r="AA77" s="62"/>
      <c r="AB77" s="62"/>
      <c r="AC77" s="62"/>
      <c r="AD77" s="62"/>
      <c r="AE77" s="361"/>
      <c r="AF77" s="777"/>
      <c r="AG77" s="62"/>
      <c r="AH77" s="62"/>
      <c r="AI77" s="62"/>
      <c r="AJ77" s="62"/>
      <c r="AK77" s="62"/>
      <c r="AL77" s="62"/>
      <c r="AM77" s="62"/>
      <c r="AN77" s="62"/>
      <c r="AO77" s="62"/>
      <c r="AQ77" s="62"/>
      <c r="AS77" s="1"/>
      <c r="AT77" s="1"/>
      <c r="AU77" s="1"/>
      <c r="AV77" s="1"/>
      <c r="AW77" s="139">
        <f>S77*10</f>
        <v>6.7959278227753437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4"/>
      <c r="BS77" s="1"/>
      <c r="BU77" s="1"/>
      <c r="BV77" s="1"/>
      <c r="BW77" s="1"/>
      <c r="BX77" s="1"/>
      <c r="CZ77" s="1"/>
      <c r="FM77" s="475" t="e">
        <f>#REF!*10</f>
        <v>#REF!</v>
      </c>
      <c r="ON77" s="475"/>
      <c r="OQ77" s="140">
        <f>OQ73+(S52/1000)</f>
        <v>1307.8556263269638</v>
      </c>
      <c r="OR77" s="140" t="s">
        <v>340</v>
      </c>
    </row>
    <row r="78" spans="2:922" hidden="1" x14ac:dyDescent="0.25">
      <c r="B78" s="2305"/>
      <c r="C78" s="528" t="s">
        <v>57</v>
      </c>
      <c r="D78" s="529">
        <v>16</v>
      </c>
      <c r="E78" s="530" t="s">
        <v>56</v>
      </c>
      <c r="F78" s="531"/>
      <c r="G78" s="531"/>
      <c r="H78" s="532"/>
      <c r="I78" s="531"/>
      <c r="J78" s="531"/>
      <c r="K78" s="531"/>
      <c r="L78" s="531"/>
      <c r="M78" s="531"/>
      <c r="N78" s="531"/>
      <c r="O78" s="531"/>
      <c r="P78" s="531"/>
      <c r="Q78" s="531"/>
      <c r="R78" s="697"/>
      <c r="S78" s="533">
        <f>SUM(F78:Q78)</f>
        <v>0</v>
      </c>
      <c r="T78" s="659">
        <v>1357284</v>
      </c>
      <c r="U78" s="742">
        <f>S78/T78*100</f>
        <v>0</v>
      </c>
      <c r="V78" s="62"/>
      <c r="W78" s="1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Q78" s="62"/>
      <c r="AS78" s="428"/>
      <c r="AT78" s="428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U78" s="1"/>
      <c r="BV78" s="1"/>
      <c r="BW78" s="140"/>
      <c r="BX78" s="1"/>
      <c r="CZ78" s="1"/>
      <c r="DE78" s="5"/>
      <c r="DF78" s="140"/>
      <c r="DG78" s="140"/>
      <c r="DH78" s="140"/>
      <c r="DI78" s="140"/>
      <c r="FL78" s="140"/>
      <c r="FM78" s="475"/>
      <c r="JG78" s="140"/>
      <c r="JH78" s="140"/>
      <c r="JI78" s="140"/>
      <c r="JJ78" s="140"/>
      <c r="ON78" s="140"/>
      <c r="OO78" s="140"/>
      <c r="OQ78" s="140">
        <f>OQ75+S78</f>
        <v>21579.617834394903</v>
      </c>
      <c r="OR78" s="140" t="s">
        <v>341</v>
      </c>
      <c r="PE78" s="475"/>
      <c r="PI78" s="140"/>
      <c r="RL78" s="475"/>
      <c r="AGU78" s="140"/>
      <c r="AIJ78" s="140"/>
      <c r="AIK78" s="140"/>
      <c r="AIL78" s="140"/>
    </row>
    <row r="79" spans="2:922" hidden="1" x14ac:dyDescent="0.25">
      <c r="B79" s="2305"/>
      <c r="C79" s="534"/>
      <c r="D79" s="535"/>
      <c r="E79" s="536" t="s">
        <v>25</v>
      </c>
      <c r="F79" s="435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697"/>
      <c r="S79" s="688" t="e">
        <f>S78/(S14)*100</f>
        <v>#DIV/0!</v>
      </c>
      <c r="T79" s="660">
        <v>1.8</v>
      </c>
      <c r="U79" s="752">
        <v>0</v>
      </c>
      <c r="V79" s="777"/>
      <c r="W79" s="139"/>
      <c r="X79" s="62"/>
      <c r="Y79" s="777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Q79" s="62"/>
      <c r="AS79" s="428"/>
      <c r="AT79" s="428"/>
      <c r="AU79" s="1"/>
      <c r="AV79" s="1"/>
      <c r="AW79" s="139" t="e">
        <f>S79*10</f>
        <v>#DIV/0!</v>
      </c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4"/>
      <c r="BS79" s="1"/>
      <c r="BU79" s="1"/>
      <c r="BV79" s="1"/>
      <c r="BW79" s="140"/>
      <c r="BX79" s="1"/>
      <c r="CZ79" s="1"/>
      <c r="DE79" s="5"/>
      <c r="DF79" s="140"/>
      <c r="DG79" s="140"/>
      <c r="DH79" s="140"/>
      <c r="DI79" s="140"/>
      <c r="FL79" s="140"/>
      <c r="FM79" s="475"/>
      <c r="JG79" s="140"/>
      <c r="JH79" s="140"/>
      <c r="JI79" s="140"/>
      <c r="JJ79" s="140"/>
      <c r="ON79" s="475"/>
      <c r="OO79" s="140"/>
      <c r="OQ79" s="538">
        <f>OQ78/OQ77</f>
        <v>16.5</v>
      </c>
      <c r="OR79" s="539" t="s">
        <v>244</v>
      </c>
      <c r="PE79" s="475"/>
      <c r="PI79" s="140"/>
      <c r="RL79" s="475"/>
      <c r="AGU79" s="140"/>
      <c r="AIJ79" s="140"/>
      <c r="AIK79" s="140"/>
      <c r="AIL79" s="140"/>
    </row>
    <row r="80" spans="2:922" x14ac:dyDescent="0.25">
      <c r="B80" s="2305"/>
      <c r="C80" s="457" t="s">
        <v>55</v>
      </c>
      <c r="D80" s="458">
        <v>0.6</v>
      </c>
      <c r="E80" s="490" t="s">
        <v>14</v>
      </c>
      <c r="F80" s="2153">
        <f>'Januari 2026 PMG 2'!AM86+'Januari 2026 PMG 1'!AM86</f>
        <v>33324.695999999996</v>
      </c>
      <c r="G80" s="434"/>
      <c r="H80" s="526"/>
      <c r="I80" s="434"/>
      <c r="J80" s="434"/>
      <c r="K80" s="434"/>
      <c r="L80" s="434"/>
      <c r="M80" s="525"/>
      <c r="N80" s="525"/>
      <c r="O80" s="525"/>
      <c r="P80" s="525"/>
      <c r="Q80" s="2150"/>
      <c r="R80" s="697"/>
      <c r="S80" s="533">
        <f>SUM(F80:Q80)</f>
        <v>33324.695999999996</v>
      </c>
      <c r="T80" s="659">
        <v>252824</v>
      </c>
      <c r="U80" s="753">
        <f>SUM(H80:S80)</f>
        <v>33324.695999999996</v>
      </c>
      <c r="V80" s="510"/>
      <c r="W80" s="1"/>
      <c r="X80" s="62"/>
      <c r="Y80" s="777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Q80" s="62"/>
      <c r="AS80" s="1"/>
      <c r="AT80" s="1"/>
      <c r="AU80" s="1"/>
      <c r="AV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U80" s="1"/>
      <c r="BV80" s="1"/>
      <c r="BW80" s="1"/>
      <c r="BX80" s="1"/>
      <c r="CZ80" s="1"/>
      <c r="FM80" s="475"/>
      <c r="OQ80" s="475">
        <v>16</v>
      </c>
      <c r="OR80" s="1" t="s">
        <v>342</v>
      </c>
    </row>
    <row r="81" spans="2:935" x14ac:dyDescent="0.25">
      <c r="B81" s="2306"/>
      <c r="C81" s="540"/>
      <c r="D81" s="470"/>
      <c r="E81" s="541" t="s">
        <v>25</v>
      </c>
      <c r="F81" s="542">
        <f>'Januari 2026 PMG 2'!G87+'Januari 2026 PMG 1'!AM87/F12</f>
        <v>5.3511216676916239E-2</v>
      </c>
      <c r="G81" s="542"/>
      <c r="H81" s="542"/>
      <c r="I81" s="542"/>
      <c r="J81" s="542"/>
      <c r="K81" s="542"/>
      <c r="L81" s="542"/>
      <c r="M81" s="542"/>
      <c r="N81" s="542"/>
      <c r="O81" s="542"/>
      <c r="P81" s="542"/>
      <c r="Q81" s="542"/>
      <c r="R81" s="700"/>
      <c r="S81" s="299">
        <f>S80/(S12+71450)*100</f>
        <v>5.8473030904256949E-2</v>
      </c>
      <c r="T81" s="661">
        <v>0.06</v>
      </c>
      <c r="U81" s="754">
        <f>U80/(U12+71450)*100</f>
        <v>46.640494047595041</v>
      </c>
      <c r="V81" s="62"/>
      <c r="W81" s="139"/>
      <c r="X81" s="62"/>
      <c r="Y81" s="777"/>
      <c r="Z81" s="62"/>
      <c r="AA81" s="62"/>
      <c r="AB81" s="62"/>
      <c r="AC81" s="62"/>
      <c r="AD81" s="62"/>
      <c r="AE81" s="777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Q81" s="62"/>
      <c r="AS81" s="1"/>
      <c r="AT81" s="1"/>
      <c r="AU81" s="1"/>
      <c r="AV81" s="1"/>
      <c r="AW81" s="139">
        <f>S81*10</f>
        <v>0.58473030904256951</v>
      </c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U81" s="1"/>
      <c r="BV81" s="1"/>
      <c r="BW81" s="1"/>
      <c r="BX81" s="1"/>
      <c r="CZ81" s="1"/>
      <c r="FM81" s="475" t="e">
        <f>#REF!*10</f>
        <v>#REF!</v>
      </c>
      <c r="ON81" s="475"/>
      <c r="OQ81" s="475">
        <f>OQ79-OQ80</f>
        <v>0.5</v>
      </c>
      <c r="OR81" s="1" t="s">
        <v>343</v>
      </c>
    </row>
    <row r="82" spans="2:935" x14ac:dyDescent="0.25">
      <c r="B82" s="701">
        <v>3</v>
      </c>
      <c r="C82" s="2046" t="s">
        <v>344</v>
      </c>
      <c r="D82" s="2047">
        <v>0.8</v>
      </c>
      <c r="E82" s="2048" t="s">
        <v>25</v>
      </c>
      <c r="F82" s="2177">
        <f>(('Januari 2026 PMG 2'!AM89+'Januari 2026 PMG 1'!AM89)/F12)*100</f>
        <v>-0.59658346444691013</v>
      </c>
      <c r="G82" s="2049"/>
      <c r="H82" s="2049"/>
      <c r="I82" s="2049"/>
      <c r="J82" s="2049"/>
      <c r="K82" s="2049"/>
      <c r="L82" s="2049"/>
      <c r="M82" s="2049"/>
      <c r="N82" s="2049"/>
      <c r="O82" s="2049"/>
      <c r="P82" s="2049"/>
      <c r="Q82" s="2049"/>
      <c r="R82" s="698"/>
      <c r="S82" s="2105">
        <f>((SUM(S21:S22))-(SUM(S12)))/SUM(S12)*100</f>
        <v>-0.59658346444691013</v>
      </c>
      <c r="T82" s="662">
        <f>((SUM(T21:T22))-(SUM(T12)))/(SUM(T12))*100</f>
        <v>-0.71527906325497059</v>
      </c>
      <c r="U82" s="740">
        <f>S82/T82*100</f>
        <v>83.405693678783123</v>
      </c>
      <c r="V82" s="782"/>
      <c r="W82" s="1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Q82" s="62"/>
      <c r="AS82" s="774"/>
      <c r="AT82" s="774"/>
      <c r="AU82" s="1"/>
      <c r="AV82" s="1"/>
      <c r="AW82" s="136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U82" s="1"/>
      <c r="BV82" s="1"/>
      <c r="BW82" s="142"/>
      <c r="BX82" s="1"/>
      <c r="CZ82" s="1"/>
      <c r="DE82" s="510"/>
      <c r="DF82" s="142"/>
      <c r="DG82" s="142"/>
      <c r="DH82" s="142"/>
      <c r="DI82" s="142"/>
      <c r="FL82" s="142"/>
      <c r="JG82" s="142"/>
      <c r="JH82" s="142"/>
      <c r="JI82" s="142"/>
      <c r="JJ82" s="142"/>
      <c r="ON82" s="142"/>
      <c r="OO82" s="142"/>
      <c r="OQ82" s="475"/>
      <c r="PE82" s="151"/>
      <c r="PI82" s="142"/>
      <c r="RL82" s="151"/>
      <c r="AGU82" s="142"/>
      <c r="AIJ82" s="142"/>
      <c r="AIK82" s="142"/>
      <c r="AIL82" s="142"/>
    </row>
    <row r="83" spans="2:935" x14ac:dyDescent="0.25">
      <c r="B83" s="2169"/>
      <c r="C83" s="2170"/>
      <c r="D83" s="2171"/>
      <c r="E83" s="2172" t="s">
        <v>14</v>
      </c>
      <c r="F83" s="2176">
        <f>'Januari 2026 PMG 2'!AM89+'Januari 2026 PMG 1'!AM89</f>
        <v>-339576</v>
      </c>
      <c r="G83" s="2173"/>
      <c r="H83" s="2173"/>
      <c r="I83" s="2173"/>
      <c r="J83" s="2173"/>
      <c r="K83" s="2173"/>
      <c r="L83" s="2173"/>
      <c r="M83" s="2173"/>
      <c r="N83" s="2173"/>
      <c r="O83" s="2173"/>
      <c r="P83" s="2173"/>
      <c r="Q83" s="2173"/>
      <c r="R83" s="698"/>
      <c r="S83" s="2174"/>
      <c r="T83" s="2175"/>
      <c r="U83" s="740"/>
      <c r="V83" s="782"/>
      <c r="W83" s="1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Q83" s="62"/>
      <c r="AS83" s="774"/>
      <c r="AT83" s="774"/>
      <c r="AU83" s="1"/>
      <c r="AV83" s="1"/>
      <c r="AW83" s="136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U83" s="1"/>
      <c r="BV83" s="1"/>
      <c r="BW83" s="142"/>
      <c r="BX83" s="1"/>
      <c r="CZ83" s="1"/>
      <c r="DE83" s="510"/>
      <c r="DF83" s="142"/>
      <c r="DG83" s="142"/>
      <c r="DH83" s="142"/>
      <c r="DI83" s="142"/>
      <c r="FL83" s="142"/>
      <c r="JG83" s="142"/>
      <c r="JH83" s="142"/>
      <c r="JI83" s="142"/>
      <c r="JJ83" s="142"/>
      <c r="ON83" s="142"/>
      <c r="OO83" s="142"/>
      <c r="OQ83" s="475"/>
      <c r="PE83" s="151"/>
      <c r="PI83" s="142"/>
      <c r="RL83" s="151"/>
      <c r="AGU83" s="142"/>
      <c r="AIJ83" s="142"/>
      <c r="AIK83" s="142"/>
      <c r="AIL83" s="142"/>
    </row>
    <row r="84" spans="2:935" x14ac:dyDescent="0.25">
      <c r="B84" s="702"/>
      <c r="C84" s="517" t="s">
        <v>54</v>
      </c>
      <c r="D84" s="543">
        <v>22</v>
      </c>
      <c r="E84" s="508" t="s">
        <v>25</v>
      </c>
      <c r="F84" s="435">
        <f>'Januari 2026 PMG 2'!AM90</f>
        <v>17.46</v>
      </c>
      <c r="G84" s="435"/>
      <c r="H84" s="435"/>
      <c r="I84" s="435"/>
      <c r="J84" s="435"/>
      <c r="K84" s="435"/>
      <c r="L84" s="435"/>
      <c r="M84" s="435"/>
      <c r="N84" s="435"/>
      <c r="O84" s="435"/>
      <c r="P84" s="435"/>
      <c r="Q84" s="435"/>
      <c r="R84" s="698"/>
      <c r="S84" s="84" t="e">
        <f>AVERAGE(G84:K84)</f>
        <v>#DIV/0!</v>
      </c>
      <c r="T84" s="663">
        <v>22</v>
      </c>
      <c r="U84" s="746" t="e">
        <f>AVERAGE(H84:S84)</f>
        <v>#DIV/0!</v>
      </c>
      <c r="V84" s="62"/>
      <c r="W84" s="1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Q84" s="62"/>
      <c r="AS84" s="774"/>
      <c r="AT84" s="774"/>
      <c r="AU84" s="1"/>
      <c r="AV84" s="1"/>
      <c r="AW84" s="62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U84" s="1"/>
      <c r="BV84" s="1"/>
      <c r="BW84" s="142"/>
      <c r="BX84" s="1"/>
      <c r="CZ84" s="1"/>
      <c r="DE84" s="510"/>
      <c r="DF84" s="142"/>
      <c r="DG84" s="142"/>
      <c r="DH84" s="142"/>
      <c r="DI84" s="142"/>
      <c r="FL84" s="142"/>
      <c r="JG84" s="142"/>
      <c r="JH84" s="142"/>
      <c r="JI84" s="142"/>
      <c r="JJ84" s="142"/>
      <c r="ON84" s="142"/>
      <c r="OO84" s="142"/>
      <c r="OQ84" s="142"/>
      <c r="PE84" s="151"/>
      <c r="PI84" s="142"/>
      <c r="RL84" s="151"/>
      <c r="AGU84" s="142"/>
      <c r="AIJ84" s="142"/>
      <c r="AIK84" s="142"/>
      <c r="AIL84" s="142"/>
    </row>
    <row r="85" spans="2:935" x14ac:dyDescent="0.25">
      <c r="B85" s="703"/>
      <c r="C85" s="544" t="s">
        <v>53</v>
      </c>
      <c r="D85" s="470"/>
      <c r="E85" s="545" t="s">
        <v>14</v>
      </c>
      <c r="F85" s="435">
        <f>'Januari 2026 PMG 2'!AM91</f>
        <v>273050.09750999999</v>
      </c>
      <c r="G85" s="435"/>
      <c r="H85" s="435"/>
      <c r="I85" s="435"/>
      <c r="J85" s="435"/>
      <c r="K85" s="435"/>
      <c r="L85" s="435"/>
      <c r="M85" s="435"/>
      <c r="N85" s="435"/>
      <c r="O85" s="435"/>
      <c r="P85" s="435"/>
      <c r="Q85" s="435"/>
      <c r="R85" s="698"/>
      <c r="S85" s="546" t="e">
        <f>SUM(S76,S78)+(S84%*SUM(S76,S78))</f>
        <v>#DIV/0!</v>
      </c>
      <c r="T85" s="664">
        <v>7811279</v>
      </c>
      <c r="U85" s="755" t="e">
        <f>SUM(U76,U78)+(U84%*SUM(U76,U78))</f>
        <v>#DIV/0!</v>
      </c>
      <c r="V85" s="783"/>
      <c r="W85" s="6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Q85" s="62"/>
      <c r="AW85" s="62"/>
      <c r="BF85" s="142"/>
      <c r="BG85" s="142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CJ85" s="142"/>
      <c r="CZ85" s="1"/>
      <c r="DR85" s="510"/>
      <c r="DS85" s="142"/>
      <c r="DT85" s="142"/>
      <c r="DU85" s="142"/>
      <c r="DV85" s="142"/>
      <c r="FY85" s="142"/>
      <c r="FZ85" s="361">
        <f>W85+400</f>
        <v>400</v>
      </c>
      <c r="JT85" s="142"/>
      <c r="JU85" s="142"/>
      <c r="JV85" s="142"/>
      <c r="JW85" s="142"/>
      <c r="PA85" s="142"/>
      <c r="PB85" s="142"/>
      <c r="PD85" s="142"/>
      <c r="PR85" s="151"/>
      <c r="PV85" s="142"/>
      <c r="RY85" s="151"/>
      <c r="AHH85" s="142"/>
      <c r="AIW85" s="142"/>
      <c r="AIX85" s="142"/>
      <c r="AIY85" s="142"/>
    </row>
    <row r="86" spans="2:935" hidden="1" x14ac:dyDescent="0.25">
      <c r="B86" s="704">
        <v>5</v>
      </c>
      <c r="C86" s="414" t="s">
        <v>52</v>
      </c>
      <c r="D86" s="48"/>
      <c r="E86" s="48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3"/>
      <c r="S86" s="516" t="s">
        <v>129</v>
      </c>
      <c r="T86" s="656" t="s">
        <v>129</v>
      </c>
      <c r="U86" s="747" t="s">
        <v>129</v>
      </c>
      <c r="W86" s="1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Q86" s="62"/>
      <c r="AW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CZ86" s="1"/>
      <c r="FW86" s="3">
        <v>17292</v>
      </c>
      <c r="OX86" s="140" t="e">
        <f>#REF!-FW86</f>
        <v>#REF!</v>
      </c>
    </row>
    <row r="87" spans="2:935" hidden="1" x14ac:dyDescent="0.25">
      <c r="B87" s="705"/>
      <c r="C87" s="547" t="s">
        <v>51</v>
      </c>
      <c r="D87" s="548"/>
      <c r="E87" s="12" t="s">
        <v>14</v>
      </c>
      <c r="F87" s="549"/>
      <c r="G87" s="549"/>
      <c r="H87" s="549"/>
      <c r="I87" s="549"/>
      <c r="J87" s="549"/>
      <c r="K87" s="549"/>
      <c r="L87" s="549"/>
      <c r="M87" s="549"/>
      <c r="N87" s="549"/>
      <c r="O87" s="549"/>
      <c r="P87" s="549"/>
      <c r="Q87" s="549"/>
      <c r="R87" s="27"/>
      <c r="S87" s="89">
        <f>SUM(F87:Q87)</f>
        <v>0</v>
      </c>
      <c r="T87" s="665">
        <f>SUM(G87:R87)</f>
        <v>0</v>
      </c>
      <c r="U87" s="740" t="e">
        <f>(S87/T87)*100</f>
        <v>#DIV/0!</v>
      </c>
      <c r="W87" s="1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Q87" s="62"/>
      <c r="AW87" s="2"/>
      <c r="BC87" s="145"/>
      <c r="BD87" s="145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CG87" s="145"/>
      <c r="CZ87" s="1"/>
      <c r="DO87" s="430"/>
      <c r="DP87" s="145"/>
      <c r="DQ87" s="145"/>
      <c r="DR87" s="145"/>
      <c r="DS87" s="145"/>
      <c r="FV87" s="145"/>
      <c r="JQ87" s="145"/>
      <c r="JR87" s="145"/>
      <c r="JS87" s="145"/>
      <c r="JT87" s="145"/>
      <c r="OX87" s="145"/>
      <c r="OY87" s="145"/>
      <c r="PA87" s="145"/>
      <c r="PO87" s="550"/>
      <c r="PS87" s="145"/>
      <c r="RV87" s="550"/>
      <c r="AHE87" s="150"/>
      <c r="AIT87" s="150"/>
      <c r="AIU87" s="150"/>
      <c r="AIV87" s="150"/>
    </row>
    <row r="88" spans="2:935" hidden="1" x14ac:dyDescent="0.25">
      <c r="B88" s="706"/>
      <c r="C88" s="551" t="s">
        <v>46</v>
      </c>
      <c r="D88" s="552"/>
      <c r="E88" s="553" t="s">
        <v>14</v>
      </c>
      <c r="F88" s="554"/>
      <c r="G88" s="554"/>
      <c r="H88" s="554"/>
      <c r="I88" s="554"/>
      <c r="J88" s="554"/>
      <c r="K88" s="554"/>
      <c r="L88" s="554"/>
      <c r="M88" s="554"/>
      <c r="N88" s="554"/>
      <c r="O88" s="554"/>
      <c r="P88" s="554"/>
      <c r="Q88" s="554"/>
      <c r="R88" s="707"/>
      <c r="S88" s="89">
        <f>SUM(S89:S91)</f>
        <v>0</v>
      </c>
      <c r="T88" s="665">
        <f>SUM(T89:T91)</f>
        <v>32269045.619999997</v>
      </c>
      <c r="U88" s="740">
        <f>(S88/T88)*100</f>
        <v>0</v>
      </c>
      <c r="W88" s="79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555"/>
      <c r="DP88" s="17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72"/>
      <c r="FV88" s="172"/>
      <c r="FW88" s="172"/>
      <c r="FX88" s="172"/>
      <c r="FY88" s="172"/>
      <c r="FZ88" s="172"/>
      <c r="GA88" s="172"/>
      <c r="GB88" s="172"/>
      <c r="GC88" s="172"/>
      <c r="GD88" s="172"/>
      <c r="GE88" s="172"/>
      <c r="GF88" s="172"/>
      <c r="GG88" s="172"/>
      <c r="GH88" s="172"/>
      <c r="GI88" s="172"/>
      <c r="GJ88" s="172"/>
      <c r="GK88" s="172"/>
      <c r="GL88" s="172"/>
      <c r="GM88" s="172"/>
      <c r="GN88" s="172"/>
      <c r="GO88" s="172"/>
      <c r="GP88" s="172"/>
      <c r="GQ88" s="172"/>
      <c r="GR88" s="172"/>
      <c r="GS88" s="172"/>
      <c r="GT88" s="172"/>
      <c r="GU88" s="172"/>
      <c r="GV88" s="172"/>
      <c r="GW88" s="172"/>
      <c r="GX88" s="172"/>
      <c r="GY88" s="172"/>
      <c r="GZ88" s="172"/>
      <c r="HA88" s="172"/>
      <c r="HB88" s="172"/>
      <c r="HC88" s="172"/>
      <c r="HD88" s="172"/>
      <c r="HE88" s="172"/>
      <c r="HF88" s="172"/>
      <c r="HG88" s="172"/>
      <c r="HH88" s="172"/>
      <c r="HI88" s="172"/>
      <c r="HJ88" s="172"/>
      <c r="HK88" s="172"/>
      <c r="HL88" s="172"/>
      <c r="HM88" s="172"/>
      <c r="HN88" s="172"/>
      <c r="HO88" s="172"/>
      <c r="HP88" s="172"/>
      <c r="HQ88" s="172"/>
      <c r="HR88" s="172"/>
      <c r="HS88" s="172"/>
      <c r="HT88" s="172"/>
      <c r="HU88" s="172"/>
      <c r="HV88" s="172"/>
      <c r="HW88" s="172"/>
      <c r="HX88" s="172"/>
      <c r="HY88" s="172"/>
      <c r="HZ88" s="172"/>
      <c r="IA88" s="172"/>
      <c r="IB88" s="172"/>
      <c r="IC88" s="172"/>
      <c r="ID88" s="172"/>
      <c r="IE88" s="172"/>
      <c r="IF88" s="172"/>
      <c r="IG88" s="172"/>
      <c r="IH88" s="172"/>
      <c r="II88" s="172"/>
      <c r="IJ88" s="172"/>
      <c r="IK88" s="172"/>
      <c r="IL88" s="172"/>
      <c r="IM88" s="172"/>
      <c r="IN88" s="172"/>
      <c r="IO88" s="172"/>
      <c r="IP88" s="172"/>
      <c r="IQ88" s="172"/>
      <c r="IR88" s="172"/>
      <c r="IS88" s="172"/>
      <c r="IT88" s="172"/>
      <c r="IU88" s="172"/>
      <c r="IV88" s="172"/>
      <c r="IW88" s="172"/>
      <c r="IX88" s="172"/>
      <c r="IY88" s="172"/>
      <c r="IZ88" s="172"/>
      <c r="JA88" s="172"/>
      <c r="JB88" s="172"/>
      <c r="JC88" s="172"/>
      <c r="JD88" s="172"/>
      <c r="JE88" s="172"/>
      <c r="JF88" s="172"/>
      <c r="JG88" s="172"/>
      <c r="JH88" s="172"/>
      <c r="JI88" s="172"/>
      <c r="JJ88" s="172"/>
      <c r="JK88" s="172"/>
      <c r="JL88" s="172"/>
      <c r="JM88" s="172"/>
      <c r="JN88" s="172"/>
      <c r="JO88" s="172"/>
      <c r="JP88" s="172"/>
      <c r="JQ88" s="172"/>
      <c r="JR88" s="172"/>
      <c r="JS88" s="172"/>
      <c r="JT88" s="172"/>
      <c r="JU88" s="172"/>
      <c r="JV88" s="172"/>
      <c r="JW88" s="172"/>
      <c r="JX88" s="172"/>
      <c r="JY88" s="172"/>
      <c r="JZ88" s="172"/>
      <c r="KA88" s="172"/>
      <c r="KB88" s="172"/>
      <c r="KC88" s="172"/>
      <c r="KD88" s="172"/>
      <c r="KE88" s="172"/>
      <c r="KF88" s="172"/>
      <c r="KG88" s="172"/>
      <c r="KH88" s="172"/>
      <c r="KI88" s="172"/>
      <c r="KJ88" s="172"/>
      <c r="KK88" s="172"/>
      <c r="KL88" s="172"/>
      <c r="KM88" s="172"/>
      <c r="KN88" s="172"/>
      <c r="KO88" s="172"/>
      <c r="KP88" s="172"/>
      <c r="KQ88" s="172"/>
      <c r="KR88" s="172"/>
      <c r="KS88" s="172"/>
      <c r="KT88" s="172"/>
      <c r="KU88" s="172"/>
      <c r="KV88" s="172"/>
      <c r="KW88" s="172"/>
      <c r="KX88" s="172"/>
      <c r="KY88" s="172"/>
      <c r="KZ88" s="172"/>
      <c r="LA88" s="172"/>
      <c r="LB88" s="172"/>
      <c r="LC88" s="172"/>
      <c r="LD88" s="172"/>
      <c r="LE88" s="172"/>
      <c r="LF88" s="172"/>
      <c r="LG88" s="172"/>
      <c r="LH88" s="172"/>
      <c r="LI88" s="172"/>
      <c r="LJ88" s="172"/>
      <c r="LK88" s="172"/>
      <c r="LL88" s="172"/>
      <c r="LM88" s="172"/>
      <c r="LN88" s="172"/>
      <c r="LO88" s="172"/>
      <c r="LP88" s="172"/>
      <c r="LQ88" s="172"/>
      <c r="LR88" s="172"/>
      <c r="LS88" s="172"/>
      <c r="LT88" s="172"/>
      <c r="LU88" s="172"/>
      <c r="LV88" s="172"/>
      <c r="LW88" s="172"/>
      <c r="LX88" s="172"/>
      <c r="LY88" s="172"/>
      <c r="LZ88" s="172"/>
      <c r="MA88" s="172"/>
      <c r="MB88" s="172"/>
      <c r="MC88" s="172"/>
      <c r="MD88" s="172"/>
      <c r="ME88" s="172"/>
      <c r="MF88" s="172"/>
      <c r="MG88" s="172"/>
      <c r="MH88" s="172"/>
      <c r="MI88" s="172"/>
      <c r="MJ88" s="172"/>
      <c r="MK88" s="172"/>
      <c r="ML88" s="172"/>
      <c r="MM88" s="172"/>
      <c r="MN88" s="172"/>
      <c r="MO88" s="172"/>
      <c r="MP88" s="172"/>
      <c r="MQ88" s="172"/>
      <c r="MR88" s="172"/>
      <c r="MS88" s="172"/>
      <c r="MT88" s="172"/>
      <c r="MU88" s="172"/>
      <c r="MV88" s="172"/>
      <c r="MW88" s="172"/>
      <c r="MX88" s="172"/>
      <c r="MY88" s="172"/>
      <c r="MZ88" s="172"/>
      <c r="NA88" s="172"/>
      <c r="NB88" s="172"/>
      <c r="NC88" s="172"/>
      <c r="ND88" s="172"/>
      <c r="NE88" s="172"/>
      <c r="NF88" s="172"/>
      <c r="NG88" s="172"/>
      <c r="NH88" s="172"/>
      <c r="NI88" s="172"/>
      <c r="NJ88" s="172"/>
      <c r="NK88" s="172"/>
      <c r="NL88" s="172"/>
      <c r="NM88" s="172"/>
      <c r="NN88" s="172"/>
      <c r="NO88" s="172"/>
      <c r="NP88" s="172"/>
      <c r="NQ88" s="172"/>
      <c r="NR88" s="172"/>
      <c r="NS88" s="172"/>
      <c r="NT88" s="172"/>
      <c r="NU88" s="172"/>
      <c r="NV88" s="172"/>
      <c r="NW88" s="172"/>
      <c r="NX88" s="172"/>
      <c r="NY88" s="172"/>
      <c r="NZ88" s="172"/>
      <c r="OA88" s="172"/>
      <c r="OB88" s="172"/>
      <c r="OC88" s="172"/>
      <c r="OD88" s="172"/>
      <c r="OE88" s="172"/>
      <c r="OF88" s="172"/>
      <c r="OG88" s="172"/>
      <c r="OH88" s="172"/>
      <c r="OI88" s="172"/>
      <c r="OJ88" s="172"/>
      <c r="OK88" s="172"/>
      <c r="OL88" s="172"/>
      <c r="OM88" s="172"/>
      <c r="ON88" s="172"/>
      <c r="OO88" s="172"/>
      <c r="OP88" s="172"/>
      <c r="OQ88" s="172"/>
      <c r="OR88" s="172"/>
      <c r="OS88" s="172"/>
      <c r="OT88" s="172"/>
      <c r="OU88" s="172"/>
      <c r="OV88" s="172"/>
      <c r="OW88" s="172"/>
      <c r="OX88" s="172"/>
      <c r="OY88" s="172"/>
      <c r="OZ88" s="172"/>
      <c r="PA88" s="172"/>
      <c r="PB88" s="172"/>
      <c r="PC88" s="172"/>
      <c r="PD88" s="172"/>
      <c r="PE88" s="172"/>
      <c r="PF88" s="172"/>
      <c r="PG88" s="172"/>
      <c r="PH88" s="172"/>
      <c r="PI88" s="172"/>
      <c r="PJ88" s="172"/>
      <c r="PK88" s="172"/>
      <c r="PL88" s="172"/>
      <c r="PM88" s="172"/>
      <c r="PN88" s="172"/>
      <c r="PO88" s="172"/>
      <c r="PP88" s="172"/>
      <c r="PQ88" s="172"/>
      <c r="PR88" s="172"/>
      <c r="PS88" s="172"/>
      <c r="PT88" s="172"/>
      <c r="PU88" s="172"/>
      <c r="PV88" s="172"/>
      <c r="PW88" s="172"/>
      <c r="PX88" s="172"/>
      <c r="PY88" s="172"/>
      <c r="PZ88" s="172"/>
      <c r="QA88" s="172"/>
      <c r="QB88" s="172"/>
      <c r="QC88" s="172"/>
      <c r="QD88" s="172"/>
      <c r="QE88" s="172"/>
      <c r="QF88" s="172"/>
      <c r="QG88" s="172"/>
      <c r="QH88" s="172"/>
      <c r="QI88" s="172"/>
      <c r="QJ88" s="172"/>
      <c r="QK88" s="172"/>
      <c r="QL88" s="172"/>
      <c r="QM88" s="172"/>
      <c r="QN88" s="172"/>
      <c r="QO88" s="172"/>
      <c r="QP88" s="172"/>
      <c r="QQ88" s="172"/>
      <c r="QR88" s="172"/>
      <c r="QS88" s="172"/>
      <c r="QT88" s="172"/>
      <c r="QU88" s="172"/>
      <c r="QV88" s="172"/>
      <c r="QW88" s="172"/>
      <c r="QX88" s="172"/>
      <c r="QY88" s="172"/>
      <c r="QZ88" s="172"/>
      <c r="RA88" s="172"/>
      <c r="RB88" s="172"/>
      <c r="RC88" s="172"/>
      <c r="RD88" s="172"/>
      <c r="RE88" s="172"/>
      <c r="RF88" s="172"/>
      <c r="RG88" s="172"/>
      <c r="RH88" s="172"/>
      <c r="RI88" s="172"/>
      <c r="RJ88" s="172"/>
      <c r="RK88" s="172"/>
      <c r="RL88" s="172"/>
      <c r="RM88" s="172"/>
      <c r="RN88" s="172"/>
      <c r="RO88" s="172"/>
      <c r="RP88" s="172"/>
      <c r="RQ88" s="172"/>
      <c r="RR88" s="172"/>
      <c r="RS88" s="172"/>
      <c r="RT88" s="172"/>
      <c r="RU88" s="172"/>
      <c r="RV88" s="172"/>
      <c r="RW88" s="172"/>
      <c r="RX88" s="172"/>
      <c r="RY88" s="172"/>
      <c r="RZ88" s="172"/>
      <c r="SA88" s="172"/>
      <c r="SB88" s="172"/>
      <c r="SC88" s="172"/>
      <c r="SD88" s="172"/>
      <c r="SE88" s="172"/>
      <c r="SF88" s="172"/>
      <c r="SG88" s="172"/>
      <c r="SH88" s="172"/>
      <c r="SI88" s="172"/>
      <c r="SJ88" s="172"/>
      <c r="SK88" s="172"/>
      <c r="SL88" s="172"/>
      <c r="SM88" s="172"/>
      <c r="SN88" s="172"/>
      <c r="SO88" s="172"/>
      <c r="SP88" s="172"/>
      <c r="SQ88" s="172"/>
      <c r="SR88" s="172"/>
      <c r="SS88" s="172"/>
      <c r="ST88" s="172"/>
      <c r="SU88" s="172"/>
      <c r="SV88" s="172"/>
      <c r="SW88" s="172"/>
      <c r="SX88" s="172"/>
      <c r="SY88" s="172"/>
      <c r="SZ88" s="172"/>
      <c r="TA88" s="172"/>
      <c r="TB88" s="172"/>
      <c r="TC88" s="172"/>
      <c r="TD88" s="172"/>
      <c r="TE88" s="172"/>
      <c r="TF88" s="172"/>
      <c r="TG88" s="172"/>
      <c r="TH88" s="172"/>
      <c r="TI88" s="172"/>
      <c r="TJ88" s="172"/>
      <c r="TK88" s="172"/>
      <c r="TL88" s="172"/>
      <c r="TM88" s="172"/>
      <c r="TN88" s="172"/>
      <c r="TO88" s="172"/>
      <c r="TP88" s="172"/>
      <c r="TQ88" s="172"/>
      <c r="TR88" s="172"/>
      <c r="TS88" s="172"/>
      <c r="TT88" s="172"/>
      <c r="TU88" s="172"/>
      <c r="TV88" s="172"/>
      <c r="TW88" s="172"/>
      <c r="TX88" s="172"/>
      <c r="TY88" s="172"/>
      <c r="TZ88" s="172"/>
      <c r="UA88" s="172"/>
      <c r="UB88" s="172"/>
      <c r="UC88" s="172"/>
      <c r="UD88" s="172"/>
      <c r="UE88" s="172"/>
      <c r="UF88" s="172"/>
      <c r="UG88" s="172"/>
      <c r="UH88" s="172"/>
      <c r="UI88" s="172"/>
      <c r="UJ88" s="172"/>
      <c r="UK88" s="172"/>
      <c r="UL88" s="172"/>
      <c r="UM88" s="172"/>
      <c r="UN88" s="172"/>
      <c r="UO88" s="172"/>
      <c r="UP88" s="172"/>
      <c r="UQ88" s="172"/>
      <c r="UR88" s="172"/>
      <c r="US88" s="172"/>
      <c r="UT88" s="172"/>
      <c r="UU88" s="172"/>
      <c r="UV88" s="172"/>
      <c r="UW88" s="172"/>
      <c r="UX88" s="172"/>
      <c r="UY88" s="172"/>
      <c r="UZ88" s="172"/>
      <c r="VA88" s="172"/>
      <c r="VB88" s="172"/>
      <c r="VC88" s="172"/>
      <c r="VD88" s="172"/>
      <c r="VE88" s="172"/>
      <c r="VF88" s="172"/>
      <c r="VG88" s="172"/>
      <c r="VH88" s="172"/>
      <c r="VI88" s="172"/>
      <c r="VJ88" s="172"/>
      <c r="VK88" s="172"/>
      <c r="VL88" s="172"/>
      <c r="VM88" s="172"/>
      <c r="VN88" s="172"/>
      <c r="VO88" s="172"/>
      <c r="VP88" s="172"/>
      <c r="VQ88" s="172"/>
      <c r="VR88" s="172"/>
      <c r="VS88" s="172"/>
      <c r="VT88" s="172"/>
      <c r="VU88" s="172"/>
      <c r="VV88" s="172"/>
      <c r="VW88" s="172"/>
      <c r="VX88" s="172"/>
      <c r="VY88" s="172"/>
      <c r="VZ88" s="172"/>
      <c r="WA88" s="172"/>
      <c r="WB88" s="172"/>
      <c r="WC88" s="172"/>
      <c r="WD88" s="172"/>
      <c r="WE88" s="172"/>
      <c r="WF88" s="172"/>
      <c r="WG88" s="172"/>
      <c r="WH88" s="172"/>
      <c r="WI88" s="172"/>
      <c r="WJ88" s="172"/>
      <c r="WK88" s="172"/>
      <c r="WL88" s="172"/>
      <c r="WM88" s="172"/>
      <c r="WN88" s="172"/>
      <c r="WO88" s="172"/>
      <c r="WP88" s="172"/>
      <c r="WQ88" s="172"/>
      <c r="WR88" s="172"/>
      <c r="WS88" s="172"/>
      <c r="WT88" s="172"/>
      <c r="WU88" s="172"/>
      <c r="WV88" s="172"/>
      <c r="WW88" s="172"/>
      <c r="WX88" s="172"/>
      <c r="WY88" s="172"/>
      <c r="WZ88" s="172"/>
      <c r="XA88" s="172"/>
      <c r="XB88" s="172"/>
      <c r="XC88" s="172"/>
      <c r="XD88" s="172"/>
      <c r="XE88" s="172"/>
      <c r="XF88" s="172"/>
      <c r="XG88" s="172"/>
      <c r="XH88" s="172"/>
      <c r="XI88" s="172"/>
      <c r="XJ88" s="172"/>
      <c r="XK88" s="172"/>
      <c r="XL88" s="172"/>
      <c r="XM88" s="172"/>
      <c r="XN88" s="172"/>
      <c r="XO88" s="172"/>
      <c r="XP88" s="172"/>
      <c r="XQ88" s="172"/>
      <c r="XR88" s="172"/>
      <c r="XS88" s="172"/>
      <c r="XT88" s="172"/>
      <c r="XU88" s="172"/>
      <c r="XV88" s="172"/>
      <c r="XW88" s="172"/>
      <c r="XX88" s="172"/>
      <c r="XY88" s="172"/>
      <c r="XZ88" s="172"/>
      <c r="YA88" s="172"/>
      <c r="YB88" s="172"/>
      <c r="YC88" s="172"/>
      <c r="YD88" s="172"/>
      <c r="YE88" s="172"/>
      <c r="YF88" s="172"/>
      <c r="YG88" s="172"/>
      <c r="YH88" s="172"/>
      <c r="YI88" s="172"/>
      <c r="YJ88" s="172"/>
      <c r="YK88" s="172"/>
      <c r="YL88" s="172"/>
      <c r="YM88" s="172"/>
      <c r="YN88" s="172"/>
      <c r="YO88" s="172"/>
      <c r="YP88" s="172"/>
      <c r="YQ88" s="172"/>
      <c r="YR88" s="172"/>
      <c r="YS88" s="172"/>
      <c r="YT88" s="172"/>
      <c r="YU88" s="172"/>
      <c r="YV88" s="172"/>
      <c r="YW88" s="172"/>
      <c r="YX88" s="172"/>
      <c r="YY88" s="172"/>
      <c r="YZ88" s="172"/>
      <c r="ZA88" s="172"/>
      <c r="ZB88" s="172"/>
      <c r="ZC88" s="172"/>
      <c r="ZD88" s="172"/>
      <c r="ZE88" s="172"/>
      <c r="ZF88" s="172"/>
      <c r="ZG88" s="172"/>
      <c r="ZH88" s="172"/>
      <c r="ZI88" s="172"/>
      <c r="ZJ88" s="172"/>
      <c r="ZK88" s="172"/>
      <c r="ZL88" s="172"/>
      <c r="ZM88" s="172"/>
      <c r="ZN88" s="172"/>
      <c r="ZO88" s="172"/>
      <c r="ZP88" s="172"/>
      <c r="ZQ88" s="172"/>
      <c r="ZR88" s="172"/>
      <c r="ZS88" s="172"/>
      <c r="ZT88" s="172"/>
      <c r="ZU88" s="172"/>
      <c r="ZV88" s="172"/>
      <c r="ZW88" s="172"/>
      <c r="ZX88" s="172"/>
      <c r="ZY88" s="172"/>
      <c r="ZZ88" s="172"/>
      <c r="AAA88" s="172"/>
      <c r="AAB88" s="172"/>
      <c r="AAC88" s="172"/>
      <c r="AAD88" s="172"/>
      <c r="AAE88" s="172"/>
      <c r="AAF88" s="172"/>
      <c r="AAG88" s="172"/>
      <c r="AAH88" s="172"/>
      <c r="AAI88" s="172"/>
      <c r="AAJ88" s="172"/>
      <c r="AAK88" s="172"/>
      <c r="AAL88" s="172"/>
      <c r="AAM88" s="172"/>
      <c r="AAN88" s="172"/>
      <c r="AAO88" s="172"/>
      <c r="AAP88" s="172"/>
      <c r="AAQ88" s="172"/>
      <c r="AAR88" s="172"/>
      <c r="AAS88" s="172"/>
      <c r="AAT88" s="172"/>
      <c r="AAU88" s="172"/>
      <c r="AAV88" s="172"/>
      <c r="AAW88" s="172"/>
      <c r="AAX88" s="172"/>
      <c r="AAY88" s="172"/>
      <c r="AAZ88" s="172"/>
      <c r="ABA88" s="172"/>
      <c r="ABB88" s="172"/>
      <c r="ABC88" s="172"/>
      <c r="ABD88" s="172"/>
      <c r="ABE88" s="172"/>
      <c r="ABF88" s="172"/>
      <c r="ABG88" s="172"/>
      <c r="ABH88" s="172"/>
      <c r="ABI88" s="172"/>
      <c r="ABJ88" s="172"/>
      <c r="ABK88" s="172"/>
      <c r="ABL88" s="172"/>
      <c r="ABM88" s="172"/>
      <c r="ABN88" s="172"/>
      <c r="ABO88" s="172"/>
      <c r="ABP88" s="172"/>
      <c r="ABQ88" s="172"/>
      <c r="ABR88" s="172"/>
      <c r="ABS88" s="172"/>
      <c r="ABT88" s="172"/>
      <c r="ABU88" s="172"/>
      <c r="ABV88" s="172"/>
      <c r="ABW88" s="172"/>
      <c r="ABX88" s="172"/>
      <c r="ABY88" s="172"/>
      <c r="ABZ88" s="172"/>
      <c r="ACA88" s="172"/>
      <c r="ACB88" s="172"/>
      <c r="ACC88" s="172"/>
      <c r="ACD88" s="172"/>
      <c r="ACE88" s="172"/>
      <c r="ACF88" s="172"/>
      <c r="ACG88" s="172"/>
      <c r="ACH88" s="172"/>
      <c r="ACI88" s="172"/>
      <c r="ACJ88" s="172"/>
      <c r="ACK88" s="172"/>
      <c r="ACL88" s="172"/>
      <c r="ACM88" s="172"/>
      <c r="ACN88" s="172"/>
      <c r="ACO88" s="172"/>
      <c r="ACP88" s="172"/>
      <c r="ACQ88" s="172"/>
      <c r="ACR88" s="172"/>
      <c r="ACS88" s="172"/>
      <c r="ACT88" s="172"/>
      <c r="ACU88" s="172"/>
      <c r="ACV88" s="172"/>
      <c r="ACW88" s="172"/>
      <c r="ACX88" s="172"/>
      <c r="ACY88" s="172"/>
      <c r="ACZ88" s="172"/>
      <c r="ADA88" s="172"/>
      <c r="ADB88" s="172"/>
      <c r="ADC88" s="172"/>
      <c r="ADD88" s="172"/>
      <c r="ADE88" s="172"/>
      <c r="ADF88" s="172"/>
      <c r="ADG88" s="172"/>
      <c r="ADH88" s="172"/>
      <c r="ADI88" s="172"/>
      <c r="ADJ88" s="172"/>
      <c r="ADK88" s="172"/>
      <c r="ADL88" s="172"/>
      <c r="ADM88" s="172"/>
      <c r="ADN88" s="172"/>
      <c r="ADO88" s="172"/>
      <c r="ADP88" s="172"/>
      <c r="ADQ88" s="172"/>
      <c r="ADR88" s="172"/>
      <c r="ADS88" s="172"/>
      <c r="ADT88" s="172"/>
      <c r="ADU88" s="172"/>
      <c r="ADV88" s="172"/>
      <c r="ADW88" s="172"/>
      <c r="ADX88" s="172"/>
      <c r="ADY88" s="172"/>
      <c r="ADZ88" s="172"/>
      <c r="AEA88" s="172"/>
      <c r="AEB88" s="172"/>
      <c r="AEC88" s="172"/>
      <c r="AED88" s="172"/>
      <c r="AEE88" s="172"/>
      <c r="AEF88" s="172"/>
      <c r="AEG88" s="172"/>
      <c r="AEH88" s="172"/>
      <c r="AEI88" s="172"/>
      <c r="AEJ88" s="172"/>
      <c r="AEK88" s="172"/>
      <c r="AEL88" s="172"/>
      <c r="AEM88" s="172"/>
      <c r="AEN88" s="172"/>
      <c r="AEO88" s="172"/>
      <c r="AEP88" s="172"/>
      <c r="AEQ88" s="172"/>
      <c r="AER88" s="172"/>
      <c r="AES88" s="172"/>
      <c r="AET88" s="172"/>
      <c r="AEU88" s="172"/>
      <c r="AEV88" s="172"/>
      <c r="AEW88" s="172"/>
      <c r="AEX88" s="172"/>
      <c r="AEY88" s="172"/>
      <c r="AEZ88" s="172"/>
      <c r="AFA88" s="172"/>
      <c r="AFB88" s="172"/>
      <c r="AFC88" s="172"/>
      <c r="AFD88" s="172"/>
      <c r="AFE88" s="172"/>
      <c r="AFF88" s="172"/>
      <c r="AFG88" s="172"/>
      <c r="AFH88" s="172"/>
      <c r="AFI88" s="172"/>
      <c r="AFJ88" s="172"/>
      <c r="AFK88" s="172"/>
      <c r="AFL88" s="172"/>
      <c r="AFM88" s="172"/>
      <c r="AFN88" s="172"/>
      <c r="AFO88" s="172"/>
      <c r="AFP88" s="172"/>
      <c r="AFQ88" s="151" t="s">
        <v>14</v>
      </c>
      <c r="AFR88" s="172" t="s">
        <v>345</v>
      </c>
    </row>
    <row r="89" spans="2:935" hidden="1" x14ac:dyDescent="0.25">
      <c r="B89" s="708"/>
      <c r="C89" s="556" t="s">
        <v>39</v>
      </c>
      <c r="D89" s="470"/>
      <c r="E89" s="490" t="s">
        <v>14</v>
      </c>
      <c r="F89" s="558"/>
      <c r="G89" s="557"/>
      <c r="H89" s="557"/>
      <c r="I89" s="558"/>
      <c r="J89" s="558"/>
      <c r="K89" s="558"/>
      <c r="L89" s="558"/>
      <c r="M89" s="558"/>
      <c r="N89" s="558"/>
      <c r="O89" s="558"/>
      <c r="P89" s="558"/>
      <c r="Q89" s="558"/>
      <c r="R89" s="697"/>
      <c r="S89" s="689">
        <f>SUM(S93:S94)*10.86</f>
        <v>0</v>
      </c>
      <c r="T89" s="666">
        <f>SUM(T93:T94)*10.86</f>
        <v>32269045.619999997</v>
      </c>
      <c r="U89" s="740">
        <f>(S89/T89)*100</f>
        <v>0</v>
      </c>
      <c r="V89" s="302"/>
      <c r="W89" s="1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Q89" s="62"/>
      <c r="AW89" s="1"/>
      <c r="BC89" s="141"/>
      <c r="BD89" s="14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CG89" s="141"/>
      <c r="CZ89" s="1"/>
      <c r="DO89" s="5"/>
      <c r="DP89" s="141"/>
      <c r="DQ89" s="141"/>
      <c r="DR89" s="141"/>
      <c r="DS89" s="141"/>
      <c r="FV89" s="141"/>
      <c r="FW89" s="139" t="e">
        <f>#REF!/1000</f>
        <v>#REF!</v>
      </c>
      <c r="JQ89" s="141"/>
      <c r="JR89" s="141"/>
      <c r="JS89" s="141"/>
      <c r="JT89" s="141"/>
      <c r="OX89" s="141">
        <v>4696</v>
      </c>
      <c r="OY89" s="144" t="e">
        <f>FW89/OX89*100</f>
        <v>#REF!</v>
      </c>
      <c r="PA89" s="141"/>
      <c r="PO89" s="144"/>
      <c r="PS89" s="141"/>
      <c r="RV89" s="144"/>
      <c r="AHE89" s="140"/>
      <c r="AIT89" s="140"/>
      <c r="AIU89" s="140"/>
      <c r="AIV89" s="140"/>
    </row>
    <row r="90" spans="2:935" hidden="1" x14ac:dyDescent="0.25">
      <c r="B90" s="708"/>
      <c r="C90" s="556" t="s">
        <v>38</v>
      </c>
      <c r="D90" s="470"/>
      <c r="E90" s="490" t="s">
        <v>14</v>
      </c>
      <c r="F90" s="435"/>
      <c r="G90" s="435"/>
      <c r="H90" s="435"/>
      <c r="I90" s="435"/>
      <c r="J90" s="435"/>
      <c r="K90" s="435"/>
      <c r="L90" s="435"/>
      <c r="M90" s="435"/>
      <c r="N90" s="435"/>
      <c r="O90" s="435"/>
      <c r="P90" s="435"/>
      <c r="Q90" s="435"/>
      <c r="R90" s="697"/>
      <c r="S90" s="58">
        <f>SUM(F90:Q90)</f>
        <v>0</v>
      </c>
      <c r="T90" s="648">
        <f>SUM(G90:R90)</f>
        <v>0</v>
      </c>
      <c r="U90" s="740" t="e">
        <f>(S90/T90)*100</f>
        <v>#DIV/0!</v>
      </c>
      <c r="V90" s="139"/>
      <c r="W90" s="1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Q90" s="62"/>
      <c r="AW90" s="1"/>
      <c r="BC90" s="141"/>
      <c r="BD90" s="14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CG90" s="141"/>
      <c r="CZ90" s="1"/>
      <c r="DO90" s="5"/>
      <c r="DP90" s="141"/>
      <c r="DQ90" s="141"/>
      <c r="DR90" s="141"/>
      <c r="DS90" s="141"/>
      <c r="FV90" s="141"/>
      <c r="FW90" s="475" t="e">
        <f>#REF!/1000</f>
        <v>#REF!</v>
      </c>
      <c r="JQ90" s="141"/>
      <c r="JR90" s="141"/>
      <c r="JS90" s="141"/>
      <c r="JT90" s="141"/>
      <c r="OX90" s="141">
        <v>565</v>
      </c>
      <c r="OY90" s="144" t="e">
        <f>FW90/OX90*100</f>
        <v>#REF!</v>
      </c>
      <c r="PA90" s="141"/>
      <c r="PO90" s="144"/>
      <c r="PS90" s="141"/>
      <c r="RV90" s="144"/>
      <c r="AHE90" s="140"/>
      <c r="AIT90" s="140"/>
      <c r="AIU90" s="140"/>
      <c r="AIV90" s="140"/>
    </row>
    <row r="91" spans="2:935" hidden="1" x14ac:dyDescent="0.25">
      <c r="B91" s="708"/>
      <c r="C91" s="556" t="s">
        <v>50</v>
      </c>
      <c r="D91" s="470"/>
      <c r="E91" s="459" t="s">
        <v>14</v>
      </c>
      <c r="F91" s="435"/>
      <c r="G91" s="435"/>
      <c r="H91" s="435"/>
      <c r="I91" s="435"/>
      <c r="J91" s="435"/>
      <c r="K91" s="435"/>
      <c r="L91" s="435"/>
      <c r="M91" s="435"/>
      <c r="N91" s="435"/>
      <c r="O91" s="435"/>
      <c r="P91" s="435"/>
      <c r="Q91" s="435"/>
      <c r="R91" s="697"/>
      <c r="S91" s="58">
        <f>SUM(F91:Q91)</f>
        <v>0</v>
      </c>
      <c r="T91" s="648">
        <f>SUM(G91:R91)</f>
        <v>0</v>
      </c>
      <c r="U91" s="740"/>
      <c r="W91" s="1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Q91" s="62"/>
      <c r="AW91" s="1"/>
      <c r="BC91" s="141"/>
      <c r="BD91" s="14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CG91" s="141"/>
      <c r="CZ91" s="1"/>
      <c r="DO91" s="5"/>
      <c r="DP91" s="141"/>
      <c r="DQ91" s="141"/>
      <c r="DR91" s="141"/>
      <c r="DS91" s="141"/>
      <c r="FV91" s="141"/>
      <c r="JQ91" s="141"/>
      <c r="JR91" s="141"/>
      <c r="JS91" s="141"/>
      <c r="JT91" s="141"/>
      <c r="OX91" s="141"/>
      <c r="OY91" s="141"/>
      <c r="PA91" s="141"/>
      <c r="PO91" s="144"/>
      <c r="PS91" s="141"/>
      <c r="RV91" s="144"/>
      <c r="AHE91" s="140"/>
      <c r="AIT91" s="140"/>
      <c r="AIU91" s="140"/>
      <c r="AIV91" s="140"/>
    </row>
    <row r="92" spans="2:935" hidden="1" x14ac:dyDescent="0.25">
      <c r="B92" s="708"/>
      <c r="C92" s="556" t="s">
        <v>29</v>
      </c>
      <c r="D92" s="470"/>
      <c r="E92" s="459"/>
      <c r="F92" s="434"/>
      <c r="G92" s="434"/>
      <c r="H92" s="434"/>
      <c r="I92" s="434"/>
      <c r="J92" s="434"/>
      <c r="K92" s="434"/>
      <c r="L92" s="434"/>
      <c r="M92" s="434"/>
      <c r="N92" s="434"/>
      <c r="O92" s="434"/>
      <c r="P92" s="434"/>
      <c r="Q92" s="434"/>
      <c r="R92" s="697"/>
      <c r="S92" s="63" t="s">
        <v>29</v>
      </c>
      <c r="T92" s="667" t="s">
        <v>29</v>
      </c>
      <c r="U92" s="756" t="s">
        <v>29</v>
      </c>
      <c r="W92" s="1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Q92" s="62"/>
      <c r="AW92" s="1"/>
      <c r="BC92" s="141"/>
      <c r="BD92" s="14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CG92" s="141"/>
      <c r="CZ92" s="1"/>
      <c r="DO92" s="5"/>
      <c r="DP92" s="141"/>
      <c r="DQ92" s="141"/>
      <c r="DR92" s="141"/>
      <c r="DS92" s="141"/>
      <c r="FV92" s="141"/>
      <c r="JQ92" s="141"/>
      <c r="JR92" s="141"/>
      <c r="JS92" s="141"/>
      <c r="JT92" s="141"/>
      <c r="OX92" s="141"/>
      <c r="OY92" s="141"/>
      <c r="PA92" s="141"/>
      <c r="PO92" s="144"/>
      <c r="PS92" s="141"/>
      <c r="RV92" s="144"/>
      <c r="AHE92" s="140"/>
      <c r="AIT92" s="140"/>
      <c r="AIU92" s="140"/>
      <c r="AIV92" s="140"/>
    </row>
    <row r="93" spans="2:935" hidden="1" x14ac:dyDescent="0.25">
      <c r="B93" s="709"/>
      <c r="C93" s="559" t="s">
        <v>49</v>
      </c>
      <c r="D93" s="432"/>
      <c r="E93" s="560" t="s">
        <v>31</v>
      </c>
      <c r="F93" s="278"/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699"/>
      <c r="S93" s="54">
        <f>SUM(F93:Q93)</f>
        <v>0</v>
      </c>
      <c r="T93" s="645">
        <v>1254577</v>
      </c>
      <c r="U93" s="740">
        <f>(S93/T93)*100</f>
        <v>0</v>
      </c>
      <c r="W93" s="1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Q93" s="62"/>
      <c r="AW93" s="16"/>
      <c r="BC93" s="147"/>
      <c r="BD93" s="147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CG93" s="147"/>
      <c r="CZ93" s="1"/>
      <c r="DO93" s="511"/>
      <c r="DP93" s="147"/>
      <c r="DQ93" s="147"/>
      <c r="DR93" s="147"/>
      <c r="DS93" s="147"/>
      <c r="FV93" s="147"/>
      <c r="JQ93" s="147"/>
      <c r="JR93" s="147"/>
      <c r="JS93" s="147"/>
      <c r="JT93" s="147"/>
      <c r="OX93" s="147"/>
      <c r="OY93" s="147"/>
      <c r="PA93" s="147"/>
      <c r="PO93" s="561"/>
      <c r="PS93" s="147"/>
      <c r="RV93" s="561"/>
      <c r="AHE93" s="143"/>
      <c r="AIT93" s="143"/>
      <c r="AIU93" s="143"/>
      <c r="AIV93" s="143"/>
    </row>
    <row r="94" spans="2:935" hidden="1" x14ac:dyDescent="0.25">
      <c r="B94" s="709"/>
      <c r="C94" s="559" t="s">
        <v>48</v>
      </c>
      <c r="D94" s="432"/>
      <c r="E94" s="560" t="s">
        <v>31</v>
      </c>
      <c r="F94" s="278"/>
      <c r="G94" s="278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699"/>
      <c r="S94" s="54">
        <f>SUM(F94:Q94)</f>
        <v>0</v>
      </c>
      <c r="T94" s="645">
        <v>1716790</v>
      </c>
      <c r="U94" s="740">
        <f>(S94/T94)*100</f>
        <v>0</v>
      </c>
      <c r="W94" s="1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Q94" s="62"/>
      <c r="AW94" s="16"/>
      <c r="BC94" s="147"/>
      <c r="BD94" s="147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CG94" s="147"/>
      <c r="CZ94" s="1"/>
      <c r="DO94" s="511"/>
      <c r="DP94" s="147"/>
      <c r="DQ94" s="147"/>
      <c r="DR94" s="147"/>
      <c r="DS94" s="147"/>
      <c r="FV94" s="147"/>
      <c r="JQ94" s="147"/>
      <c r="JR94" s="147"/>
      <c r="JS94" s="147"/>
      <c r="JT94" s="147"/>
      <c r="OX94" s="147"/>
      <c r="OY94" s="147"/>
      <c r="PA94" s="147"/>
      <c r="PO94" s="561"/>
      <c r="PS94" s="147"/>
      <c r="RV94" s="561"/>
      <c r="AHE94" s="143"/>
      <c r="AIT94" s="143"/>
      <c r="AIU94" s="143"/>
      <c r="AIV94" s="143"/>
    </row>
    <row r="95" spans="2:935" hidden="1" x14ac:dyDescent="0.25">
      <c r="B95" s="708"/>
      <c r="C95" s="556" t="s">
        <v>28</v>
      </c>
      <c r="D95" s="470"/>
      <c r="E95" s="459"/>
      <c r="F95" s="434"/>
      <c r="G95" s="434"/>
      <c r="H95" s="434"/>
      <c r="I95" s="434"/>
      <c r="J95" s="434"/>
      <c r="K95" s="434"/>
      <c r="L95" s="434"/>
      <c r="M95" s="434"/>
      <c r="N95" s="434"/>
      <c r="O95" s="434"/>
      <c r="P95" s="434"/>
      <c r="Q95" s="434"/>
      <c r="R95" s="697"/>
      <c r="S95" s="63" t="s">
        <v>28</v>
      </c>
      <c r="T95" s="667" t="s">
        <v>28</v>
      </c>
      <c r="U95" s="756" t="s">
        <v>28</v>
      </c>
      <c r="W95" s="6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Q95" s="62"/>
      <c r="AW95" s="1"/>
      <c r="BF95" s="141"/>
      <c r="BG95" s="14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CJ95" s="141"/>
      <c r="CZ95" s="1"/>
      <c r="DR95" s="5"/>
      <c r="DS95" s="141"/>
      <c r="DT95" s="141"/>
      <c r="DU95" s="141"/>
      <c r="DV95" s="141"/>
      <c r="FY95" s="141"/>
      <c r="JT95" s="141"/>
      <c r="JU95" s="141"/>
      <c r="JV95" s="141"/>
      <c r="JW95" s="141"/>
      <c r="PA95" s="141"/>
      <c r="PB95" s="141"/>
      <c r="PD95" s="141"/>
      <c r="PR95" s="144"/>
      <c r="PV95" s="141"/>
      <c r="RY95" s="144"/>
      <c r="AHH95" s="140"/>
      <c r="AIW95" s="140"/>
      <c r="AIX95" s="140"/>
      <c r="AIY95" s="140"/>
    </row>
    <row r="96" spans="2:935" hidden="1" x14ac:dyDescent="0.25">
      <c r="B96" s="708"/>
      <c r="C96" s="457" t="s">
        <v>49</v>
      </c>
      <c r="D96" s="470"/>
      <c r="E96" s="490" t="s">
        <v>28</v>
      </c>
      <c r="F96" s="434"/>
      <c r="G96" s="434"/>
      <c r="H96" s="434"/>
      <c r="I96" s="434"/>
      <c r="J96" s="434"/>
      <c r="K96" s="434"/>
      <c r="L96" s="434"/>
      <c r="M96" s="434"/>
      <c r="N96" s="434"/>
      <c r="O96" s="434"/>
      <c r="P96" s="434"/>
      <c r="Q96" s="434"/>
      <c r="R96" s="697"/>
      <c r="S96" s="54">
        <f>S93*12</f>
        <v>0</v>
      </c>
      <c r="T96" s="645">
        <f>T93*12</f>
        <v>15054924</v>
      </c>
      <c r="U96" s="740">
        <f>(S96/T96)*100</f>
        <v>0</v>
      </c>
      <c r="W96" s="6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Q96" s="62"/>
      <c r="AW96" s="1"/>
      <c r="BF96" s="141"/>
      <c r="BG96" s="14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CJ96" s="141"/>
      <c r="CZ96" s="1"/>
      <c r="DR96" s="5"/>
      <c r="DS96" s="141"/>
      <c r="DT96" s="141"/>
      <c r="DU96" s="141"/>
      <c r="DV96" s="141"/>
      <c r="FY96" s="141"/>
      <c r="JT96" s="141"/>
      <c r="JU96" s="141"/>
      <c r="JV96" s="141"/>
      <c r="JW96" s="141"/>
      <c r="PA96" s="141"/>
      <c r="PB96" s="141"/>
      <c r="PD96" s="141"/>
      <c r="PR96" s="144"/>
      <c r="PV96" s="141"/>
      <c r="RY96" s="144"/>
      <c r="AHH96" s="140"/>
      <c r="AIW96" s="140"/>
      <c r="AIX96" s="140"/>
      <c r="AIY96" s="140"/>
    </row>
    <row r="97" spans="2:935" hidden="1" x14ac:dyDescent="0.25">
      <c r="B97" s="708"/>
      <c r="C97" s="457" t="s">
        <v>48</v>
      </c>
      <c r="D97" s="470"/>
      <c r="E97" s="490" t="s">
        <v>28</v>
      </c>
      <c r="F97" s="434"/>
      <c r="G97" s="434"/>
      <c r="H97" s="434"/>
      <c r="I97" s="434"/>
      <c r="J97" s="434"/>
      <c r="K97" s="434"/>
      <c r="L97" s="434"/>
      <c r="M97" s="434"/>
      <c r="N97" s="434"/>
      <c r="O97" s="434"/>
      <c r="P97" s="434"/>
      <c r="Q97" s="434"/>
      <c r="R97" s="697"/>
      <c r="S97" s="54">
        <f>S94*6</f>
        <v>0</v>
      </c>
      <c r="T97" s="645">
        <f>T94*6</f>
        <v>10300740</v>
      </c>
      <c r="U97" s="740">
        <f>(S97/T97)*100</f>
        <v>0</v>
      </c>
      <c r="W97" s="6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Q97" s="62"/>
      <c r="AW97" s="1"/>
      <c r="BF97" s="141"/>
      <c r="BG97" s="14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CJ97" s="141"/>
      <c r="CZ97" s="1"/>
      <c r="DR97" s="5"/>
      <c r="DS97" s="141"/>
      <c r="DT97" s="141"/>
      <c r="DU97" s="141"/>
      <c r="DV97" s="141"/>
      <c r="FY97" s="141"/>
      <c r="JT97" s="141"/>
      <c r="JU97" s="141"/>
      <c r="JV97" s="141"/>
      <c r="JW97" s="141"/>
      <c r="PA97" s="141"/>
      <c r="PB97" s="141"/>
      <c r="PD97" s="141"/>
      <c r="PR97" s="144"/>
      <c r="PV97" s="141"/>
      <c r="RY97" s="144"/>
      <c r="AHH97" s="140"/>
      <c r="AIW97" s="140"/>
      <c r="AIX97" s="140"/>
      <c r="AIY97" s="140"/>
    </row>
    <row r="98" spans="2:935" hidden="1" x14ac:dyDescent="0.25">
      <c r="B98" s="708"/>
      <c r="C98" s="556" t="s">
        <v>36</v>
      </c>
      <c r="D98" s="470"/>
      <c r="E98" s="490" t="s">
        <v>35</v>
      </c>
      <c r="F98" s="562"/>
      <c r="G98" s="563"/>
      <c r="H98" s="563"/>
      <c r="I98" s="562"/>
      <c r="J98" s="562"/>
      <c r="K98" s="562"/>
      <c r="L98" s="562"/>
      <c r="M98" s="562"/>
      <c r="N98" s="562"/>
      <c r="O98" s="562"/>
      <c r="P98" s="562"/>
      <c r="Q98" s="562"/>
      <c r="R98" s="697"/>
      <c r="S98" s="54">
        <f>SUM(F98:Q98)</f>
        <v>0</v>
      </c>
      <c r="T98" s="562">
        <f>(T88*45)/1700</f>
        <v>854180.61935294105</v>
      </c>
      <c r="U98" s="740">
        <f>(S98/T98)*100</f>
        <v>0</v>
      </c>
      <c r="W98" s="6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Q98" s="62"/>
      <c r="AW98" s="1"/>
      <c r="BF98" s="141"/>
      <c r="BG98" s="14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CJ98" s="141"/>
      <c r="CZ98" s="1"/>
      <c r="DR98" s="5"/>
      <c r="DS98" s="141"/>
      <c r="DT98" s="141"/>
      <c r="DU98" s="141"/>
      <c r="DV98" s="141"/>
      <c r="FY98" s="141"/>
      <c r="JT98" s="141"/>
      <c r="JU98" s="141"/>
      <c r="JV98" s="141"/>
      <c r="JW98" s="141"/>
      <c r="PA98" s="141"/>
      <c r="PB98" s="141"/>
      <c r="PD98" s="141"/>
      <c r="PR98" s="144"/>
      <c r="PV98" s="141"/>
      <c r="RY98" s="144"/>
      <c r="AHH98" s="140"/>
      <c r="AIW98" s="140"/>
      <c r="AIX98" s="140"/>
      <c r="AIY98" s="140"/>
    </row>
    <row r="99" spans="2:935" hidden="1" x14ac:dyDescent="0.25">
      <c r="B99" s="708"/>
      <c r="C99" s="556" t="s">
        <v>34</v>
      </c>
      <c r="D99" s="470"/>
      <c r="E99" s="490" t="s">
        <v>33</v>
      </c>
      <c r="F99" s="434"/>
      <c r="G99" s="434"/>
      <c r="H99" s="434"/>
      <c r="I99" s="434"/>
      <c r="J99" s="434"/>
      <c r="K99" s="434"/>
      <c r="L99" s="434"/>
      <c r="M99" s="434"/>
      <c r="N99" s="434"/>
      <c r="O99" s="434"/>
      <c r="P99" s="434"/>
      <c r="Q99" s="434"/>
      <c r="R99" s="697"/>
      <c r="S99" s="54">
        <f>SUM(F99:Q99)</f>
        <v>0</v>
      </c>
      <c r="T99" s="526">
        <f>SUM(T93:T94)/500</f>
        <v>5942.7340000000004</v>
      </c>
      <c r="U99" s="740">
        <f>(S99/T99)*100</f>
        <v>0</v>
      </c>
      <c r="W99" s="6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Q99" s="62"/>
      <c r="AW99" s="1"/>
      <c r="BF99" s="141"/>
      <c r="BG99" s="14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CJ99" s="141"/>
      <c r="CZ99" s="1"/>
      <c r="DR99" s="5"/>
      <c r="DS99" s="141"/>
      <c r="DT99" s="141"/>
      <c r="DU99" s="141"/>
      <c r="DV99" s="141"/>
      <c r="FY99" s="141"/>
      <c r="JT99" s="141"/>
      <c r="JU99" s="141"/>
      <c r="JV99" s="141"/>
      <c r="JW99" s="141"/>
      <c r="PA99" s="141"/>
      <c r="PB99" s="141"/>
      <c r="PD99" s="141"/>
      <c r="PR99" s="144"/>
      <c r="PV99" s="141"/>
      <c r="RY99" s="144"/>
      <c r="AHH99" s="140"/>
      <c r="AIW99" s="140"/>
      <c r="AIX99" s="140"/>
      <c r="AIY99" s="140"/>
    </row>
    <row r="100" spans="2:935" hidden="1" x14ac:dyDescent="0.25">
      <c r="B100" s="705"/>
      <c r="C100" s="414" t="s">
        <v>32</v>
      </c>
      <c r="D100" s="48"/>
      <c r="E100" s="48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3"/>
      <c r="S100" s="516" t="s">
        <v>130</v>
      </c>
      <c r="T100" s="656" t="s">
        <v>130</v>
      </c>
      <c r="U100" s="747" t="s">
        <v>130</v>
      </c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Q100" s="62"/>
      <c r="AW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CZ100" s="1"/>
    </row>
    <row r="101" spans="2:935" hidden="1" x14ac:dyDescent="0.25">
      <c r="B101" s="708"/>
      <c r="C101" s="556" t="s">
        <v>29</v>
      </c>
      <c r="D101" s="470"/>
      <c r="E101" s="459"/>
      <c r="F101" s="434"/>
      <c r="G101" s="434"/>
      <c r="H101" s="434"/>
      <c r="I101" s="434"/>
      <c r="J101" s="434"/>
      <c r="K101" s="434"/>
      <c r="L101" s="434"/>
      <c r="M101" s="434"/>
      <c r="N101" s="434"/>
      <c r="O101" s="434"/>
      <c r="P101" s="434"/>
      <c r="Q101" s="434"/>
      <c r="R101" s="697"/>
      <c r="S101" s="63" t="s">
        <v>29</v>
      </c>
      <c r="T101" s="667" t="s">
        <v>29</v>
      </c>
      <c r="U101" s="756" t="s">
        <v>29</v>
      </c>
      <c r="W101" s="6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Q101" s="62"/>
      <c r="AW101" s="1"/>
      <c r="BF101" s="141"/>
      <c r="BG101" s="14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CJ101" s="141"/>
      <c r="CZ101" s="1"/>
      <c r="DR101" s="5"/>
      <c r="DS101" s="141"/>
      <c r="DT101" s="141"/>
      <c r="DU101" s="141"/>
      <c r="DV101" s="141"/>
      <c r="FY101" s="141"/>
      <c r="JT101" s="141"/>
      <c r="JU101" s="141"/>
      <c r="JV101" s="141"/>
      <c r="JW101" s="141"/>
      <c r="PA101" s="141"/>
      <c r="PB101" s="141"/>
      <c r="PD101" s="141"/>
      <c r="PR101" s="144"/>
      <c r="PV101" s="141"/>
      <c r="RY101" s="144"/>
      <c r="AHH101" s="140"/>
      <c r="AIW101" s="140"/>
      <c r="AIX101" s="140"/>
      <c r="AIY101" s="140"/>
    </row>
    <row r="102" spans="2:935" hidden="1" x14ac:dyDescent="0.25">
      <c r="B102" s="708"/>
      <c r="C102" s="457" t="s">
        <v>49</v>
      </c>
      <c r="D102" s="470"/>
      <c r="E102" s="490" t="s">
        <v>31</v>
      </c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697"/>
      <c r="S102" s="54">
        <f t="shared" ref="S102:U103" si="1">SUM(F102:Q102)</f>
        <v>0</v>
      </c>
      <c r="T102" s="645">
        <f t="shared" si="1"/>
        <v>0</v>
      </c>
      <c r="U102" s="757">
        <f t="shared" si="1"/>
        <v>0</v>
      </c>
      <c r="W102" s="6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Q102" s="62"/>
      <c r="AW102" s="1"/>
      <c r="BF102" s="141"/>
      <c r="BG102" s="14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CJ102" s="141"/>
      <c r="CZ102" s="1"/>
      <c r="DR102" s="5"/>
      <c r="DS102" s="141"/>
      <c r="DT102" s="141"/>
      <c r="DU102" s="141"/>
      <c r="DV102" s="141"/>
      <c r="FY102" s="141"/>
      <c r="JT102" s="141"/>
      <c r="JU102" s="141"/>
      <c r="JV102" s="141"/>
      <c r="JW102" s="141"/>
      <c r="PA102" s="141"/>
      <c r="PB102" s="141"/>
      <c r="PD102" s="141"/>
      <c r="PR102" s="144"/>
      <c r="PV102" s="141"/>
      <c r="RY102" s="144"/>
      <c r="AHH102" s="140"/>
      <c r="AIW102" s="140"/>
      <c r="AIX102" s="140"/>
      <c r="AIY102" s="140"/>
    </row>
    <row r="103" spans="2:935" hidden="1" x14ac:dyDescent="0.25">
      <c r="B103" s="708"/>
      <c r="C103" s="457" t="s">
        <v>48</v>
      </c>
      <c r="D103" s="470"/>
      <c r="E103" s="490" t="s">
        <v>31</v>
      </c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697"/>
      <c r="S103" s="54">
        <f t="shared" si="1"/>
        <v>0</v>
      </c>
      <c r="T103" s="645">
        <f t="shared" si="1"/>
        <v>0</v>
      </c>
      <c r="U103" s="757">
        <f t="shared" si="1"/>
        <v>0</v>
      </c>
      <c r="W103" s="6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Q103" s="62"/>
      <c r="AW103" s="1"/>
      <c r="BF103" s="141"/>
      <c r="BG103" s="14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CJ103" s="141"/>
      <c r="CZ103" s="1"/>
      <c r="DR103" s="5"/>
      <c r="DS103" s="141"/>
      <c r="DT103" s="141"/>
      <c r="DU103" s="141"/>
      <c r="DV103" s="141"/>
      <c r="FY103" s="141"/>
      <c r="JT103" s="141"/>
      <c r="JU103" s="141"/>
      <c r="JV103" s="141"/>
      <c r="JW103" s="141"/>
      <c r="PA103" s="141"/>
      <c r="PB103" s="141"/>
      <c r="PD103" s="141"/>
      <c r="PR103" s="144"/>
      <c r="PV103" s="141"/>
      <c r="RY103" s="144"/>
      <c r="AHH103" s="140"/>
      <c r="AIW103" s="140"/>
      <c r="AIX103" s="140"/>
      <c r="AIY103" s="140"/>
    </row>
    <row r="104" spans="2:935" hidden="1" x14ac:dyDescent="0.25">
      <c r="B104" s="708"/>
      <c r="C104" s="556" t="s">
        <v>28</v>
      </c>
      <c r="D104" s="470"/>
      <c r="E104" s="459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697"/>
      <c r="S104" s="63" t="s">
        <v>28</v>
      </c>
      <c r="T104" s="667" t="s">
        <v>28</v>
      </c>
      <c r="U104" s="756" t="s">
        <v>28</v>
      </c>
      <c r="W104" s="6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774"/>
      <c r="AJ104" s="774"/>
      <c r="AK104" s="774"/>
      <c r="AL104" s="774"/>
      <c r="AM104" s="774"/>
      <c r="AN104" s="774"/>
      <c r="AO104" s="774"/>
      <c r="AP104" s="774"/>
      <c r="AQ104" s="774"/>
      <c r="AR104" s="774"/>
      <c r="AW104" s="1"/>
      <c r="BF104" s="141"/>
      <c r="BG104" s="14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CJ104" s="141"/>
      <c r="CZ104" s="1"/>
      <c r="DR104" s="5"/>
      <c r="DS104" s="141"/>
      <c r="DT104" s="141"/>
      <c r="DU104" s="141"/>
      <c r="DV104" s="141"/>
      <c r="FY104" s="141"/>
      <c r="JT104" s="141"/>
      <c r="JU104" s="141"/>
      <c r="JV104" s="141"/>
      <c r="JW104" s="141"/>
      <c r="PA104" s="141"/>
      <c r="PB104" s="141"/>
      <c r="PD104" s="141"/>
      <c r="PR104" s="144"/>
      <c r="PV104" s="141"/>
      <c r="RY104" s="144"/>
      <c r="AHH104" s="140"/>
      <c r="AIW104" s="140"/>
      <c r="AIX104" s="140"/>
      <c r="AIY104" s="140"/>
    </row>
    <row r="105" spans="2:935" hidden="1" x14ac:dyDescent="0.25">
      <c r="B105" s="708"/>
      <c r="C105" s="457" t="s">
        <v>49</v>
      </c>
      <c r="D105" s="470"/>
      <c r="E105" s="490" t="s">
        <v>28</v>
      </c>
      <c r="F105" s="564"/>
      <c r="G105" s="564"/>
      <c r="H105" s="564"/>
      <c r="I105" s="564"/>
      <c r="J105" s="564"/>
      <c r="K105" s="564"/>
      <c r="L105" s="564"/>
      <c r="M105" s="564"/>
      <c r="N105" s="564"/>
      <c r="O105" s="564"/>
      <c r="P105" s="564"/>
      <c r="Q105" s="564"/>
      <c r="R105" s="697"/>
      <c r="S105" s="54">
        <f t="shared" ref="S105:U106" si="2">SUM(F105:Q105)</f>
        <v>0</v>
      </c>
      <c r="T105" s="645">
        <f t="shared" si="2"/>
        <v>0</v>
      </c>
      <c r="U105" s="757">
        <f t="shared" si="2"/>
        <v>0</v>
      </c>
      <c r="W105" s="6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784"/>
      <c r="AJ105" s="774"/>
      <c r="AK105" s="774"/>
      <c r="AL105" s="774"/>
      <c r="AM105" s="785"/>
      <c r="AN105" s="774"/>
      <c r="AO105" s="774"/>
      <c r="AP105" s="774"/>
      <c r="AQ105" s="774"/>
      <c r="AR105" s="774"/>
      <c r="AW105" s="1"/>
      <c r="BF105" s="141"/>
      <c r="BG105" s="14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CJ105" s="141"/>
      <c r="CZ105" s="1"/>
      <c r="DR105" s="5"/>
      <c r="DS105" s="141"/>
      <c r="DT105" s="141"/>
      <c r="DU105" s="141"/>
      <c r="DV105" s="141"/>
      <c r="FY105" s="141"/>
      <c r="JT105" s="141"/>
      <c r="JU105" s="141"/>
      <c r="JV105" s="141"/>
      <c r="JW105" s="141"/>
      <c r="PA105" s="141"/>
      <c r="PB105" s="141"/>
      <c r="PD105" s="141"/>
      <c r="PR105" s="144"/>
      <c r="PV105" s="141"/>
      <c r="RY105" s="144"/>
      <c r="AHH105" s="140"/>
      <c r="AIW105" s="140"/>
      <c r="AIX105" s="140"/>
      <c r="AIY105" s="140"/>
    </row>
    <row r="106" spans="2:935" hidden="1" x14ac:dyDescent="0.25">
      <c r="B106" s="708"/>
      <c r="C106" s="457" t="s">
        <v>48</v>
      </c>
      <c r="D106" s="470"/>
      <c r="E106" s="490" t="s">
        <v>28</v>
      </c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697"/>
      <c r="S106" s="54">
        <f t="shared" si="2"/>
        <v>0</v>
      </c>
      <c r="T106" s="645">
        <f t="shared" si="2"/>
        <v>0</v>
      </c>
      <c r="U106" s="757">
        <f t="shared" si="2"/>
        <v>0</v>
      </c>
      <c r="W106" s="6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774"/>
      <c r="AJ106" s="774"/>
      <c r="AK106" s="774"/>
      <c r="AL106" s="774"/>
      <c r="AM106" s="774"/>
      <c r="AN106" s="774"/>
      <c r="AO106" s="774"/>
      <c r="AP106" s="774"/>
      <c r="AQ106" s="774"/>
      <c r="AR106" s="774"/>
      <c r="AW106" s="1"/>
      <c r="BF106" s="141"/>
      <c r="BG106" s="14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CJ106" s="141"/>
      <c r="CZ106" s="1"/>
      <c r="DR106" s="5"/>
      <c r="DS106" s="141"/>
      <c r="DT106" s="141"/>
      <c r="DU106" s="141"/>
      <c r="DV106" s="141"/>
      <c r="FY106" s="141"/>
      <c r="JT106" s="141"/>
      <c r="JU106" s="141"/>
      <c r="JV106" s="141"/>
      <c r="JW106" s="141"/>
      <c r="PA106" s="141"/>
      <c r="PB106" s="141"/>
      <c r="PD106" s="141"/>
      <c r="PR106" s="144"/>
      <c r="PV106" s="141"/>
      <c r="RY106" s="144"/>
      <c r="AHH106" s="140"/>
      <c r="AIW106" s="140"/>
      <c r="AIX106" s="140"/>
      <c r="AIY106" s="140"/>
    </row>
    <row r="107" spans="2:935" hidden="1" x14ac:dyDescent="0.25">
      <c r="B107" s="705"/>
      <c r="C107" s="414" t="s">
        <v>30</v>
      </c>
      <c r="D107" s="48"/>
      <c r="E107" s="48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3"/>
      <c r="S107" s="516" t="s">
        <v>130</v>
      </c>
      <c r="T107" s="656" t="s">
        <v>130</v>
      </c>
      <c r="U107" s="747" t="s">
        <v>130</v>
      </c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774"/>
      <c r="AJ107" s="774"/>
      <c r="AK107" s="774"/>
      <c r="AL107" s="774"/>
      <c r="AM107" s="774"/>
      <c r="AN107" s="774"/>
      <c r="AO107" s="774"/>
      <c r="AP107" s="774"/>
      <c r="AQ107" s="774"/>
      <c r="AR107" s="774"/>
      <c r="AW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CZ107" s="1"/>
    </row>
    <row r="108" spans="2:935" hidden="1" x14ac:dyDescent="0.25">
      <c r="B108" s="708"/>
      <c r="C108" s="556" t="s">
        <v>29</v>
      </c>
      <c r="D108" s="470"/>
      <c r="E108" s="459"/>
      <c r="F108" s="434"/>
      <c r="G108" s="434"/>
      <c r="H108" s="434"/>
      <c r="I108" s="434"/>
      <c r="J108" s="434"/>
      <c r="K108" s="434"/>
      <c r="L108" s="434"/>
      <c r="M108" s="434"/>
      <c r="N108" s="434"/>
      <c r="O108" s="434"/>
      <c r="P108" s="434"/>
      <c r="Q108" s="434"/>
      <c r="R108" s="697"/>
      <c r="S108" s="63" t="s">
        <v>29</v>
      </c>
      <c r="T108" s="667" t="s">
        <v>29</v>
      </c>
      <c r="U108" s="756" t="s">
        <v>29</v>
      </c>
      <c r="W108" s="6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774"/>
      <c r="AJ108" s="774"/>
      <c r="AK108" s="774"/>
      <c r="AL108" s="774"/>
      <c r="AM108" s="774"/>
      <c r="AN108" s="774"/>
      <c r="AO108" s="774"/>
      <c r="AP108" s="774"/>
      <c r="AQ108" s="774"/>
      <c r="AR108" s="774"/>
      <c r="AW108" s="1"/>
      <c r="BF108" s="141"/>
      <c r="BG108" s="14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CJ108" s="141"/>
      <c r="CZ108" s="1"/>
      <c r="DR108" s="5"/>
      <c r="DS108" s="141"/>
      <c r="DT108" s="141"/>
      <c r="DU108" s="141"/>
      <c r="DV108" s="141"/>
      <c r="FY108" s="141"/>
      <c r="JT108" s="141"/>
      <c r="JU108" s="141"/>
      <c r="JV108" s="141"/>
      <c r="JW108" s="141"/>
      <c r="PA108" s="141"/>
      <c r="PB108" s="141"/>
      <c r="PD108" s="141"/>
      <c r="PR108" s="144"/>
      <c r="PV108" s="141"/>
      <c r="RY108" s="144"/>
      <c r="AHH108" s="140"/>
      <c r="AIW108" s="140"/>
      <c r="AIX108" s="140"/>
      <c r="AIY108" s="140"/>
    </row>
    <row r="109" spans="2:935" hidden="1" x14ac:dyDescent="0.25">
      <c r="B109" s="708"/>
      <c r="C109" s="457" t="s">
        <v>49</v>
      </c>
      <c r="D109" s="458">
        <v>0.3</v>
      </c>
      <c r="E109" s="490" t="s">
        <v>25</v>
      </c>
      <c r="F109" s="565"/>
      <c r="G109" s="435"/>
      <c r="H109" s="435"/>
      <c r="I109" s="565"/>
      <c r="J109" s="565"/>
      <c r="K109" s="565"/>
      <c r="L109" s="565"/>
      <c r="M109" s="565"/>
      <c r="N109" s="565"/>
      <c r="O109" s="565"/>
      <c r="P109" s="565"/>
      <c r="Q109" s="565"/>
      <c r="R109" s="697"/>
      <c r="S109" s="58" t="e">
        <f t="shared" ref="S109:U110" si="3">S102/S93*100</f>
        <v>#DIV/0!</v>
      </c>
      <c r="T109" s="648">
        <f t="shared" si="3"/>
        <v>0</v>
      </c>
      <c r="U109" s="740" t="e">
        <f t="shared" si="3"/>
        <v>#DIV/0!</v>
      </c>
      <c r="W109" s="6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774"/>
      <c r="AJ109" s="774"/>
      <c r="AK109" s="774"/>
      <c r="AL109" s="774"/>
      <c r="AM109" s="774"/>
      <c r="AN109" s="774"/>
      <c r="AO109" s="774"/>
      <c r="AP109" s="774"/>
      <c r="AQ109" s="774"/>
      <c r="AR109" s="774"/>
      <c r="AW109" s="1"/>
      <c r="BF109" s="141"/>
      <c r="BG109" s="14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CJ109" s="141"/>
      <c r="CZ109" s="1"/>
      <c r="DR109" s="5"/>
      <c r="DS109" s="141"/>
      <c r="DT109" s="141"/>
      <c r="DU109" s="141"/>
      <c r="DV109" s="141"/>
      <c r="FY109" s="141"/>
      <c r="JT109" s="141"/>
      <c r="JU109" s="141"/>
      <c r="JV109" s="141"/>
      <c r="JW109" s="141"/>
      <c r="PA109" s="141"/>
      <c r="PB109" s="141"/>
      <c r="PD109" s="141"/>
      <c r="PR109" s="144"/>
      <c r="PV109" s="141"/>
      <c r="RY109" s="144"/>
      <c r="AHH109" s="140"/>
      <c r="AIW109" s="140"/>
      <c r="AIX109" s="140"/>
      <c r="AIY109" s="140"/>
    </row>
    <row r="110" spans="2:935" hidden="1" x14ac:dyDescent="0.25">
      <c r="B110" s="708"/>
      <c r="C110" s="457" t="s">
        <v>48</v>
      </c>
      <c r="D110" s="458">
        <v>0.3</v>
      </c>
      <c r="E110" s="490" t="s">
        <v>25</v>
      </c>
      <c r="F110" s="565"/>
      <c r="G110" s="435"/>
      <c r="H110" s="435"/>
      <c r="I110" s="565"/>
      <c r="J110" s="565"/>
      <c r="K110" s="565"/>
      <c r="L110" s="565"/>
      <c r="M110" s="565"/>
      <c r="N110" s="565"/>
      <c r="O110" s="565"/>
      <c r="P110" s="565"/>
      <c r="Q110" s="565"/>
      <c r="R110" s="697"/>
      <c r="S110" s="58" t="e">
        <f t="shared" si="3"/>
        <v>#DIV/0!</v>
      </c>
      <c r="T110" s="648">
        <f t="shared" si="3"/>
        <v>0</v>
      </c>
      <c r="U110" s="740" t="e">
        <f t="shared" si="3"/>
        <v>#DIV/0!</v>
      </c>
      <c r="W110" s="6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774"/>
      <c r="AJ110" s="774"/>
      <c r="AK110" s="774"/>
      <c r="AL110" s="774"/>
      <c r="AM110" s="774"/>
      <c r="AN110" s="774"/>
      <c r="AO110" s="774"/>
      <c r="AP110" s="774"/>
      <c r="AQ110" s="774"/>
      <c r="AR110" s="774"/>
      <c r="AW110" s="1"/>
      <c r="BF110" s="141"/>
      <c r="BG110" s="14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CJ110" s="141"/>
      <c r="CZ110" s="1"/>
      <c r="DR110" s="5"/>
      <c r="DS110" s="141"/>
      <c r="DT110" s="141"/>
      <c r="DU110" s="141"/>
      <c r="DV110" s="141"/>
      <c r="FY110" s="141"/>
      <c r="JT110" s="141"/>
      <c r="JU110" s="141"/>
      <c r="JV110" s="141"/>
      <c r="JW110" s="141"/>
      <c r="PA110" s="141"/>
      <c r="PB110" s="141"/>
      <c r="PD110" s="141"/>
      <c r="PR110" s="144"/>
      <c r="PV110" s="141"/>
      <c r="RY110" s="144"/>
      <c r="AHH110" s="140"/>
      <c r="AIW110" s="140"/>
      <c r="AIX110" s="140"/>
      <c r="AIY110" s="140"/>
    </row>
    <row r="111" spans="2:935" hidden="1" x14ac:dyDescent="0.25">
      <c r="B111" s="708"/>
      <c r="C111" s="556" t="s">
        <v>28</v>
      </c>
      <c r="D111" s="458"/>
      <c r="E111" s="459"/>
      <c r="F111" s="435"/>
      <c r="G111" s="435"/>
      <c r="H111" s="435"/>
      <c r="I111" s="435"/>
      <c r="J111" s="435"/>
      <c r="K111" s="435"/>
      <c r="L111" s="435"/>
      <c r="M111" s="435"/>
      <c r="N111" s="435"/>
      <c r="O111" s="435"/>
      <c r="P111" s="435"/>
      <c r="Q111" s="435"/>
      <c r="R111" s="697"/>
      <c r="S111" s="63" t="s">
        <v>28</v>
      </c>
      <c r="T111" s="667" t="s">
        <v>28</v>
      </c>
      <c r="U111" s="756" t="s">
        <v>28</v>
      </c>
      <c r="W111" s="6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774"/>
      <c r="AJ111" s="774"/>
      <c r="AK111" s="774"/>
      <c r="AL111" s="774"/>
      <c r="AM111" s="774"/>
      <c r="AN111" s="774"/>
      <c r="AO111" s="774"/>
      <c r="AP111" s="774"/>
      <c r="AQ111" s="774"/>
      <c r="AR111" s="774"/>
      <c r="AW111" s="1"/>
      <c r="BF111" s="141"/>
      <c r="BG111" s="14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CJ111" s="141"/>
      <c r="CZ111" s="1"/>
      <c r="DR111" s="5"/>
      <c r="DS111" s="141"/>
      <c r="DT111" s="141"/>
      <c r="DU111" s="141"/>
      <c r="DV111" s="141"/>
      <c r="FY111" s="141"/>
      <c r="JT111" s="141"/>
      <c r="JU111" s="141"/>
      <c r="JV111" s="141"/>
      <c r="JW111" s="141"/>
      <c r="PA111" s="141"/>
      <c r="PB111" s="141"/>
      <c r="PD111" s="141"/>
      <c r="PR111" s="144"/>
      <c r="PV111" s="141"/>
      <c r="RY111" s="144"/>
      <c r="AHH111" s="140"/>
      <c r="AIW111" s="140"/>
      <c r="AIX111" s="140"/>
      <c r="AIY111" s="140"/>
    </row>
    <row r="112" spans="2:935" hidden="1" x14ac:dyDescent="0.25">
      <c r="B112" s="708"/>
      <c r="C112" s="457" t="s">
        <v>49</v>
      </c>
      <c r="D112" s="458">
        <v>0.5</v>
      </c>
      <c r="E112" s="490" t="s">
        <v>25</v>
      </c>
      <c r="F112" s="565"/>
      <c r="G112" s="435"/>
      <c r="H112" s="435"/>
      <c r="I112" s="565"/>
      <c r="J112" s="565"/>
      <c r="K112" s="565"/>
      <c r="L112" s="565"/>
      <c r="M112" s="565"/>
      <c r="N112" s="565"/>
      <c r="O112" s="565"/>
      <c r="P112" s="565"/>
      <c r="Q112" s="565"/>
      <c r="R112" s="697"/>
      <c r="S112" s="58" t="e">
        <f t="shared" ref="S112:U113" si="4">S105/S96*100</f>
        <v>#DIV/0!</v>
      </c>
      <c r="T112" s="648">
        <f t="shared" si="4"/>
        <v>0</v>
      </c>
      <c r="U112" s="740" t="e">
        <f t="shared" si="4"/>
        <v>#DIV/0!</v>
      </c>
      <c r="W112" s="6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774"/>
      <c r="AJ112" s="774"/>
      <c r="AK112" s="774"/>
      <c r="AL112" s="774"/>
      <c r="AM112" s="774"/>
      <c r="AN112" s="774"/>
      <c r="AO112" s="774"/>
      <c r="AP112" s="774"/>
      <c r="AQ112" s="774"/>
      <c r="AR112" s="774"/>
      <c r="AW112" s="1"/>
      <c r="BF112" s="141"/>
      <c r="BG112" s="14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CJ112" s="141"/>
      <c r="CZ112" s="1"/>
      <c r="DR112" s="5"/>
      <c r="DS112" s="141"/>
      <c r="DT112" s="141"/>
      <c r="DU112" s="141"/>
      <c r="DV112" s="141"/>
      <c r="FY112" s="141"/>
      <c r="JT112" s="141"/>
      <c r="JU112" s="141"/>
      <c r="JV112" s="141"/>
      <c r="JW112" s="141"/>
      <c r="PA112" s="141"/>
      <c r="PB112" s="141"/>
      <c r="PD112" s="141"/>
      <c r="PR112" s="144"/>
      <c r="PV112" s="141"/>
      <c r="RY112" s="144"/>
      <c r="AHH112" s="140"/>
      <c r="AIW112" s="140"/>
      <c r="AIX112" s="140"/>
      <c r="AIY112" s="140"/>
    </row>
    <row r="113" spans="2:935" hidden="1" x14ac:dyDescent="0.25">
      <c r="B113" s="708"/>
      <c r="C113" s="457" t="s">
        <v>48</v>
      </c>
      <c r="D113" s="458">
        <v>0.5</v>
      </c>
      <c r="E113" s="490" t="s">
        <v>25</v>
      </c>
      <c r="F113" s="565"/>
      <c r="G113" s="435"/>
      <c r="H113" s="435"/>
      <c r="I113" s="565"/>
      <c r="J113" s="565"/>
      <c r="K113" s="565"/>
      <c r="L113" s="565"/>
      <c r="M113" s="565"/>
      <c r="N113" s="565"/>
      <c r="O113" s="565"/>
      <c r="P113" s="565"/>
      <c r="Q113" s="565"/>
      <c r="R113" s="697"/>
      <c r="S113" s="58" t="e">
        <f t="shared" si="4"/>
        <v>#DIV/0!</v>
      </c>
      <c r="T113" s="648">
        <f t="shared" si="4"/>
        <v>0</v>
      </c>
      <c r="U113" s="740" t="e">
        <f t="shared" si="4"/>
        <v>#DIV/0!</v>
      </c>
      <c r="W113" s="6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774"/>
      <c r="AJ113" s="774"/>
      <c r="AK113" s="774"/>
      <c r="AL113" s="774"/>
      <c r="AM113" s="774"/>
      <c r="AN113" s="774"/>
      <c r="AO113" s="774"/>
      <c r="AP113" s="774"/>
      <c r="AQ113" s="774"/>
      <c r="AR113" s="774"/>
      <c r="AW113" s="1"/>
      <c r="BF113" s="141"/>
      <c r="BG113" s="14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CJ113" s="141"/>
      <c r="CZ113" s="1"/>
      <c r="DR113" s="5"/>
      <c r="DS113" s="141"/>
      <c r="DT113" s="141"/>
      <c r="DU113" s="141"/>
      <c r="DV113" s="141"/>
      <c r="FY113" s="141"/>
      <c r="JT113" s="141"/>
      <c r="JU113" s="141"/>
      <c r="JV113" s="141"/>
      <c r="JW113" s="141"/>
      <c r="PA113" s="141"/>
      <c r="PB113" s="141"/>
      <c r="PD113" s="141"/>
      <c r="PR113" s="144"/>
      <c r="PV113" s="141"/>
      <c r="RY113" s="144"/>
      <c r="AHH113" s="140"/>
      <c r="AIW113" s="140"/>
      <c r="AIX113" s="140"/>
      <c r="AIY113" s="140"/>
    </row>
    <row r="114" spans="2:935" hidden="1" x14ac:dyDescent="0.25">
      <c r="B114" s="704">
        <v>6</v>
      </c>
      <c r="C114" s="414" t="s">
        <v>47</v>
      </c>
      <c r="D114" s="48"/>
      <c r="E114" s="48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3"/>
      <c r="S114" s="516" t="s">
        <v>129</v>
      </c>
      <c r="T114" s="656" t="s">
        <v>129</v>
      </c>
      <c r="U114" s="747" t="s">
        <v>129</v>
      </c>
      <c r="W114" s="6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774"/>
      <c r="AJ114" s="774"/>
      <c r="AK114" s="774"/>
      <c r="AL114" s="774"/>
      <c r="AM114" s="774"/>
      <c r="AN114" s="774"/>
      <c r="AO114" s="774"/>
      <c r="AP114" s="774"/>
      <c r="AQ114" s="774"/>
      <c r="AR114" s="774"/>
      <c r="AW114" s="1"/>
      <c r="BF114" s="140"/>
      <c r="BG114" s="140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CJ114" s="140"/>
      <c r="CZ114" s="1"/>
      <c r="DR114" s="5"/>
      <c r="DS114" s="140"/>
      <c r="DT114" s="140"/>
      <c r="DU114" s="140"/>
      <c r="DV114" s="140"/>
      <c r="FY114" s="140"/>
      <c r="JT114" s="140"/>
      <c r="JU114" s="140"/>
      <c r="JV114" s="140"/>
      <c r="JW114" s="140"/>
      <c r="PA114" s="140"/>
      <c r="PB114" s="140"/>
      <c r="PD114" s="140"/>
      <c r="PR114" s="475"/>
      <c r="PV114" s="140"/>
      <c r="RY114" s="475"/>
      <c r="AHH114" s="140"/>
      <c r="AIW114" s="140"/>
      <c r="AIX114" s="140"/>
      <c r="AIY114" s="140"/>
    </row>
    <row r="115" spans="2:935" hidden="1" x14ac:dyDescent="0.25">
      <c r="B115" s="705"/>
      <c r="C115" s="566" t="s">
        <v>46</v>
      </c>
      <c r="D115" s="567"/>
      <c r="E115" s="20" t="s">
        <v>14</v>
      </c>
      <c r="F115" s="568"/>
      <c r="G115" s="569"/>
      <c r="H115" s="568"/>
      <c r="I115" s="568"/>
      <c r="J115" s="568"/>
      <c r="K115" s="568"/>
      <c r="L115" s="568"/>
      <c r="M115" s="568"/>
      <c r="N115" s="568"/>
      <c r="O115" s="568"/>
      <c r="P115" s="568"/>
      <c r="Q115" s="568"/>
      <c r="R115" s="710"/>
      <c r="S115" s="89">
        <f>SUM(S116:S117)</f>
        <v>0</v>
      </c>
      <c r="T115" s="665">
        <f>SUM(T116:T117)</f>
        <v>0</v>
      </c>
      <c r="U115" s="758">
        <f>SUM(U116:U117)</f>
        <v>0</v>
      </c>
      <c r="W115" s="786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784"/>
      <c r="AJ115" s="784"/>
      <c r="AK115" s="784"/>
      <c r="AL115" s="784"/>
      <c r="AM115" s="784"/>
      <c r="AN115" s="784"/>
      <c r="AO115" s="784"/>
      <c r="AP115" s="784"/>
      <c r="AQ115" s="784"/>
      <c r="AR115" s="784"/>
      <c r="AW115" s="1"/>
      <c r="BF115" s="145"/>
      <c r="BG115" s="145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CJ115" s="145"/>
      <c r="CZ115" s="1"/>
      <c r="DR115" s="430"/>
      <c r="DS115" s="145"/>
      <c r="DT115" s="145"/>
      <c r="DU115" s="145"/>
      <c r="DV115" s="145"/>
      <c r="FY115" s="145"/>
      <c r="JT115" s="145"/>
      <c r="JU115" s="145"/>
      <c r="JV115" s="145"/>
      <c r="JW115" s="145"/>
      <c r="PA115" s="145"/>
      <c r="PB115" s="145"/>
      <c r="PD115" s="145"/>
      <c r="PR115" s="550"/>
      <c r="PV115" s="145"/>
      <c r="RY115" s="550"/>
      <c r="AHH115" s="150"/>
      <c r="AIW115" s="150"/>
      <c r="AIX115" s="150"/>
      <c r="AIY115" s="150"/>
    </row>
    <row r="116" spans="2:935" hidden="1" x14ac:dyDescent="0.25">
      <c r="B116" s="708"/>
      <c r="C116" s="556" t="s">
        <v>39</v>
      </c>
      <c r="D116" s="470"/>
      <c r="E116" s="490" t="s">
        <v>14</v>
      </c>
      <c r="F116" s="435"/>
      <c r="G116" s="520"/>
      <c r="H116" s="518"/>
      <c r="I116" s="435"/>
      <c r="J116" s="520"/>
      <c r="K116" s="435"/>
      <c r="L116" s="520"/>
      <c r="M116" s="520"/>
      <c r="N116" s="520"/>
      <c r="O116" s="520"/>
      <c r="P116" s="520"/>
      <c r="Q116" s="435"/>
      <c r="R116" s="697"/>
      <c r="S116" s="58">
        <f t="shared" ref="S116:U117" si="5">SUM(F116:Q116)</f>
        <v>0</v>
      </c>
      <c r="T116" s="648">
        <f t="shared" si="5"/>
        <v>0</v>
      </c>
      <c r="U116" s="740">
        <f t="shared" si="5"/>
        <v>0</v>
      </c>
      <c r="W116" s="6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787"/>
      <c r="AJ116" s="784"/>
      <c r="AK116" s="784"/>
      <c r="AL116" s="784"/>
      <c r="AM116" s="784"/>
      <c r="AN116" s="784"/>
      <c r="AO116" s="774"/>
      <c r="AP116" s="774"/>
      <c r="AQ116" s="774"/>
      <c r="AR116" s="774"/>
      <c r="AW116" s="1"/>
      <c r="BF116" s="141"/>
      <c r="BG116" s="14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CJ116" s="141"/>
      <c r="CZ116" s="1"/>
      <c r="DR116" s="5"/>
      <c r="DS116" s="141"/>
      <c r="DT116" s="141"/>
      <c r="DU116" s="141"/>
      <c r="DV116" s="141"/>
      <c r="FY116" s="141"/>
      <c r="JT116" s="141"/>
      <c r="JU116" s="141"/>
      <c r="JV116" s="141"/>
      <c r="JW116" s="141"/>
      <c r="PA116" s="141"/>
      <c r="PB116" s="570"/>
      <c r="PD116" s="141"/>
      <c r="PR116" s="144"/>
      <c r="PV116" s="141"/>
      <c r="RY116" s="144"/>
      <c r="AHH116" s="140"/>
      <c r="AIW116" s="140"/>
      <c r="AIX116" s="140"/>
      <c r="AIY116" s="140"/>
    </row>
    <row r="117" spans="2:935" hidden="1" x14ac:dyDescent="0.25">
      <c r="B117" s="708"/>
      <c r="C117" s="556" t="s">
        <v>38</v>
      </c>
      <c r="D117" s="470"/>
      <c r="E117" s="490" t="s">
        <v>14</v>
      </c>
      <c r="F117" s="435"/>
      <c r="G117" s="518"/>
      <c r="H117" s="518"/>
      <c r="I117" s="435"/>
      <c r="J117" s="520"/>
      <c r="K117" s="435"/>
      <c r="L117" s="520"/>
      <c r="M117" s="520"/>
      <c r="N117" s="520"/>
      <c r="O117" s="520"/>
      <c r="P117" s="520"/>
      <c r="Q117" s="435"/>
      <c r="R117" s="697"/>
      <c r="S117" s="58">
        <f t="shared" si="5"/>
        <v>0</v>
      </c>
      <c r="T117" s="648">
        <f t="shared" si="5"/>
        <v>0</v>
      </c>
      <c r="U117" s="740">
        <f t="shared" si="5"/>
        <v>0</v>
      </c>
      <c r="W117" s="6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774"/>
      <c r="AJ117" s="774"/>
      <c r="AK117" s="774"/>
      <c r="AL117" s="774"/>
      <c r="AM117" s="774"/>
      <c r="AN117" s="774"/>
      <c r="AO117" s="774"/>
      <c r="AP117" s="774"/>
      <c r="AQ117" s="774"/>
      <c r="AR117" s="774"/>
      <c r="AW117" s="1"/>
      <c r="BF117" s="141"/>
      <c r="BG117" s="14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CJ117" s="141"/>
      <c r="CZ117" s="1"/>
      <c r="DR117" s="5"/>
      <c r="DS117" s="141"/>
      <c r="DT117" s="141"/>
      <c r="DU117" s="141"/>
      <c r="DV117" s="141"/>
      <c r="FY117" s="141"/>
      <c r="JT117" s="141"/>
      <c r="JU117" s="141"/>
      <c r="JV117" s="141"/>
      <c r="JW117" s="141"/>
      <c r="PA117" s="141"/>
      <c r="PB117" s="141"/>
      <c r="PD117" s="141"/>
      <c r="PR117" s="144"/>
      <c r="PV117" s="141"/>
      <c r="RY117" s="144"/>
      <c r="AHH117" s="140"/>
      <c r="AIW117" s="140"/>
      <c r="AIX117" s="140"/>
      <c r="AIY117" s="140"/>
    </row>
    <row r="118" spans="2:935" hidden="1" x14ac:dyDescent="0.25">
      <c r="B118" s="708"/>
      <c r="C118" s="556" t="s">
        <v>50</v>
      </c>
      <c r="D118" s="470"/>
      <c r="E118" s="490" t="s">
        <v>14</v>
      </c>
      <c r="F118" s="435"/>
      <c r="G118" s="518"/>
      <c r="H118" s="435"/>
      <c r="I118" s="435"/>
      <c r="J118" s="435"/>
      <c r="K118" s="435"/>
      <c r="L118" s="435"/>
      <c r="M118" s="435"/>
      <c r="N118" s="435"/>
      <c r="O118" s="435"/>
      <c r="P118" s="435"/>
      <c r="Q118" s="435"/>
      <c r="R118" s="697"/>
      <c r="S118" s="58"/>
      <c r="T118" s="648"/>
      <c r="U118" s="740"/>
      <c r="W118" s="6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774"/>
      <c r="AJ118" s="774"/>
      <c r="AK118" s="774"/>
      <c r="AL118" s="774"/>
      <c r="AM118" s="774"/>
      <c r="AN118" s="774"/>
      <c r="AO118" s="774"/>
      <c r="AP118" s="774"/>
      <c r="AQ118" s="774"/>
      <c r="AR118" s="774"/>
      <c r="AW118" s="1"/>
      <c r="BF118" s="141"/>
      <c r="BG118" s="14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CJ118" s="141"/>
      <c r="CZ118" s="1"/>
      <c r="DR118" s="5"/>
      <c r="DS118" s="141"/>
      <c r="DT118" s="141"/>
      <c r="DU118" s="141"/>
      <c r="DV118" s="141"/>
      <c r="FY118" s="141"/>
      <c r="JT118" s="141"/>
      <c r="JU118" s="141"/>
      <c r="JV118" s="141"/>
      <c r="JW118" s="141"/>
      <c r="PA118" s="141"/>
      <c r="PB118" s="141"/>
      <c r="PD118" s="141"/>
      <c r="PR118" s="144"/>
      <c r="PV118" s="141"/>
      <c r="RY118" s="144"/>
      <c r="AHH118" s="140"/>
      <c r="AIW118" s="140"/>
      <c r="AIX118" s="140"/>
      <c r="AIY118" s="140"/>
    </row>
    <row r="119" spans="2:935" hidden="1" x14ac:dyDescent="0.25">
      <c r="B119" s="708"/>
      <c r="C119" s="556" t="s">
        <v>29</v>
      </c>
      <c r="D119" s="470"/>
      <c r="E119" s="459"/>
      <c r="F119" s="434"/>
      <c r="G119" s="434"/>
      <c r="H119" s="434"/>
      <c r="I119" s="434"/>
      <c r="J119" s="434"/>
      <c r="K119" s="434"/>
      <c r="L119" s="434"/>
      <c r="M119" s="434"/>
      <c r="N119" s="434"/>
      <c r="O119" s="434"/>
      <c r="P119" s="434"/>
      <c r="Q119" s="434"/>
      <c r="R119" s="697"/>
      <c r="S119" s="63" t="s">
        <v>29</v>
      </c>
      <c r="T119" s="667" t="s">
        <v>29</v>
      </c>
      <c r="U119" s="756" t="s">
        <v>29</v>
      </c>
      <c r="W119" s="6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774"/>
      <c r="AJ119" s="774"/>
      <c r="AK119" s="774"/>
      <c r="AL119" s="774"/>
      <c r="AM119" s="774"/>
      <c r="AN119" s="774"/>
      <c r="AO119" s="774"/>
      <c r="AP119" s="774"/>
      <c r="AQ119" s="774"/>
      <c r="AR119" s="774"/>
      <c r="AW119" s="1"/>
      <c r="BF119" s="141"/>
      <c r="BG119" s="14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CJ119" s="141"/>
      <c r="CZ119" s="1"/>
      <c r="DR119" s="5"/>
      <c r="DS119" s="141"/>
      <c r="DT119" s="141"/>
      <c r="DU119" s="141"/>
      <c r="DV119" s="141"/>
      <c r="FY119" s="141"/>
      <c r="JT119" s="141"/>
      <c r="JU119" s="141"/>
      <c r="JV119" s="141"/>
      <c r="JW119" s="141"/>
      <c r="PA119" s="141"/>
      <c r="PB119" s="141"/>
      <c r="PD119" s="141"/>
      <c r="PR119" s="144"/>
      <c r="PV119" s="141"/>
      <c r="RY119" s="144"/>
      <c r="AHH119" s="140"/>
      <c r="AIW119" s="140"/>
      <c r="AIX119" s="140"/>
      <c r="AIY119" s="140"/>
    </row>
    <row r="120" spans="2:935" hidden="1" x14ac:dyDescent="0.25">
      <c r="B120" s="709"/>
      <c r="C120" s="431" t="s">
        <v>45</v>
      </c>
      <c r="D120" s="432"/>
      <c r="E120" s="560" t="s">
        <v>31</v>
      </c>
      <c r="F120" s="278"/>
      <c r="G120" s="278"/>
      <c r="H120" s="278"/>
      <c r="I120" s="278"/>
      <c r="J120" s="278"/>
      <c r="K120" s="278"/>
      <c r="L120" s="278"/>
      <c r="M120" s="278"/>
      <c r="N120" s="278"/>
      <c r="O120" s="278"/>
      <c r="P120" s="278"/>
      <c r="Q120" s="278"/>
      <c r="R120" s="699"/>
      <c r="S120" s="91">
        <f>SUM(F120:Q120)</f>
        <v>0</v>
      </c>
      <c r="T120" s="668">
        <v>1518699</v>
      </c>
      <c r="U120" s="740">
        <f>(S120/T120)*100</f>
        <v>0</v>
      </c>
      <c r="W120" s="37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788"/>
      <c r="AJ120" s="788"/>
      <c r="AK120" s="788"/>
      <c r="AL120" s="788"/>
      <c r="AM120" s="788"/>
      <c r="AN120" s="788"/>
      <c r="AO120" s="788"/>
      <c r="AP120" s="788"/>
      <c r="AQ120" s="788"/>
      <c r="AR120" s="788"/>
      <c r="AW120" s="16"/>
      <c r="BF120" s="147"/>
      <c r="BG120" s="147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CJ120" s="147"/>
      <c r="CZ120" s="1"/>
      <c r="DR120" s="511"/>
      <c r="DS120" s="147"/>
      <c r="DT120" s="147"/>
      <c r="DU120" s="147"/>
      <c r="DV120" s="147"/>
      <c r="FY120" s="147"/>
      <c r="JT120" s="147"/>
      <c r="JU120" s="147"/>
      <c r="JV120" s="147"/>
      <c r="JW120" s="147"/>
      <c r="PA120" s="147"/>
      <c r="PB120" s="147"/>
      <c r="PD120" s="147"/>
      <c r="PR120" s="561"/>
      <c r="PV120" s="147"/>
      <c r="RY120" s="561"/>
      <c r="AHH120" s="143"/>
      <c r="AIW120" s="143"/>
      <c r="AIX120" s="143"/>
      <c r="AIY120" s="143"/>
    </row>
    <row r="121" spans="2:935" hidden="1" x14ac:dyDescent="0.25">
      <c r="B121" s="709"/>
      <c r="C121" s="431" t="s">
        <v>44</v>
      </c>
      <c r="D121" s="432"/>
      <c r="E121" s="560" t="s">
        <v>31</v>
      </c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699"/>
      <c r="S121" s="91">
        <f>SUM(F121:Q121)</f>
        <v>0</v>
      </c>
      <c r="T121" s="668">
        <v>2112972</v>
      </c>
      <c r="U121" s="740">
        <f>(S121/T121)*100</f>
        <v>0</v>
      </c>
      <c r="W121" s="37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788"/>
      <c r="AJ121" s="788"/>
      <c r="AK121" s="788"/>
      <c r="AL121" s="788"/>
      <c r="AM121" s="788"/>
      <c r="AN121" s="788"/>
      <c r="AO121" s="788"/>
      <c r="AP121" s="788"/>
      <c r="AQ121" s="788"/>
      <c r="AR121" s="788"/>
      <c r="AW121" s="16"/>
      <c r="BF121" s="147"/>
      <c r="BG121" s="147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CJ121" s="147"/>
      <c r="CZ121" s="1"/>
      <c r="DR121" s="511"/>
      <c r="DS121" s="147"/>
      <c r="DT121" s="147"/>
      <c r="DU121" s="147"/>
      <c r="DV121" s="147"/>
      <c r="FY121" s="147"/>
      <c r="JT121" s="147"/>
      <c r="JU121" s="147"/>
      <c r="JV121" s="147"/>
      <c r="JW121" s="147"/>
      <c r="PA121" s="147"/>
      <c r="PB121" s="147"/>
      <c r="PD121" s="147"/>
      <c r="PR121" s="561"/>
      <c r="PV121" s="147"/>
      <c r="RY121" s="561"/>
      <c r="AHH121" s="143"/>
      <c r="AIW121" s="143"/>
      <c r="AIX121" s="143"/>
      <c r="AIY121" s="143"/>
    </row>
    <row r="122" spans="2:935" hidden="1" x14ac:dyDescent="0.25">
      <c r="B122" s="708"/>
      <c r="C122" s="556" t="s">
        <v>28</v>
      </c>
      <c r="D122" s="470"/>
      <c r="E122" s="459"/>
      <c r="F122" s="434"/>
      <c r="G122" s="434"/>
      <c r="H122" s="434"/>
      <c r="I122" s="434"/>
      <c r="J122" s="434"/>
      <c r="K122" s="434"/>
      <c r="L122" s="434"/>
      <c r="M122" s="434"/>
      <c r="N122" s="434"/>
      <c r="O122" s="434"/>
      <c r="P122" s="434"/>
      <c r="Q122" s="434"/>
      <c r="R122" s="697"/>
      <c r="S122" s="63" t="s">
        <v>28</v>
      </c>
      <c r="T122" s="667" t="s">
        <v>28</v>
      </c>
      <c r="U122" s="756" t="s">
        <v>28</v>
      </c>
      <c r="W122" s="6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774"/>
      <c r="AJ122" s="774"/>
      <c r="AK122" s="774"/>
      <c r="AL122" s="774"/>
      <c r="AM122" s="774"/>
      <c r="AN122" s="774"/>
      <c r="AO122" s="774"/>
      <c r="AP122" s="774"/>
      <c r="AQ122" s="774"/>
      <c r="AR122" s="774"/>
      <c r="AW122" s="1"/>
      <c r="BF122" s="141"/>
      <c r="BG122" s="14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CJ122" s="141"/>
      <c r="CZ122" s="1"/>
      <c r="DR122" s="5"/>
      <c r="DS122" s="141"/>
      <c r="DT122" s="141"/>
      <c r="DU122" s="141"/>
      <c r="DV122" s="141"/>
      <c r="FY122" s="141"/>
      <c r="JT122" s="141"/>
      <c r="JU122" s="141"/>
      <c r="JV122" s="141"/>
      <c r="JW122" s="141"/>
      <c r="PA122" s="141"/>
      <c r="PB122" s="141"/>
      <c r="PD122" s="141"/>
      <c r="PR122" s="144"/>
      <c r="PV122" s="141"/>
      <c r="RY122" s="144"/>
      <c r="AHH122" s="140"/>
      <c r="AIW122" s="140"/>
      <c r="AIX122" s="140"/>
      <c r="AIY122" s="140"/>
    </row>
    <row r="123" spans="2:935" hidden="1" x14ac:dyDescent="0.25">
      <c r="B123" s="708"/>
      <c r="C123" s="431" t="s">
        <v>45</v>
      </c>
      <c r="D123" s="470"/>
      <c r="E123" s="490" t="s">
        <v>28</v>
      </c>
      <c r="F123" s="434"/>
      <c r="G123" s="434"/>
      <c r="H123" s="434"/>
      <c r="I123" s="434"/>
      <c r="J123" s="434"/>
      <c r="K123" s="434"/>
      <c r="L123" s="434"/>
      <c r="M123" s="434"/>
      <c r="N123" s="434"/>
      <c r="O123" s="434"/>
      <c r="P123" s="434"/>
      <c r="Q123" s="434"/>
      <c r="R123" s="697"/>
      <c r="S123" s="54">
        <f>S120*12</f>
        <v>0</v>
      </c>
      <c r="T123" s="645">
        <f>T120*12</f>
        <v>18224388</v>
      </c>
      <c r="U123" s="757">
        <f>U120*12</f>
        <v>0</v>
      </c>
      <c r="W123" s="6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774"/>
      <c r="AJ123" s="774"/>
      <c r="AK123" s="774"/>
      <c r="AL123" s="774"/>
      <c r="AM123" s="774"/>
      <c r="AN123" s="774"/>
      <c r="AO123" s="774"/>
      <c r="AP123" s="774"/>
      <c r="AQ123" s="774"/>
      <c r="AR123" s="774"/>
      <c r="AW123" s="1"/>
      <c r="BF123" s="141"/>
      <c r="BG123" s="14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CJ123" s="141"/>
      <c r="CZ123" s="1"/>
      <c r="DR123" s="5"/>
      <c r="DS123" s="141"/>
      <c r="DT123" s="141"/>
      <c r="DU123" s="141"/>
      <c r="DV123" s="141"/>
      <c r="FY123" s="141"/>
      <c r="JT123" s="141"/>
      <c r="JU123" s="141"/>
      <c r="JV123" s="141"/>
      <c r="JW123" s="141"/>
      <c r="PA123" s="141"/>
      <c r="PB123" s="141"/>
      <c r="PD123" s="141"/>
      <c r="PR123" s="144"/>
      <c r="PV123" s="141"/>
      <c r="RY123" s="144"/>
      <c r="AHH123" s="140"/>
      <c r="AIW123" s="140"/>
      <c r="AIX123" s="140"/>
      <c r="AIY123" s="140"/>
    </row>
    <row r="124" spans="2:935" hidden="1" x14ac:dyDescent="0.25">
      <c r="B124" s="708"/>
      <c r="C124" s="431" t="s">
        <v>44</v>
      </c>
      <c r="D124" s="470"/>
      <c r="E124" s="490" t="s">
        <v>28</v>
      </c>
      <c r="F124" s="434"/>
      <c r="G124" s="434"/>
      <c r="H124" s="434"/>
      <c r="I124" s="434"/>
      <c r="J124" s="434"/>
      <c r="K124" s="434"/>
      <c r="L124" s="434"/>
      <c r="M124" s="434"/>
      <c r="N124" s="434"/>
      <c r="O124" s="434"/>
      <c r="P124" s="434"/>
      <c r="Q124" s="434"/>
      <c r="R124" s="697"/>
      <c r="S124" s="54">
        <f>S121*6</f>
        <v>0</v>
      </c>
      <c r="T124" s="645">
        <f>T121*6</f>
        <v>12677832</v>
      </c>
      <c r="U124" s="757">
        <f>U121*6</f>
        <v>0</v>
      </c>
      <c r="W124" s="6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774"/>
      <c r="AJ124" s="774"/>
      <c r="AK124" s="774"/>
      <c r="AL124" s="774"/>
      <c r="AM124" s="774"/>
      <c r="AN124" s="774"/>
      <c r="AO124" s="774"/>
      <c r="AP124" s="774"/>
      <c r="AQ124" s="774"/>
      <c r="AR124" s="774"/>
      <c r="AW124" s="1"/>
      <c r="BF124" s="141"/>
      <c r="BG124" s="14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CJ124" s="141"/>
      <c r="CZ124" s="1"/>
      <c r="DR124" s="5"/>
      <c r="DS124" s="141"/>
      <c r="DT124" s="141"/>
      <c r="DU124" s="141"/>
      <c r="DV124" s="141"/>
      <c r="FY124" s="141"/>
      <c r="JT124" s="141"/>
      <c r="JU124" s="141"/>
      <c r="JV124" s="141"/>
      <c r="JW124" s="141"/>
      <c r="PA124" s="141"/>
      <c r="PB124" s="141"/>
      <c r="PD124" s="141"/>
      <c r="PR124" s="144"/>
      <c r="PV124" s="141"/>
      <c r="RY124" s="144"/>
      <c r="AHH124" s="140"/>
      <c r="AIW124" s="140"/>
      <c r="AIX124" s="140"/>
      <c r="AIY124" s="140"/>
    </row>
    <row r="125" spans="2:935" hidden="1" x14ac:dyDescent="0.25">
      <c r="B125" s="708"/>
      <c r="C125" s="556" t="s">
        <v>36</v>
      </c>
      <c r="D125" s="470"/>
      <c r="E125" s="490" t="s">
        <v>35</v>
      </c>
      <c r="F125" s="562"/>
      <c r="G125" s="434"/>
      <c r="H125" s="434"/>
      <c r="I125" s="562"/>
      <c r="J125" s="562"/>
      <c r="K125" s="562"/>
      <c r="L125" s="562"/>
      <c r="M125" s="562"/>
      <c r="N125" s="562"/>
      <c r="O125" s="562"/>
      <c r="P125" s="562"/>
      <c r="Q125" s="562"/>
      <c r="R125" s="697"/>
      <c r="S125" s="571">
        <f t="shared" ref="S125:U126" si="6">SUM(F125:Q125)</f>
        <v>0</v>
      </c>
      <c r="T125" s="669">
        <f t="shared" si="6"/>
        <v>0</v>
      </c>
      <c r="U125" s="759">
        <f t="shared" si="6"/>
        <v>0</v>
      </c>
      <c r="W125" s="6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774"/>
      <c r="AJ125" s="774"/>
      <c r="AK125" s="774"/>
      <c r="AL125" s="774"/>
      <c r="AM125" s="774"/>
      <c r="AN125" s="774"/>
      <c r="AO125" s="774"/>
      <c r="AP125" s="774"/>
      <c r="AQ125" s="774"/>
      <c r="AR125" s="774"/>
      <c r="AW125" s="1"/>
      <c r="BF125" s="141"/>
      <c r="BG125" s="14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CJ125" s="141"/>
      <c r="CZ125" s="1"/>
      <c r="DR125" s="5"/>
      <c r="DS125" s="141"/>
      <c r="DT125" s="141"/>
      <c r="DU125" s="141"/>
      <c r="DV125" s="141"/>
      <c r="FY125" s="141"/>
      <c r="JT125" s="141"/>
      <c r="JU125" s="141"/>
      <c r="JV125" s="141"/>
      <c r="JW125" s="141"/>
      <c r="PA125" s="141"/>
      <c r="PB125" s="141"/>
      <c r="PD125" s="141"/>
      <c r="PR125" s="144"/>
      <c r="PV125" s="141"/>
      <c r="RY125" s="144"/>
      <c r="AHH125" s="140"/>
      <c r="AIW125" s="140"/>
      <c r="AIX125" s="140"/>
      <c r="AIY125" s="140"/>
    </row>
    <row r="126" spans="2:935" hidden="1" x14ac:dyDescent="0.25">
      <c r="B126" s="708"/>
      <c r="C126" s="556" t="s">
        <v>34</v>
      </c>
      <c r="D126" s="470"/>
      <c r="E126" s="490" t="s">
        <v>33</v>
      </c>
      <c r="F126" s="434"/>
      <c r="G126" s="434"/>
      <c r="H126" s="434"/>
      <c r="I126" s="434"/>
      <c r="J126" s="434"/>
      <c r="K126" s="434"/>
      <c r="L126" s="434"/>
      <c r="M126" s="434"/>
      <c r="N126" s="434"/>
      <c r="O126" s="434"/>
      <c r="P126" s="434"/>
      <c r="Q126" s="434"/>
      <c r="R126" s="697"/>
      <c r="S126" s="571">
        <f t="shared" si="6"/>
        <v>0</v>
      </c>
      <c r="T126" s="669">
        <f t="shared" si="6"/>
        <v>0</v>
      </c>
      <c r="U126" s="759">
        <f t="shared" si="6"/>
        <v>0</v>
      </c>
      <c r="W126" s="6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774"/>
      <c r="AJ126" s="774"/>
      <c r="AK126" s="774"/>
      <c r="AL126" s="774"/>
      <c r="AM126" s="774"/>
      <c r="AN126" s="774"/>
      <c r="AO126" s="774"/>
      <c r="AP126" s="774"/>
      <c r="AQ126" s="774"/>
      <c r="AR126" s="774"/>
      <c r="AW126" s="1"/>
      <c r="BF126" s="141"/>
      <c r="BG126" s="14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CJ126" s="141"/>
      <c r="CZ126" s="1"/>
      <c r="DR126" s="5"/>
      <c r="DS126" s="141"/>
      <c r="DT126" s="141"/>
      <c r="DU126" s="141"/>
      <c r="DV126" s="141"/>
      <c r="FY126" s="141"/>
      <c r="JT126" s="141"/>
      <c r="JU126" s="141"/>
      <c r="JV126" s="141"/>
      <c r="JW126" s="141"/>
      <c r="PA126" s="141"/>
      <c r="PB126" s="141"/>
      <c r="PD126" s="141"/>
      <c r="PR126" s="144"/>
      <c r="PV126" s="141"/>
      <c r="RY126" s="144"/>
      <c r="AHH126" s="140"/>
      <c r="AIW126" s="140"/>
      <c r="AIX126" s="140"/>
      <c r="AIY126" s="140"/>
    </row>
    <row r="127" spans="2:935" hidden="1" x14ac:dyDescent="0.25">
      <c r="B127" s="705"/>
      <c r="C127" s="414" t="s">
        <v>32</v>
      </c>
      <c r="D127" s="48"/>
      <c r="E127" s="48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3"/>
      <c r="S127" s="516" t="s">
        <v>130</v>
      </c>
      <c r="T127" s="656" t="s">
        <v>130</v>
      </c>
      <c r="U127" s="747" t="s">
        <v>130</v>
      </c>
      <c r="W127" s="6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774"/>
      <c r="AJ127" s="774"/>
      <c r="AK127" s="774"/>
      <c r="AL127" s="774"/>
      <c r="AM127" s="774"/>
      <c r="AN127" s="774"/>
      <c r="AO127" s="774"/>
      <c r="AP127" s="774"/>
      <c r="AQ127" s="774"/>
      <c r="AR127" s="774"/>
      <c r="AW127" s="1"/>
      <c r="BF127" s="140"/>
      <c r="BG127" s="140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CJ127" s="140"/>
      <c r="CZ127" s="1"/>
      <c r="DR127" s="5"/>
      <c r="DS127" s="140"/>
      <c r="DT127" s="140"/>
      <c r="DU127" s="140"/>
      <c r="DV127" s="140"/>
      <c r="FY127" s="140"/>
      <c r="JT127" s="140"/>
      <c r="JU127" s="140"/>
      <c r="JV127" s="140"/>
      <c r="JW127" s="140"/>
      <c r="PA127" s="140"/>
      <c r="PB127" s="140"/>
      <c r="PD127" s="140"/>
      <c r="PR127" s="475"/>
      <c r="PV127" s="140"/>
      <c r="RY127" s="475"/>
      <c r="AHH127" s="140"/>
      <c r="AIW127" s="140"/>
      <c r="AIX127" s="140"/>
      <c r="AIY127" s="140"/>
    </row>
    <row r="128" spans="2:935" hidden="1" x14ac:dyDescent="0.25">
      <c r="B128" s="708"/>
      <c r="C128" s="556" t="s">
        <v>29</v>
      </c>
      <c r="D128" s="470"/>
      <c r="E128" s="459"/>
      <c r="F128" s="434"/>
      <c r="G128" s="434"/>
      <c r="H128" s="434"/>
      <c r="I128" s="434"/>
      <c r="J128" s="434"/>
      <c r="K128" s="434"/>
      <c r="L128" s="434"/>
      <c r="M128" s="434"/>
      <c r="N128" s="434"/>
      <c r="O128" s="434"/>
      <c r="P128" s="434"/>
      <c r="Q128" s="434"/>
      <c r="R128" s="697"/>
      <c r="S128" s="63" t="s">
        <v>29</v>
      </c>
      <c r="T128" s="667" t="s">
        <v>29</v>
      </c>
      <c r="U128" s="756" t="s">
        <v>29</v>
      </c>
      <c r="W128" s="6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Q128" s="62"/>
      <c r="AW128" s="1"/>
      <c r="BF128" s="141"/>
      <c r="BG128" s="14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CJ128" s="141"/>
      <c r="CZ128" s="1"/>
      <c r="DR128" s="5"/>
      <c r="DS128" s="141"/>
      <c r="DT128" s="141"/>
      <c r="DU128" s="141"/>
      <c r="DV128" s="141"/>
      <c r="FY128" s="141"/>
      <c r="JT128" s="141"/>
      <c r="JU128" s="141"/>
      <c r="JV128" s="141"/>
      <c r="JW128" s="141"/>
      <c r="PA128" s="141"/>
      <c r="PB128" s="141"/>
      <c r="PD128" s="141"/>
      <c r="PR128" s="144"/>
      <c r="PV128" s="141"/>
      <c r="RY128" s="144"/>
      <c r="AHH128" s="140"/>
      <c r="AIW128" s="140"/>
      <c r="AIX128" s="140"/>
      <c r="AIY128" s="140"/>
    </row>
    <row r="129" spans="2:935" hidden="1" x14ac:dyDescent="0.25">
      <c r="B129" s="708"/>
      <c r="C129" s="431" t="s">
        <v>45</v>
      </c>
      <c r="D129" s="470"/>
      <c r="E129" s="490" t="s">
        <v>31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697"/>
      <c r="S129" s="54">
        <f t="shared" ref="S129:U130" si="7">SUM(F129:Q129)</f>
        <v>0</v>
      </c>
      <c r="T129" s="645">
        <f t="shared" si="7"/>
        <v>0</v>
      </c>
      <c r="U129" s="757">
        <f t="shared" si="7"/>
        <v>0</v>
      </c>
      <c r="W129" s="6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Q129" s="62"/>
      <c r="AW129" s="1"/>
      <c r="BF129" s="141"/>
      <c r="BG129" s="14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CJ129" s="141"/>
      <c r="CZ129" s="1"/>
      <c r="DR129" s="5"/>
      <c r="DS129" s="141"/>
      <c r="DT129" s="141"/>
      <c r="DU129" s="141"/>
      <c r="DV129" s="141"/>
      <c r="FY129" s="141"/>
      <c r="JT129" s="141"/>
      <c r="JU129" s="141"/>
      <c r="JV129" s="141"/>
      <c r="JW129" s="141"/>
      <c r="PA129" s="141"/>
      <c r="PB129" s="141"/>
      <c r="PD129" s="141"/>
      <c r="PR129" s="144"/>
      <c r="PV129" s="141"/>
      <c r="RY129" s="144"/>
      <c r="AHH129" s="140"/>
      <c r="AIW129" s="140"/>
      <c r="AIX129" s="140"/>
      <c r="AIY129" s="140"/>
    </row>
    <row r="130" spans="2:935" hidden="1" x14ac:dyDescent="0.25">
      <c r="B130" s="708"/>
      <c r="C130" s="431" t="s">
        <v>44</v>
      </c>
      <c r="D130" s="470"/>
      <c r="E130" s="490" t="s">
        <v>31</v>
      </c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697"/>
      <c r="S130" s="54">
        <f t="shared" si="7"/>
        <v>0</v>
      </c>
      <c r="T130" s="645">
        <f t="shared" si="7"/>
        <v>0</v>
      </c>
      <c r="U130" s="757">
        <f t="shared" si="7"/>
        <v>0</v>
      </c>
      <c r="W130" s="6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Q130" s="62"/>
      <c r="AW130" s="1"/>
      <c r="BF130" s="141"/>
      <c r="BG130" s="14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CJ130" s="141"/>
      <c r="CZ130" s="1"/>
      <c r="DR130" s="5"/>
      <c r="DS130" s="141"/>
      <c r="DT130" s="141"/>
      <c r="DU130" s="141"/>
      <c r="DV130" s="141"/>
      <c r="FY130" s="141"/>
      <c r="JT130" s="141"/>
      <c r="JU130" s="141"/>
      <c r="JV130" s="141"/>
      <c r="JW130" s="141"/>
      <c r="PA130" s="141"/>
      <c r="PB130" s="141"/>
      <c r="PD130" s="141"/>
      <c r="PR130" s="144"/>
      <c r="PV130" s="141"/>
      <c r="RY130" s="144"/>
      <c r="AHH130" s="140"/>
      <c r="AIW130" s="140"/>
      <c r="AIX130" s="140"/>
      <c r="AIY130" s="140"/>
    </row>
    <row r="131" spans="2:935" hidden="1" x14ac:dyDescent="0.25">
      <c r="B131" s="708"/>
      <c r="C131" s="556" t="s">
        <v>28</v>
      </c>
      <c r="D131" s="470"/>
      <c r="E131" s="459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697"/>
      <c r="S131" s="63" t="s">
        <v>28</v>
      </c>
      <c r="T131" s="667" t="s">
        <v>28</v>
      </c>
      <c r="U131" s="756" t="s">
        <v>28</v>
      </c>
      <c r="W131" s="6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Q131" s="62"/>
      <c r="AW131" s="1"/>
      <c r="BF131" s="141"/>
      <c r="BG131" s="14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CJ131" s="141"/>
      <c r="CZ131" s="1"/>
      <c r="DR131" s="5"/>
      <c r="DS131" s="141"/>
      <c r="DT131" s="141"/>
      <c r="DU131" s="141"/>
      <c r="DV131" s="141"/>
      <c r="FY131" s="141"/>
      <c r="JT131" s="141"/>
      <c r="JU131" s="141"/>
      <c r="JV131" s="141"/>
      <c r="JW131" s="141"/>
      <c r="PA131" s="141"/>
      <c r="PB131" s="141"/>
      <c r="PD131" s="141"/>
      <c r="PR131" s="144"/>
      <c r="PV131" s="141"/>
      <c r="RY131" s="144"/>
      <c r="AHH131" s="140"/>
      <c r="AIW131" s="140"/>
      <c r="AIX131" s="140"/>
      <c r="AIY131" s="140"/>
    </row>
    <row r="132" spans="2:935" hidden="1" x14ac:dyDescent="0.25">
      <c r="B132" s="708"/>
      <c r="C132" s="431" t="s">
        <v>45</v>
      </c>
      <c r="D132" s="470"/>
      <c r="E132" s="490" t="s">
        <v>28</v>
      </c>
      <c r="F132" s="564"/>
      <c r="G132" s="564"/>
      <c r="H132" s="564"/>
      <c r="I132" s="564"/>
      <c r="J132" s="564"/>
      <c r="K132" s="564"/>
      <c r="L132" s="564"/>
      <c r="M132" s="564"/>
      <c r="N132" s="564"/>
      <c r="O132" s="564"/>
      <c r="P132" s="564"/>
      <c r="Q132" s="564"/>
      <c r="R132" s="697"/>
      <c r="S132" s="54">
        <f t="shared" ref="S132:U133" si="8">SUM(F132:Q132)</f>
        <v>0</v>
      </c>
      <c r="T132" s="645">
        <f t="shared" si="8"/>
        <v>0</v>
      </c>
      <c r="U132" s="757">
        <f t="shared" si="8"/>
        <v>0</v>
      </c>
      <c r="W132" s="6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Q132" s="62"/>
      <c r="AW132" s="1"/>
      <c r="BF132" s="141"/>
      <c r="BG132" s="14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CJ132" s="141"/>
      <c r="CZ132" s="1"/>
      <c r="DR132" s="5"/>
      <c r="DS132" s="141"/>
      <c r="DT132" s="141"/>
      <c r="DU132" s="141"/>
      <c r="DV132" s="141"/>
      <c r="FY132" s="141"/>
      <c r="JT132" s="141"/>
      <c r="JU132" s="141"/>
      <c r="JV132" s="141"/>
      <c r="JW132" s="141"/>
      <c r="PA132" s="141"/>
      <c r="PB132" s="141"/>
      <c r="PD132" s="141"/>
      <c r="PR132" s="144"/>
      <c r="PV132" s="141"/>
      <c r="RY132" s="144"/>
      <c r="AHH132" s="140"/>
      <c r="AIW132" s="140"/>
      <c r="AIX132" s="140"/>
      <c r="AIY132" s="140"/>
    </row>
    <row r="133" spans="2:935" hidden="1" x14ac:dyDescent="0.25">
      <c r="B133" s="708"/>
      <c r="C133" s="431" t="s">
        <v>44</v>
      </c>
      <c r="D133" s="470"/>
      <c r="E133" s="490" t="s">
        <v>28</v>
      </c>
      <c r="F133" s="564"/>
      <c r="G133" s="564"/>
      <c r="H133" s="564"/>
      <c r="I133" s="564"/>
      <c r="J133" s="564"/>
      <c r="K133" s="564"/>
      <c r="L133" s="564"/>
      <c r="M133" s="564"/>
      <c r="N133" s="564"/>
      <c r="O133" s="564"/>
      <c r="P133" s="564"/>
      <c r="Q133" s="564"/>
      <c r="R133" s="697"/>
      <c r="S133" s="54">
        <f t="shared" si="8"/>
        <v>0</v>
      </c>
      <c r="T133" s="645">
        <f t="shared" si="8"/>
        <v>0</v>
      </c>
      <c r="U133" s="757">
        <f t="shared" si="8"/>
        <v>0</v>
      </c>
      <c r="W133" s="6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Q133" s="62"/>
      <c r="AW133" s="1"/>
      <c r="BF133" s="141"/>
      <c r="BG133" s="14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CJ133" s="141"/>
      <c r="CZ133" s="1"/>
      <c r="DR133" s="5"/>
      <c r="DS133" s="141"/>
      <c r="DT133" s="141"/>
      <c r="DU133" s="141"/>
      <c r="DV133" s="141"/>
      <c r="FY133" s="141"/>
      <c r="JT133" s="141"/>
      <c r="JU133" s="141"/>
      <c r="JV133" s="141"/>
      <c r="JW133" s="141"/>
      <c r="PA133" s="141"/>
      <c r="PB133" s="141"/>
      <c r="PD133" s="141"/>
      <c r="PR133" s="144"/>
      <c r="PV133" s="141"/>
      <c r="RY133" s="144"/>
      <c r="AHH133" s="140"/>
      <c r="AIW133" s="140"/>
      <c r="AIX133" s="140"/>
      <c r="AIY133" s="140"/>
    </row>
    <row r="134" spans="2:935" hidden="1" x14ac:dyDescent="0.25">
      <c r="B134" s="705"/>
      <c r="C134" s="414" t="s">
        <v>30</v>
      </c>
      <c r="D134" s="48"/>
      <c r="E134" s="48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3"/>
      <c r="S134" s="516" t="s">
        <v>130</v>
      </c>
      <c r="T134" s="656" t="s">
        <v>130</v>
      </c>
      <c r="U134" s="747" t="s">
        <v>130</v>
      </c>
      <c r="W134" s="6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Q134" s="62"/>
      <c r="AW134" s="1"/>
      <c r="BF134" s="140"/>
      <c r="BG134" s="140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CJ134" s="140"/>
      <c r="CZ134" s="1"/>
      <c r="DR134" s="5"/>
      <c r="DS134" s="140"/>
      <c r="DT134" s="140"/>
      <c r="DU134" s="140"/>
      <c r="DV134" s="140"/>
      <c r="FY134" s="140"/>
      <c r="JT134" s="140"/>
      <c r="JU134" s="140"/>
      <c r="JV134" s="140"/>
      <c r="JW134" s="140"/>
      <c r="PA134" s="140"/>
      <c r="PB134" s="140"/>
      <c r="PD134" s="140"/>
      <c r="PR134" s="475"/>
      <c r="PV134" s="140"/>
      <c r="RY134" s="475"/>
      <c r="AHH134" s="140"/>
      <c r="AIW134" s="140"/>
      <c r="AIX134" s="140"/>
      <c r="AIY134" s="140"/>
    </row>
    <row r="135" spans="2:935" hidden="1" x14ac:dyDescent="0.25">
      <c r="B135" s="708"/>
      <c r="C135" s="556" t="s">
        <v>29</v>
      </c>
      <c r="D135" s="470"/>
      <c r="E135" s="459"/>
      <c r="F135" s="434"/>
      <c r="G135" s="434"/>
      <c r="H135" s="434"/>
      <c r="I135" s="434"/>
      <c r="J135" s="434"/>
      <c r="K135" s="434"/>
      <c r="L135" s="434"/>
      <c r="M135" s="434"/>
      <c r="N135" s="434"/>
      <c r="O135" s="434"/>
      <c r="P135" s="434"/>
      <c r="Q135" s="434"/>
      <c r="R135" s="697"/>
      <c r="S135" s="63" t="s">
        <v>29</v>
      </c>
      <c r="T135" s="667" t="s">
        <v>29</v>
      </c>
      <c r="U135" s="756" t="s">
        <v>29</v>
      </c>
      <c r="W135" s="6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Q135" s="62"/>
      <c r="AW135" s="1"/>
      <c r="BF135" s="141"/>
      <c r="BG135" s="14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CJ135" s="141"/>
      <c r="CZ135" s="1"/>
      <c r="DR135" s="5"/>
      <c r="DS135" s="141"/>
      <c r="DT135" s="141"/>
      <c r="DU135" s="141"/>
      <c r="DV135" s="141"/>
      <c r="FY135" s="141"/>
      <c r="JT135" s="141"/>
      <c r="JU135" s="141"/>
      <c r="JV135" s="141"/>
      <c r="JW135" s="141"/>
      <c r="PA135" s="141"/>
      <c r="PB135" s="141"/>
      <c r="PD135" s="141"/>
      <c r="PR135" s="144"/>
      <c r="PV135" s="141"/>
      <c r="RY135" s="144"/>
      <c r="AHH135" s="140"/>
      <c r="AIW135" s="140"/>
      <c r="AIX135" s="140"/>
      <c r="AIY135" s="140"/>
    </row>
    <row r="136" spans="2:935" hidden="1" x14ac:dyDescent="0.25">
      <c r="B136" s="708"/>
      <c r="C136" s="431" t="s">
        <v>45</v>
      </c>
      <c r="D136" s="458">
        <v>0.3</v>
      </c>
      <c r="E136" s="490" t="s">
        <v>25</v>
      </c>
      <c r="F136" s="435"/>
      <c r="G136" s="435"/>
      <c r="H136" s="435"/>
      <c r="I136" s="435"/>
      <c r="J136" s="435"/>
      <c r="K136" s="435"/>
      <c r="L136" s="435"/>
      <c r="M136" s="435"/>
      <c r="N136" s="435"/>
      <c r="O136" s="435"/>
      <c r="P136" s="435"/>
      <c r="Q136" s="435"/>
      <c r="R136" s="697"/>
      <c r="S136" s="58" t="e">
        <f t="shared" ref="S136:U137" si="9">S129/S120*100</f>
        <v>#DIV/0!</v>
      </c>
      <c r="T136" s="648">
        <f t="shared" si="9"/>
        <v>0</v>
      </c>
      <c r="U136" s="740" t="e">
        <f t="shared" si="9"/>
        <v>#DIV/0!</v>
      </c>
      <c r="W136" s="6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Q136" s="62"/>
      <c r="AW136" s="1"/>
      <c r="BF136" s="141"/>
      <c r="BG136" s="14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CJ136" s="141"/>
      <c r="CZ136" s="1"/>
      <c r="DR136" s="5"/>
      <c r="DS136" s="141"/>
      <c r="DT136" s="141"/>
      <c r="DU136" s="141"/>
      <c r="DV136" s="141"/>
      <c r="FY136" s="141"/>
      <c r="JT136" s="141"/>
      <c r="JU136" s="141"/>
      <c r="JV136" s="141"/>
      <c r="JW136" s="141"/>
      <c r="PA136" s="141"/>
      <c r="PB136" s="141"/>
      <c r="PD136" s="141"/>
      <c r="PR136" s="144"/>
      <c r="PV136" s="141"/>
      <c r="RY136" s="144"/>
      <c r="AHH136" s="140"/>
      <c r="AIW136" s="140"/>
      <c r="AIX136" s="140"/>
      <c r="AIY136" s="140"/>
    </row>
    <row r="137" spans="2:935" hidden="1" x14ac:dyDescent="0.25">
      <c r="B137" s="708"/>
      <c r="C137" s="431" t="s">
        <v>44</v>
      </c>
      <c r="D137" s="458">
        <v>0.3</v>
      </c>
      <c r="E137" s="490" t="s">
        <v>25</v>
      </c>
      <c r="F137" s="435"/>
      <c r="G137" s="435"/>
      <c r="H137" s="435"/>
      <c r="I137" s="435"/>
      <c r="J137" s="435"/>
      <c r="K137" s="435"/>
      <c r="L137" s="435"/>
      <c r="M137" s="435"/>
      <c r="N137" s="435"/>
      <c r="O137" s="435"/>
      <c r="P137" s="435"/>
      <c r="Q137" s="435"/>
      <c r="R137" s="697"/>
      <c r="S137" s="58" t="e">
        <f t="shared" si="9"/>
        <v>#DIV/0!</v>
      </c>
      <c r="T137" s="648">
        <f t="shared" si="9"/>
        <v>0</v>
      </c>
      <c r="U137" s="740" t="e">
        <f t="shared" si="9"/>
        <v>#DIV/0!</v>
      </c>
      <c r="W137" s="6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Q137" s="62"/>
      <c r="AW137" s="1"/>
      <c r="BF137" s="141"/>
      <c r="BG137" s="14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CJ137" s="141"/>
      <c r="CZ137" s="1"/>
      <c r="DR137" s="5"/>
      <c r="DS137" s="141"/>
      <c r="DT137" s="141"/>
      <c r="DU137" s="141"/>
      <c r="DV137" s="141"/>
      <c r="FY137" s="141"/>
      <c r="JT137" s="141"/>
      <c r="JU137" s="141"/>
      <c r="JV137" s="141"/>
      <c r="JW137" s="141"/>
      <c r="PA137" s="141"/>
      <c r="PB137" s="141"/>
      <c r="PD137" s="141"/>
      <c r="PR137" s="144"/>
      <c r="PV137" s="141"/>
      <c r="RY137" s="144"/>
      <c r="AHH137" s="140"/>
      <c r="AIW137" s="140"/>
      <c r="AIX137" s="140"/>
      <c r="AIY137" s="140"/>
    </row>
    <row r="138" spans="2:935" hidden="1" x14ac:dyDescent="0.25">
      <c r="B138" s="708"/>
      <c r="C138" s="556" t="s">
        <v>28</v>
      </c>
      <c r="D138" s="458"/>
      <c r="E138" s="459"/>
      <c r="F138" s="435"/>
      <c r="G138" s="435"/>
      <c r="H138" s="435"/>
      <c r="I138" s="435"/>
      <c r="J138" s="435"/>
      <c r="K138" s="435"/>
      <c r="L138" s="435"/>
      <c r="M138" s="435"/>
      <c r="N138" s="435"/>
      <c r="O138" s="435"/>
      <c r="P138" s="435"/>
      <c r="Q138" s="435"/>
      <c r="R138" s="697"/>
      <c r="S138" s="63" t="s">
        <v>28</v>
      </c>
      <c r="T138" s="667" t="s">
        <v>28</v>
      </c>
      <c r="U138" s="756" t="s">
        <v>28</v>
      </c>
      <c r="W138" s="6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Q138" s="62"/>
      <c r="AW138" s="1"/>
      <c r="BF138" s="141"/>
      <c r="BG138" s="14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CJ138" s="141"/>
      <c r="CZ138" s="1"/>
      <c r="DR138" s="5"/>
      <c r="DS138" s="141"/>
      <c r="DT138" s="141"/>
      <c r="DU138" s="141"/>
      <c r="DV138" s="141"/>
      <c r="FY138" s="141"/>
      <c r="JT138" s="141"/>
      <c r="JU138" s="141"/>
      <c r="JV138" s="141"/>
      <c r="JW138" s="141"/>
      <c r="PA138" s="141"/>
      <c r="PB138" s="141"/>
      <c r="PD138" s="141"/>
      <c r="PR138" s="144"/>
      <c r="PV138" s="141"/>
      <c r="RY138" s="144"/>
      <c r="AHH138" s="140"/>
      <c r="AIW138" s="140"/>
      <c r="AIX138" s="140"/>
      <c r="AIY138" s="140"/>
    </row>
    <row r="139" spans="2:935" hidden="1" x14ac:dyDescent="0.25">
      <c r="B139" s="708"/>
      <c r="C139" s="431" t="s">
        <v>45</v>
      </c>
      <c r="D139" s="458">
        <v>0.5</v>
      </c>
      <c r="E139" s="490" t="s">
        <v>25</v>
      </c>
      <c r="F139" s="435"/>
      <c r="G139" s="435"/>
      <c r="H139" s="435"/>
      <c r="I139" s="435"/>
      <c r="J139" s="435"/>
      <c r="K139" s="435"/>
      <c r="L139" s="435"/>
      <c r="M139" s="435"/>
      <c r="N139" s="435"/>
      <c r="O139" s="435"/>
      <c r="P139" s="435"/>
      <c r="Q139" s="435"/>
      <c r="R139" s="697"/>
      <c r="S139" s="58" t="e">
        <f t="shared" ref="S139:U140" si="10">S132/S123*100</f>
        <v>#DIV/0!</v>
      </c>
      <c r="T139" s="648">
        <f t="shared" si="10"/>
        <v>0</v>
      </c>
      <c r="U139" s="740" t="e">
        <f t="shared" si="10"/>
        <v>#DIV/0!</v>
      </c>
      <c r="W139" s="6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Q139" s="62"/>
      <c r="AW139" s="1"/>
      <c r="BF139" s="141"/>
      <c r="BG139" s="14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CJ139" s="141"/>
      <c r="CZ139" s="1"/>
      <c r="DR139" s="5"/>
      <c r="DS139" s="141"/>
      <c r="DT139" s="141"/>
      <c r="DU139" s="141"/>
      <c r="DV139" s="141"/>
      <c r="FY139" s="141"/>
      <c r="JT139" s="141"/>
      <c r="JU139" s="141"/>
      <c r="JV139" s="141"/>
      <c r="JW139" s="141"/>
      <c r="PA139" s="141"/>
      <c r="PB139" s="141"/>
      <c r="PD139" s="141"/>
      <c r="PR139" s="144"/>
      <c r="PV139" s="141"/>
      <c r="RY139" s="144"/>
      <c r="AHH139" s="140"/>
      <c r="AIW139" s="140"/>
      <c r="AIX139" s="140"/>
      <c r="AIY139" s="140"/>
    </row>
    <row r="140" spans="2:935" hidden="1" x14ac:dyDescent="0.25">
      <c r="B140" s="708"/>
      <c r="C140" s="431" t="s">
        <v>44</v>
      </c>
      <c r="D140" s="458">
        <v>0.5</v>
      </c>
      <c r="E140" s="490" t="s">
        <v>25</v>
      </c>
      <c r="F140" s="435"/>
      <c r="G140" s="435"/>
      <c r="H140" s="435"/>
      <c r="I140" s="435"/>
      <c r="J140" s="435"/>
      <c r="K140" s="435"/>
      <c r="L140" s="435"/>
      <c r="M140" s="435"/>
      <c r="N140" s="435"/>
      <c r="O140" s="435"/>
      <c r="P140" s="435"/>
      <c r="Q140" s="435"/>
      <c r="R140" s="697"/>
      <c r="S140" s="58" t="e">
        <f t="shared" si="10"/>
        <v>#DIV/0!</v>
      </c>
      <c r="T140" s="648">
        <f t="shared" si="10"/>
        <v>0</v>
      </c>
      <c r="U140" s="740" t="e">
        <f t="shared" si="10"/>
        <v>#DIV/0!</v>
      </c>
      <c r="W140" s="6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Q140" s="62"/>
      <c r="AW140" s="1"/>
      <c r="BF140" s="141"/>
      <c r="BG140" s="14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CJ140" s="141"/>
      <c r="CZ140" s="1"/>
      <c r="DR140" s="5"/>
      <c r="DS140" s="141"/>
      <c r="DT140" s="141"/>
      <c r="DU140" s="141"/>
      <c r="DV140" s="141"/>
      <c r="FY140" s="141"/>
      <c r="JT140" s="141"/>
      <c r="JU140" s="141"/>
      <c r="JV140" s="141"/>
      <c r="JW140" s="141"/>
      <c r="PA140" s="141"/>
      <c r="PB140" s="141"/>
      <c r="PD140" s="141"/>
      <c r="PR140" s="144"/>
      <c r="PV140" s="141"/>
      <c r="RY140" s="144"/>
      <c r="AHH140" s="140"/>
      <c r="AIW140" s="140"/>
      <c r="AIX140" s="140"/>
      <c r="AIY140" s="140"/>
    </row>
    <row r="141" spans="2:935" hidden="1" x14ac:dyDescent="0.25">
      <c r="B141" s="704">
        <v>7</v>
      </c>
      <c r="C141" s="414" t="s">
        <v>43</v>
      </c>
      <c r="D141" s="48"/>
      <c r="E141" s="48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3"/>
      <c r="S141" s="516" t="s">
        <v>129</v>
      </c>
      <c r="T141" s="656" t="s">
        <v>129</v>
      </c>
      <c r="U141" s="747" t="s">
        <v>129</v>
      </c>
      <c r="W141" s="6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774"/>
      <c r="AJ141" s="774"/>
      <c r="AK141" s="774"/>
      <c r="AL141" s="774"/>
      <c r="AM141" s="774"/>
      <c r="AN141" s="774"/>
      <c r="AO141" s="774"/>
      <c r="AP141" s="774"/>
      <c r="AQ141" s="774"/>
      <c r="AR141" s="774"/>
      <c r="AW141" s="1"/>
      <c r="BF141" s="140"/>
      <c r="BG141" s="140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CJ141" s="140"/>
      <c r="CZ141" s="1"/>
      <c r="DR141" s="5"/>
      <c r="DS141" s="140"/>
      <c r="DT141" s="140"/>
      <c r="DU141" s="140"/>
      <c r="DV141" s="140"/>
      <c r="FY141" s="140"/>
      <c r="JT141" s="140"/>
      <c r="JU141" s="140"/>
      <c r="JV141" s="140"/>
      <c r="JW141" s="140"/>
      <c r="PA141" s="140"/>
      <c r="PB141" s="140"/>
      <c r="PD141" s="140"/>
      <c r="PR141" s="475"/>
      <c r="PV141" s="140"/>
      <c r="RY141" s="475"/>
      <c r="AHH141" s="140"/>
      <c r="AIW141" s="140"/>
      <c r="AIX141" s="140"/>
      <c r="AIY141" s="140"/>
    </row>
    <row r="142" spans="2:935" hidden="1" x14ac:dyDescent="0.25">
      <c r="B142" s="705"/>
      <c r="C142" s="566" t="s">
        <v>113</v>
      </c>
      <c r="D142" s="567"/>
      <c r="E142" s="20" t="s">
        <v>14</v>
      </c>
      <c r="F142" s="712"/>
      <c r="G142" s="572"/>
      <c r="H142" s="711"/>
      <c r="I142" s="568"/>
      <c r="J142" s="568"/>
      <c r="K142" s="568"/>
      <c r="L142" s="568"/>
      <c r="M142" s="1560"/>
      <c r="N142" s="1560"/>
      <c r="O142" s="1560"/>
      <c r="P142" s="1560"/>
      <c r="Q142" s="712"/>
      <c r="R142" s="710"/>
      <c r="S142" s="89">
        <f>SUM(S144:S145)</f>
        <v>0</v>
      </c>
      <c r="T142" s="665">
        <f>SUM(T144:T145)</f>
        <v>0</v>
      </c>
      <c r="U142" s="758">
        <f>SUM(U144:U145)</f>
        <v>0</v>
      </c>
      <c r="W142" s="786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784"/>
      <c r="AJ142" s="784"/>
      <c r="AK142" s="784"/>
      <c r="AL142" s="784"/>
      <c r="AM142" s="784"/>
      <c r="AN142" s="784"/>
      <c r="AO142" s="784"/>
      <c r="AP142" s="784"/>
      <c r="AQ142" s="784"/>
      <c r="AR142" s="784"/>
      <c r="AW142" s="1"/>
      <c r="BF142" s="145"/>
      <c r="BG142" s="145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CJ142" s="145"/>
      <c r="CZ142" s="1"/>
      <c r="DR142" s="430"/>
      <c r="DS142" s="145"/>
      <c r="DT142" s="145"/>
      <c r="DU142" s="145"/>
      <c r="DV142" s="145"/>
      <c r="FY142" s="145"/>
      <c r="JT142" s="145"/>
      <c r="JU142" s="145"/>
      <c r="JV142" s="145"/>
      <c r="JW142" s="145"/>
      <c r="PA142" s="145"/>
      <c r="PB142" s="145"/>
      <c r="PD142" s="145"/>
      <c r="PR142" s="550"/>
      <c r="PV142" s="145"/>
      <c r="RY142" s="550"/>
      <c r="AHH142" s="150"/>
      <c r="AIW142" s="150"/>
      <c r="AIX142" s="150"/>
      <c r="AIY142" s="150"/>
    </row>
    <row r="143" spans="2:935" hidden="1" x14ac:dyDescent="0.25">
      <c r="B143" s="705"/>
      <c r="C143" s="566" t="s">
        <v>114</v>
      </c>
      <c r="D143" s="567"/>
      <c r="E143" s="20" t="s">
        <v>14</v>
      </c>
      <c r="F143" s="568"/>
      <c r="G143" s="568"/>
      <c r="H143" s="568"/>
      <c r="I143" s="568"/>
      <c r="J143" s="568"/>
      <c r="K143" s="568"/>
      <c r="L143" s="568"/>
      <c r="M143" s="568"/>
      <c r="N143" s="568"/>
      <c r="O143" s="568"/>
      <c r="P143" s="568"/>
      <c r="Q143" s="568"/>
      <c r="R143" s="710"/>
      <c r="S143" s="89">
        <f>SUM(S144:S145)</f>
        <v>0</v>
      </c>
      <c r="T143" s="665">
        <f>SUM(T144:T145)</f>
        <v>0</v>
      </c>
      <c r="U143" s="758">
        <f>SUM(U144:U145)</f>
        <v>0</v>
      </c>
      <c r="W143" s="786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784"/>
      <c r="AJ143" s="784"/>
      <c r="AK143" s="784"/>
      <c r="AL143" s="784"/>
      <c r="AM143" s="784"/>
      <c r="AN143" s="784"/>
      <c r="AO143" s="784"/>
      <c r="AP143" s="784"/>
      <c r="AQ143" s="784"/>
      <c r="AR143" s="784"/>
      <c r="AW143" s="1"/>
      <c r="BF143" s="145"/>
      <c r="BG143" s="145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CJ143" s="145"/>
      <c r="CZ143" s="1"/>
      <c r="DR143" s="430"/>
      <c r="DS143" s="145"/>
      <c r="DT143" s="145"/>
      <c r="DU143" s="145"/>
      <c r="DV143" s="145"/>
      <c r="FY143" s="145"/>
      <c r="JT143" s="145"/>
      <c r="JU143" s="145"/>
      <c r="JV143" s="145"/>
      <c r="JW143" s="145"/>
      <c r="PA143" s="145"/>
      <c r="PB143" s="145"/>
      <c r="PD143" s="145"/>
      <c r="PR143" s="550"/>
      <c r="PV143" s="145"/>
      <c r="RY143" s="550"/>
      <c r="AHH143" s="150"/>
      <c r="AIW143" s="150"/>
      <c r="AIX143" s="150"/>
      <c r="AIY143" s="150"/>
    </row>
    <row r="144" spans="2:935" hidden="1" x14ac:dyDescent="0.25">
      <c r="B144" s="708"/>
      <c r="C144" s="556" t="s">
        <v>39</v>
      </c>
      <c r="D144" s="470"/>
      <c r="E144" s="490" t="s">
        <v>14</v>
      </c>
      <c r="F144" s="435"/>
      <c r="G144" s="435"/>
      <c r="H144" s="435"/>
      <c r="I144" s="435"/>
      <c r="J144" s="435"/>
      <c r="K144" s="435"/>
      <c r="L144" s="435"/>
      <c r="M144" s="435"/>
      <c r="N144" s="435"/>
      <c r="O144" s="435"/>
      <c r="P144" s="435"/>
      <c r="Q144" s="435"/>
      <c r="R144" s="697"/>
      <c r="S144" s="58">
        <f t="shared" ref="S144:U145" si="11">SUM(F144:Q144)</f>
        <v>0</v>
      </c>
      <c r="T144" s="648">
        <f t="shared" si="11"/>
        <v>0</v>
      </c>
      <c r="U144" s="740">
        <f t="shared" si="11"/>
        <v>0</v>
      </c>
      <c r="W144" s="6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787"/>
      <c r="AJ144" s="784"/>
      <c r="AK144" s="784"/>
      <c r="AL144" s="784"/>
      <c r="AM144" s="784"/>
      <c r="AN144" s="784"/>
      <c r="AO144" s="774"/>
      <c r="AP144" s="774"/>
      <c r="AQ144" s="774"/>
      <c r="AR144" s="774"/>
      <c r="AW144" s="1"/>
      <c r="BF144" s="141"/>
      <c r="BG144" s="14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CJ144" s="141"/>
      <c r="CZ144" s="1"/>
      <c r="DR144" s="5"/>
      <c r="DS144" s="141"/>
      <c r="DT144" s="141"/>
      <c r="DU144" s="141"/>
      <c r="DV144" s="141"/>
      <c r="FY144" s="141"/>
      <c r="JT144" s="141"/>
      <c r="JU144" s="141"/>
      <c r="JV144" s="141"/>
      <c r="JW144" s="141"/>
      <c r="PA144" s="141"/>
      <c r="PB144" s="141"/>
      <c r="PD144" s="141"/>
      <c r="PR144" s="144"/>
      <c r="PV144" s="141"/>
      <c r="RY144" s="144"/>
      <c r="AHH144" s="140"/>
      <c r="AIW144" s="140"/>
      <c r="AIX144" s="140"/>
      <c r="AIY144" s="140"/>
    </row>
    <row r="145" spans="2:935" hidden="1" x14ac:dyDescent="0.25">
      <c r="B145" s="708"/>
      <c r="C145" s="556" t="s">
        <v>38</v>
      </c>
      <c r="D145" s="470"/>
      <c r="E145" s="490" t="s">
        <v>14</v>
      </c>
      <c r="F145" s="435"/>
      <c r="G145" s="435"/>
      <c r="H145" s="435"/>
      <c r="I145" s="435"/>
      <c r="J145" s="435"/>
      <c r="K145" s="435"/>
      <c r="L145" s="435"/>
      <c r="M145" s="435"/>
      <c r="N145" s="435"/>
      <c r="O145" s="435"/>
      <c r="P145" s="435"/>
      <c r="Q145" s="435"/>
      <c r="R145" s="697"/>
      <c r="S145" s="58">
        <f t="shared" si="11"/>
        <v>0</v>
      </c>
      <c r="T145" s="648">
        <f t="shared" si="11"/>
        <v>0</v>
      </c>
      <c r="U145" s="740">
        <f t="shared" si="11"/>
        <v>0</v>
      </c>
      <c r="W145" s="6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774"/>
      <c r="AJ145" s="774"/>
      <c r="AK145" s="774"/>
      <c r="AL145" s="774"/>
      <c r="AM145" s="774"/>
      <c r="AN145" s="774"/>
      <c r="AO145" s="774"/>
      <c r="AP145" s="774"/>
      <c r="AQ145" s="774"/>
      <c r="AR145" s="774"/>
      <c r="AW145" s="1"/>
      <c r="BF145" s="141"/>
      <c r="BG145" s="14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CJ145" s="141"/>
      <c r="CZ145" s="1"/>
      <c r="DR145" s="5"/>
      <c r="DS145" s="141"/>
      <c r="DT145" s="141"/>
      <c r="DU145" s="141"/>
      <c r="DV145" s="141"/>
      <c r="FY145" s="141"/>
      <c r="FZ145" s="1">
        <f>0.9*12</f>
        <v>10.8</v>
      </c>
      <c r="JT145" s="141"/>
      <c r="JU145" s="141"/>
      <c r="JV145" s="141"/>
      <c r="JW145" s="141"/>
      <c r="PA145" s="141"/>
      <c r="PB145" s="141"/>
      <c r="PD145" s="141"/>
      <c r="PR145" s="144"/>
      <c r="PV145" s="141"/>
      <c r="RY145" s="144"/>
      <c r="AHH145" s="140"/>
      <c r="AIW145" s="140"/>
      <c r="AIX145" s="140"/>
      <c r="AIY145" s="140"/>
    </row>
    <row r="146" spans="2:935" hidden="1" x14ac:dyDescent="0.25">
      <c r="B146" s="708"/>
      <c r="C146" s="556" t="s">
        <v>29</v>
      </c>
      <c r="D146" s="470"/>
      <c r="E146" s="459"/>
      <c r="F146" s="434"/>
      <c r="G146" s="434"/>
      <c r="H146" s="434"/>
      <c r="I146" s="434"/>
      <c r="J146" s="434"/>
      <c r="K146" s="434"/>
      <c r="L146" s="434"/>
      <c r="M146" s="434"/>
      <c r="N146" s="434"/>
      <c r="O146" s="434"/>
      <c r="P146" s="434"/>
      <c r="Q146" s="434"/>
      <c r="R146" s="697"/>
      <c r="S146" s="63" t="s">
        <v>29</v>
      </c>
      <c r="T146" s="667" t="s">
        <v>29</v>
      </c>
      <c r="U146" s="756" t="s">
        <v>29</v>
      </c>
      <c r="W146" s="6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774"/>
      <c r="AJ146" s="774"/>
      <c r="AK146" s="774"/>
      <c r="AL146" s="774"/>
      <c r="AM146" s="774"/>
      <c r="AN146" s="774"/>
      <c r="AO146" s="774"/>
      <c r="AP146" s="774"/>
      <c r="AQ146" s="774"/>
      <c r="AR146" s="774"/>
      <c r="AW146" s="1"/>
      <c r="BF146" s="141"/>
      <c r="BG146" s="14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CJ146" s="141"/>
      <c r="CZ146" s="1"/>
      <c r="DR146" s="5"/>
      <c r="DS146" s="141"/>
      <c r="DT146" s="141"/>
      <c r="DU146" s="141"/>
      <c r="DV146" s="141"/>
      <c r="FY146" s="141"/>
      <c r="JT146" s="141"/>
      <c r="JU146" s="141"/>
      <c r="JV146" s="141"/>
      <c r="JW146" s="141"/>
      <c r="PA146" s="141"/>
      <c r="PB146" s="141"/>
      <c r="PD146" s="141"/>
      <c r="PR146" s="144"/>
      <c r="PV146" s="141"/>
      <c r="RY146" s="144"/>
      <c r="AHH146" s="140"/>
      <c r="AIW146" s="140"/>
      <c r="AIX146" s="140"/>
      <c r="AIY146" s="140"/>
    </row>
    <row r="147" spans="2:935" hidden="1" x14ac:dyDescent="0.25">
      <c r="B147" s="709"/>
      <c r="C147" s="431" t="s">
        <v>42</v>
      </c>
      <c r="D147" s="432"/>
      <c r="E147" s="560" t="s">
        <v>31</v>
      </c>
      <c r="F147" s="278"/>
      <c r="G147" s="278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699"/>
      <c r="S147" s="91">
        <f>SUM(F147:Q147)</f>
        <v>0</v>
      </c>
      <c r="T147" s="668">
        <v>296194</v>
      </c>
      <c r="U147" s="760">
        <f>SUM(H147:S147)</f>
        <v>0</v>
      </c>
      <c r="W147" s="37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788"/>
      <c r="AJ147" s="788"/>
      <c r="AK147" s="788"/>
      <c r="AL147" s="788"/>
      <c r="AM147" s="788"/>
      <c r="AN147" s="788"/>
      <c r="AO147" s="788"/>
      <c r="AP147" s="788"/>
      <c r="AQ147" s="788"/>
      <c r="AR147" s="788"/>
      <c r="AW147" s="1"/>
      <c r="BF147" s="147"/>
      <c r="BG147" s="147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CJ147" s="147"/>
      <c r="CZ147" s="1"/>
      <c r="DR147" s="511"/>
      <c r="DS147" s="147"/>
      <c r="DT147" s="147"/>
      <c r="DU147" s="147"/>
      <c r="DV147" s="147"/>
      <c r="FY147" s="147"/>
      <c r="JT147" s="147"/>
      <c r="JU147" s="147"/>
      <c r="JV147" s="147"/>
      <c r="JW147" s="147"/>
      <c r="PA147" s="147"/>
      <c r="PB147" s="147"/>
      <c r="PD147" s="147"/>
      <c r="PR147" s="561"/>
      <c r="PV147" s="147"/>
      <c r="RY147" s="561"/>
      <c r="AHH147" s="143"/>
      <c r="AIW147" s="143"/>
      <c r="AIX147" s="143"/>
      <c r="AIY147" s="143"/>
    </row>
    <row r="148" spans="2:935" hidden="1" x14ac:dyDescent="0.25">
      <c r="B148" s="709"/>
      <c r="C148" s="431" t="s">
        <v>41</v>
      </c>
      <c r="D148" s="432"/>
      <c r="E148" s="560" t="s">
        <v>31</v>
      </c>
      <c r="F148" s="278"/>
      <c r="G148" s="278"/>
      <c r="H148" s="278"/>
      <c r="I148" s="278"/>
      <c r="J148" s="278"/>
      <c r="K148" s="2"/>
      <c r="L148" s="278"/>
      <c r="M148" s="278"/>
      <c r="N148" s="278"/>
      <c r="O148" s="278"/>
      <c r="P148" s="278"/>
      <c r="Q148" s="278"/>
      <c r="R148" s="699"/>
      <c r="S148" s="91">
        <f>SUM(F148:Q148)</f>
        <v>0</v>
      </c>
      <c r="T148" s="668">
        <v>626151</v>
      </c>
      <c r="U148" s="760">
        <f>SUM(H148:S148)</f>
        <v>0</v>
      </c>
      <c r="W148" s="37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788"/>
      <c r="AJ148" s="788"/>
      <c r="AK148" s="788"/>
      <c r="AL148" s="788"/>
      <c r="AM148" s="788"/>
      <c r="AN148" s="788"/>
      <c r="AO148" s="788"/>
      <c r="AP148" s="788"/>
      <c r="AQ148" s="788"/>
      <c r="AR148" s="788"/>
      <c r="AW148" s="1"/>
      <c r="BF148" s="147"/>
      <c r="BG148" s="147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CJ148" s="147"/>
      <c r="CZ148" s="1"/>
      <c r="DR148" s="511"/>
      <c r="DS148" s="147"/>
      <c r="DT148" s="147"/>
      <c r="DU148" s="147"/>
      <c r="DV148" s="147"/>
      <c r="FY148" s="147"/>
      <c r="JT148" s="147"/>
      <c r="JU148" s="147"/>
      <c r="JV148" s="147"/>
      <c r="JW148" s="147"/>
      <c r="PA148" s="147"/>
      <c r="PB148" s="147"/>
      <c r="PD148" s="147"/>
      <c r="PR148" s="561"/>
      <c r="PV148" s="147"/>
      <c r="RY148" s="561"/>
      <c r="AHH148" s="143"/>
      <c r="AIW148" s="143"/>
      <c r="AIX148" s="143"/>
      <c r="AIY148" s="143"/>
    </row>
    <row r="149" spans="2:935" hidden="1" x14ac:dyDescent="0.25">
      <c r="B149" s="708"/>
      <c r="C149" s="556" t="s">
        <v>28</v>
      </c>
      <c r="D149" s="470"/>
      <c r="E149" s="459"/>
      <c r="F149" s="434"/>
      <c r="G149" s="434"/>
      <c r="H149" s="434"/>
      <c r="I149" s="434"/>
      <c r="J149" s="434"/>
      <c r="K149" s="434"/>
      <c r="L149" s="434"/>
      <c r="M149" s="434"/>
      <c r="N149" s="434"/>
      <c r="O149" s="434"/>
      <c r="P149" s="434"/>
      <c r="Q149" s="434"/>
      <c r="R149" s="697"/>
      <c r="S149" s="63" t="s">
        <v>28</v>
      </c>
      <c r="T149" s="667" t="s">
        <v>28</v>
      </c>
      <c r="U149" s="756" t="s">
        <v>28</v>
      </c>
      <c r="W149" s="6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774"/>
      <c r="AJ149" s="774"/>
      <c r="AK149" s="774"/>
      <c r="AL149" s="774"/>
      <c r="AM149" s="774"/>
      <c r="AN149" s="774"/>
      <c r="AO149" s="774"/>
      <c r="AP149" s="774"/>
      <c r="AQ149" s="774"/>
      <c r="AR149" s="774"/>
      <c r="AW149" s="1"/>
      <c r="BF149" s="141"/>
      <c r="BG149" s="14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CJ149" s="141"/>
      <c r="CZ149" s="1"/>
      <c r="DR149" s="5"/>
      <c r="DS149" s="141"/>
      <c r="DT149" s="141"/>
      <c r="DU149" s="141"/>
      <c r="DV149" s="141"/>
      <c r="FY149" s="141"/>
      <c r="JT149" s="141"/>
      <c r="JU149" s="141"/>
      <c r="JV149" s="141"/>
      <c r="JW149" s="141"/>
      <c r="PA149" s="141"/>
      <c r="PB149" s="141"/>
      <c r="PD149" s="141"/>
      <c r="PR149" s="144"/>
      <c r="PV149" s="141"/>
      <c r="RY149" s="144"/>
      <c r="AHH149" s="140"/>
      <c r="AIW149" s="140"/>
      <c r="AIX149" s="140"/>
      <c r="AIY149" s="140"/>
    </row>
    <row r="150" spans="2:935" hidden="1" x14ac:dyDescent="0.25">
      <c r="B150" s="708"/>
      <c r="C150" s="431" t="s">
        <v>42</v>
      </c>
      <c r="D150" s="470"/>
      <c r="E150" s="490" t="s">
        <v>28</v>
      </c>
      <c r="F150" s="434"/>
      <c r="G150" s="434"/>
      <c r="H150" s="434"/>
      <c r="I150" s="434"/>
      <c r="J150" s="434"/>
      <c r="K150" s="434"/>
      <c r="L150" s="434"/>
      <c r="M150" s="434"/>
      <c r="N150" s="434"/>
      <c r="O150" s="434"/>
      <c r="P150" s="434"/>
      <c r="Q150" s="434"/>
      <c r="R150" s="697"/>
      <c r="S150" s="54">
        <f>S147*12</f>
        <v>0</v>
      </c>
      <c r="T150" s="645">
        <f>T147*12</f>
        <v>3554328</v>
      </c>
      <c r="U150" s="757">
        <f>U147*12</f>
        <v>0</v>
      </c>
      <c r="W150" s="6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774"/>
      <c r="AJ150" s="774"/>
      <c r="AK150" s="774"/>
      <c r="AL150" s="774"/>
      <c r="AM150" s="774"/>
      <c r="AN150" s="774"/>
      <c r="AO150" s="774"/>
      <c r="AP150" s="774"/>
      <c r="AQ150" s="774"/>
      <c r="AR150" s="774"/>
      <c r="AW150" s="1"/>
      <c r="BF150" s="141"/>
      <c r="BG150" s="14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CJ150" s="141"/>
      <c r="CZ150" s="1"/>
      <c r="DR150" s="5"/>
      <c r="DS150" s="141"/>
      <c r="DT150" s="141"/>
      <c r="DU150" s="141"/>
      <c r="DV150" s="141"/>
      <c r="FY150" s="141"/>
      <c r="JT150" s="141"/>
      <c r="JU150" s="141"/>
      <c r="JV150" s="141"/>
      <c r="JW150" s="141"/>
      <c r="PA150" s="141"/>
      <c r="PB150" s="141"/>
      <c r="PD150" s="141"/>
      <c r="PR150" s="144"/>
      <c r="PV150" s="141"/>
      <c r="RY150" s="144"/>
      <c r="AHH150" s="140"/>
      <c r="AIW150" s="140"/>
      <c r="AIX150" s="140"/>
      <c r="AIY150" s="140"/>
    </row>
    <row r="151" spans="2:935" hidden="1" x14ac:dyDescent="0.25">
      <c r="B151" s="708"/>
      <c r="C151" s="431" t="s">
        <v>41</v>
      </c>
      <c r="D151" s="470"/>
      <c r="E151" s="490" t="s">
        <v>28</v>
      </c>
      <c r="F151" s="434"/>
      <c r="G151" s="434"/>
      <c r="H151" s="434"/>
      <c r="I151" s="434"/>
      <c r="J151" s="434"/>
      <c r="K151" s="434"/>
      <c r="L151" s="434"/>
      <c r="M151" s="434"/>
      <c r="N151" s="434"/>
      <c r="O151" s="434"/>
      <c r="P151" s="434"/>
      <c r="Q151" s="434"/>
      <c r="R151" s="697"/>
      <c r="S151" s="54">
        <f>S148*6</f>
        <v>0</v>
      </c>
      <c r="T151" s="645">
        <f>T148*6</f>
        <v>3756906</v>
      </c>
      <c r="U151" s="757">
        <f>U148*6</f>
        <v>0</v>
      </c>
      <c r="W151" s="6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774"/>
      <c r="AJ151" s="774"/>
      <c r="AK151" s="774"/>
      <c r="AL151" s="774"/>
      <c r="AM151" s="774"/>
      <c r="AN151" s="774"/>
      <c r="AO151" s="774"/>
      <c r="AP151" s="774"/>
      <c r="AQ151" s="774"/>
      <c r="AR151" s="774"/>
      <c r="AW151" s="1"/>
      <c r="BF151" s="141"/>
      <c r="BG151" s="14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CJ151" s="141"/>
      <c r="CZ151" s="1"/>
      <c r="DR151" s="5"/>
      <c r="DS151" s="141"/>
      <c r="DT151" s="141"/>
      <c r="DU151" s="141"/>
      <c r="DV151" s="141"/>
      <c r="FY151" s="141"/>
      <c r="JT151" s="141"/>
      <c r="JU151" s="141"/>
      <c r="JV151" s="141"/>
      <c r="JW151" s="141"/>
      <c r="PA151" s="141"/>
      <c r="PB151" s="141"/>
      <c r="PD151" s="141"/>
      <c r="PR151" s="144"/>
      <c r="PV151" s="141"/>
      <c r="RY151" s="144"/>
      <c r="AHH151" s="140"/>
      <c r="AIW151" s="140"/>
      <c r="AIX151" s="140"/>
      <c r="AIY151" s="140"/>
    </row>
    <row r="152" spans="2:935" hidden="1" x14ac:dyDescent="0.25">
      <c r="B152" s="708"/>
      <c r="C152" s="556" t="s">
        <v>36</v>
      </c>
      <c r="D152" s="470"/>
      <c r="E152" s="490" t="s">
        <v>35</v>
      </c>
      <c r="F152" s="434"/>
      <c r="G152" s="434"/>
      <c r="H152" s="434"/>
      <c r="I152" s="434"/>
      <c r="J152" s="434"/>
      <c r="K152" s="434"/>
      <c r="L152" s="434"/>
      <c r="M152" s="434"/>
      <c r="N152" s="434"/>
      <c r="O152" s="434"/>
      <c r="P152" s="434"/>
      <c r="Q152" s="434"/>
      <c r="R152" s="697"/>
      <c r="S152" s="54">
        <f t="shared" ref="S152:U153" si="12">SUM(F152:Q152)</f>
        <v>0</v>
      </c>
      <c r="T152" s="645">
        <f t="shared" si="12"/>
        <v>0</v>
      </c>
      <c r="U152" s="757">
        <f t="shared" si="12"/>
        <v>0</v>
      </c>
      <c r="W152" s="6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774"/>
      <c r="AJ152" s="774"/>
      <c r="AK152" s="774"/>
      <c r="AL152" s="774"/>
      <c r="AM152" s="774"/>
      <c r="AN152" s="774"/>
      <c r="AO152" s="774"/>
      <c r="AP152" s="774"/>
      <c r="AQ152" s="774"/>
      <c r="AR152" s="774"/>
      <c r="AW152" s="1"/>
      <c r="BF152" s="141"/>
      <c r="BG152" s="14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CJ152" s="141"/>
      <c r="CZ152" s="1"/>
      <c r="DR152" s="5"/>
      <c r="DS152" s="141"/>
      <c r="DT152" s="141"/>
      <c r="DU152" s="141"/>
      <c r="DV152" s="141"/>
      <c r="FY152" s="141"/>
      <c r="JT152" s="141"/>
      <c r="JU152" s="141"/>
      <c r="JV152" s="141"/>
      <c r="JW152" s="141"/>
      <c r="PA152" s="141"/>
      <c r="PB152" s="141"/>
      <c r="PD152" s="141"/>
      <c r="PR152" s="144"/>
      <c r="PV152" s="141"/>
      <c r="RY152" s="144"/>
      <c r="AHH152" s="140"/>
      <c r="AIW152" s="140"/>
      <c r="AIX152" s="140"/>
      <c r="AIY152" s="140"/>
    </row>
    <row r="153" spans="2:935" hidden="1" x14ac:dyDescent="0.25">
      <c r="B153" s="708"/>
      <c r="C153" s="556" t="s">
        <v>34</v>
      </c>
      <c r="D153" s="470"/>
      <c r="E153" s="490" t="s">
        <v>33</v>
      </c>
      <c r="F153" s="573"/>
      <c r="G153" s="434"/>
      <c r="H153" s="434"/>
      <c r="I153" s="434"/>
      <c r="J153" s="434"/>
      <c r="K153" s="573"/>
      <c r="L153" s="573"/>
      <c r="M153" s="573"/>
      <c r="N153" s="573"/>
      <c r="O153" s="573"/>
      <c r="P153" s="573"/>
      <c r="Q153" s="573"/>
      <c r="R153" s="697"/>
      <c r="S153" s="54">
        <f t="shared" si="12"/>
        <v>0</v>
      </c>
      <c r="T153" s="645">
        <f t="shared" si="12"/>
        <v>0</v>
      </c>
      <c r="U153" s="757">
        <f t="shared" si="12"/>
        <v>0</v>
      </c>
      <c r="W153" s="6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774"/>
      <c r="AJ153" s="774"/>
      <c r="AK153" s="774"/>
      <c r="AL153" s="774"/>
      <c r="AM153" s="774"/>
      <c r="AN153" s="774"/>
      <c r="AO153" s="774"/>
      <c r="AP153" s="774"/>
      <c r="AQ153" s="774"/>
      <c r="AR153" s="774"/>
      <c r="AW153" s="1"/>
      <c r="BF153" s="141"/>
      <c r="BG153" s="14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CJ153" s="141"/>
      <c r="CZ153" s="1"/>
      <c r="DR153" s="5"/>
      <c r="DS153" s="141"/>
      <c r="DT153" s="141"/>
      <c r="DU153" s="141"/>
      <c r="DV153" s="141"/>
      <c r="FY153" s="141"/>
      <c r="JT153" s="141"/>
      <c r="JU153" s="141"/>
      <c r="JV153" s="141"/>
      <c r="JW153" s="141"/>
      <c r="PA153" s="141"/>
      <c r="PB153" s="141"/>
      <c r="PD153" s="141"/>
      <c r="PR153" s="144"/>
      <c r="PV153" s="141"/>
      <c r="RY153" s="144"/>
      <c r="AHH153" s="140"/>
      <c r="AIW153" s="140"/>
      <c r="AIX153" s="140"/>
      <c r="AIY153" s="140"/>
    </row>
    <row r="154" spans="2:935" hidden="1" x14ac:dyDescent="0.25">
      <c r="B154" s="705"/>
      <c r="C154" s="414" t="s">
        <v>32</v>
      </c>
      <c r="D154" s="48"/>
      <c r="E154" s="48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3"/>
      <c r="S154" s="516" t="s">
        <v>130</v>
      </c>
      <c r="T154" s="656" t="s">
        <v>130</v>
      </c>
      <c r="U154" s="747" t="s">
        <v>130</v>
      </c>
      <c r="W154" s="1"/>
      <c r="X154" s="62"/>
      <c r="Y154" s="62"/>
      <c r="Z154" s="62"/>
      <c r="AA154" s="62"/>
      <c r="AB154" s="62"/>
      <c r="AC154" s="62"/>
      <c r="AD154" s="62"/>
      <c r="AE154" s="62"/>
      <c r="AF154" s="774"/>
      <c r="AG154" s="774"/>
      <c r="AH154" s="774"/>
      <c r="AI154" s="774"/>
      <c r="AJ154" s="774"/>
      <c r="AK154" s="774"/>
      <c r="AL154" s="774"/>
      <c r="AM154" s="774"/>
      <c r="AN154" s="774"/>
      <c r="AO154" s="774"/>
      <c r="AQ154" s="62"/>
      <c r="AW154" s="1"/>
      <c r="BC154" s="140"/>
      <c r="BD154" s="140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CG154" s="140"/>
      <c r="CZ154" s="1"/>
      <c r="DO154" s="5"/>
      <c r="DP154" s="140"/>
      <c r="DQ154" s="140"/>
      <c r="DR154" s="140"/>
      <c r="DS154" s="140"/>
      <c r="FV154" s="140"/>
      <c r="JQ154" s="140"/>
      <c r="JR154" s="140"/>
      <c r="JS154" s="140"/>
      <c r="JT154" s="140"/>
      <c r="OX154" s="140"/>
      <c r="OY154" s="140"/>
      <c r="PA154" s="140"/>
      <c r="PO154" s="475"/>
      <c r="PS154" s="140"/>
      <c r="RV154" s="475"/>
      <c r="AHE154" s="140"/>
      <c r="AIT154" s="140"/>
      <c r="AIU154" s="140"/>
      <c r="AIV154" s="140"/>
    </row>
    <row r="155" spans="2:935" hidden="1" x14ac:dyDescent="0.25">
      <c r="B155" s="708"/>
      <c r="C155" s="556" t="s">
        <v>29</v>
      </c>
      <c r="D155" s="470"/>
      <c r="E155" s="459"/>
      <c r="F155" s="434"/>
      <c r="G155" s="434"/>
      <c r="H155" s="434"/>
      <c r="I155" s="434"/>
      <c r="J155" s="434"/>
      <c r="K155" s="434"/>
      <c r="L155" s="434"/>
      <c r="M155" s="434"/>
      <c r="N155" s="434"/>
      <c r="O155" s="434"/>
      <c r="P155" s="434"/>
      <c r="Q155" s="434"/>
      <c r="R155" s="697"/>
      <c r="S155" s="63" t="s">
        <v>29</v>
      </c>
      <c r="T155" s="667" t="s">
        <v>29</v>
      </c>
      <c r="U155" s="756" t="s">
        <v>29</v>
      </c>
      <c r="W155" s="1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Q155" s="62"/>
      <c r="AW155" s="1"/>
      <c r="BC155" s="141"/>
      <c r="BD155" s="14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CG155" s="141"/>
      <c r="CZ155" s="1"/>
      <c r="DO155" s="5"/>
      <c r="DP155" s="141"/>
      <c r="DQ155" s="141"/>
      <c r="DR155" s="141"/>
      <c r="DS155" s="141"/>
      <c r="FV155" s="141"/>
      <c r="JQ155" s="141"/>
      <c r="JR155" s="141"/>
      <c r="JS155" s="141"/>
      <c r="JT155" s="141"/>
      <c r="OX155" s="141"/>
      <c r="OY155" s="141"/>
      <c r="PA155" s="141"/>
      <c r="PO155" s="144"/>
      <c r="PS155" s="141"/>
      <c r="RV155" s="144"/>
      <c r="AHE155" s="140"/>
      <c r="AIT155" s="140"/>
      <c r="AIU155" s="140"/>
      <c r="AIV155" s="140"/>
    </row>
    <row r="156" spans="2:935" hidden="1" x14ac:dyDescent="0.25">
      <c r="B156" s="708"/>
      <c r="C156" s="431" t="s">
        <v>42</v>
      </c>
      <c r="D156" s="470"/>
      <c r="E156" s="490" t="s">
        <v>31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697"/>
      <c r="S156" s="54">
        <f t="shared" ref="S156:U157" si="13">SUM(F156:Q156)</f>
        <v>0</v>
      </c>
      <c r="T156" s="645">
        <f t="shared" si="13"/>
        <v>0</v>
      </c>
      <c r="U156" s="757">
        <f t="shared" si="13"/>
        <v>0</v>
      </c>
      <c r="W156" s="1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Q156" s="62"/>
      <c r="AW156" s="1"/>
      <c r="BC156" s="141"/>
      <c r="BD156" s="14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CG156" s="141"/>
      <c r="CZ156" s="1"/>
      <c r="DO156" s="5"/>
      <c r="DP156" s="141"/>
      <c r="DQ156" s="141"/>
      <c r="DR156" s="141"/>
      <c r="DS156" s="141"/>
      <c r="FV156" s="141"/>
      <c r="JQ156" s="141"/>
      <c r="JR156" s="141"/>
      <c r="JS156" s="141"/>
      <c r="JT156" s="141"/>
      <c r="OX156" s="141"/>
      <c r="OY156" s="141"/>
      <c r="PA156" s="141"/>
      <c r="PO156" s="144"/>
      <c r="PS156" s="141"/>
      <c r="RV156" s="144"/>
      <c r="AHE156" s="140"/>
      <c r="AIT156" s="140"/>
      <c r="AIU156" s="140"/>
      <c r="AIV156" s="140"/>
    </row>
    <row r="157" spans="2:935" hidden="1" x14ac:dyDescent="0.25">
      <c r="B157" s="708"/>
      <c r="C157" s="431" t="s">
        <v>41</v>
      </c>
      <c r="D157" s="470"/>
      <c r="E157" s="490" t="s">
        <v>31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697"/>
      <c r="S157" s="54">
        <f t="shared" si="13"/>
        <v>0</v>
      </c>
      <c r="T157" s="645">
        <f t="shared" si="13"/>
        <v>0</v>
      </c>
      <c r="U157" s="757">
        <f t="shared" si="13"/>
        <v>0</v>
      </c>
      <c r="W157" s="1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Q157" s="62"/>
      <c r="AW157" s="1"/>
      <c r="BC157" s="141"/>
      <c r="BD157" s="14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CG157" s="141"/>
      <c r="CZ157" s="1"/>
      <c r="DO157" s="5"/>
      <c r="DP157" s="141"/>
      <c r="DQ157" s="141"/>
      <c r="DR157" s="141"/>
      <c r="DS157" s="141"/>
      <c r="FV157" s="141"/>
      <c r="JQ157" s="141"/>
      <c r="JR157" s="141"/>
      <c r="JS157" s="141"/>
      <c r="JT157" s="141"/>
      <c r="OX157" s="141"/>
      <c r="OY157" s="141"/>
      <c r="PA157" s="141"/>
      <c r="PO157" s="144"/>
      <c r="PS157" s="141"/>
      <c r="RV157" s="144"/>
      <c r="AHE157" s="140"/>
      <c r="AIT157" s="140"/>
      <c r="AIU157" s="140"/>
      <c r="AIV157" s="140"/>
    </row>
    <row r="158" spans="2:935" hidden="1" x14ac:dyDescent="0.25">
      <c r="B158" s="708"/>
      <c r="C158" s="556" t="s">
        <v>28</v>
      </c>
      <c r="D158" s="470"/>
      <c r="E158" s="459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697"/>
      <c r="S158" s="63" t="s">
        <v>28</v>
      </c>
      <c r="T158" s="667" t="s">
        <v>28</v>
      </c>
      <c r="U158" s="756" t="s">
        <v>28</v>
      </c>
      <c r="W158" s="1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Q158" s="62"/>
      <c r="AW158" s="1"/>
      <c r="BC158" s="141"/>
      <c r="BD158" s="14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CG158" s="141"/>
      <c r="CZ158" s="1"/>
      <c r="DO158" s="5"/>
      <c r="DP158" s="141"/>
      <c r="DQ158" s="141"/>
      <c r="DR158" s="141"/>
      <c r="DS158" s="141"/>
      <c r="FV158" s="141"/>
      <c r="JQ158" s="141"/>
      <c r="JR158" s="141"/>
      <c r="JS158" s="141"/>
      <c r="JT158" s="141"/>
      <c r="OX158" s="141"/>
      <c r="OY158" s="141"/>
      <c r="PA158" s="141"/>
      <c r="PO158" s="144"/>
      <c r="PS158" s="141"/>
      <c r="RV158" s="144"/>
      <c r="AHE158" s="140"/>
      <c r="AIT158" s="140"/>
      <c r="AIU158" s="140"/>
      <c r="AIV158" s="140"/>
    </row>
    <row r="159" spans="2:935" hidden="1" x14ac:dyDescent="0.25">
      <c r="B159" s="708"/>
      <c r="C159" s="431" t="str">
        <f>C156</f>
        <v xml:space="preserve">INL SP 900 mL  </v>
      </c>
      <c r="D159" s="470"/>
      <c r="E159" s="490" t="s">
        <v>28</v>
      </c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697"/>
      <c r="S159" s="54">
        <f t="shared" ref="S159:U160" si="14">SUM(F159:Q159)</f>
        <v>0</v>
      </c>
      <c r="T159" s="645">
        <f t="shared" si="14"/>
        <v>0</v>
      </c>
      <c r="U159" s="757">
        <f t="shared" si="14"/>
        <v>0</v>
      </c>
      <c r="W159" s="1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Q159" s="62"/>
      <c r="AW159" s="1"/>
      <c r="BC159" s="141"/>
      <c r="BD159" s="14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CG159" s="141"/>
      <c r="CZ159" s="1"/>
      <c r="DO159" s="5"/>
      <c r="DP159" s="141"/>
      <c r="DQ159" s="141"/>
      <c r="DR159" s="141"/>
      <c r="DS159" s="141"/>
      <c r="FV159" s="141"/>
      <c r="JQ159" s="141"/>
      <c r="JR159" s="141"/>
      <c r="JS159" s="141"/>
      <c r="JT159" s="141"/>
      <c r="OX159" s="141"/>
      <c r="OY159" s="141"/>
      <c r="PA159" s="141"/>
      <c r="PO159" s="144"/>
      <c r="PS159" s="141"/>
      <c r="RV159" s="144"/>
      <c r="AHE159" s="140"/>
      <c r="AIT159" s="140"/>
      <c r="AIU159" s="140"/>
      <c r="AIV159" s="140"/>
    </row>
    <row r="160" spans="2:935" hidden="1" x14ac:dyDescent="0.25">
      <c r="B160" s="708"/>
      <c r="C160" s="431" t="str">
        <f>C157</f>
        <v>INL SP 1,8 L</v>
      </c>
      <c r="D160" s="470"/>
      <c r="E160" s="490" t="s">
        <v>28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697"/>
      <c r="S160" s="54">
        <f t="shared" si="14"/>
        <v>0</v>
      </c>
      <c r="T160" s="645">
        <f t="shared" si="14"/>
        <v>0</v>
      </c>
      <c r="U160" s="757">
        <f t="shared" si="14"/>
        <v>0</v>
      </c>
      <c r="W160" s="1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Q160" s="62"/>
      <c r="AW160" s="1"/>
      <c r="BC160" s="141"/>
      <c r="BD160" s="14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CG160" s="141"/>
      <c r="CZ160" s="1"/>
      <c r="DO160" s="5"/>
      <c r="DP160" s="141"/>
      <c r="DQ160" s="141"/>
      <c r="DR160" s="141"/>
      <c r="DS160" s="141"/>
      <c r="FV160" s="141"/>
      <c r="JQ160" s="141"/>
      <c r="JR160" s="141"/>
      <c r="JS160" s="141"/>
      <c r="JT160" s="141"/>
      <c r="OX160" s="141"/>
      <c r="OY160" s="141"/>
      <c r="PA160" s="141"/>
      <c r="PO160" s="144"/>
      <c r="PS160" s="141"/>
      <c r="RV160" s="144"/>
      <c r="AHE160" s="140"/>
      <c r="AIT160" s="140"/>
      <c r="AIU160" s="140"/>
      <c r="AIV160" s="140"/>
    </row>
    <row r="161" spans="2:932" hidden="1" x14ac:dyDescent="0.25">
      <c r="B161" s="708"/>
      <c r="C161" s="414" t="s">
        <v>30</v>
      </c>
      <c r="D161" s="76"/>
      <c r="E161" s="57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575"/>
      <c r="S161" s="95"/>
      <c r="T161" s="670"/>
      <c r="U161" s="761"/>
      <c r="W161" s="1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Q161" s="62"/>
      <c r="AW161" s="1"/>
      <c r="BC161" s="141"/>
      <c r="BD161" s="14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CG161" s="141"/>
      <c r="CZ161" s="1"/>
      <c r="DO161" s="5"/>
      <c r="DP161" s="141"/>
      <c r="DQ161" s="141"/>
      <c r="DR161" s="141"/>
      <c r="DS161" s="141"/>
      <c r="FV161" s="141"/>
      <c r="JQ161" s="141"/>
      <c r="JR161" s="141"/>
      <c r="JS161" s="141"/>
      <c r="JT161" s="141"/>
      <c r="OX161" s="141"/>
      <c r="OY161" s="141"/>
      <c r="PA161" s="141"/>
      <c r="PO161" s="144"/>
      <c r="PS161" s="141"/>
      <c r="RV161" s="144"/>
      <c r="AHE161" s="140"/>
      <c r="AIT161" s="140"/>
      <c r="AIU161" s="140"/>
      <c r="AIV161" s="140"/>
    </row>
    <row r="162" spans="2:932" hidden="1" x14ac:dyDescent="0.25">
      <c r="B162" s="708"/>
      <c r="C162" s="556" t="s">
        <v>29</v>
      </c>
      <c r="D162" s="470"/>
      <c r="E162" s="490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697"/>
      <c r="S162" s="54"/>
      <c r="T162" s="645"/>
      <c r="U162" s="757"/>
      <c r="W162" s="1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Q162" s="62"/>
      <c r="AW162" s="1"/>
      <c r="BC162" s="141"/>
      <c r="BD162" s="14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CG162" s="141"/>
      <c r="CZ162" s="1"/>
      <c r="DO162" s="5"/>
      <c r="DP162" s="141"/>
      <c r="DQ162" s="141"/>
      <c r="DR162" s="141"/>
      <c r="DS162" s="141"/>
      <c r="FV162" s="141"/>
      <c r="JQ162" s="141"/>
      <c r="JR162" s="141"/>
      <c r="JS162" s="141"/>
      <c r="JT162" s="141"/>
      <c r="OX162" s="141"/>
      <c r="OY162" s="141"/>
      <c r="PA162" s="141"/>
      <c r="PO162" s="144"/>
      <c r="PS162" s="141"/>
      <c r="RV162" s="144"/>
      <c r="AHE162" s="140"/>
      <c r="AIT162" s="140"/>
      <c r="AIU162" s="140"/>
      <c r="AIV162" s="140"/>
    </row>
    <row r="163" spans="2:932" hidden="1" x14ac:dyDescent="0.25">
      <c r="B163" s="708"/>
      <c r="C163" s="431" t="s">
        <v>42</v>
      </c>
      <c r="D163" s="470"/>
      <c r="E163" s="490" t="s">
        <v>25</v>
      </c>
      <c r="F163" s="435"/>
      <c r="G163" s="435"/>
      <c r="H163" s="435"/>
      <c r="I163" s="435"/>
      <c r="J163" s="435"/>
      <c r="K163" s="435"/>
      <c r="L163" s="435"/>
      <c r="M163" s="435"/>
      <c r="N163" s="435"/>
      <c r="O163" s="435"/>
      <c r="P163" s="435"/>
      <c r="Q163" s="435"/>
      <c r="R163" s="697"/>
      <c r="S163" s="58" t="e">
        <f>S156/S147*100</f>
        <v>#DIV/0!</v>
      </c>
      <c r="T163" s="645"/>
      <c r="U163" s="757"/>
      <c r="W163" s="1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Q163" s="62"/>
      <c r="AW163" s="1"/>
      <c r="BC163" s="141"/>
      <c r="BD163" s="14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CG163" s="141"/>
      <c r="CZ163" s="1"/>
      <c r="DO163" s="5"/>
      <c r="DP163" s="141"/>
      <c r="DQ163" s="141"/>
      <c r="DR163" s="141"/>
      <c r="DS163" s="141"/>
      <c r="FV163" s="141"/>
      <c r="JQ163" s="141"/>
      <c r="JR163" s="141"/>
      <c r="JS163" s="141"/>
      <c r="JT163" s="141"/>
      <c r="OX163" s="141"/>
      <c r="OY163" s="141"/>
      <c r="PA163" s="141"/>
      <c r="PO163" s="144"/>
      <c r="PS163" s="141"/>
      <c r="RV163" s="144"/>
      <c r="AHE163" s="140"/>
      <c r="AIT163" s="140"/>
      <c r="AIU163" s="140"/>
      <c r="AIV163" s="140"/>
    </row>
    <row r="164" spans="2:932" hidden="1" x14ac:dyDescent="0.25">
      <c r="B164" s="708"/>
      <c r="C164" s="431" t="s">
        <v>41</v>
      </c>
      <c r="D164" s="470"/>
      <c r="E164" s="490" t="s">
        <v>25</v>
      </c>
      <c r="F164" s="435"/>
      <c r="G164" s="435"/>
      <c r="H164" s="435"/>
      <c r="I164" s="435"/>
      <c r="J164" s="435"/>
      <c r="K164" s="435"/>
      <c r="L164" s="435"/>
      <c r="M164" s="435"/>
      <c r="N164" s="435"/>
      <c r="O164" s="435"/>
      <c r="P164" s="435"/>
      <c r="Q164" s="435"/>
      <c r="R164" s="697"/>
      <c r="S164" s="58" t="e">
        <f>S157/S148*100</f>
        <v>#DIV/0!</v>
      </c>
      <c r="T164" s="645"/>
      <c r="U164" s="757"/>
      <c r="W164" s="1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Q164" s="62"/>
      <c r="AW164" s="1"/>
      <c r="BC164" s="141"/>
      <c r="BD164" s="14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CG164" s="141"/>
      <c r="CZ164" s="1"/>
      <c r="DO164" s="5"/>
      <c r="DP164" s="141"/>
      <c r="DQ164" s="141"/>
      <c r="DR164" s="141"/>
      <c r="DS164" s="141"/>
      <c r="FV164" s="141"/>
      <c r="JQ164" s="141"/>
      <c r="JR164" s="141"/>
      <c r="JS164" s="141"/>
      <c r="JT164" s="141"/>
      <c r="OX164" s="141"/>
      <c r="OY164" s="141"/>
      <c r="PA164" s="141"/>
      <c r="PO164" s="144"/>
      <c r="PS164" s="141"/>
      <c r="RV164" s="144"/>
      <c r="AHE164" s="140"/>
      <c r="AIT164" s="140"/>
      <c r="AIU164" s="140"/>
      <c r="AIV164" s="140"/>
    </row>
    <row r="165" spans="2:932" hidden="1" x14ac:dyDescent="0.25">
      <c r="B165" s="708"/>
      <c r="C165" s="556" t="s">
        <v>28</v>
      </c>
      <c r="D165" s="470"/>
      <c r="E165" s="490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697"/>
      <c r="S165" s="54"/>
      <c r="T165" s="645"/>
      <c r="U165" s="757"/>
      <c r="W165" s="1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Q165" s="62"/>
      <c r="AW165" s="1"/>
      <c r="BC165" s="141"/>
      <c r="BD165" s="14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CG165" s="141"/>
      <c r="CZ165" s="1"/>
      <c r="DO165" s="5"/>
      <c r="DP165" s="141"/>
      <c r="DQ165" s="141"/>
      <c r="DR165" s="141"/>
      <c r="DS165" s="141"/>
      <c r="FV165" s="141"/>
      <c r="JQ165" s="141"/>
      <c r="JR165" s="141"/>
      <c r="JS165" s="141"/>
      <c r="JT165" s="141"/>
      <c r="OX165" s="141"/>
      <c r="OY165" s="141"/>
      <c r="PA165" s="141"/>
      <c r="PO165" s="144"/>
      <c r="PS165" s="141"/>
      <c r="RV165" s="144"/>
      <c r="AHE165" s="140"/>
      <c r="AIT165" s="140"/>
      <c r="AIU165" s="140"/>
      <c r="AIV165" s="140"/>
    </row>
    <row r="166" spans="2:932" hidden="1" x14ac:dyDescent="0.25">
      <c r="B166" s="708"/>
      <c r="C166" s="431" t="s">
        <v>42</v>
      </c>
      <c r="D166" s="470"/>
      <c r="E166" s="490" t="s">
        <v>25</v>
      </c>
      <c r="F166" s="435"/>
      <c r="G166" s="435"/>
      <c r="H166" s="435"/>
      <c r="I166" s="435"/>
      <c r="J166" s="435"/>
      <c r="K166" s="435"/>
      <c r="L166" s="435"/>
      <c r="M166" s="435"/>
      <c r="N166" s="435"/>
      <c r="O166" s="435"/>
      <c r="P166" s="435"/>
      <c r="Q166" s="435"/>
      <c r="R166" s="697"/>
      <c r="S166" s="58" t="e">
        <f>S159/S150*100</f>
        <v>#DIV/0!</v>
      </c>
      <c r="T166" s="645"/>
      <c r="U166" s="757"/>
      <c r="W166" s="1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Q166" s="62"/>
      <c r="AW166" s="1"/>
      <c r="BC166" s="141"/>
      <c r="BD166" s="14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CG166" s="141"/>
      <c r="CZ166" s="1"/>
      <c r="DO166" s="5"/>
      <c r="DP166" s="141"/>
      <c r="DQ166" s="141"/>
      <c r="DR166" s="141"/>
      <c r="DS166" s="141"/>
      <c r="FV166" s="141"/>
      <c r="JQ166" s="141"/>
      <c r="JR166" s="141"/>
      <c r="JS166" s="141"/>
      <c r="JT166" s="141"/>
      <c r="OX166" s="141"/>
      <c r="OY166" s="141"/>
      <c r="PA166" s="141"/>
      <c r="PO166" s="144"/>
      <c r="PS166" s="141"/>
      <c r="RV166" s="144"/>
      <c r="AHE166" s="140"/>
      <c r="AIT166" s="140"/>
      <c r="AIU166" s="140"/>
      <c r="AIV166" s="140"/>
    </row>
    <row r="167" spans="2:932" hidden="1" x14ac:dyDescent="0.25">
      <c r="B167" s="708"/>
      <c r="C167" s="431" t="s">
        <v>41</v>
      </c>
      <c r="D167" s="470"/>
      <c r="E167" s="490" t="s">
        <v>25</v>
      </c>
      <c r="F167" s="435"/>
      <c r="G167" s="435"/>
      <c r="H167" s="435"/>
      <c r="I167" s="435"/>
      <c r="J167" s="435"/>
      <c r="K167" s="435"/>
      <c r="L167" s="435"/>
      <c r="M167" s="435"/>
      <c r="N167" s="435"/>
      <c r="O167" s="435"/>
      <c r="P167" s="435"/>
      <c r="Q167" s="435"/>
      <c r="R167" s="697"/>
      <c r="S167" s="58" t="e">
        <f>S160/S151*100</f>
        <v>#DIV/0!</v>
      </c>
      <c r="T167" s="645"/>
      <c r="U167" s="757"/>
      <c r="W167" s="1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Q167" s="62"/>
      <c r="AW167" s="1"/>
      <c r="BC167" s="141"/>
      <c r="BD167" s="14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CG167" s="141"/>
      <c r="CZ167" s="1"/>
      <c r="DO167" s="5"/>
      <c r="DP167" s="141"/>
      <c r="DQ167" s="141"/>
      <c r="DR167" s="141"/>
      <c r="DS167" s="141"/>
      <c r="FV167" s="141"/>
      <c r="JQ167" s="141"/>
      <c r="JR167" s="141"/>
      <c r="JS167" s="141"/>
      <c r="JT167" s="141"/>
      <c r="OX167" s="141"/>
      <c r="OY167" s="141"/>
      <c r="PA167" s="141"/>
      <c r="PO167" s="144"/>
      <c r="PS167" s="141"/>
      <c r="RV167" s="144"/>
      <c r="AHE167" s="140"/>
      <c r="AIT167" s="140"/>
      <c r="AIU167" s="140"/>
      <c r="AIV167" s="140"/>
    </row>
    <row r="168" spans="2:932" hidden="1" x14ac:dyDescent="0.25">
      <c r="B168" s="704">
        <v>8</v>
      </c>
      <c r="C168" s="414" t="s">
        <v>40</v>
      </c>
      <c r="D168" s="48"/>
      <c r="E168" s="48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3"/>
      <c r="S168" s="516" t="s">
        <v>129</v>
      </c>
      <c r="T168" s="656" t="s">
        <v>129</v>
      </c>
      <c r="U168" s="747" t="s">
        <v>129</v>
      </c>
      <c r="W168" s="1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Q168" s="62"/>
      <c r="AW168" s="1"/>
      <c r="BC168" s="140"/>
      <c r="BD168" s="140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CG168" s="140"/>
      <c r="CZ168" s="1"/>
      <c r="DO168" s="5"/>
      <c r="DP168" s="140"/>
      <c r="DQ168" s="140"/>
      <c r="DR168" s="140"/>
      <c r="DS168" s="140"/>
      <c r="FV168" s="140"/>
      <c r="JQ168" s="140"/>
      <c r="JR168" s="140"/>
      <c r="JS168" s="140"/>
      <c r="JT168" s="140"/>
      <c r="OX168" s="140"/>
      <c r="OY168" s="140"/>
      <c r="PA168" s="140"/>
      <c r="PO168" s="475"/>
      <c r="PS168" s="140"/>
      <c r="RV168" s="475"/>
      <c r="AHE168" s="140"/>
      <c r="AIT168" s="140"/>
      <c r="AIU168" s="140"/>
      <c r="AIV168" s="140"/>
    </row>
    <row r="169" spans="2:932" hidden="1" x14ac:dyDescent="0.25">
      <c r="B169" s="708"/>
      <c r="C169" s="566" t="s">
        <v>114</v>
      </c>
      <c r="D169" s="567"/>
      <c r="E169" s="20" t="s">
        <v>14</v>
      </c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710"/>
      <c r="S169" s="89">
        <f>SUM(S170:S171)</f>
        <v>0</v>
      </c>
      <c r="T169" s="665">
        <f>SUM(T170:T171)</f>
        <v>0</v>
      </c>
      <c r="U169" s="758">
        <f>SUM(U170:U171)</f>
        <v>0</v>
      </c>
      <c r="W169" s="1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Q169" s="62"/>
      <c r="AW169" s="1"/>
      <c r="BC169" s="141"/>
      <c r="BD169" s="14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CG169" s="141"/>
      <c r="CZ169" s="1"/>
      <c r="DO169" s="5"/>
      <c r="DP169" s="141"/>
      <c r="DQ169" s="141"/>
      <c r="DR169" s="141"/>
      <c r="DS169" s="141"/>
      <c r="FV169" s="141"/>
      <c r="JQ169" s="141"/>
      <c r="JR169" s="141"/>
      <c r="JS169" s="141"/>
      <c r="JT169" s="141"/>
      <c r="OX169" s="141"/>
      <c r="OY169" s="141"/>
      <c r="PA169" s="141"/>
      <c r="PO169" s="144"/>
      <c r="PS169" s="141"/>
      <c r="RV169" s="144"/>
      <c r="AHE169" s="140"/>
      <c r="AIT169" s="140"/>
      <c r="AIU169" s="140"/>
      <c r="AIV169" s="140"/>
    </row>
    <row r="170" spans="2:932" hidden="1" x14ac:dyDescent="0.25">
      <c r="B170" s="708"/>
      <c r="C170" s="556" t="s">
        <v>39</v>
      </c>
      <c r="D170" s="470"/>
      <c r="E170" s="490" t="s">
        <v>14</v>
      </c>
      <c r="F170" s="435"/>
      <c r="G170" s="435"/>
      <c r="H170" s="435"/>
      <c r="I170" s="435"/>
      <c r="J170" s="435"/>
      <c r="K170" s="435"/>
      <c r="L170" s="435"/>
      <c r="M170" s="435"/>
      <c r="N170" s="435"/>
      <c r="O170" s="435"/>
      <c r="P170" s="435"/>
      <c r="Q170" s="435"/>
      <c r="R170" s="697"/>
      <c r="S170" s="58">
        <f t="shared" ref="S170:U171" si="15">SUM(F170:Q170)</f>
        <v>0</v>
      </c>
      <c r="T170" s="648">
        <f t="shared" si="15"/>
        <v>0</v>
      </c>
      <c r="U170" s="740">
        <f t="shared" si="15"/>
        <v>0</v>
      </c>
      <c r="W170" s="1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Q170" s="62"/>
      <c r="AW170" s="1"/>
      <c r="BC170" s="141"/>
      <c r="BD170" s="14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CG170" s="141"/>
      <c r="CZ170" s="1"/>
      <c r="DO170" s="5"/>
      <c r="DP170" s="141"/>
      <c r="DQ170" s="141"/>
      <c r="DR170" s="141"/>
      <c r="DS170" s="141"/>
      <c r="FV170" s="141"/>
      <c r="JQ170" s="141"/>
      <c r="JR170" s="141"/>
      <c r="JS170" s="141"/>
      <c r="JT170" s="141"/>
      <c r="OX170" s="141"/>
      <c r="OY170" s="141"/>
      <c r="PA170" s="141"/>
      <c r="PO170" s="144"/>
      <c r="PS170" s="141"/>
      <c r="RV170" s="144"/>
      <c r="AHE170" s="140"/>
      <c r="AIT170" s="140"/>
      <c r="AIU170" s="140"/>
      <c r="AIV170" s="140"/>
    </row>
    <row r="171" spans="2:932" hidden="1" x14ac:dyDescent="0.25">
      <c r="B171" s="708"/>
      <c r="C171" s="556" t="s">
        <v>38</v>
      </c>
      <c r="D171" s="470"/>
      <c r="E171" s="490" t="s">
        <v>14</v>
      </c>
      <c r="F171" s="435"/>
      <c r="G171" s="435"/>
      <c r="H171" s="435"/>
      <c r="I171" s="435"/>
      <c r="J171" s="435"/>
      <c r="K171" s="435"/>
      <c r="L171" s="435"/>
      <c r="M171" s="435"/>
      <c r="N171" s="435"/>
      <c r="O171" s="435"/>
      <c r="P171" s="435"/>
      <c r="Q171" s="435"/>
      <c r="R171" s="697"/>
      <c r="S171" s="58">
        <f t="shared" si="15"/>
        <v>0</v>
      </c>
      <c r="T171" s="648">
        <f t="shared" si="15"/>
        <v>0</v>
      </c>
      <c r="U171" s="740">
        <f t="shared" si="15"/>
        <v>0</v>
      </c>
      <c r="W171" s="1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Q171" s="62"/>
      <c r="AW171" s="1"/>
      <c r="BC171" s="141"/>
      <c r="BD171" s="14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CG171" s="141"/>
      <c r="CZ171" s="1"/>
      <c r="DO171" s="5"/>
      <c r="DP171" s="141"/>
      <c r="DQ171" s="141"/>
      <c r="DR171" s="141"/>
      <c r="DS171" s="141"/>
      <c r="FV171" s="141"/>
      <c r="JQ171" s="141"/>
      <c r="JR171" s="141"/>
      <c r="JS171" s="141"/>
      <c r="JT171" s="141"/>
      <c r="OX171" s="141"/>
      <c r="OY171" s="141"/>
      <c r="PA171" s="141"/>
      <c r="PO171" s="144"/>
      <c r="PS171" s="141"/>
      <c r="RV171" s="144"/>
      <c r="AHE171" s="140"/>
      <c r="AIT171" s="140"/>
      <c r="AIU171" s="140"/>
      <c r="AIV171" s="140"/>
    </row>
    <row r="172" spans="2:932" hidden="1" x14ac:dyDescent="0.25">
      <c r="B172" s="708"/>
      <c r="C172" s="556" t="s">
        <v>29</v>
      </c>
      <c r="D172" s="470"/>
      <c r="E172" s="459"/>
      <c r="F172" s="434"/>
      <c r="G172" s="434"/>
      <c r="H172" s="434"/>
      <c r="I172" s="434"/>
      <c r="J172" s="434"/>
      <c r="K172" s="434"/>
      <c r="L172" s="434"/>
      <c r="M172" s="434"/>
      <c r="N172" s="434"/>
      <c r="O172" s="434"/>
      <c r="P172" s="434"/>
      <c r="Q172" s="434"/>
      <c r="R172" s="697"/>
      <c r="S172" s="63" t="s">
        <v>29</v>
      </c>
      <c r="T172" s="667" t="s">
        <v>29</v>
      </c>
      <c r="U172" s="756" t="s">
        <v>29</v>
      </c>
      <c r="W172" s="1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Q172" s="62"/>
      <c r="AW172" s="1"/>
      <c r="BC172" s="141"/>
      <c r="BD172" s="14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CG172" s="141"/>
      <c r="CZ172" s="1"/>
      <c r="DO172" s="5"/>
      <c r="DP172" s="141"/>
      <c r="DQ172" s="141"/>
      <c r="DR172" s="141"/>
      <c r="DS172" s="141"/>
      <c r="FV172" s="141"/>
      <c r="JQ172" s="141"/>
      <c r="JR172" s="141"/>
      <c r="JS172" s="141"/>
      <c r="JT172" s="141"/>
      <c r="OX172" s="141"/>
      <c r="OY172" s="141"/>
      <c r="PA172" s="141"/>
      <c r="PO172" s="144"/>
      <c r="PS172" s="141"/>
      <c r="RV172" s="144"/>
      <c r="AHE172" s="140"/>
      <c r="AIT172" s="140"/>
      <c r="AIU172" s="140"/>
      <c r="AIV172" s="140"/>
    </row>
    <row r="173" spans="2:932" hidden="1" x14ac:dyDescent="0.25">
      <c r="B173" s="708"/>
      <c r="C173" s="431" t="s">
        <v>115</v>
      </c>
      <c r="D173" s="470"/>
      <c r="E173" s="560" t="s">
        <v>31</v>
      </c>
      <c r="F173" s="434"/>
      <c r="G173" s="434"/>
      <c r="H173" s="434"/>
      <c r="I173" s="434"/>
      <c r="J173" s="434"/>
      <c r="K173" s="434"/>
      <c r="L173" s="434"/>
      <c r="M173" s="434"/>
      <c r="N173" s="434"/>
      <c r="O173" s="434"/>
      <c r="P173" s="434"/>
      <c r="Q173" s="434"/>
      <c r="R173" s="697"/>
      <c r="S173" s="63"/>
      <c r="T173" s="667">
        <v>11326</v>
      </c>
      <c r="U173" s="756"/>
      <c r="W173" s="1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Q173" s="62"/>
      <c r="AW173" s="1"/>
      <c r="BC173" s="141"/>
      <c r="BD173" s="14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CG173" s="141"/>
      <c r="CZ173" s="1"/>
      <c r="DO173" s="5"/>
      <c r="DP173" s="141"/>
      <c r="DQ173" s="141"/>
      <c r="DR173" s="141"/>
      <c r="DS173" s="141"/>
      <c r="FV173" s="141"/>
      <c r="JQ173" s="141"/>
      <c r="JR173" s="141"/>
      <c r="JS173" s="141"/>
      <c r="JT173" s="141"/>
      <c r="OX173" s="141"/>
      <c r="OY173" s="141"/>
      <c r="PA173" s="141"/>
      <c r="PO173" s="144"/>
      <c r="PS173" s="141"/>
      <c r="RV173" s="144"/>
      <c r="AHE173" s="140"/>
      <c r="AIT173" s="140"/>
      <c r="AIU173" s="140"/>
      <c r="AIV173" s="140"/>
    </row>
    <row r="174" spans="2:932" hidden="1" x14ac:dyDescent="0.25">
      <c r="B174" s="709"/>
      <c r="C174" s="431" t="s">
        <v>27</v>
      </c>
      <c r="D174" s="432"/>
      <c r="E174" s="560" t="s">
        <v>31</v>
      </c>
      <c r="F174" s="278"/>
      <c r="G174" s="278"/>
      <c r="H174" s="278"/>
      <c r="I174" s="278"/>
      <c r="J174" s="278"/>
      <c r="K174" s="278"/>
      <c r="L174" s="278"/>
      <c r="M174" s="278"/>
      <c r="N174" s="278"/>
      <c r="O174" s="278"/>
      <c r="P174" s="278"/>
      <c r="Q174" s="278"/>
      <c r="R174" s="699"/>
      <c r="S174" s="91">
        <f>SUM(F174:Q174)</f>
        <v>0</v>
      </c>
      <c r="T174" s="668">
        <v>62922</v>
      </c>
      <c r="U174" s="760">
        <f>SUM(H174:S174)</f>
        <v>0</v>
      </c>
      <c r="W174" s="1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Q174" s="62"/>
      <c r="AW174" s="16"/>
      <c r="BC174" s="147"/>
      <c r="BD174" s="147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CG174" s="147"/>
      <c r="CZ174" s="1"/>
      <c r="DO174" s="511"/>
      <c r="DP174" s="147"/>
      <c r="DQ174" s="147"/>
      <c r="DR174" s="147"/>
      <c r="DS174" s="147"/>
      <c r="FV174" s="147"/>
      <c r="JQ174" s="147"/>
      <c r="JR174" s="147"/>
      <c r="JS174" s="147"/>
      <c r="JT174" s="147"/>
      <c r="OX174" s="147"/>
      <c r="OY174" s="147"/>
      <c r="PA174" s="147"/>
      <c r="PO174" s="561"/>
      <c r="PS174" s="147"/>
      <c r="RV174" s="561"/>
      <c r="AHE174" s="143"/>
      <c r="AIT174" s="143"/>
      <c r="AIU174" s="143"/>
      <c r="AIV174" s="143"/>
    </row>
    <row r="175" spans="2:932" hidden="1" x14ac:dyDescent="0.25">
      <c r="B175" s="709"/>
      <c r="C175" s="431" t="s">
        <v>26</v>
      </c>
      <c r="D175" s="432"/>
      <c r="E175" s="560" t="s">
        <v>31</v>
      </c>
      <c r="F175" s="278"/>
      <c r="G175" s="278"/>
      <c r="H175" s="278"/>
      <c r="I175" s="278"/>
      <c r="J175" s="278"/>
      <c r="K175" s="278"/>
      <c r="L175" s="278"/>
      <c r="M175" s="278"/>
      <c r="N175" s="278"/>
      <c r="O175" s="278"/>
      <c r="P175" s="278"/>
      <c r="Q175" s="278"/>
      <c r="R175" s="699"/>
      <c r="S175" s="91">
        <f>SUM(F175:Q175)</f>
        <v>0</v>
      </c>
      <c r="T175" s="668">
        <v>172089</v>
      </c>
      <c r="U175" s="760">
        <f>SUM(H175:S175)</f>
        <v>0</v>
      </c>
      <c r="W175" s="1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Q175" s="62"/>
      <c r="AW175" s="16"/>
      <c r="BC175" s="147"/>
      <c r="BD175" s="147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CG175" s="147"/>
      <c r="CZ175" s="1"/>
      <c r="DO175" s="511"/>
      <c r="DP175" s="147"/>
      <c r="DQ175" s="147"/>
      <c r="DR175" s="147"/>
      <c r="DS175" s="147"/>
      <c r="FV175" s="147"/>
      <c r="JQ175" s="147"/>
      <c r="JR175" s="147"/>
      <c r="JS175" s="147"/>
      <c r="JT175" s="147"/>
      <c r="OX175" s="147"/>
      <c r="OY175" s="147"/>
      <c r="PA175" s="147"/>
      <c r="PO175" s="561"/>
      <c r="PS175" s="147"/>
      <c r="RV175" s="561"/>
      <c r="AHE175" s="143"/>
      <c r="AIT175" s="143"/>
      <c r="AIU175" s="143"/>
      <c r="AIV175" s="143"/>
    </row>
    <row r="176" spans="2:932" hidden="1" x14ac:dyDescent="0.25">
      <c r="B176" s="709"/>
      <c r="C176" s="431" t="s">
        <v>37</v>
      </c>
      <c r="D176" s="432"/>
      <c r="E176" s="560" t="s">
        <v>31</v>
      </c>
      <c r="F176" s="278"/>
      <c r="G176" s="278"/>
      <c r="H176" s="278"/>
      <c r="I176" s="278"/>
      <c r="J176" s="278"/>
      <c r="K176" s="278"/>
      <c r="L176" s="278"/>
      <c r="M176" s="278"/>
      <c r="N176" s="278"/>
      <c r="O176" s="278"/>
      <c r="P176" s="278"/>
      <c r="Q176" s="278"/>
      <c r="R176" s="699"/>
      <c r="S176" s="91">
        <f>SUM(F176:Q176)</f>
        <v>0</v>
      </c>
      <c r="T176" s="668">
        <f>SUM(G176:R176)</f>
        <v>0</v>
      </c>
      <c r="U176" s="760">
        <f>SUM(H176:S176)</f>
        <v>0</v>
      </c>
      <c r="W176" s="1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Q176" s="62"/>
      <c r="AW176" s="16"/>
      <c r="BC176" s="147"/>
      <c r="BD176" s="147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CG176" s="147"/>
      <c r="CZ176" s="1"/>
      <c r="DO176" s="511"/>
      <c r="DP176" s="147"/>
      <c r="DQ176" s="147"/>
      <c r="DR176" s="147"/>
      <c r="DS176" s="147"/>
      <c r="FV176" s="147"/>
      <c r="JQ176" s="147"/>
      <c r="JR176" s="147"/>
      <c r="JS176" s="147"/>
      <c r="JT176" s="147"/>
      <c r="OX176" s="147"/>
      <c r="OY176" s="147"/>
      <c r="PA176" s="147"/>
      <c r="PO176" s="561"/>
      <c r="PS176" s="147"/>
      <c r="RV176" s="561"/>
      <c r="AHE176" s="143"/>
      <c r="AIT176" s="143"/>
      <c r="AIU176" s="143"/>
      <c r="AIV176" s="143"/>
    </row>
    <row r="177" spans="2:932" hidden="1" x14ac:dyDescent="0.25">
      <c r="B177" s="708"/>
      <c r="C177" s="556" t="s">
        <v>28</v>
      </c>
      <c r="D177" s="470"/>
      <c r="E177" s="459"/>
      <c r="F177" s="434"/>
      <c r="G177" s="434"/>
      <c r="H177" s="434"/>
      <c r="I177" s="434"/>
      <c r="J177" s="434"/>
      <c r="K177" s="434"/>
      <c r="L177" s="434"/>
      <c r="M177" s="434"/>
      <c r="N177" s="434"/>
      <c r="O177" s="434"/>
      <c r="P177" s="434"/>
      <c r="Q177" s="434"/>
      <c r="R177" s="697"/>
      <c r="S177" s="63" t="s">
        <v>28</v>
      </c>
      <c r="T177" s="667" t="s">
        <v>28</v>
      </c>
      <c r="U177" s="756" t="s">
        <v>28</v>
      </c>
      <c r="W177" s="1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Q177" s="62"/>
      <c r="AW177" s="1"/>
      <c r="BC177" s="141"/>
      <c r="BD177" s="14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CG177" s="141"/>
      <c r="CZ177" s="1"/>
      <c r="DO177" s="5"/>
      <c r="DP177" s="141"/>
      <c r="DQ177" s="141"/>
      <c r="DR177" s="141"/>
      <c r="DS177" s="141"/>
      <c r="FV177" s="141"/>
      <c r="JQ177" s="141"/>
      <c r="JR177" s="141"/>
      <c r="JS177" s="141"/>
      <c r="JT177" s="141"/>
      <c r="OX177" s="141"/>
      <c r="OY177" s="141"/>
      <c r="PA177" s="141"/>
      <c r="PO177" s="144"/>
      <c r="PS177" s="141"/>
      <c r="RV177" s="144"/>
      <c r="AHE177" s="140"/>
      <c r="AIT177" s="140"/>
      <c r="AIU177" s="140"/>
      <c r="AIV177" s="140"/>
    </row>
    <row r="178" spans="2:932" hidden="1" x14ac:dyDescent="0.25">
      <c r="B178" s="708"/>
      <c r="C178" s="431" t="s">
        <v>27</v>
      </c>
      <c r="D178" s="470"/>
      <c r="E178" s="490" t="s">
        <v>28</v>
      </c>
      <c r="F178" s="434"/>
      <c r="G178" s="434"/>
      <c r="H178" s="434"/>
      <c r="I178" s="434"/>
      <c r="J178" s="434"/>
      <c r="K178" s="434"/>
      <c r="L178" s="434"/>
      <c r="M178" s="434"/>
      <c r="N178" s="434"/>
      <c r="O178" s="434"/>
      <c r="P178" s="434"/>
      <c r="Q178" s="434"/>
      <c r="R178" s="697"/>
      <c r="S178" s="54">
        <f>S174*24</f>
        <v>0</v>
      </c>
      <c r="T178" s="645">
        <f>T174*24</f>
        <v>1510128</v>
      </c>
      <c r="U178" s="757">
        <f>U174*24</f>
        <v>0</v>
      </c>
      <c r="W178" s="1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Q178" s="62"/>
      <c r="AW178" s="1"/>
      <c r="BC178" s="141"/>
      <c r="BD178" s="14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CG178" s="141"/>
      <c r="CZ178" s="1"/>
      <c r="DO178" s="5"/>
      <c r="DP178" s="141"/>
      <c r="DQ178" s="141"/>
      <c r="DR178" s="141"/>
      <c r="DS178" s="141"/>
      <c r="FV178" s="141"/>
      <c r="JQ178" s="141"/>
      <c r="JR178" s="141"/>
      <c r="JS178" s="141"/>
      <c r="JT178" s="141"/>
      <c r="OX178" s="141"/>
      <c r="OY178" s="141"/>
      <c r="PA178" s="141"/>
      <c r="PO178" s="144"/>
      <c r="PS178" s="141"/>
      <c r="RV178" s="144"/>
      <c r="AHE178" s="140"/>
      <c r="AIT178" s="140"/>
      <c r="AIU178" s="140"/>
      <c r="AIV178" s="140"/>
    </row>
    <row r="179" spans="2:932" hidden="1" x14ac:dyDescent="0.25">
      <c r="B179" s="708"/>
      <c r="C179" s="431" t="s">
        <v>26</v>
      </c>
      <c r="D179" s="470"/>
      <c r="E179" s="490" t="s">
        <v>28</v>
      </c>
      <c r="F179" s="434"/>
      <c r="G179" s="434"/>
      <c r="H179" s="434"/>
      <c r="I179" s="434"/>
      <c r="J179" s="434"/>
      <c r="K179" s="434"/>
      <c r="L179" s="434"/>
      <c r="M179" s="434"/>
      <c r="N179" s="434"/>
      <c r="O179" s="434"/>
      <c r="P179" s="434"/>
      <c r="Q179" s="434"/>
      <c r="R179" s="697"/>
      <c r="S179" s="54">
        <f>S175*12</f>
        <v>0</v>
      </c>
      <c r="T179" s="645">
        <f>T175*12</f>
        <v>2065068</v>
      </c>
      <c r="U179" s="757">
        <f>U175*12</f>
        <v>0</v>
      </c>
      <c r="W179" s="1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Q179" s="62"/>
      <c r="AW179" s="1"/>
      <c r="BC179" s="141"/>
      <c r="BD179" s="14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CG179" s="141"/>
      <c r="CZ179" s="1"/>
      <c r="DO179" s="5"/>
      <c r="DP179" s="141"/>
      <c r="DQ179" s="141"/>
      <c r="DR179" s="141"/>
      <c r="DS179" s="141"/>
      <c r="FV179" s="141"/>
      <c r="JQ179" s="141"/>
      <c r="JR179" s="141"/>
      <c r="JS179" s="141"/>
      <c r="JT179" s="141"/>
      <c r="OX179" s="141"/>
      <c r="OY179" s="141"/>
      <c r="PA179" s="141"/>
      <c r="PO179" s="144"/>
      <c r="PS179" s="141"/>
      <c r="RV179" s="144"/>
      <c r="AHE179" s="140"/>
      <c r="AIT179" s="140"/>
      <c r="AIU179" s="140"/>
      <c r="AIV179" s="140"/>
    </row>
    <row r="180" spans="2:932" hidden="1" x14ac:dyDescent="0.25">
      <c r="B180" s="708"/>
      <c r="C180" s="431" t="s">
        <v>37</v>
      </c>
      <c r="D180" s="470"/>
      <c r="E180" s="490" t="s">
        <v>28</v>
      </c>
      <c r="F180" s="434"/>
      <c r="G180" s="434"/>
      <c r="H180" s="434"/>
      <c r="I180" s="434"/>
      <c r="J180" s="434"/>
      <c r="K180" s="434"/>
      <c r="L180" s="434"/>
      <c r="M180" s="434"/>
      <c r="N180" s="434"/>
      <c r="O180" s="434"/>
      <c r="P180" s="434"/>
      <c r="Q180" s="434"/>
      <c r="R180" s="697"/>
      <c r="S180" s="54">
        <f>S176*6</f>
        <v>0</v>
      </c>
      <c r="T180" s="645">
        <f>T176*6</f>
        <v>0</v>
      </c>
      <c r="U180" s="757">
        <f>U176*6</f>
        <v>0</v>
      </c>
      <c r="W180" s="1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Q180" s="62"/>
      <c r="AW180" s="1"/>
      <c r="BC180" s="141"/>
      <c r="BD180" s="14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CG180" s="141"/>
      <c r="CZ180" s="1"/>
      <c r="DO180" s="5"/>
      <c r="DP180" s="141"/>
      <c r="DQ180" s="141"/>
      <c r="DR180" s="141"/>
      <c r="DS180" s="141"/>
      <c r="FV180" s="141"/>
      <c r="JQ180" s="141"/>
      <c r="JR180" s="141"/>
      <c r="JS180" s="141"/>
      <c r="JT180" s="141"/>
      <c r="OX180" s="141"/>
      <c r="OY180" s="141"/>
      <c r="PA180" s="141"/>
      <c r="PO180" s="144"/>
      <c r="PS180" s="141"/>
      <c r="RV180" s="144"/>
      <c r="AHE180" s="140"/>
      <c r="AIT180" s="140"/>
      <c r="AIU180" s="140"/>
      <c r="AIV180" s="140"/>
    </row>
    <row r="181" spans="2:932" hidden="1" x14ac:dyDescent="0.25">
      <c r="B181" s="708"/>
      <c r="C181" s="556" t="s">
        <v>36</v>
      </c>
      <c r="D181" s="470"/>
      <c r="E181" s="490" t="s">
        <v>35</v>
      </c>
      <c r="F181" s="434"/>
      <c r="G181" s="434"/>
      <c r="H181" s="434"/>
      <c r="I181" s="434"/>
      <c r="J181" s="434"/>
      <c r="K181" s="434"/>
      <c r="L181" s="434"/>
      <c r="M181" s="434"/>
      <c r="N181" s="434"/>
      <c r="O181" s="434"/>
      <c r="P181" s="434"/>
      <c r="Q181" s="434"/>
      <c r="R181" s="697"/>
      <c r="S181" s="54">
        <f t="shared" ref="S181:U182" si="16">SUM(F181:Q181)</f>
        <v>0</v>
      </c>
      <c r="T181" s="645">
        <f t="shared" si="16"/>
        <v>0</v>
      </c>
      <c r="U181" s="757">
        <f t="shared" si="16"/>
        <v>0</v>
      </c>
      <c r="W181" s="1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Q181" s="62"/>
      <c r="AW181" s="1"/>
      <c r="BC181" s="141"/>
      <c r="BD181" s="14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CG181" s="141"/>
      <c r="CZ181" s="1"/>
      <c r="DO181" s="5"/>
      <c r="DP181" s="141"/>
      <c r="DQ181" s="141"/>
      <c r="DR181" s="141"/>
      <c r="DS181" s="141"/>
      <c r="FV181" s="141"/>
      <c r="JQ181" s="141"/>
      <c r="JR181" s="141"/>
      <c r="JS181" s="141"/>
      <c r="JT181" s="141"/>
      <c r="OX181" s="141"/>
      <c r="OY181" s="141"/>
      <c r="PA181" s="141"/>
      <c r="PO181" s="144"/>
      <c r="PS181" s="141"/>
      <c r="RV181" s="144"/>
      <c r="AHE181" s="140"/>
      <c r="AIT181" s="140"/>
      <c r="AIU181" s="140"/>
      <c r="AIV181" s="140"/>
    </row>
    <row r="182" spans="2:932" hidden="1" x14ac:dyDescent="0.25">
      <c r="B182" s="708"/>
      <c r="C182" s="556" t="s">
        <v>34</v>
      </c>
      <c r="D182" s="470"/>
      <c r="E182" s="490" t="s">
        <v>33</v>
      </c>
      <c r="F182" s="434"/>
      <c r="G182" s="434"/>
      <c r="H182" s="434"/>
      <c r="I182" s="434"/>
      <c r="J182" s="434"/>
      <c r="K182" s="434"/>
      <c r="L182" s="434"/>
      <c r="M182" s="434"/>
      <c r="N182" s="434"/>
      <c r="O182" s="434"/>
      <c r="P182" s="434"/>
      <c r="Q182" s="434"/>
      <c r="R182" s="697"/>
      <c r="S182" s="54">
        <f t="shared" si="16"/>
        <v>0</v>
      </c>
      <c r="T182" s="645">
        <f t="shared" si="16"/>
        <v>0</v>
      </c>
      <c r="U182" s="757">
        <f t="shared" si="16"/>
        <v>0</v>
      </c>
      <c r="W182" s="1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Q182" s="62"/>
      <c r="AW182" s="1"/>
      <c r="BC182" s="141"/>
      <c r="BD182" s="14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CG182" s="141"/>
      <c r="CZ182" s="1"/>
      <c r="DO182" s="5"/>
      <c r="DP182" s="141"/>
      <c r="DQ182" s="141"/>
      <c r="DR182" s="141"/>
      <c r="DS182" s="141"/>
      <c r="FV182" s="141"/>
      <c r="JQ182" s="141"/>
      <c r="JR182" s="141"/>
      <c r="JS182" s="141"/>
      <c r="JT182" s="141"/>
      <c r="OX182" s="141"/>
      <c r="OY182" s="141"/>
      <c r="PA182" s="141"/>
      <c r="PO182" s="144"/>
      <c r="PS182" s="141"/>
      <c r="RV182" s="144"/>
      <c r="AHE182" s="140"/>
      <c r="AIT182" s="140"/>
      <c r="AIU182" s="140"/>
      <c r="AIV182" s="140"/>
    </row>
    <row r="183" spans="2:932" hidden="1" x14ac:dyDescent="0.25">
      <c r="B183" s="705"/>
      <c r="C183" s="414" t="s">
        <v>32</v>
      </c>
      <c r="D183" s="48"/>
      <c r="E183" s="48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3"/>
      <c r="S183" s="516" t="s">
        <v>130</v>
      </c>
      <c r="T183" s="656" t="s">
        <v>130</v>
      </c>
      <c r="U183" s="747" t="s">
        <v>130</v>
      </c>
      <c r="W183" s="1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Q183" s="62"/>
      <c r="AW183" s="1"/>
      <c r="BC183" s="140"/>
      <c r="BD183" s="140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CG183" s="140"/>
      <c r="CZ183" s="1"/>
      <c r="DO183" s="5"/>
      <c r="DP183" s="140"/>
      <c r="DQ183" s="140"/>
      <c r="DR183" s="140"/>
      <c r="DS183" s="140"/>
      <c r="FV183" s="140"/>
      <c r="JQ183" s="140"/>
      <c r="JR183" s="140"/>
      <c r="JS183" s="140"/>
      <c r="JT183" s="140"/>
      <c r="OX183" s="140"/>
      <c r="OY183" s="140"/>
      <c r="PA183" s="140"/>
      <c r="PO183" s="475"/>
      <c r="PS183" s="140"/>
      <c r="RV183" s="475"/>
      <c r="AHE183" s="140"/>
      <c r="AIT183" s="140"/>
      <c r="AIU183" s="140"/>
      <c r="AIV183" s="140"/>
    </row>
    <row r="184" spans="2:932" hidden="1" x14ac:dyDescent="0.25">
      <c r="B184" s="708"/>
      <c r="C184" s="556" t="s">
        <v>29</v>
      </c>
      <c r="D184" s="470"/>
      <c r="E184" s="459"/>
      <c r="F184" s="434"/>
      <c r="G184" s="434"/>
      <c r="H184" s="434"/>
      <c r="I184" s="434"/>
      <c r="J184" s="434"/>
      <c r="K184" s="434"/>
      <c r="L184" s="434"/>
      <c r="M184" s="434"/>
      <c r="N184" s="434"/>
      <c r="O184" s="434"/>
      <c r="P184" s="434"/>
      <c r="Q184" s="434"/>
      <c r="R184" s="697"/>
      <c r="S184" s="63" t="s">
        <v>29</v>
      </c>
      <c r="T184" s="667" t="s">
        <v>29</v>
      </c>
      <c r="U184" s="756" t="s">
        <v>29</v>
      </c>
      <c r="W184" s="1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Q184" s="62"/>
      <c r="AW184" s="1"/>
      <c r="BC184" s="141"/>
      <c r="BD184" s="14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CG184" s="141"/>
      <c r="CZ184" s="1"/>
      <c r="DO184" s="5"/>
      <c r="DP184" s="141"/>
      <c r="DQ184" s="141"/>
      <c r="DR184" s="141"/>
      <c r="DS184" s="141"/>
      <c r="FV184" s="141"/>
      <c r="JQ184" s="141"/>
      <c r="JR184" s="141"/>
      <c r="JS184" s="141"/>
      <c r="JT184" s="141"/>
      <c r="OX184" s="141"/>
      <c r="OY184" s="141"/>
      <c r="PA184" s="141"/>
      <c r="PO184" s="144"/>
      <c r="PS184" s="141"/>
      <c r="RV184" s="144"/>
      <c r="AHE184" s="140"/>
      <c r="AIT184" s="140"/>
      <c r="AIU184" s="140"/>
      <c r="AIV184" s="140"/>
    </row>
    <row r="185" spans="2:932" hidden="1" x14ac:dyDescent="0.25">
      <c r="B185" s="708"/>
      <c r="C185" s="431" t="s">
        <v>115</v>
      </c>
      <c r="D185" s="470"/>
      <c r="E185" s="490" t="s">
        <v>31</v>
      </c>
      <c r="F185" s="434"/>
      <c r="G185" s="434"/>
      <c r="H185" s="434"/>
      <c r="I185" s="434"/>
      <c r="J185" s="434"/>
      <c r="K185" s="434"/>
      <c r="L185" s="434"/>
      <c r="M185" s="434"/>
      <c r="N185" s="434"/>
      <c r="O185" s="434"/>
      <c r="P185" s="434"/>
      <c r="Q185" s="434"/>
      <c r="R185" s="697"/>
      <c r="S185" s="63"/>
      <c r="T185" s="667"/>
      <c r="U185" s="756"/>
      <c r="W185" s="1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Q185" s="62"/>
      <c r="AW185" s="1"/>
      <c r="BC185" s="141"/>
      <c r="BD185" s="14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CG185" s="141"/>
      <c r="CZ185" s="1"/>
      <c r="DO185" s="5"/>
      <c r="DP185" s="141"/>
      <c r="DQ185" s="141"/>
      <c r="DR185" s="141"/>
      <c r="DS185" s="141"/>
      <c r="FV185" s="141"/>
      <c r="JQ185" s="141"/>
      <c r="JR185" s="141"/>
      <c r="JS185" s="141"/>
      <c r="JT185" s="141"/>
      <c r="OX185" s="141"/>
      <c r="OY185" s="141"/>
      <c r="PA185" s="141"/>
      <c r="PO185" s="144"/>
      <c r="PS185" s="141"/>
      <c r="RV185" s="144"/>
      <c r="AHE185" s="140"/>
      <c r="AIT185" s="140"/>
      <c r="AIU185" s="140"/>
      <c r="AIV185" s="140"/>
    </row>
    <row r="186" spans="2:932" hidden="1" x14ac:dyDescent="0.25">
      <c r="B186" s="708"/>
      <c r="C186" s="431" t="s">
        <v>27</v>
      </c>
      <c r="D186" s="470"/>
      <c r="E186" s="490" t="s">
        <v>31</v>
      </c>
      <c r="F186" s="434"/>
      <c r="G186" s="434"/>
      <c r="H186" s="434"/>
      <c r="I186" s="434"/>
      <c r="J186" s="434"/>
      <c r="K186" s="434"/>
      <c r="L186" s="434"/>
      <c r="M186" s="434"/>
      <c r="N186" s="434"/>
      <c r="O186" s="434"/>
      <c r="P186" s="434"/>
      <c r="Q186" s="434"/>
      <c r="R186" s="697"/>
      <c r="S186" s="54">
        <f t="shared" ref="S186:U187" si="17">SUM(F186:Q186)</f>
        <v>0</v>
      </c>
      <c r="T186" s="645">
        <f t="shared" si="17"/>
        <v>0</v>
      </c>
      <c r="U186" s="757">
        <f t="shared" si="17"/>
        <v>0</v>
      </c>
      <c r="W186" s="1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Q186" s="62"/>
      <c r="AW186" s="1"/>
      <c r="BC186" s="141"/>
      <c r="BD186" s="14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CG186" s="141"/>
      <c r="CZ186" s="1"/>
      <c r="DO186" s="5"/>
      <c r="DP186" s="141"/>
      <c r="DQ186" s="141"/>
      <c r="DR186" s="141"/>
      <c r="DS186" s="141"/>
      <c r="FV186" s="141"/>
      <c r="JQ186" s="141"/>
      <c r="JR186" s="141"/>
      <c r="JS186" s="141"/>
      <c r="JT186" s="141"/>
      <c r="OX186" s="141"/>
      <c r="OY186" s="141"/>
      <c r="PA186" s="141"/>
      <c r="PO186" s="144"/>
      <c r="PS186" s="141"/>
      <c r="RV186" s="144"/>
      <c r="AHE186" s="140"/>
      <c r="AIT186" s="140"/>
      <c r="AIU186" s="140"/>
      <c r="AIV186" s="140"/>
    </row>
    <row r="187" spans="2:932" hidden="1" x14ac:dyDescent="0.25">
      <c r="B187" s="708"/>
      <c r="C187" s="431" t="s">
        <v>26</v>
      </c>
      <c r="D187" s="470"/>
      <c r="E187" s="490" t="s">
        <v>31</v>
      </c>
      <c r="F187" s="434"/>
      <c r="G187" s="434"/>
      <c r="H187" s="434"/>
      <c r="I187" s="434"/>
      <c r="J187" s="434"/>
      <c r="K187" s="434"/>
      <c r="L187" s="434"/>
      <c r="M187" s="434"/>
      <c r="N187" s="434"/>
      <c r="O187" s="434"/>
      <c r="P187" s="434"/>
      <c r="Q187" s="434"/>
      <c r="R187" s="697"/>
      <c r="S187" s="54">
        <f t="shared" si="17"/>
        <v>0</v>
      </c>
      <c r="T187" s="645">
        <f t="shared" si="17"/>
        <v>0</v>
      </c>
      <c r="U187" s="757">
        <f t="shared" si="17"/>
        <v>0</v>
      </c>
      <c r="W187" s="1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Q187" s="62"/>
      <c r="AW187" s="1"/>
      <c r="BC187" s="141"/>
      <c r="BD187" s="14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CG187" s="141"/>
      <c r="CZ187" s="1"/>
      <c r="DO187" s="5"/>
      <c r="DP187" s="141"/>
      <c r="DQ187" s="141"/>
      <c r="DR187" s="141"/>
      <c r="DS187" s="141"/>
      <c r="FV187" s="141"/>
      <c r="JQ187" s="141"/>
      <c r="JR187" s="141"/>
      <c r="JS187" s="141"/>
      <c r="JT187" s="141"/>
      <c r="OX187" s="141"/>
      <c r="OY187" s="141"/>
      <c r="PA187" s="141"/>
      <c r="PO187" s="144"/>
      <c r="PS187" s="141"/>
      <c r="RV187" s="144"/>
      <c r="AHE187" s="140"/>
      <c r="AIT187" s="140"/>
      <c r="AIU187" s="140"/>
      <c r="AIV187" s="140"/>
    </row>
    <row r="188" spans="2:932" hidden="1" x14ac:dyDescent="0.25">
      <c r="B188" s="708"/>
      <c r="C188" s="431" t="s">
        <v>37</v>
      </c>
      <c r="D188" s="470"/>
      <c r="E188" s="560" t="s">
        <v>31</v>
      </c>
      <c r="F188" s="434"/>
      <c r="G188" s="434"/>
      <c r="H188" s="434"/>
      <c r="I188" s="434"/>
      <c r="J188" s="434"/>
      <c r="K188" s="434"/>
      <c r="L188" s="434"/>
      <c r="M188" s="434"/>
      <c r="N188" s="434"/>
      <c r="O188" s="434"/>
      <c r="P188" s="434"/>
      <c r="Q188" s="434"/>
      <c r="R188" s="697"/>
      <c r="S188" s="54"/>
      <c r="T188" s="645"/>
      <c r="U188" s="757"/>
      <c r="W188" s="1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Q188" s="62"/>
      <c r="AW188" s="1"/>
      <c r="BC188" s="141"/>
      <c r="BD188" s="14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CG188" s="141"/>
      <c r="CZ188" s="1"/>
      <c r="DO188" s="5"/>
      <c r="DP188" s="141"/>
      <c r="DQ188" s="141"/>
      <c r="DR188" s="141"/>
      <c r="DS188" s="141"/>
      <c r="FV188" s="141"/>
      <c r="JQ188" s="141"/>
      <c r="JR188" s="141"/>
      <c r="JS188" s="141"/>
      <c r="JT188" s="141"/>
      <c r="OX188" s="141"/>
      <c r="OY188" s="141"/>
      <c r="PA188" s="141"/>
      <c r="PO188" s="144"/>
      <c r="PS188" s="141"/>
      <c r="RV188" s="144"/>
      <c r="AHE188" s="140"/>
      <c r="AIT188" s="140"/>
      <c r="AIU188" s="140"/>
      <c r="AIV188" s="140"/>
    </row>
    <row r="189" spans="2:932" hidden="1" x14ac:dyDescent="0.25">
      <c r="B189" s="708"/>
      <c r="C189" s="556" t="s">
        <v>28</v>
      </c>
      <c r="D189" s="470"/>
      <c r="E189" s="459"/>
      <c r="F189" s="434"/>
      <c r="G189" s="434"/>
      <c r="H189" s="434"/>
      <c r="I189" s="434"/>
      <c r="J189" s="434"/>
      <c r="K189" s="434"/>
      <c r="L189" s="434"/>
      <c r="M189" s="434"/>
      <c r="N189" s="434"/>
      <c r="O189" s="434"/>
      <c r="P189" s="434"/>
      <c r="Q189" s="434"/>
      <c r="R189" s="697"/>
      <c r="S189" s="63" t="s">
        <v>28</v>
      </c>
      <c r="T189" s="667" t="s">
        <v>28</v>
      </c>
      <c r="U189" s="756" t="s">
        <v>28</v>
      </c>
      <c r="W189" s="1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Q189" s="62"/>
      <c r="AW189" s="1"/>
      <c r="BC189" s="141"/>
      <c r="BD189" s="14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CG189" s="141"/>
      <c r="CZ189" s="1"/>
      <c r="DO189" s="5"/>
      <c r="DP189" s="141"/>
      <c r="DQ189" s="141"/>
      <c r="DR189" s="141"/>
      <c r="DS189" s="141"/>
      <c r="FV189" s="141"/>
      <c r="JQ189" s="141"/>
      <c r="JR189" s="141"/>
      <c r="JS189" s="141"/>
      <c r="JT189" s="141"/>
      <c r="OX189" s="141"/>
      <c r="OY189" s="141"/>
      <c r="PA189" s="141"/>
      <c r="PO189" s="144"/>
      <c r="PS189" s="141"/>
      <c r="RV189" s="144"/>
      <c r="AHE189" s="140"/>
      <c r="AIT189" s="140"/>
      <c r="AIU189" s="140"/>
      <c r="AIV189" s="140"/>
    </row>
    <row r="190" spans="2:932" hidden="1" x14ac:dyDescent="0.25">
      <c r="B190" s="708"/>
      <c r="C190" s="431" t="s">
        <v>27</v>
      </c>
      <c r="D190" s="470"/>
      <c r="E190" s="490" t="s">
        <v>28</v>
      </c>
      <c r="F190" s="434"/>
      <c r="G190" s="434"/>
      <c r="H190" s="434"/>
      <c r="I190" s="434"/>
      <c r="J190" s="434"/>
      <c r="K190" s="434"/>
      <c r="L190" s="434"/>
      <c r="M190" s="434"/>
      <c r="N190" s="434"/>
      <c r="O190" s="434"/>
      <c r="P190" s="434"/>
      <c r="Q190" s="434"/>
      <c r="R190" s="697"/>
      <c r="S190" s="54">
        <f t="shared" ref="S190:U192" si="18">SUM(F190:Q190)</f>
        <v>0</v>
      </c>
      <c r="T190" s="645">
        <f t="shared" si="18"/>
        <v>0</v>
      </c>
      <c r="U190" s="757">
        <f t="shared" si="18"/>
        <v>0</v>
      </c>
      <c r="W190" s="1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Q190" s="62"/>
      <c r="AW190" s="1"/>
      <c r="BC190" s="141"/>
      <c r="BD190" s="14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CG190" s="141"/>
      <c r="CZ190" s="1"/>
      <c r="DO190" s="5"/>
      <c r="DP190" s="141"/>
      <c r="DQ190" s="141"/>
      <c r="DR190" s="141"/>
      <c r="DS190" s="141"/>
      <c r="FV190" s="141"/>
      <c r="JQ190" s="141"/>
      <c r="JR190" s="141"/>
      <c r="JS190" s="141"/>
      <c r="JT190" s="141"/>
      <c r="OX190" s="141"/>
      <c r="OY190" s="141"/>
      <c r="PA190" s="141"/>
      <c r="PO190" s="144"/>
      <c r="PS190" s="141"/>
      <c r="RV190" s="144"/>
      <c r="AHE190" s="140"/>
      <c r="AIT190" s="140"/>
      <c r="AIU190" s="140"/>
      <c r="AIV190" s="140"/>
    </row>
    <row r="191" spans="2:932" hidden="1" x14ac:dyDescent="0.25">
      <c r="B191" s="708"/>
      <c r="C191" s="431" t="s">
        <v>26</v>
      </c>
      <c r="D191" s="470"/>
      <c r="E191" s="490" t="s">
        <v>28</v>
      </c>
      <c r="F191" s="434"/>
      <c r="G191" s="434"/>
      <c r="H191" s="434"/>
      <c r="I191" s="434"/>
      <c r="J191" s="434"/>
      <c r="K191" s="434"/>
      <c r="L191" s="434"/>
      <c r="M191" s="434"/>
      <c r="N191" s="434"/>
      <c r="O191" s="434"/>
      <c r="P191" s="434"/>
      <c r="Q191" s="434"/>
      <c r="R191" s="697"/>
      <c r="S191" s="54">
        <f t="shared" si="18"/>
        <v>0</v>
      </c>
      <c r="T191" s="645">
        <f t="shared" si="18"/>
        <v>0</v>
      </c>
      <c r="U191" s="757">
        <f t="shared" si="18"/>
        <v>0</v>
      </c>
      <c r="W191" s="1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Q191" s="62"/>
      <c r="AW191" s="1"/>
      <c r="BC191" s="141"/>
      <c r="BD191" s="14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CG191" s="141"/>
      <c r="CZ191" s="1"/>
      <c r="DO191" s="5"/>
      <c r="DP191" s="141"/>
      <c r="DQ191" s="141"/>
      <c r="DR191" s="141"/>
      <c r="DS191" s="141"/>
      <c r="FV191" s="141"/>
      <c r="JQ191" s="141"/>
      <c r="JR191" s="141"/>
      <c r="JS191" s="141"/>
      <c r="JT191" s="141"/>
      <c r="OX191" s="141"/>
      <c r="OY191" s="141"/>
      <c r="PA191" s="141"/>
      <c r="PO191" s="144"/>
      <c r="PS191" s="141"/>
      <c r="RV191" s="144"/>
      <c r="AHE191" s="140"/>
      <c r="AIT191" s="140"/>
      <c r="AIU191" s="140"/>
      <c r="AIV191" s="140"/>
    </row>
    <row r="192" spans="2:932" hidden="1" x14ac:dyDescent="0.25">
      <c r="B192" s="708"/>
      <c r="C192" s="431" t="s">
        <v>37</v>
      </c>
      <c r="D192" s="470"/>
      <c r="E192" s="490" t="s">
        <v>28</v>
      </c>
      <c r="F192" s="434"/>
      <c r="G192" s="434"/>
      <c r="H192" s="434"/>
      <c r="I192" s="434"/>
      <c r="J192" s="434"/>
      <c r="K192" s="434"/>
      <c r="L192" s="434"/>
      <c r="M192" s="434"/>
      <c r="N192" s="434"/>
      <c r="O192" s="434"/>
      <c r="P192" s="434"/>
      <c r="Q192" s="434"/>
      <c r="R192" s="697"/>
      <c r="S192" s="54">
        <f t="shared" si="18"/>
        <v>0</v>
      </c>
      <c r="T192" s="645">
        <f t="shared" si="18"/>
        <v>0</v>
      </c>
      <c r="U192" s="757">
        <f t="shared" si="18"/>
        <v>0</v>
      </c>
      <c r="W192" s="1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Q192" s="62"/>
      <c r="AW192" s="1"/>
      <c r="BC192" s="141"/>
      <c r="BD192" s="14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CG192" s="141"/>
      <c r="CZ192" s="1"/>
      <c r="DO192" s="5"/>
      <c r="DP192" s="141"/>
      <c r="DQ192" s="141"/>
      <c r="DR192" s="141"/>
      <c r="DS192" s="141"/>
      <c r="FV192" s="141"/>
      <c r="JQ192" s="141"/>
      <c r="JR192" s="141"/>
      <c r="JS192" s="141"/>
      <c r="JT192" s="141"/>
      <c r="OX192" s="141"/>
      <c r="OY192" s="141"/>
      <c r="PA192" s="141"/>
      <c r="PO192" s="144"/>
      <c r="PS192" s="141"/>
      <c r="RV192" s="144"/>
      <c r="AHE192" s="140"/>
      <c r="AIT192" s="140"/>
      <c r="AIU192" s="140"/>
      <c r="AIV192" s="140"/>
    </row>
    <row r="193" spans="2:932" hidden="1" x14ac:dyDescent="0.25">
      <c r="B193" s="705"/>
      <c r="C193" s="414" t="s">
        <v>30</v>
      </c>
      <c r="D193" s="48"/>
      <c r="E193" s="48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3"/>
      <c r="S193" s="516" t="s">
        <v>130</v>
      </c>
      <c r="T193" s="656" t="s">
        <v>130</v>
      </c>
      <c r="U193" s="747" t="s">
        <v>130</v>
      </c>
      <c r="W193" s="1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Q193" s="62"/>
      <c r="AW193" s="1"/>
      <c r="BC193" s="140"/>
      <c r="BD193" s="140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CG193" s="140"/>
      <c r="CZ193" s="1"/>
      <c r="DO193" s="5"/>
      <c r="DP193" s="140"/>
      <c r="DQ193" s="140"/>
      <c r="DR193" s="140"/>
      <c r="DS193" s="140"/>
      <c r="FV193" s="140"/>
      <c r="JQ193" s="140"/>
      <c r="JR193" s="140"/>
      <c r="JS193" s="140"/>
      <c r="JT193" s="140"/>
      <c r="OX193" s="140"/>
      <c r="OY193" s="140"/>
      <c r="PA193" s="140"/>
      <c r="PO193" s="475"/>
      <c r="PS193" s="140"/>
      <c r="RV193" s="475"/>
      <c r="AHE193" s="140"/>
      <c r="AIT193" s="140"/>
      <c r="AIU193" s="140"/>
      <c r="AIV193" s="140"/>
    </row>
    <row r="194" spans="2:932" hidden="1" x14ac:dyDescent="0.25">
      <c r="B194" s="708"/>
      <c r="C194" s="556" t="s">
        <v>29</v>
      </c>
      <c r="D194" s="470"/>
      <c r="E194" s="459"/>
      <c r="F194" s="434"/>
      <c r="G194" s="434"/>
      <c r="H194" s="434"/>
      <c r="I194" s="434"/>
      <c r="J194" s="434"/>
      <c r="K194" s="434"/>
      <c r="L194" s="434"/>
      <c r="M194" s="434"/>
      <c r="N194" s="434"/>
      <c r="O194" s="434"/>
      <c r="P194" s="434"/>
      <c r="Q194" s="434"/>
      <c r="R194" s="697"/>
      <c r="S194" s="63" t="s">
        <v>29</v>
      </c>
      <c r="T194" s="667" t="s">
        <v>29</v>
      </c>
      <c r="U194" s="756" t="s">
        <v>29</v>
      </c>
      <c r="W194" s="1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Q194" s="62"/>
      <c r="AW194" s="1"/>
      <c r="BC194" s="141"/>
      <c r="BD194" s="14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CG194" s="141"/>
      <c r="CZ194" s="1"/>
      <c r="DO194" s="5"/>
      <c r="DP194" s="141"/>
      <c r="DQ194" s="141"/>
      <c r="DR194" s="141"/>
      <c r="DS194" s="141"/>
      <c r="FV194" s="141"/>
      <c r="JQ194" s="141"/>
      <c r="JR194" s="141"/>
      <c r="JS194" s="141"/>
      <c r="JT194" s="141"/>
      <c r="OX194" s="141"/>
      <c r="OY194" s="141"/>
      <c r="PA194" s="141"/>
      <c r="PO194" s="144"/>
      <c r="PS194" s="141"/>
      <c r="RV194" s="144"/>
      <c r="AHE194" s="140"/>
      <c r="AIT194" s="140"/>
      <c r="AIU194" s="140"/>
      <c r="AIV194" s="140"/>
    </row>
    <row r="195" spans="2:932" hidden="1" x14ac:dyDescent="0.25">
      <c r="B195" s="708"/>
      <c r="C195" s="431" t="s">
        <v>27</v>
      </c>
      <c r="D195" s="458">
        <v>0.3</v>
      </c>
      <c r="E195" s="490" t="s">
        <v>25</v>
      </c>
      <c r="F195" s="435"/>
      <c r="G195" s="435"/>
      <c r="H195" s="435"/>
      <c r="I195" s="435"/>
      <c r="J195" s="435"/>
      <c r="K195" s="435"/>
      <c r="L195" s="435"/>
      <c r="M195" s="435"/>
      <c r="N195" s="435"/>
      <c r="O195" s="435"/>
      <c r="P195" s="435"/>
      <c r="Q195" s="435"/>
      <c r="R195" s="697"/>
      <c r="S195" s="58" t="e">
        <f>S186/S174*100</f>
        <v>#DIV/0!</v>
      </c>
      <c r="T195" s="648">
        <f>T186/T174*100</f>
        <v>0</v>
      </c>
      <c r="U195" s="740" t="e">
        <f>U186/U174*100</f>
        <v>#DIV/0!</v>
      </c>
      <c r="W195" s="1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Q195" s="62"/>
      <c r="AW195" s="1"/>
      <c r="BC195" s="141"/>
      <c r="BD195" s="14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CG195" s="141"/>
      <c r="CZ195" s="1"/>
      <c r="DO195" s="5"/>
      <c r="DP195" s="141"/>
      <c r="DQ195" s="141"/>
      <c r="DR195" s="141"/>
      <c r="DS195" s="141"/>
      <c r="FV195" s="141"/>
      <c r="JQ195" s="141"/>
      <c r="JR195" s="141"/>
      <c r="JS195" s="141"/>
      <c r="JT195" s="141"/>
      <c r="OX195" s="141"/>
      <c r="OY195" s="141"/>
      <c r="PA195" s="141"/>
      <c r="PO195" s="144"/>
      <c r="PS195" s="141"/>
      <c r="RV195" s="144"/>
      <c r="AHE195" s="140"/>
      <c r="AIT195" s="140"/>
      <c r="AIU195" s="140"/>
      <c r="AIV195" s="140"/>
    </row>
    <row r="196" spans="2:932" hidden="1" x14ac:dyDescent="0.25">
      <c r="B196" s="708"/>
      <c r="C196" s="431" t="s">
        <v>26</v>
      </c>
      <c r="D196" s="458">
        <v>0.3</v>
      </c>
      <c r="E196" s="490" t="s">
        <v>25</v>
      </c>
      <c r="F196" s="435"/>
      <c r="G196" s="435"/>
      <c r="H196" s="435"/>
      <c r="I196" s="435"/>
      <c r="J196" s="435"/>
      <c r="K196" s="435"/>
      <c r="L196" s="435"/>
      <c r="M196" s="435"/>
      <c r="N196" s="435"/>
      <c r="O196" s="435"/>
      <c r="P196" s="435"/>
      <c r="Q196" s="435"/>
      <c r="R196" s="697"/>
      <c r="S196" s="58" t="e">
        <f>S187/S176*100</f>
        <v>#DIV/0!</v>
      </c>
      <c r="T196" s="648" t="e">
        <f>T187/T176*100</f>
        <v>#DIV/0!</v>
      </c>
      <c r="U196" s="740" t="e">
        <f>U187/U176*100</f>
        <v>#DIV/0!</v>
      </c>
      <c r="W196" s="1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Q196" s="62"/>
      <c r="AW196" s="1"/>
      <c r="BC196" s="141"/>
      <c r="BD196" s="14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CG196" s="141"/>
      <c r="CZ196" s="1"/>
      <c r="DO196" s="5"/>
      <c r="DP196" s="141"/>
      <c r="DQ196" s="141"/>
      <c r="DR196" s="141"/>
      <c r="DS196" s="141"/>
      <c r="FV196" s="141"/>
      <c r="JQ196" s="141"/>
      <c r="JR196" s="141"/>
      <c r="JS196" s="141"/>
      <c r="JT196" s="141"/>
      <c r="OX196" s="141"/>
      <c r="OY196" s="141"/>
      <c r="PA196" s="141"/>
      <c r="PO196" s="144"/>
      <c r="PS196" s="141"/>
      <c r="RV196" s="144"/>
      <c r="AHE196" s="140"/>
      <c r="AIT196" s="140"/>
      <c r="AIU196" s="140"/>
      <c r="AIV196" s="140"/>
    </row>
    <row r="197" spans="2:932" hidden="1" x14ac:dyDescent="0.25">
      <c r="B197" s="708"/>
      <c r="C197" s="431" t="s">
        <v>37</v>
      </c>
      <c r="D197" s="458">
        <v>0.3</v>
      </c>
      <c r="E197" s="490" t="s">
        <v>25</v>
      </c>
      <c r="F197" s="435"/>
      <c r="G197" s="435"/>
      <c r="H197" s="435"/>
      <c r="I197" s="435"/>
      <c r="J197" s="435"/>
      <c r="K197" s="435"/>
      <c r="L197" s="435"/>
      <c r="M197" s="435"/>
      <c r="N197" s="435"/>
      <c r="O197" s="435"/>
      <c r="P197" s="435"/>
      <c r="Q197" s="435"/>
      <c r="R197" s="697"/>
      <c r="S197" s="58"/>
      <c r="T197" s="648"/>
      <c r="U197" s="740"/>
      <c r="W197" s="1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Q197" s="62"/>
      <c r="AW197" s="1"/>
      <c r="BC197" s="141"/>
      <c r="BD197" s="14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CG197" s="141"/>
      <c r="CZ197" s="1"/>
      <c r="DO197" s="5"/>
      <c r="DP197" s="141"/>
      <c r="DQ197" s="141"/>
      <c r="DR197" s="141"/>
      <c r="DS197" s="141"/>
      <c r="FV197" s="141"/>
      <c r="JQ197" s="141"/>
      <c r="JR197" s="141"/>
      <c r="JS197" s="141"/>
      <c r="JT197" s="141"/>
      <c r="OX197" s="141"/>
      <c r="OY197" s="141"/>
      <c r="PA197" s="141"/>
      <c r="PO197" s="144"/>
      <c r="PS197" s="141"/>
      <c r="RV197" s="144"/>
      <c r="AHE197" s="140"/>
      <c r="AIT197" s="140"/>
      <c r="AIU197" s="140"/>
      <c r="AIV197" s="140"/>
    </row>
    <row r="198" spans="2:932" hidden="1" x14ac:dyDescent="0.25">
      <c r="B198" s="708"/>
      <c r="C198" s="556" t="s">
        <v>28</v>
      </c>
      <c r="D198" s="458"/>
      <c r="E198" s="459"/>
      <c r="F198" s="435"/>
      <c r="G198" s="435"/>
      <c r="H198" s="435"/>
      <c r="I198" s="435"/>
      <c r="J198" s="435"/>
      <c r="K198" s="435"/>
      <c r="L198" s="435"/>
      <c r="M198" s="435"/>
      <c r="N198" s="435"/>
      <c r="O198" s="435"/>
      <c r="P198" s="435"/>
      <c r="Q198" s="435"/>
      <c r="R198" s="697"/>
      <c r="S198" s="63" t="s">
        <v>28</v>
      </c>
      <c r="T198" s="667" t="s">
        <v>28</v>
      </c>
      <c r="U198" s="756" t="s">
        <v>28</v>
      </c>
      <c r="W198" s="1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Q198" s="62"/>
      <c r="AW198" s="1"/>
      <c r="BC198" s="141"/>
      <c r="BD198" s="14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CG198" s="141"/>
      <c r="CZ198" s="1"/>
      <c r="DO198" s="5"/>
      <c r="DP198" s="141"/>
      <c r="DQ198" s="141"/>
      <c r="DR198" s="141"/>
      <c r="DS198" s="141"/>
      <c r="FV198" s="141"/>
      <c r="JQ198" s="141"/>
      <c r="JR198" s="141"/>
      <c r="JS198" s="141"/>
      <c r="JT198" s="141"/>
      <c r="OX198" s="141"/>
      <c r="OY198" s="141"/>
      <c r="PA198" s="141"/>
      <c r="PO198" s="144"/>
      <c r="PS198" s="141"/>
      <c r="RV198" s="144"/>
      <c r="AHE198" s="140"/>
      <c r="AIT198" s="140"/>
      <c r="AIU198" s="140"/>
      <c r="AIV198" s="140"/>
    </row>
    <row r="199" spans="2:932" hidden="1" x14ac:dyDescent="0.25">
      <c r="B199" s="708"/>
      <c r="C199" s="431" t="s">
        <v>27</v>
      </c>
      <c r="D199" s="458">
        <v>0.5</v>
      </c>
      <c r="E199" s="490" t="s">
        <v>25</v>
      </c>
      <c r="F199" s="435"/>
      <c r="G199" s="435"/>
      <c r="H199" s="435"/>
      <c r="I199" s="435"/>
      <c r="J199" s="435"/>
      <c r="K199" s="435"/>
      <c r="L199" s="435"/>
      <c r="M199" s="435"/>
      <c r="N199" s="435"/>
      <c r="O199" s="435"/>
      <c r="P199" s="435"/>
      <c r="Q199" s="435"/>
      <c r="R199" s="697"/>
      <c r="S199" s="58" t="e">
        <f>S190/S178*100</f>
        <v>#DIV/0!</v>
      </c>
      <c r="T199" s="648">
        <f>T190/T178*100</f>
        <v>0</v>
      </c>
      <c r="U199" s="740" t="e">
        <f>U190/U178*100</f>
        <v>#DIV/0!</v>
      </c>
      <c r="W199" s="1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Q199" s="62"/>
      <c r="AW199" s="1"/>
      <c r="BC199" s="141"/>
      <c r="BD199" s="14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CG199" s="141"/>
      <c r="CZ199" s="1"/>
      <c r="DO199" s="5"/>
      <c r="DP199" s="141"/>
      <c r="DQ199" s="141"/>
      <c r="DR199" s="141"/>
      <c r="DS199" s="141"/>
      <c r="FV199" s="141"/>
      <c r="JQ199" s="141"/>
      <c r="JR199" s="141"/>
      <c r="JS199" s="141"/>
      <c r="JT199" s="141"/>
      <c r="OX199" s="141"/>
      <c r="OY199" s="141"/>
      <c r="PA199" s="141"/>
      <c r="PO199" s="144"/>
      <c r="PS199" s="141"/>
      <c r="RV199" s="144"/>
      <c r="AHE199" s="140"/>
      <c r="AIT199" s="140"/>
      <c r="AIU199" s="140"/>
      <c r="AIV199" s="140"/>
    </row>
    <row r="200" spans="2:932" hidden="1" x14ac:dyDescent="0.25">
      <c r="B200" s="708"/>
      <c r="C200" s="431" t="s">
        <v>26</v>
      </c>
      <c r="D200" s="458">
        <v>0.5</v>
      </c>
      <c r="E200" s="490" t="s">
        <v>25</v>
      </c>
      <c r="F200" s="435"/>
      <c r="G200" s="435"/>
      <c r="H200" s="435"/>
      <c r="I200" s="435"/>
      <c r="J200" s="435"/>
      <c r="K200" s="435"/>
      <c r="L200" s="435"/>
      <c r="M200" s="435"/>
      <c r="N200" s="435"/>
      <c r="O200" s="435"/>
      <c r="P200" s="435"/>
      <c r="Q200" s="435"/>
      <c r="R200" s="697"/>
      <c r="S200" s="58" t="e">
        <f>S191/S180*100</f>
        <v>#DIV/0!</v>
      </c>
      <c r="T200" s="648" t="e">
        <f>T191/T180*100</f>
        <v>#DIV/0!</v>
      </c>
      <c r="U200" s="740" t="e">
        <f>U191/U180*100</f>
        <v>#DIV/0!</v>
      </c>
      <c r="W200" s="1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Q200" s="62"/>
      <c r="AW200" s="1"/>
      <c r="BC200" s="141"/>
      <c r="BD200" s="14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CG200" s="141"/>
      <c r="CZ200" s="1"/>
      <c r="DO200" s="5"/>
      <c r="DP200" s="141"/>
      <c r="DQ200" s="141"/>
      <c r="DR200" s="141"/>
      <c r="DS200" s="141"/>
      <c r="FV200" s="141"/>
      <c r="JQ200" s="141"/>
      <c r="JR200" s="141"/>
      <c r="JS200" s="141"/>
      <c r="JT200" s="141"/>
      <c r="OX200" s="141"/>
      <c r="OY200" s="141"/>
      <c r="PA200" s="141"/>
      <c r="PO200" s="144"/>
      <c r="PS200" s="141"/>
      <c r="RV200" s="144"/>
      <c r="AHE200" s="140"/>
      <c r="AIT200" s="140"/>
      <c r="AIU200" s="140"/>
      <c r="AIV200" s="140"/>
    </row>
    <row r="201" spans="2:932" hidden="1" x14ac:dyDescent="0.25">
      <c r="B201" s="708"/>
      <c r="C201" s="431" t="s">
        <v>37</v>
      </c>
      <c r="D201" s="458">
        <v>0.5</v>
      </c>
      <c r="E201" s="490" t="s">
        <v>25</v>
      </c>
      <c r="F201" s="435"/>
      <c r="G201" s="435"/>
      <c r="H201" s="435"/>
      <c r="I201" s="435"/>
      <c r="J201" s="435"/>
      <c r="K201" s="435"/>
      <c r="L201" s="435"/>
      <c r="M201" s="435"/>
      <c r="N201" s="435"/>
      <c r="O201" s="435"/>
      <c r="P201" s="435"/>
      <c r="Q201" s="435"/>
      <c r="R201" s="697"/>
      <c r="S201" s="58"/>
      <c r="T201" s="648"/>
      <c r="U201" s="740"/>
      <c r="W201" s="1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Q201" s="62"/>
      <c r="AW201" s="1"/>
      <c r="BC201" s="141"/>
      <c r="BD201" s="14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CG201" s="141"/>
      <c r="CZ201" s="1"/>
      <c r="DO201" s="5"/>
      <c r="DP201" s="141"/>
      <c r="DQ201" s="141"/>
      <c r="DR201" s="141"/>
      <c r="DS201" s="141"/>
      <c r="FV201" s="141"/>
      <c r="JQ201" s="141"/>
      <c r="JR201" s="141"/>
      <c r="JS201" s="141"/>
      <c r="JT201" s="141"/>
      <c r="OX201" s="141"/>
      <c r="OY201" s="141"/>
      <c r="PA201" s="141"/>
      <c r="PO201" s="144"/>
      <c r="PS201" s="141"/>
      <c r="RV201" s="144"/>
      <c r="AHE201" s="140"/>
      <c r="AIT201" s="140"/>
      <c r="AIU201" s="140"/>
      <c r="AIV201" s="140"/>
    </row>
    <row r="202" spans="2:932" hidden="1" x14ac:dyDescent="0.25">
      <c r="B202" s="708"/>
      <c r="C202" s="577" t="s">
        <v>86</v>
      </c>
      <c r="D202" s="578"/>
      <c r="E202" s="574"/>
      <c r="F202" s="579"/>
      <c r="G202" s="579"/>
      <c r="H202" s="579"/>
      <c r="I202" s="579"/>
      <c r="J202" s="579"/>
      <c r="K202" s="579"/>
      <c r="L202" s="579"/>
      <c r="M202" s="579"/>
      <c r="N202" s="579"/>
      <c r="O202" s="579"/>
      <c r="P202" s="579"/>
      <c r="Q202" s="579"/>
      <c r="R202" s="697"/>
      <c r="S202" s="516" t="s">
        <v>129</v>
      </c>
      <c r="T202" s="656" t="s">
        <v>129</v>
      </c>
      <c r="U202" s="747" t="s">
        <v>129</v>
      </c>
      <c r="W202" s="1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Q202" s="62"/>
      <c r="AW202" s="1"/>
      <c r="BC202" s="141"/>
      <c r="BD202" s="14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CG202" s="141"/>
      <c r="CZ202" s="1"/>
      <c r="DO202" s="5"/>
      <c r="DP202" s="141"/>
      <c r="DQ202" s="141"/>
      <c r="DR202" s="141"/>
      <c r="DS202" s="141"/>
      <c r="FV202" s="141"/>
      <c r="JQ202" s="141"/>
      <c r="JR202" s="141"/>
      <c r="JS202" s="141"/>
      <c r="JT202" s="141"/>
      <c r="OX202" s="141"/>
      <c r="OY202" s="141"/>
      <c r="PA202" s="141"/>
      <c r="PO202" s="144"/>
      <c r="PS202" s="141"/>
      <c r="RV202" s="144"/>
      <c r="AHE202" s="140"/>
      <c r="AIT202" s="140"/>
      <c r="AIU202" s="140"/>
      <c r="AIV202" s="140"/>
    </row>
    <row r="203" spans="2:932" hidden="1" x14ac:dyDescent="0.25">
      <c r="B203" s="708"/>
      <c r="C203" s="580" t="s">
        <v>91</v>
      </c>
      <c r="D203" s="458"/>
      <c r="E203" s="20" t="s">
        <v>14</v>
      </c>
      <c r="F203" s="576"/>
      <c r="G203" s="576"/>
      <c r="H203" s="576"/>
      <c r="I203" s="576"/>
      <c r="J203" s="576"/>
      <c r="K203" s="576"/>
      <c r="L203" s="576"/>
      <c r="M203" s="576"/>
      <c r="N203" s="576"/>
      <c r="O203" s="576"/>
      <c r="P203" s="576"/>
      <c r="Q203" s="576"/>
      <c r="R203" s="697"/>
      <c r="S203" s="89">
        <f>SUM(F203:Q203)</f>
        <v>0</v>
      </c>
      <c r="T203" s="665">
        <f>SUM(G203:R203)</f>
        <v>0</v>
      </c>
      <c r="U203" s="758">
        <f>SUM(H203:S203)</f>
        <v>0</v>
      </c>
      <c r="W203" s="1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Q203" s="62"/>
      <c r="AW203" s="1"/>
      <c r="BC203" s="141"/>
      <c r="BD203" s="14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CG203" s="141"/>
      <c r="CZ203" s="1"/>
      <c r="DO203" s="5"/>
      <c r="DP203" s="141"/>
      <c r="DQ203" s="141"/>
      <c r="DR203" s="141"/>
      <c r="DS203" s="141"/>
      <c r="FV203" s="141"/>
      <c r="JQ203" s="141"/>
      <c r="JR203" s="141"/>
      <c r="JS203" s="141"/>
      <c r="JT203" s="141"/>
      <c r="OX203" s="141"/>
      <c r="OY203" s="141"/>
      <c r="PA203" s="141"/>
      <c r="PO203" s="144"/>
      <c r="PS203" s="141"/>
      <c r="RV203" s="144"/>
      <c r="AHE203" s="140"/>
      <c r="AIT203" s="140"/>
      <c r="AIU203" s="140"/>
      <c r="AIV203" s="140"/>
    </row>
    <row r="204" spans="2:932" hidden="1" x14ac:dyDescent="0.25">
      <c r="B204" s="708"/>
      <c r="C204" s="580" t="s">
        <v>92</v>
      </c>
      <c r="D204" s="458"/>
      <c r="E204" s="20" t="s">
        <v>14</v>
      </c>
      <c r="F204" s="576"/>
      <c r="G204" s="576"/>
      <c r="H204" s="576"/>
      <c r="I204" s="576"/>
      <c r="J204" s="576"/>
      <c r="K204" s="576"/>
      <c r="L204" s="576"/>
      <c r="M204" s="576"/>
      <c r="N204" s="576"/>
      <c r="O204" s="576"/>
      <c r="P204" s="576"/>
      <c r="Q204" s="576"/>
      <c r="R204" s="697"/>
      <c r="S204" s="89">
        <f>SUM(S205:S206)</f>
        <v>0</v>
      </c>
      <c r="T204" s="665">
        <f>SUM(T205:T206)</f>
        <v>0</v>
      </c>
      <c r="U204" s="758">
        <f>SUM(U205:U206)</f>
        <v>0</v>
      </c>
      <c r="W204" s="1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Q204" s="62"/>
      <c r="AW204" s="1"/>
      <c r="BC204" s="141"/>
      <c r="BD204" s="14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CG204" s="141"/>
      <c r="CZ204" s="1"/>
      <c r="DO204" s="5"/>
      <c r="DP204" s="141"/>
      <c r="DQ204" s="141"/>
      <c r="DR204" s="141"/>
      <c r="DS204" s="141"/>
      <c r="FV204" s="141"/>
      <c r="JQ204" s="141"/>
      <c r="JR204" s="141"/>
      <c r="JS204" s="141"/>
      <c r="JT204" s="141"/>
      <c r="OX204" s="141"/>
      <c r="OY204" s="141"/>
      <c r="PA204" s="141"/>
      <c r="PO204" s="144"/>
      <c r="PS204" s="141"/>
      <c r="RV204" s="144"/>
      <c r="AHE204" s="140"/>
      <c r="AIT204" s="140"/>
      <c r="AIU204" s="140"/>
      <c r="AIV204" s="140"/>
    </row>
    <row r="205" spans="2:932" hidden="1" x14ac:dyDescent="0.25">
      <c r="B205" s="708"/>
      <c r="C205" s="581" t="s">
        <v>39</v>
      </c>
      <c r="D205" s="458"/>
      <c r="E205" s="490" t="s">
        <v>14</v>
      </c>
      <c r="F205" s="565"/>
      <c r="G205" s="565"/>
      <c r="H205" s="565"/>
      <c r="I205" s="565"/>
      <c r="J205" s="565"/>
      <c r="K205" s="565"/>
      <c r="L205" s="565"/>
      <c r="M205" s="565"/>
      <c r="N205" s="565"/>
      <c r="O205" s="565"/>
      <c r="P205" s="565"/>
      <c r="Q205" s="565"/>
      <c r="R205" s="697"/>
      <c r="S205" s="58">
        <f t="shared" ref="S205:U206" si="19">SUM(F205:Q205)</f>
        <v>0</v>
      </c>
      <c r="T205" s="648">
        <f t="shared" si="19"/>
        <v>0</v>
      </c>
      <c r="U205" s="740">
        <f t="shared" si="19"/>
        <v>0</v>
      </c>
      <c r="W205" s="1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Q205" s="62"/>
      <c r="AW205" s="1"/>
      <c r="BC205" s="141"/>
      <c r="BD205" s="14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CG205" s="141"/>
      <c r="CZ205" s="1"/>
      <c r="DO205" s="5"/>
      <c r="DP205" s="141"/>
      <c r="DQ205" s="141"/>
      <c r="DR205" s="141"/>
      <c r="DS205" s="141"/>
      <c r="FV205" s="141"/>
      <c r="JQ205" s="141"/>
      <c r="JR205" s="141"/>
      <c r="JS205" s="141"/>
      <c r="JT205" s="141"/>
      <c r="OX205" s="141"/>
      <c r="OY205" s="141"/>
      <c r="PA205" s="141"/>
      <c r="PO205" s="144"/>
      <c r="PS205" s="141"/>
      <c r="RV205" s="144"/>
      <c r="AHE205" s="140"/>
      <c r="AIT205" s="140"/>
      <c r="AIU205" s="140"/>
      <c r="AIV205" s="140"/>
    </row>
    <row r="206" spans="2:932" hidden="1" x14ac:dyDescent="0.25">
      <c r="B206" s="708"/>
      <c r="C206" s="581" t="s">
        <v>38</v>
      </c>
      <c r="D206" s="458"/>
      <c r="E206" s="490" t="s">
        <v>14</v>
      </c>
      <c r="F206" s="565"/>
      <c r="G206" s="565"/>
      <c r="H206" s="565"/>
      <c r="I206" s="565"/>
      <c r="J206" s="565"/>
      <c r="K206" s="565"/>
      <c r="L206" s="565"/>
      <c r="M206" s="565"/>
      <c r="N206" s="565"/>
      <c r="O206" s="565"/>
      <c r="P206" s="565"/>
      <c r="Q206" s="565"/>
      <c r="R206" s="697"/>
      <c r="S206" s="58">
        <f t="shared" si="19"/>
        <v>0</v>
      </c>
      <c r="T206" s="648">
        <f t="shared" si="19"/>
        <v>0</v>
      </c>
      <c r="U206" s="740">
        <f t="shared" si="19"/>
        <v>0</v>
      </c>
      <c r="W206" s="1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Q206" s="62"/>
      <c r="AW206" s="1"/>
      <c r="BC206" s="141"/>
      <c r="BD206" s="14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CG206" s="141"/>
      <c r="CZ206" s="1"/>
      <c r="DO206" s="5"/>
      <c r="DP206" s="141"/>
      <c r="DQ206" s="141"/>
      <c r="DR206" s="141"/>
      <c r="DS206" s="141"/>
      <c r="FV206" s="141"/>
      <c r="JQ206" s="141"/>
      <c r="JR206" s="141"/>
      <c r="JS206" s="141"/>
      <c r="JT206" s="141"/>
      <c r="OX206" s="141"/>
      <c r="OY206" s="141"/>
      <c r="PA206" s="141"/>
      <c r="PO206" s="144"/>
      <c r="PS206" s="141"/>
      <c r="RV206" s="144"/>
      <c r="AHE206" s="140"/>
      <c r="AIT206" s="140"/>
      <c r="AIU206" s="140"/>
      <c r="AIV206" s="140"/>
    </row>
    <row r="207" spans="2:932" hidden="1" x14ac:dyDescent="0.25">
      <c r="B207" s="708"/>
      <c r="C207" s="582" t="s">
        <v>50</v>
      </c>
      <c r="D207" s="458"/>
      <c r="E207" s="490" t="s">
        <v>14</v>
      </c>
      <c r="F207" s="565"/>
      <c r="G207" s="565"/>
      <c r="H207" s="565"/>
      <c r="I207" s="565"/>
      <c r="J207" s="565"/>
      <c r="K207" s="565"/>
      <c r="L207" s="565"/>
      <c r="M207" s="565"/>
      <c r="N207" s="565"/>
      <c r="O207" s="565"/>
      <c r="P207" s="565"/>
      <c r="Q207" s="565"/>
      <c r="R207" s="697"/>
      <c r="S207" s="58"/>
      <c r="T207" s="648"/>
      <c r="U207" s="740"/>
      <c r="W207" s="1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Q207" s="62"/>
      <c r="AW207" s="1"/>
      <c r="BC207" s="141"/>
      <c r="BD207" s="14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CG207" s="141"/>
      <c r="CZ207" s="1"/>
      <c r="DO207" s="5"/>
      <c r="DP207" s="141"/>
      <c r="DQ207" s="141"/>
      <c r="DR207" s="141"/>
      <c r="DS207" s="141"/>
      <c r="FV207" s="141"/>
      <c r="JQ207" s="141"/>
      <c r="JR207" s="141"/>
      <c r="JS207" s="141"/>
      <c r="JT207" s="141"/>
      <c r="OX207" s="141"/>
      <c r="OY207" s="141"/>
      <c r="PA207" s="141"/>
      <c r="PO207" s="144"/>
      <c r="PS207" s="141"/>
      <c r="RV207" s="144"/>
      <c r="AHE207" s="140"/>
      <c r="AIT207" s="140"/>
      <c r="AIU207" s="140"/>
      <c r="AIV207" s="140"/>
    </row>
    <row r="208" spans="2:932" hidden="1" x14ac:dyDescent="0.25">
      <c r="B208" s="708"/>
      <c r="C208" s="581" t="s">
        <v>29</v>
      </c>
      <c r="D208" s="458"/>
      <c r="E208" s="490"/>
      <c r="F208" s="435"/>
      <c r="G208" s="435"/>
      <c r="H208" s="435"/>
      <c r="I208" s="435"/>
      <c r="J208" s="435"/>
      <c r="K208" s="435"/>
      <c r="L208" s="435"/>
      <c r="M208" s="435"/>
      <c r="N208" s="435"/>
      <c r="O208" s="435"/>
      <c r="P208" s="435"/>
      <c r="Q208" s="435"/>
      <c r="R208" s="697"/>
      <c r="S208" s="58"/>
      <c r="T208" s="648"/>
      <c r="U208" s="740"/>
      <c r="W208" s="1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Q208" s="62"/>
      <c r="AW208" s="1"/>
      <c r="BC208" s="141"/>
      <c r="BD208" s="14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CG208" s="141"/>
      <c r="CZ208" s="1"/>
      <c r="DO208" s="5"/>
      <c r="DP208" s="141"/>
      <c r="DQ208" s="141"/>
      <c r="DR208" s="141"/>
      <c r="DS208" s="141"/>
      <c r="FV208" s="141"/>
      <c r="JQ208" s="141"/>
      <c r="JR208" s="141"/>
      <c r="JS208" s="141"/>
      <c r="JT208" s="141"/>
      <c r="OX208" s="141"/>
      <c r="OY208" s="141"/>
      <c r="PA208" s="141"/>
      <c r="PO208" s="144"/>
      <c r="PS208" s="141"/>
      <c r="RV208" s="144"/>
      <c r="AHE208" s="140"/>
      <c r="AIT208" s="140"/>
      <c r="AIU208" s="140"/>
      <c r="AIV208" s="140"/>
    </row>
    <row r="209" spans="2:932" hidden="1" x14ac:dyDescent="0.25">
      <c r="B209" s="708"/>
      <c r="C209" s="581" t="s">
        <v>87</v>
      </c>
      <c r="D209" s="458"/>
      <c r="E209" s="490" t="s">
        <v>31</v>
      </c>
      <c r="F209" s="583"/>
      <c r="G209" s="583"/>
      <c r="H209" s="583"/>
      <c r="I209" s="583"/>
      <c r="J209" s="583"/>
      <c r="K209" s="583"/>
      <c r="L209" s="583"/>
      <c r="M209" s="583"/>
      <c r="N209" s="583"/>
      <c r="O209" s="583"/>
      <c r="P209" s="583"/>
      <c r="Q209" s="583"/>
      <c r="R209" s="697"/>
      <c r="S209" s="91">
        <f>SUM(F209:Q209)</f>
        <v>0</v>
      </c>
      <c r="T209" s="648">
        <v>2048803</v>
      </c>
      <c r="U209" s="740"/>
      <c r="W209" s="1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Q209" s="62"/>
      <c r="AW209" s="1"/>
      <c r="BC209" s="141"/>
      <c r="BD209" s="14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CG209" s="141"/>
      <c r="CZ209" s="1"/>
      <c r="DO209" s="5"/>
      <c r="DP209" s="141"/>
      <c r="DQ209" s="141"/>
      <c r="DR209" s="141"/>
      <c r="DS209" s="141"/>
      <c r="FV209" s="141"/>
      <c r="JQ209" s="141"/>
      <c r="JR209" s="141"/>
      <c r="JS209" s="141"/>
      <c r="JT209" s="141"/>
      <c r="OX209" s="141"/>
      <c r="OY209" s="141"/>
      <c r="PA209" s="141"/>
      <c r="PO209" s="144"/>
      <c r="PS209" s="141"/>
      <c r="RV209" s="144"/>
      <c r="AHE209" s="140"/>
      <c r="AIT209" s="140"/>
      <c r="AIU209" s="140"/>
      <c r="AIV209" s="140"/>
    </row>
    <row r="210" spans="2:932" hidden="1" x14ac:dyDescent="0.25">
      <c r="B210" s="708"/>
      <c r="C210" s="581" t="s">
        <v>116</v>
      </c>
      <c r="D210" s="458"/>
      <c r="E210" s="490" t="s">
        <v>31</v>
      </c>
      <c r="F210" s="583"/>
      <c r="G210" s="583"/>
      <c r="H210" s="583"/>
      <c r="I210" s="583"/>
      <c r="J210" s="583"/>
      <c r="K210" s="583"/>
      <c r="L210" s="583"/>
      <c r="M210" s="583"/>
      <c r="N210" s="583"/>
      <c r="O210" s="583"/>
      <c r="P210" s="583"/>
      <c r="Q210" s="583"/>
      <c r="R210" s="697"/>
      <c r="S210" s="91">
        <f>SUM(F210:Q210)</f>
        <v>0</v>
      </c>
      <c r="T210" s="648"/>
      <c r="U210" s="740"/>
      <c r="W210" s="1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Q210" s="62"/>
      <c r="AW210" s="1"/>
      <c r="BC210" s="141"/>
      <c r="BD210" s="14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CG210" s="141"/>
      <c r="CZ210" s="1"/>
      <c r="DO210" s="5"/>
      <c r="DP210" s="141"/>
      <c r="DQ210" s="141"/>
      <c r="DR210" s="141"/>
      <c r="DS210" s="141"/>
      <c r="FV210" s="141"/>
      <c r="JQ210" s="141"/>
      <c r="JR210" s="141"/>
      <c r="JS210" s="141"/>
      <c r="JT210" s="141"/>
      <c r="OX210" s="141"/>
      <c r="OY210" s="141"/>
      <c r="PA210" s="141"/>
      <c r="PO210" s="144"/>
      <c r="PS210" s="141"/>
      <c r="RV210" s="144"/>
      <c r="AHE210" s="140"/>
      <c r="AIT210" s="140"/>
      <c r="AIU210" s="140"/>
      <c r="AIV210" s="140"/>
    </row>
    <row r="211" spans="2:932" hidden="1" x14ac:dyDescent="0.25">
      <c r="B211" s="708"/>
      <c r="C211" s="581" t="s">
        <v>28</v>
      </c>
      <c r="D211" s="458"/>
      <c r="E211" s="490"/>
      <c r="F211" s="435"/>
      <c r="G211" s="435"/>
      <c r="H211" s="435"/>
      <c r="I211" s="435"/>
      <c r="J211" s="435"/>
      <c r="K211" s="435"/>
      <c r="L211" s="435"/>
      <c r="M211" s="435"/>
      <c r="N211" s="435"/>
      <c r="O211" s="435"/>
      <c r="P211" s="435"/>
      <c r="Q211" s="435"/>
      <c r="R211" s="697"/>
      <c r="S211" s="58"/>
      <c r="T211" s="648"/>
      <c r="U211" s="740"/>
      <c r="W211" s="1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Q211" s="62"/>
      <c r="AW211" s="1"/>
      <c r="BC211" s="141"/>
      <c r="BD211" s="14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CG211" s="141"/>
      <c r="CZ211" s="1"/>
      <c r="DO211" s="5"/>
      <c r="DP211" s="141"/>
      <c r="DQ211" s="141"/>
      <c r="DR211" s="141"/>
      <c r="DS211" s="141"/>
      <c r="FV211" s="141"/>
      <c r="JQ211" s="141"/>
      <c r="JR211" s="141"/>
      <c r="JS211" s="141"/>
      <c r="JT211" s="141"/>
      <c r="OX211" s="141"/>
      <c r="OY211" s="141"/>
      <c r="PA211" s="141"/>
      <c r="PO211" s="144"/>
      <c r="PS211" s="141"/>
      <c r="RV211" s="144"/>
      <c r="AHE211" s="140"/>
      <c r="AIT211" s="140"/>
      <c r="AIU211" s="140"/>
      <c r="AIV211" s="140"/>
    </row>
    <row r="212" spans="2:932" hidden="1" x14ac:dyDescent="0.25">
      <c r="B212" s="708"/>
      <c r="C212" s="581" t="s">
        <v>116</v>
      </c>
      <c r="D212" s="458"/>
      <c r="E212" s="490" t="s">
        <v>28</v>
      </c>
      <c r="F212" s="584"/>
      <c r="G212" s="584"/>
      <c r="H212" s="584"/>
      <c r="I212" s="584"/>
      <c r="J212" s="584"/>
      <c r="K212" s="584"/>
      <c r="L212" s="584"/>
      <c r="M212" s="584"/>
      <c r="N212" s="584"/>
      <c r="O212" s="584"/>
      <c r="P212" s="584"/>
      <c r="Q212" s="584"/>
      <c r="R212" s="697"/>
      <c r="S212" s="91">
        <f>SUM(F212:Q212)</f>
        <v>0</v>
      </c>
      <c r="T212" s="648"/>
      <c r="U212" s="740"/>
      <c r="W212" s="1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Q212" s="62"/>
      <c r="AW212" s="1"/>
      <c r="BC212" s="141"/>
      <c r="BD212" s="14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CG212" s="141"/>
      <c r="CZ212" s="1"/>
      <c r="DO212" s="5"/>
      <c r="DP212" s="141"/>
      <c r="DQ212" s="141"/>
      <c r="DR212" s="141"/>
      <c r="DS212" s="141"/>
      <c r="FV212" s="141"/>
      <c r="JQ212" s="141"/>
      <c r="JR212" s="141"/>
      <c r="JS212" s="141"/>
      <c r="JT212" s="141"/>
      <c r="OX212" s="141"/>
      <c r="OY212" s="141"/>
      <c r="PA212" s="141"/>
      <c r="PO212" s="144"/>
      <c r="PS212" s="141"/>
      <c r="RV212" s="144"/>
      <c r="AHE212" s="140"/>
      <c r="AIT212" s="140"/>
      <c r="AIU212" s="140"/>
      <c r="AIV212" s="140"/>
    </row>
    <row r="213" spans="2:932" hidden="1" x14ac:dyDescent="0.25">
      <c r="B213" s="708"/>
      <c r="C213" s="581" t="s">
        <v>87</v>
      </c>
      <c r="D213" s="458"/>
      <c r="E213" s="490" t="s">
        <v>28</v>
      </c>
      <c r="F213" s="584"/>
      <c r="G213" s="584"/>
      <c r="H213" s="584"/>
      <c r="I213" s="584"/>
      <c r="J213" s="584"/>
      <c r="K213" s="584"/>
      <c r="L213" s="584"/>
      <c r="M213" s="584"/>
      <c r="N213" s="584"/>
      <c r="O213" s="584"/>
      <c r="P213" s="584"/>
      <c r="Q213" s="584"/>
      <c r="R213" s="697"/>
      <c r="S213" s="91">
        <f>SUM(F213:Q213)</f>
        <v>0</v>
      </c>
      <c r="T213" s="648"/>
      <c r="U213" s="740"/>
      <c r="W213" s="1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Q213" s="62"/>
      <c r="AW213" s="1"/>
      <c r="BC213" s="141"/>
      <c r="BD213" s="14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CG213" s="141"/>
      <c r="CZ213" s="1"/>
      <c r="DO213" s="5"/>
      <c r="DP213" s="141"/>
      <c r="DQ213" s="141"/>
      <c r="DR213" s="141"/>
      <c r="DS213" s="141"/>
      <c r="FV213" s="141"/>
      <c r="JQ213" s="141"/>
      <c r="JR213" s="141"/>
      <c r="JS213" s="141"/>
      <c r="JT213" s="141"/>
      <c r="OX213" s="141"/>
      <c r="OY213" s="141"/>
      <c r="PA213" s="141"/>
      <c r="PO213" s="144"/>
      <c r="PS213" s="141"/>
      <c r="RV213" s="144"/>
      <c r="AHE213" s="140"/>
      <c r="AIT213" s="140"/>
      <c r="AIU213" s="140"/>
      <c r="AIV213" s="140"/>
    </row>
    <row r="214" spans="2:932" hidden="1" x14ac:dyDescent="0.25">
      <c r="B214" s="708"/>
      <c r="C214" s="581" t="s">
        <v>36</v>
      </c>
      <c r="D214" s="458"/>
      <c r="E214" s="490"/>
      <c r="F214" s="584"/>
      <c r="G214" s="584"/>
      <c r="H214" s="584"/>
      <c r="I214" s="584"/>
      <c r="J214" s="584"/>
      <c r="K214" s="584"/>
      <c r="L214" s="584"/>
      <c r="M214" s="584"/>
      <c r="N214" s="584"/>
      <c r="O214" s="584"/>
      <c r="P214" s="584"/>
      <c r="Q214" s="584"/>
      <c r="R214" s="697"/>
      <c r="S214" s="91">
        <f>SUM(F214:Q214)</f>
        <v>0</v>
      </c>
      <c r="T214" s="648"/>
      <c r="U214" s="740"/>
      <c r="W214" s="1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Q214" s="62"/>
      <c r="AW214" s="1"/>
      <c r="BC214" s="141"/>
      <c r="BD214" s="14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CG214" s="141"/>
      <c r="CZ214" s="1"/>
      <c r="DO214" s="5"/>
      <c r="DP214" s="141"/>
      <c r="DQ214" s="141"/>
      <c r="DR214" s="141"/>
      <c r="DS214" s="141"/>
      <c r="FV214" s="141"/>
      <c r="JQ214" s="141"/>
      <c r="JR214" s="141"/>
      <c r="JS214" s="141"/>
      <c r="JT214" s="141"/>
      <c r="OX214" s="141"/>
      <c r="OY214" s="141"/>
      <c r="PA214" s="141"/>
      <c r="PO214" s="144"/>
      <c r="PS214" s="141"/>
      <c r="RV214" s="144"/>
      <c r="AHE214" s="140"/>
      <c r="AIT214" s="140"/>
      <c r="AIU214" s="140"/>
      <c r="AIV214" s="140"/>
    </row>
    <row r="215" spans="2:932" hidden="1" x14ac:dyDescent="0.25">
      <c r="B215" s="708"/>
      <c r="C215" s="581" t="s">
        <v>34</v>
      </c>
      <c r="D215" s="458"/>
      <c r="E215" s="490"/>
      <c r="F215" s="584"/>
      <c r="G215" s="584"/>
      <c r="H215" s="584"/>
      <c r="I215" s="584"/>
      <c r="J215" s="584"/>
      <c r="K215" s="584"/>
      <c r="L215" s="584"/>
      <c r="M215" s="584"/>
      <c r="N215" s="584"/>
      <c r="O215" s="584"/>
      <c r="P215" s="584"/>
      <c r="Q215" s="584"/>
      <c r="R215" s="697"/>
      <c r="S215" s="91">
        <f>SUM(F215:Q215)</f>
        <v>0</v>
      </c>
      <c r="T215" s="648"/>
      <c r="U215" s="740"/>
      <c r="W215" s="1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Q215" s="62"/>
      <c r="AW215" s="1"/>
      <c r="BC215" s="141"/>
      <c r="BD215" s="14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CG215" s="141"/>
      <c r="CZ215" s="1"/>
      <c r="DO215" s="5"/>
      <c r="DP215" s="141"/>
      <c r="DQ215" s="141"/>
      <c r="DR215" s="141"/>
      <c r="DS215" s="141"/>
      <c r="FV215" s="141"/>
      <c r="JQ215" s="141"/>
      <c r="JR215" s="141"/>
      <c r="JS215" s="141"/>
      <c r="JT215" s="141"/>
      <c r="OX215" s="141"/>
      <c r="OY215" s="141"/>
      <c r="PA215" s="141"/>
      <c r="PO215" s="144"/>
      <c r="PS215" s="141"/>
      <c r="RV215" s="144"/>
      <c r="AHE215" s="140"/>
      <c r="AIT215" s="140"/>
      <c r="AIU215" s="140"/>
      <c r="AIV215" s="140"/>
    </row>
    <row r="216" spans="2:932" hidden="1" x14ac:dyDescent="0.25">
      <c r="B216" s="708"/>
      <c r="C216" s="577" t="s">
        <v>32</v>
      </c>
      <c r="D216" s="578"/>
      <c r="E216" s="574"/>
      <c r="F216" s="579"/>
      <c r="G216" s="579"/>
      <c r="H216" s="579"/>
      <c r="I216" s="579"/>
      <c r="J216" s="579"/>
      <c r="K216" s="579"/>
      <c r="L216" s="579"/>
      <c r="M216" s="579"/>
      <c r="N216" s="579"/>
      <c r="O216" s="579"/>
      <c r="P216" s="579"/>
      <c r="Q216" s="579"/>
      <c r="R216" s="697"/>
      <c r="S216" s="516" t="s">
        <v>130</v>
      </c>
      <c r="T216" s="656" t="s">
        <v>130</v>
      </c>
      <c r="U216" s="747" t="s">
        <v>130</v>
      </c>
      <c r="W216" s="1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Q216" s="62"/>
      <c r="AW216" s="1"/>
      <c r="BC216" s="141"/>
      <c r="BD216" s="14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CG216" s="141"/>
      <c r="CZ216" s="1"/>
      <c r="DO216" s="5"/>
      <c r="DP216" s="141"/>
      <c r="DQ216" s="141"/>
      <c r="DR216" s="141"/>
      <c r="DS216" s="141"/>
      <c r="FV216" s="141"/>
      <c r="JQ216" s="141"/>
      <c r="JR216" s="141"/>
      <c r="JS216" s="141"/>
      <c r="JT216" s="141"/>
      <c r="OX216" s="141"/>
      <c r="OY216" s="141"/>
      <c r="PA216" s="141"/>
      <c r="PO216" s="144"/>
      <c r="PS216" s="141"/>
      <c r="RV216" s="144"/>
      <c r="AHE216" s="140"/>
      <c r="AIT216" s="140"/>
      <c r="AIU216" s="140"/>
      <c r="AIV216" s="140"/>
    </row>
    <row r="217" spans="2:932" hidden="1" x14ac:dyDescent="0.25">
      <c r="B217" s="708"/>
      <c r="C217" s="581" t="s">
        <v>29</v>
      </c>
      <c r="D217" s="458"/>
      <c r="E217" s="490"/>
      <c r="F217" s="435"/>
      <c r="G217" s="435"/>
      <c r="H217" s="435"/>
      <c r="I217" s="435"/>
      <c r="J217" s="435"/>
      <c r="K217" s="435"/>
      <c r="L217" s="435"/>
      <c r="M217" s="435"/>
      <c r="N217" s="435"/>
      <c r="O217" s="435"/>
      <c r="P217" s="435"/>
      <c r="Q217" s="435"/>
      <c r="R217" s="697"/>
      <c r="S217" s="58"/>
      <c r="T217" s="648"/>
      <c r="U217" s="740"/>
      <c r="W217" s="1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Q217" s="62"/>
      <c r="AW217" s="1"/>
      <c r="BC217" s="141"/>
      <c r="BD217" s="14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CG217" s="141"/>
      <c r="CZ217" s="1"/>
      <c r="DO217" s="5"/>
      <c r="DP217" s="141"/>
      <c r="DQ217" s="141"/>
      <c r="DR217" s="141"/>
      <c r="DS217" s="141"/>
      <c r="FV217" s="141"/>
      <c r="JQ217" s="141"/>
      <c r="JR217" s="141"/>
      <c r="JS217" s="141"/>
      <c r="JT217" s="141"/>
      <c r="OX217" s="141"/>
      <c r="OY217" s="141"/>
      <c r="PA217" s="141"/>
      <c r="PO217" s="144"/>
      <c r="PS217" s="141"/>
      <c r="RV217" s="144"/>
      <c r="AHE217" s="140"/>
      <c r="AIT217" s="140"/>
      <c r="AIU217" s="140"/>
      <c r="AIV217" s="140"/>
    </row>
    <row r="218" spans="2:932" hidden="1" x14ac:dyDescent="0.25">
      <c r="B218" s="708"/>
      <c r="C218" s="581" t="s">
        <v>87</v>
      </c>
      <c r="D218" s="458"/>
      <c r="E218" s="490" t="s">
        <v>31</v>
      </c>
      <c r="F218" s="435"/>
      <c r="G218" s="434"/>
      <c r="H218" s="434"/>
      <c r="I218" s="434"/>
      <c r="J218" s="434"/>
      <c r="K218" s="434"/>
      <c r="L218" s="434"/>
      <c r="M218" s="434"/>
      <c r="N218" s="434"/>
      <c r="O218" s="434"/>
      <c r="P218" s="434"/>
      <c r="Q218" s="435"/>
      <c r="R218" s="697"/>
      <c r="S218" s="91">
        <f>SUM(F218:Q218)</f>
        <v>0</v>
      </c>
      <c r="T218" s="668"/>
      <c r="U218" s="740"/>
      <c r="W218" s="1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Q218" s="62"/>
      <c r="AW218" s="1"/>
      <c r="BC218" s="141"/>
      <c r="BD218" s="14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CG218" s="141"/>
      <c r="CZ218" s="1"/>
      <c r="DO218" s="5"/>
      <c r="DP218" s="141"/>
      <c r="DQ218" s="141"/>
      <c r="DR218" s="141"/>
      <c r="DS218" s="141"/>
      <c r="FV218" s="141"/>
      <c r="JQ218" s="141"/>
      <c r="JR218" s="141"/>
      <c r="JS218" s="141"/>
      <c r="JT218" s="141"/>
      <c r="OX218" s="141"/>
      <c r="OY218" s="141"/>
      <c r="PA218" s="141"/>
      <c r="PO218" s="144"/>
      <c r="PS218" s="141"/>
      <c r="RV218" s="144"/>
      <c r="AHE218" s="140"/>
      <c r="AIT218" s="140"/>
      <c r="AIU218" s="140"/>
      <c r="AIV218" s="140"/>
    </row>
    <row r="219" spans="2:932" hidden="1" x14ac:dyDescent="0.25">
      <c r="B219" s="708"/>
      <c r="C219" s="581" t="s">
        <v>116</v>
      </c>
      <c r="D219" s="458"/>
      <c r="E219" s="490" t="s">
        <v>31</v>
      </c>
      <c r="F219" s="435"/>
      <c r="G219" s="434"/>
      <c r="H219" s="434"/>
      <c r="I219" s="435"/>
      <c r="J219" s="435"/>
      <c r="K219" s="434"/>
      <c r="L219" s="434"/>
      <c r="M219" s="434"/>
      <c r="N219" s="434"/>
      <c r="O219" s="434"/>
      <c r="P219" s="434"/>
      <c r="Q219" s="435"/>
      <c r="R219" s="697"/>
      <c r="S219" s="91">
        <f>SUM(F219:Q219)</f>
        <v>0</v>
      </c>
      <c r="T219" s="668"/>
      <c r="U219" s="740"/>
      <c r="W219" s="1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Q219" s="62"/>
      <c r="AW219" s="1"/>
      <c r="BC219" s="141"/>
      <c r="BD219" s="14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CG219" s="141"/>
      <c r="CZ219" s="1"/>
      <c r="DO219" s="5"/>
      <c r="DP219" s="141"/>
      <c r="DQ219" s="141"/>
      <c r="DR219" s="141"/>
      <c r="DS219" s="141"/>
      <c r="FV219" s="141"/>
      <c r="JQ219" s="141"/>
      <c r="JR219" s="141"/>
      <c r="JS219" s="141"/>
      <c r="JT219" s="141"/>
      <c r="OX219" s="141"/>
      <c r="OY219" s="141"/>
      <c r="PA219" s="141"/>
      <c r="PO219" s="144"/>
      <c r="PS219" s="141"/>
      <c r="RV219" s="144"/>
      <c r="AHE219" s="140"/>
      <c r="AIT219" s="140"/>
      <c r="AIU219" s="140"/>
      <c r="AIV219" s="140"/>
    </row>
    <row r="220" spans="2:932" hidden="1" x14ac:dyDescent="0.25">
      <c r="B220" s="708"/>
      <c r="C220" s="581" t="s">
        <v>28</v>
      </c>
      <c r="D220" s="458"/>
      <c r="E220" s="490"/>
      <c r="F220" s="435"/>
      <c r="G220" s="435"/>
      <c r="H220" s="434"/>
      <c r="I220" s="435"/>
      <c r="J220" s="435"/>
      <c r="K220" s="435"/>
      <c r="L220" s="435"/>
      <c r="M220" s="435"/>
      <c r="N220" s="435"/>
      <c r="O220" s="435"/>
      <c r="P220" s="435"/>
      <c r="Q220" s="435"/>
      <c r="R220" s="697"/>
      <c r="S220" s="91">
        <f>SUM(F220:Q220)</f>
        <v>0</v>
      </c>
      <c r="T220" s="648"/>
      <c r="U220" s="740"/>
      <c r="W220" s="1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Q220" s="62"/>
      <c r="AW220" s="1"/>
      <c r="BC220" s="141"/>
      <c r="BD220" s="14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CG220" s="141"/>
      <c r="CZ220" s="1"/>
      <c r="DO220" s="5"/>
      <c r="DP220" s="141"/>
      <c r="DQ220" s="141"/>
      <c r="DR220" s="141"/>
      <c r="DS220" s="141"/>
      <c r="FV220" s="141"/>
      <c r="JQ220" s="141"/>
      <c r="JR220" s="141"/>
      <c r="JS220" s="141"/>
      <c r="JT220" s="141"/>
      <c r="OX220" s="141"/>
      <c r="OY220" s="141"/>
      <c r="PA220" s="141"/>
      <c r="PO220" s="144"/>
      <c r="PS220" s="141"/>
      <c r="RV220" s="144"/>
      <c r="AHE220" s="140"/>
      <c r="AIT220" s="140"/>
      <c r="AIU220" s="140"/>
      <c r="AIV220" s="140"/>
    </row>
    <row r="221" spans="2:932" hidden="1" x14ac:dyDescent="0.25">
      <c r="B221" s="708"/>
      <c r="C221" s="581" t="s">
        <v>87</v>
      </c>
      <c r="D221" s="458"/>
      <c r="E221" s="490" t="s">
        <v>28</v>
      </c>
      <c r="F221" s="434"/>
      <c r="G221" s="434"/>
      <c r="H221" s="434"/>
      <c r="I221" s="434"/>
      <c r="J221" s="434"/>
      <c r="K221" s="434"/>
      <c r="L221" s="434"/>
      <c r="M221" s="434"/>
      <c r="N221" s="434"/>
      <c r="O221" s="434"/>
      <c r="P221" s="434"/>
      <c r="Q221" s="434"/>
      <c r="R221" s="697"/>
      <c r="S221" s="91">
        <f>SUM(F221:Q221)</f>
        <v>0</v>
      </c>
      <c r="T221" s="648"/>
      <c r="U221" s="762"/>
      <c r="W221" s="1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Q221" s="62"/>
      <c r="AW221" s="1"/>
      <c r="BC221" s="141"/>
      <c r="BD221" s="14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CG221" s="141"/>
      <c r="CZ221" s="1"/>
      <c r="DO221" s="5"/>
      <c r="DP221" s="141"/>
      <c r="DQ221" s="141"/>
      <c r="DR221" s="141"/>
      <c r="DS221" s="141"/>
      <c r="FV221" s="141"/>
      <c r="JQ221" s="141"/>
      <c r="JR221" s="141"/>
      <c r="JS221" s="141"/>
      <c r="JT221" s="141"/>
      <c r="OX221" s="141"/>
      <c r="OY221" s="141"/>
      <c r="PA221" s="141"/>
      <c r="PO221" s="144"/>
      <c r="PS221" s="141"/>
      <c r="RV221" s="144"/>
      <c r="AHE221" s="140"/>
      <c r="AIT221" s="140"/>
      <c r="AIU221" s="140"/>
      <c r="AIV221" s="140"/>
    </row>
    <row r="222" spans="2:932" hidden="1" x14ac:dyDescent="0.25">
      <c r="B222" s="708"/>
      <c r="C222" s="581" t="s">
        <v>116</v>
      </c>
      <c r="D222" s="585"/>
      <c r="E222" s="490" t="s">
        <v>28</v>
      </c>
      <c r="F222" s="434"/>
      <c r="G222" s="434"/>
      <c r="H222" s="434"/>
      <c r="I222" s="434"/>
      <c r="J222" s="434"/>
      <c r="K222" s="434"/>
      <c r="L222" s="434"/>
      <c r="M222" s="434"/>
      <c r="N222" s="434"/>
      <c r="O222" s="434"/>
      <c r="P222" s="434"/>
      <c r="Q222" s="434"/>
      <c r="R222" s="697"/>
      <c r="S222" s="91">
        <f>SUM(F222:Q222)</f>
        <v>0</v>
      </c>
      <c r="T222" s="648"/>
      <c r="U222" s="740"/>
      <c r="W222" s="1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Q222" s="62"/>
      <c r="AW222" s="1"/>
      <c r="BC222" s="141"/>
      <c r="BD222" s="14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CG222" s="141"/>
      <c r="CZ222" s="1"/>
      <c r="DO222" s="5"/>
      <c r="DP222" s="141"/>
      <c r="DQ222" s="141"/>
      <c r="DR222" s="141"/>
      <c r="DS222" s="141"/>
      <c r="FV222" s="141"/>
      <c r="JQ222" s="141"/>
      <c r="JR222" s="141"/>
      <c r="JS222" s="141"/>
      <c r="JT222" s="141"/>
      <c r="OX222" s="141"/>
      <c r="OY222" s="141"/>
      <c r="PA222" s="141"/>
      <c r="PO222" s="144"/>
      <c r="PS222" s="141"/>
      <c r="RV222" s="144"/>
      <c r="AHE222" s="140"/>
      <c r="AIT222" s="140"/>
      <c r="AIU222" s="140"/>
      <c r="AIV222" s="140"/>
    </row>
    <row r="223" spans="2:932" hidden="1" x14ac:dyDescent="0.25">
      <c r="B223" s="708"/>
      <c r="C223" s="414" t="s">
        <v>30</v>
      </c>
      <c r="D223" s="586"/>
      <c r="E223" s="574"/>
      <c r="F223" s="579"/>
      <c r="G223" s="579"/>
      <c r="H223" s="579"/>
      <c r="I223" s="579"/>
      <c r="J223" s="579"/>
      <c r="K223" s="579"/>
      <c r="L223" s="579"/>
      <c r="M223" s="579"/>
      <c r="N223" s="579"/>
      <c r="O223" s="579"/>
      <c r="P223" s="579"/>
      <c r="Q223" s="579"/>
      <c r="R223" s="697"/>
      <c r="S223" s="587" t="s">
        <v>30</v>
      </c>
      <c r="T223" s="671" t="s">
        <v>30</v>
      </c>
      <c r="U223" s="763" t="s">
        <v>30</v>
      </c>
      <c r="W223" s="1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Q223" s="62"/>
      <c r="AW223" s="1"/>
      <c r="BC223" s="141"/>
      <c r="BD223" s="14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CG223" s="141"/>
      <c r="CZ223" s="1"/>
      <c r="DO223" s="5"/>
      <c r="DP223" s="141"/>
      <c r="DQ223" s="141"/>
      <c r="DR223" s="141"/>
      <c r="DS223" s="141"/>
      <c r="FV223" s="141"/>
      <c r="JQ223" s="141"/>
      <c r="JR223" s="141"/>
      <c r="JS223" s="141"/>
      <c r="JT223" s="141"/>
      <c r="OX223" s="141"/>
      <c r="OY223" s="141"/>
      <c r="PA223" s="141"/>
      <c r="PO223" s="144"/>
      <c r="PS223" s="141"/>
      <c r="RV223" s="144"/>
      <c r="AHE223" s="140"/>
      <c r="AIT223" s="140"/>
      <c r="AIU223" s="140"/>
      <c r="AIV223" s="140"/>
    </row>
    <row r="224" spans="2:932" hidden="1" x14ac:dyDescent="0.25">
      <c r="B224" s="708"/>
      <c r="C224" s="556" t="s">
        <v>29</v>
      </c>
      <c r="D224" s="585"/>
      <c r="E224" s="490"/>
      <c r="F224" s="435"/>
      <c r="G224" s="435"/>
      <c r="H224" s="435"/>
      <c r="I224" s="435"/>
      <c r="J224" s="435"/>
      <c r="K224" s="435"/>
      <c r="L224" s="435"/>
      <c r="M224" s="435"/>
      <c r="N224" s="435"/>
      <c r="O224" s="435"/>
      <c r="P224" s="435"/>
      <c r="Q224" s="435"/>
      <c r="R224" s="697"/>
      <c r="S224" s="58"/>
      <c r="T224" s="648"/>
      <c r="U224" s="740"/>
      <c r="W224" s="1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Q224" s="62"/>
      <c r="AW224" s="1"/>
      <c r="BC224" s="141"/>
      <c r="BD224" s="14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CG224" s="141"/>
      <c r="CZ224" s="1"/>
      <c r="DO224" s="5"/>
      <c r="DP224" s="141"/>
      <c r="DQ224" s="141"/>
      <c r="DR224" s="141"/>
      <c r="DS224" s="141"/>
      <c r="FV224" s="141"/>
      <c r="JQ224" s="141"/>
      <c r="JR224" s="141"/>
      <c r="JS224" s="141"/>
      <c r="JT224" s="141"/>
      <c r="OX224" s="141"/>
      <c r="OY224" s="141"/>
      <c r="PA224" s="141"/>
      <c r="PO224" s="144"/>
      <c r="PS224" s="141"/>
      <c r="RV224" s="144"/>
      <c r="AHE224" s="140"/>
      <c r="AIT224" s="140"/>
      <c r="AIU224" s="140"/>
      <c r="AIV224" s="140"/>
    </row>
    <row r="225" spans="2:932" hidden="1" x14ac:dyDescent="0.25">
      <c r="B225" s="708"/>
      <c r="C225" s="581" t="s">
        <v>87</v>
      </c>
      <c r="D225" s="521">
        <v>0.3</v>
      </c>
      <c r="E225" s="490" t="s">
        <v>25</v>
      </c>
      <c r="F225" s="435"/>
      <c r="G225" s="435"/>
      <c r="H225" s="435"/>
      <c r="I225" s="435"/>
      <c r="J225" s="435"/>
      <c r="K225" s="435"/>
      <c r="L225" s="435"/>
      <c r="M225" s="435"/>
      <c r="N225" s="435"/>
      <c r="O225" s="435"/>
      <c r="P225" s="435"/>
      <c r="Q225" s="435"/>
      <c r="R225" s="697"/>
      <c r="S225" s="519" t="e">
        <f>S218/S209*100</f>
        <v>#DIV/0!</v>
      </c>
      <c r="T225" s="648"/>
      <c r="U225" s="740"/>
      <c r="W225" s="1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Q225" s="62"/>
      <c r="AW225" s="1"/>
      <c r="BC225" s="141"/>
      <c r="BD225" s="14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CG225" s="141"/>
      <c r="CZ225" s="1"/>
      <c r="DO225" s="5"/>
      <c r="DP225" s="141"/>
      <c r="DQ225" s="141"/>
      <c r="DR225" s="141"/>
      <c r="DS225" s="141"/>
      <c r="FV225" s="141"/>
      <c r="JQ225" s="141"/>
      <c r="JR225" s="141"/>
      <c r="JS225" s="141"/>
      <c r="JT225" s="141"/>
      <c r="OX225" s="141"/>
      <c r="OY225" s="141"/>
      <c r="PA225" s="141"/>
      <c r="PO225" s="144"/>
      <c r="PS225" s="141"/>
      <c r="RV225" s="144"/>
      <c r="AHE225" s="140"/>
      <c r="AIT225" s="140"/>
      <c r="AIU225" s="140"/>
      <c r="AIV225" s="140"/>
    </row>
    <row r="226" spans="2:932" hidden="1" x14ac:dyDescent="0.25">
      <c r="B226" s="708"/>
      <c r="C226" s="581" t="s">
        <v>116</v>
      </c>
      <c r="D226" s="521">
        <v>0.3</v>
      </c>
      <c r="E226" s="490" t="s">
        <v>25</v>
      </c>
      <c r="F226" s="435"/>
      <c r="G226" s="435"/>
      <c r="H226" s="435"/>
      <c r="I226" s="435"/>
      <c r="J226" s="435"/>
      <c r="K226" s="435"/>
      <c r="L226" s="435"/>
      <c r="M226" s="435"/>
      <c r="N226" s="435"/>
      <c r="O226" s="435"/>
      <c r="P226" s="435"/>
      <c r="Q226" s="435"/>
      <c r="R226" s="697"/>
      <c r="S226" s="519" t="e">
        <f>S219/S210*100</f>
        <v>#DIV/0!</v>
      </c>
      <c r="T226" s="648"/>
      <c r="U226" s="740"/>
      <c r="W226" s="1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Q226" s="62"/>
      <c r="AW226" s="1"/>
      <c r="BC226" s="141"/>
      <c r="BD226" s="14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CG226" s="141"/>
      <c r="CZ226" s="1"/>
      <c r="DO226" s="5"/>
      <c r="DP226" s="141"/>
      <c r="DQ226" s="141"/>
      <c r="DR226" s="141"/>
      <c r="DS226" s="141"/>
      <c r="FV226" s="141"/>
      <c r="JQ226" s="141"/>
      <c r="JR226" s="141"/>
      <c r="JS226" s="141"/>
      <c r="JT226" s="141"/>
      <c r="OX226" s="141"/>
      <c r="OY226" s="141"/>
      <c r="PA226" s="141"/>
      <c r="PO226" s="144"/>
      <c r="PS226" s="141"/>
      <c r="RV226" s="144"/>
      <c r="AHE226" s="140"/>
      <c r="AIT226" s="140"/>
      <c r="AIU226" s="140"/>
      <c r="AIV226" s="140"/>
    </row>
    <row r="227" spans="2:932" hidden="1" x14ac:dyDescent="0.25">
      <c r="B227" s="708"/>
      <c r="C227" s="556" t="s">
        <v>28</v>
      </c>
      <c r="D227" s="521"/>
      <c r="E227" s="490"/>
      <c r="F227" s="435"/>
      <c r="G227" s="435"/>
      <c r="H227" s="435"/>
      <c r="I227" s="435"/>
      <c r="J227" s="435"/>
      <c r="K227" s="435"/>
      <c r="L227" s="435"/>
      <c r="M227" s="435"/>
      <c r="N227" s="435"/>
      <c r="O227" s="435"/>
      <c r="P227" s="435"/>
      <c r="Q227" s="435"/>
      <c r="R227" s="697"/>
      <c r="S227" s="519"/>
      <c r="T227" s="648"/>
      <c r="U227" s="740"/>
      <c r="W227" s="1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Q227" s="62"/>
      <c r="AW227" s="1"/>
      <c r="BC227" s="141"/>
      <c r="BD227" s="14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CG227" s="141"/>
      <c r="CZ227" s="1"/>
      <c r="DO227" s="5"/>
      <c r="DP227" s="141"/>
      <c r="DQ227" s="141"/>
      <c r="DR227" s="141"/>
      <c r="DS227" s="141"/>
      <c r="FV227" s="141"/>
      <c r="JQ227" s="141"/>
      <c r="JR227" s="141"/>
      <c r="JS227" s="141"/>
      <c r="JT227" s="141"/>
      <c r="OX227" s="141"/>
      <c r="OY227" s="141"/>
      <c r="PA227" s="141"/>
      <c r="PO227" s="144"/>
      <c r="PS227" s="141"/>
      <c r="RV227" s="144"/>
      <c r="AHE227" s="140"/>
      <c r="AIT227" s="140"/>
      <c r="AIU227" s="140"/>
      <c r="AIV227" s="140"/>
    </row>
    <row r="228" spans="2:932" hidden="1" x14ac:dyDescent="0.25">
      <c r="B228" s="708"/>
      <c r="C228" s="581" t="s">
        <v>87</v>
      </c>
      <c r="D228" s="521">
        <v>0.5</v>
      </c>
      <c r="E228" s="490" t="s">
        <v>25</v>
      </c>
      <c r="F228" s="435"/>
      <c r="G228" s="435"/>
      <c r="H228" s="435"/>
      <c r="I228" s="435"/>
      <c r="J228" s="435"/>
      <c r="K228" s="435"/>
      <c r="L228" s="435"/>
      <c r="M228" s="435"/>
      <c r="N228" s="435"/>
      <c r="O228" s="435"/>
      <c r="P228" s="435"/>
      <c r="Q228" s="435"/>
      <c r="R228" s="697"/>
      <c r="S228" s="519" t="e">
        <f>S221/S209*100</f>
        <v>#DIV/0!</v>
      </c>
      <c r="T228" s="648"/>
      <c r="U228" s="762"/>
      <c r="W228" s="1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Q228" s="62"/>
      <c r="AW228" s="1"/>
      <c r="BC228" s="141"/>
      <c r="BD228" s="14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CG228" s="141"/>
      <c r="CZ228" s="1"/>
      <c r="DO228" s="5"/>
      <c r="DP228" s="141"/>
      <c r="DQ228" s="141"/>
      <c r="DR228" s="141"/>
      <c r="DS228" s="141"/>
      <c r="FV228" s="141"/>
      <c r="JQ228" s="141"/>
      <c r="JR228" s="141"/>
      <c r="JS228" s="141"/>
      <c r="JT228" s="141"/>
      <c r="OX228" s="141"/>
      <c r="OY228" s="141"/>
      <c r="PA228" s="141"/>
      <c r="PO228" s="144"/>
      <c r="PS228" s="141"/>
      <c r="RV228" s="144"/>
      <c r="AHE228" s="140"/>
      <c r="AIT228" s="140"/>
      <c r="AIU228" s="140"/>
      <c r="AIV228" s="140"/>
    </row>
    <row r="229" spans="2:932" hidden="1" x14ac:dyDescent="0.25">
      <c r="B229" s="708"/>
      <c r="C229" s="581" t="s">
        <v>116</v>
      </c>
      <c r="D229" s="521">
        <v>0.5</v>
      </c>
      <c r="E229" s="490" t="s">
        <v>25</v>
      </c>
      <c r="F229" s="435"/>
      <c r="G229" s="435"/>
      <c r="H229" s="435"/>
      <c r="I229" s="435"/>
      <c r="J229" s="435"/>
      <c r="K229" s="435"/>
      <c r="L229" s="435"/>
      <c r="M229" s="435"/>
      <c r="N229" s="435"/>
      <c r="O229" s="435"/>
      <c r="P229" s="435"/>
      <c r="Q229" s="435"/>
      <c r="R229" s="697"/>
      <c r="S229" s="522" t="e">
        <f>S222/S210*100</f>
        <v>#DIV/0!</v>
      </c>
      <c r="T229" s="648"/>
      <c r="U229" s="762"/>
      <c r="W229" s="1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Q229" s="62"/>
      <c r="AW229" s="1"/>
      <c r="BC229" s="141"/>
      <c r="BD229" s="14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CG229" s="141"/>
      <c r="CZ229" s="1"/>
      <c r="DO229" s="5"/>
      <c r="DP229" s="141"/>
      <c r="DQ229" s="141"/>
      <c r="DR229" s="141"/>
      <c r="DS229" s="141"/>
      <c r="FV229" s="141"/>
      <c r="JQ229" s="141"/>
      <c r="JR229" s="141"/>
      <c r="JS229" s="141"/>
      <c r="JT229" s="141"/>
      <c r="OX229" s="141"/>
      <c r="OY229" s="141"/>
      <c r="PA229" s="141"/>
      <c r="PO229" s="144"/>
      <c r="PS229" s="141"/>
      <c r="RV229" s="144"/>
      <c r="AHE229" s="140"/>
      <c r="AIT229" s="140"/>
      <c r="AIU229" s="140"/>
      <c r="AIV229" s="140"/>
    </row>
    <row r="230" spans="2:932" hidden="1" x14ac:dyDescent="0.25">
      <c r="B230" s="708"/>
      <c r="C230" s="588" t="s">
        <v>93</v>
      </c>
      <c r="D230" s="589"/>
      <c r="E230" s="590"/>
      <c r="F230" s="591"/>
      <c r="G230" s="591"/>
      <c r="H230" s="591"/>
      <c r="I230" s="591"/>
      <c r="J230" s="591"/>
      <c r="K230" s="591"/>
      <c r="L230" s="591"/>
      <c r="M230" s="591"/>
      <c r="N230" s="591"/>
      <c r="O230" s="591"/>
      <c r="P230" s="591"/>
      <c r="Q230" s="591"/>
      <c r="R230" s="698"/>
      <c r="S230" s="592">
        <f>SUM(F230:Q230)</f>
        <v>0</v>
      </c>
      <c r="T230" s="672">
        <v>22250000</v>
      </c>
      <c r="U230" s="764">
        <f>S230/T230*100</f>
        <v>0</v>
      </c>
      <c r="W230" s="1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Q230" s="62"/>
      <c r="AW230" s="1"/>
      <c r="BC230" s="141"/>
      <c r="BD230" s="14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CG230" s="141"/>
      <c r="CZ230" s="1"/>
      <c r="DO230" s="5"/>
      <c r="DP230" s="141"/>
      <c r="DQ230" s="141"/>
      <c r="DR230" s="141"/>
      <c r="DS230" s="141"/>
      <c r="FV230" s="141"/>
      <c r="JQ230" s="141"/>
      <c r="JR230" s="141"/>
      <c r="JS230" s="141"/>
      <c r="JT230" s="141"/>
      <c r="OX230" s="141"/>
      <c r="OY230" s="141"/>
      <c r="PA230" s="141"/>
      <c r="PO230" s="144"/>
      <c r="PS230" s="141"/>
      <c r="RV230" s="144"/>
      <c r="AHE230" s="140"/>
      <c r="AIT230" s="140"/>
      <c r="AIU230" s="140"/>
      <c r="AIV230" s="140"/>
    </row>
    <row r="231" spans="2:932" hidden="1" x14ac:dyDescent="0.25">
      <c r="B231" s="708"/>
      <c r="C231" s="588" t="s">
        <v>117</v>
      </c>
      <c r="D231" s="589"/>
      <c r="E231" s="590"/>
      <c r="F231" s="594"/>
      <c r="G231" s="591"/>
      <c r="H231" s="591"/>
      <c r="I231" s="591"/>
      <c r="J231" s="593"/>
      <c r="K231" s="593"/>
      <c r="L231" s="593"/>
      <c r="M231" s="593"/>
      <c r="N231" s="593"/>
      <c r="O231" s="593"/>
      <c r="P231" s="593"/>
      <c r="Q231" s="594"/>
      <c r="R231" s="698"/>
      <c r="S231" s="592">
        <f>SUM(F231:Q231)</f>
        <v>0</v>
      </c>
      <c r="T231" s="672">
        <v>11435000</v>
      </c>
      <c r="U231" s="764">
        <f>S231/T231*100</f>
        <v>0</v>
      </c>
      <c r="W231" s="1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Q231" s="62"/>
      <c r="AW231" s="1"/>
      <c r="BC231" s="141"/>
      <c r="BD231" s="14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CG231" s="141"/>
      <c r="CZ231" s="1"/>
      <c r="DO231" s="5"/>
      <c r="DP231" s="141"/>
      <c r="DQ231" s="141"/>
      <c r="DR231" s="141"/>
      <c r="DS231" s="141"/>
      <c r="FV231" s="141"/>
      <c r="JQ231" s="141"/>
      <c r="JR231" s="141"/>
      <c r="JS231" s="141"/>
      <c r="JT231" s="141"/>
      <c r="OX231" s="141"/>
      <c r="OY231" s="141"/>
      <c r="PA231" s="141"/>
      <c r="PO231" s="144"/>
      <c r="PS231" s="141"/>
      <c r="RV231" s="144"/>
      <c r="AHE231" s="140"/>
      <c r="AIT231" s="140"/>
      <c r="AIU231" s="140"/>
      <c r="AIV231" s="140"/>
    </row>
    <row r="232" spans="2:932" hidden="1" x14ac:dyDescent="0.25">
      <c r="B232" s="708"/>
      <c r="C232" s="595" t="s">
        <v>88</v>
      </c>
      <c r="D232" s="589"/>
      <c r="E232" s="590"/>
      <c r="F232" s="594"/>
      <c r="G232" s="591"/>
      <c r="H232" s="591"/>
      <c r="I232" s="591"/>
      <c r="J232" s="591"/>
      <c r="K232" s="591"/>
      <c r="L232" s="591"/>
      <c r="M232" s="594"/>
      <c r="N232" s="594"/>
      <c r="O232" s="594"/>
      <c r="P232" s="594"/>
      <c r="Q232" s="594"/>
      <c r="R232" s="698"/>
      <c r="S232" s="592">
        <f>SUM(F232:Q232)</f>
        <v>0</v>
      </c>
      <c r="T232" s="673">
        <v>71709000</v>
      </c>
      <c r="U232" s="764">
        <f>S232/T232*100</f>
        <v>0</v>
      </c>
      <c r="W232" s="1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Q232" s="62"/>
      <c r="AW232" s="1"/>
      <c r="BC232" s="141"/>
      <c r="BD232" s="14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CG232" s="141"/>
      <c r="CZ232" s="1"/>
      <c r="DO232" s="5"/>
      <c r="DP232" s="141"/>
      <c r="DQ232" s="141"/>
      <c r="DR232" s="141"/>
      <c r="DS232" s="141"/>
      <c r="FV232" s="141"/>
      <c r="JQ232" s="141"/>
      <c r="JR232" s="141"/>
      <c r="JS232" s="141"/>
      <c r="JT232" s="141"/>
      <c r="OX232" s="141"/>
      <c r="OY232" s="141"/>
      <c r="PA232" s="141"/>
      <c r="PO232" s="144"/>
      <c r="PS232" s="141"/>
      <c r="RV232" s="144"/>
      <c r="AHE232" s="140"/>
      <c r="AIT232" s="140"/>
      <c r="AIU232" s="140"/>
      <c r="AIV232" s="140"/>
    </row>
    <row r="233" spans="2:932" s="600" customFormat="1" hidden="1" x14ac:dyDescent="0.25">
      <c r="B233" s="705"/>
      <c r="C233" s="596" t="s">
        <v>89</v>
      </c>
      <c r="D233" s="597"/>
      <c r="E233" s="108"/>
      <c r="F233" s="598"/>
      <c r="G233" s="598"/>
      <c r="H233" s="598"/>
      <c r="I233" s="598"/>
      <c r="J233" s="599"/>
      <c r="K233" s="599"/>
      <c r="L233" s="599"/>
      <c r="M233" s="599"/>
      <c r="N233" s="599"/>
      <c r="O233" s="599"/>
      <c r="P233" s="599"/>
      <c r="Q233" s="598"/>
      <c r="R233" s="713"/>
      <c r="S233" s="592">
        <f>SUM(F233:Q233)</f>
        <v>0</v>
      </c>
      <c r="T233" s="664">
        <f>SUM(T230:T232)</f>
        <v>105394000</v>
      </c>
      <c r="U233" s="764">
        <f>S233/T233*100</f>
        <v>0</v>
      </c>
      <c r="W233" s="2"/>
      <c r="X233" s="778"/>
      <c r="Y233" s="778"/>
      <c r="Z233" s="778"/>
      <c r="AA233" s="778"/>
      <c r="AB233" s="778"/>
      <c r="AC233" s="778"/>
      <c r="AD233" s="778"/>
      <c r="AE233" s="778"/>
      <c r="AF233" s="778"/>
      <c r="AG233" s="778"/>
      <c r="AH233" s="778"/>
      <c r="AI233" s="778"/>
      <c r="AJ233" s="778"/>
      <c r="AK233" s="778"/>
      <c r="AL233" s="778"/>
      <c r="AM233" s="778"/>
      <c r="AN233" s="778"/>
      <c r="AO233" s="778"/>
      <c r="AQ233" s="778"/>
      <c r="AW233" s="1"/>
      <c r="BC233" s="145"/>
      <c r="BD233" s="145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CG233" s="145"/>
      <c r="CZ233" s="2"/>
      <c r="DO233" s="430"/>
      <c r="DP233" s="145"/>
      <c r="DQ233" s="145"/>
      <c r="DR233" s="145"/>
      <c r="DS233" s="145"/>
      <c r="FV233" s="145"/>
      <c r="JQ233" s="145"/>
      <c r="JR233" s="145"/>
      <c r="JS233" s="145"/>
      <c r="JT233" s="145"/>
      <c r="OX233" s="145"/>
      <c r="OY233" s="145"/>
      <c r="PA233" s="145"/>
      <c r="PO233" s="550"/>
      <c r="PS233" s="145"/>
      <c r="RV233" s="550"/>
      <c r="AHE233" s="150"/>
      <c r="AIT233" s="150"/>
      <c r="AIU233" s="150"/>
      <c r="AIV233" s="150"/>
    </row>
    <row r="234" spans="2:932" s="600" customFormat="1" hidden="1" x14ac:dyDescent="0.25">
      <c r="B234" s="705"/>
      <c r="C234" s="596" t="s">
        <v>94</v>
      </c>
      <c r="D234" s="597"/>
      <c r="E234" s="108"/>
      <c r="F234" s="598"/>
      <c r="G234" s="598"/>
      <c r="H234" s="598"/>
      <c r="I234" s="598"/>
      <c r="J234" s="598"/>
      <c r="K234" s="598"/>
      <c r="L234" s="598"/>
      <c r="M234" s="598"/>
      <c r="N234" s="598"/>
      <c r="O234" s="598"/>
      <c r="P234" s="598"/>
      <c r="Q234" s="598"/>
      <c r="R234" s="713"/>
      <c r="S234" s="601">
        <f>SUM(F234:Q234)</f>
        <v>0</v>
      </c>
      <c r="T234" s="674">
        <f>SUM(T230:T232)</f>
        <v>105394000</v>
      </c>
      <c r="U234" s="764">
        <f>S234/T234*100</f>
        <v>0</v>
      </c>
      <c r="W234" s="2"/>
      <c r="X234" s="778"/>
      <c r="Y234" s="778"/>
      <c r="Z234" s="778"/>
      <c r="AA234" s="778"/>
      <c r="AB234" s="778"/>
      <c r="AC234" s="778"/>
      <c r="AD234" s="778"/>
      <c r="AE234" s="778"/>
      <c r="AF234" s="778"/>
      <c r="AG234" s="778"/>
      <c r="AH234" s="778"/>
      <c r="AI234" s="778"/>
      <c r="AJ234" s="778"/>
      <c r="AK234" s="778"/>
      <c r="AL234" s="778"/>
      <c r="AM234" s="778"/>
      <c r="AN234" s="778"/>
      <c r="AO234" s="778"/>
      <c r="AQ234" s="778"/>
      <c r="AW234" s="1"/>
      <c r="BC234" s="145"/>
      <c r="BD234" s="145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CG234" s="145"/>
      <c r="CZ234" s="2"/>
      <c r="DO234" s="430"/>
      <c r="DP234" s="145"/>
      <c r="DQ234" s="145"/>
      <c r="DR234" s="145"/>
      <c r="DS234" s="145"/>
      <c r="FV234" s="145"/>
      <c r="JQ234" s="145"/>
      <c r="JR234" s="145"/>
      <c r="JS234" s="145"/>
      <c r="JT234" s="145"/>
      <c r="OX234" s="145"/>
      <c r="OY234" s="145"/>
      <c r="PA234" s="145"/>
      <c r="PO234" s="550"/>
      <c r="PS234" s="145"/>
      <c r="RV234" s="550"/>
      <c r="AHE234" s="150"/>
      <c r="AIT234" s="150"/>
      <c r="AIU234" s="150"/>
      <c r="AIV234" s="150"/>
    </row>
    <row r="235" spans="2:932" x14ac:dyDescent="0.25">
      <c r="B235" s="704">
        <v>4</v>
      </c>
      <c r="C235" s="515" t="s">
        <v>24</v>
      </c>
      <c r="D235" s="602"/>
      <c r="E235" s="76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697"/>
      <c r="S235" s="587" t="s">
        <v>131</v>
      </c>
      <c r="T235" s="657" t="s">
        <v>131</v>
      </c>
      <c r="U235" s="750" t="s">
        <v>131</v>
      </c>
      <c r="W235" s="1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Q235" s="62"/>
      <c r="AW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CZ235" s="1"/>
    </row>
    <row r="236" spans="2:932" x14ac:dyDescent="0.25">
      <c r="B236" s="705"/>
      <c r="C236" s="457" t="s">
        <v>23</v>
      </c>
      <c r="D236" s="603"/>
      <c r="E236" s="490" t="s">
        <v>19</v>
      </c>
      <c r="F236" s="604">
        <f>'Januari 2026 PMG 2'!AM244+'Januari 2026 PMG 1'!AM244</f>
        <v>37785.305299999993</v>
      </c>
      <c r="G236" s="604"/>
      <c r="H236" s="604"/>
      <c r="I236" s="604"/>
      <c r="J236" s="604"/>
      <c r="K236" s="604"/>
      <c r="L236" s="604"/>
      <c r="M236" s="604"/>
      <c r="N236" s="604"/>
      <c r="O236" s="604"/>
      <c r="P236" s="604"/>
      <c r="Q236" s="604"/>
      <c r="S236" s="605">
        <f>SUM(F236:Q236)</f>
        <v>37785.305299999993</v>
      </c>
      <c r="T236" s="675">
        <v>316731.03000000003</v>
      </c>
      <c r="U236" s="742">
        <f>S236/T236*100</f>
        <v>11.929776915132056</v>
      </c>
      <c r="W236" s="1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Q236" s="62"/>
      <c r="AW236" s="1"/>
      <c r="BC236" s="141"/>
      <c r="BD236" s="14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CG236" s="141"/>
      <c r="CZ236" s="1"/>
      <c r="DO236" s="5"/>
      <c r="DP236" s="141"/>
      <c r="DQ236" s="141"/>
      <c r="DR236" s="141"/>
      <c r="DS236" s="141"/>
      <c r="FV236" s="141"/>
      <c r="JQ236" s="141"/>
      <c r="JR236" s="141"/>
      <c r="JS236" s="141"/>
      <c r="JT236" s="141"/>
      <c r="OX236" s="141"/>
      <c r="OY236" s="141"/>
      <c r="PA236" s="141"/>
      <c r="PO236" s="144"/>
      <c r="PS236" s="141"/>
      <c r="RV236" s="144"/>
      <c r="AGF236" s="39"/>
      <c r="AHE236" s="140"/>
      <c r="AIT236" s="140"/>
      <c r="AIU236" s="140"/>
      <c r="AIV236" s="140"/>
    </row>
    <row r="237" spans="2:932" x14ac:dyDescent="0.25">
      <c r="B237" s="702"/>
      <c r="C237" s="517" t="s">
        <v>22</v>
      </c>
      <c r="D237" s="606">
        <f>D241</f>
        <v>1460.001</v>
      </c>
      <c r="E237" s="508" t="s">
        <v>19</v>
      </c>
      <c r="F237" s="604">
        <f>'Januari 2026 PMG 2'!AM242+'Januari 2026 PMG 1'!AM242</f>
        <v>53781.183922787139</v>
      </c>
      <c r="G237" s="604"/>
      <c r="H237" s="607"/>
      <c r="I237" s="607"/>
      <c r="J237" s="607"/>
      <c r="K237" s="607"/>
      <c r="L237" s="607"/>
      <c r="M237" s="607"/>
      <c r="N237" s="607"/>
      <c r="O237" s="607"/>
      <c r="P237" s="607"/>
      <c r="Q237" s="604"/>
      <c r="S237" s="608">
        <f>SUM(F237:Q237)</f>
        <v>53781.183922787139</v>
      </c>
      <c r="T237" s="676">
        <v>316731.03000000003</v>
      </c>
      <c r="U237" s="755">
        <f>S237/T237*100</f>
        <v>16.980080519040758</v>
      </c>
      <c r="V237" s="789"/>
      <c r="W237" s="1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Q237" s="62"/>
      <c r="AW237" s="171" t="e">
        <f>AV237/AV10</f>
        <v>#DIV/0!</v>
      </c>
      <c r="BC237" s="142"/>
      <c r="BD237" s="142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CG237" s="142"/>
      <c r="CZ237" s="1"/>
      <c r="DO237" s="510"/>
      <c r="DP237" s="142"/>
      <c r="DQ237" s="142"/>
      <c r="DR237" s="142"/>
      <c r="DS237" s="142"/>
      <c r="FV237" s="142"/>
      <c r="JQ237" s="142"/>
      <c r="JR237" s="142"/>
      <c r="JS237" s="142"/>
      <c r="JT237" s="142"/>
      <c r="OX237" s="142"/>
      <c r="OY237" s="142"/>
      <c r="PA237" s="142"/>
      <c r="PO237" s="151"/>
      <c r="PS237" s="142"/>
      <c r="RV237" s="151"/>
      <c r="AHE237" s="142"/>
      <c r="AIT237" s="142"/>
      <c r="AIU237" s="142"/>
      <c r="AIV237" s="142"/>
    </row>
    <row r="238" spans="2:932" x14ac:dyDescent="0.25">
      <c r="B238" s="708"/>
      <c r="C238" s="566" t="s">
        <v>11</v>
      </c>
      <c r="D238" s="603"/>
      <c r="E238" s="459"/>
      <c r="F238" s="434"/>
      <c r="G238" s="609"/>
      <c r="H238" s="609"/>
      <c r="I238" s="434"/>
      <c r="J238" s="609"/>
      <c r="K238" s="610"/>
      <c r="L238" s="610"/>
      <c r="M238" s="610"/>
      <c r="N238" s="610"/>
      <c r="O238" s="610"/>
      <c r="P238" s="610"/>
      <c r="Q238" s="434"/>
      <c r="R238" s="697"/>
      <c r="S238" s="692" t="s">
        <v>11</v>
      </c>
      <c r="T238" s="677" t="s">
        <v>11</v>
      </c>
      <c r="U238" s="765" t="s">
        <v>11</v>
      </c>
      <c r="W238" s="1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Q238" s="62"/>
      <c r="AW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CZ238" s="1"/>
    </row>
    <row r="239" spans="2:932" x14ac:dyDescent="0.25">
      <c r="B239" s="708"/>
      <c r="C239" s="457" t="s">
        <v>21</v>
      </c>
      <c r="D239" s="611">
        <v>292</v>
      </c>
      <c r="E239" s="490" t="s">
        <v>19</v>
      </c>
      <c r="F239" s="604">
        <f>'Januari 2026 PMG 2'!AM246+'Januari 2026 PMG 1'!AM246</f>
        <v>146198</v>
      </c>
      <c r="G239" s="604"/>
      <c r="H239" s="604"/>
      <c r="I239" s="612"/>
      <c r="J239" s="604"/>
      <c r="K239" s="1519"/>
      <c r="L239" s="604"/>
      <c r="M239" s="604"/>
      <c r="N239" s="604"/>
      <c r="O239" s="604"/>
      <c r="P239" s="604"/>
      <c r="Q239" s="604"/>
      <c r="R239" s="697"/>
      <c r="S239" s="613">
        <f>SUM(F239:Q239)</f>
        <v>146198</v>
      </c>
      <c r="T239" s="678">
        <v>47509.77</v>
      </c>
      <c r="U239" s="766">
        <f>S239/T239*100</f>
        <v>307.72196960751444</v>
      </c>
      <c r="W239" s="1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Q239" s="62"/>
      <c r="AW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CZ239" s="1"/>
      <c r="WZ239" s="39"/>
      <c r="AFQ239" s="39"/>
    </row>
    <row r="240" spans="2:932" x14ac:dyDescent="0.25">
      <c r="B240" s="708"/>
      <c r="C240" s="457" t="s">
        <v>20</v>
      </c>
      <c r="D240" s="611">
        <v>1168.001</v>
      </c>
      <c r="E240" s="490" t="s">
        <v>19</v>
      </c>
      <c r="F240" s="604">
        <f>'Januari 2026 PMG 2'!AM250+'Januari 2026 PMG 1'!AM250</f>
        <v>27104.297557312253</v>
      </c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97"/>
      <c r="S240" s="613">
        <f>SUM(F240:Q240)</f>
        <v>27104.297557312253</v>
      </c>
      <c r="T240" s="678">
        <v>269221.26</v>
      </c>
      <c r="U240" s="766">
        <f>S240/T240*100</f>
        <v>10.067666111254457</v>
      </c>
      <c r="W240" s="1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Q240" s="62"/>
      <c r="AW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CZ240" s="1"/>
      <c r="WY240" s="39"/>
    </row>
    <row r="241" spans="2:932" x14ac:dyDescent="0.25">
      <c r="B241" s="714"/>
      <c r="C241" s="614" t="s">
        <v>1</v>
      </c>
      <c r="D241" s="615">
        <f>SUM(D239:D240)</f>
        <v>1460.001</v>
      </c>
      <c r="E241" s="25" t="s">
        <v>19</v>
      </c>
      <c r="F241" s="616">
        <f>'Januari 2026 PMG 2'!AM251+'Januari 2026 PMG 1'!AM251</f>
        <v>32882.607600000003</v>
      </c>
      <c r="G241" s="616"/>
      <c r="H241" s="616"/>
      <c r="I241" s="616"/>
      <c r="J241" s="616"/>
      <c r="K241" s="616"/>
      <c r="L241" s="616"/>
      <c r="M241" s="616"/>
      <c r="N241" s="616"/>
      <c r="O241" s="616"/>
      <c r="P241" s="616"/>
      <c r="Q241" s="616"/>
      <c r="R241" s="710"/>
      <c r="S241" s="116">
        <f>SUM(S239:S240)</f>
        <v>173302.29755731224</v>
      </c>
      <c r="T241" s="679">
        <f>SUM(T239:T240)</f>
        <v>316731.03000000003</v>
      </c>
      <c r="U241" s="766">
        <f>S241/T241*100</f>
        <v>54.715920179122399</v>
      </c>
      <c r="W241" s="1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Q241" s="62"/>
      <c r="AW241" s="2"/>
      <c r="BC241" s="150"/>
      <c r="BD241" s="150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CG241" s="150"/>
      <c r="CZ241" s="1"/>
      <c r="DO241" s="430"/>
      <c r="DP241" s="150"/>
      <c r="DQ241" s="150"/>
      <c r="DR241" s="150"/>
      <c r="DS241" s="150"/>
      <c r="FV241" s="150"/>
      <c r="JQ241" s="150"/>
      <c r="JR241" s="150"/>
      <c r="JS241" s="150"/>
      <c r="JT241" s="150"/>
      <c r="OX241" s="150"/>
      <c r="OY241" s="150"/>
      <c r="PA241" s="150"/>
      <c r="PO241" s="617"/>
      <c r="PS241" s="150"/>
      <c r="RV241" s="617"/>
      <c r="AHE241" s="150"/>
      <c r="AIT241" s="150"/>
      <c r="AIU241" s="150"/>
      <c r="AIV241" s="150"/>
    </row>
    <row r="242" spans="2:932" x14ac:dyDescent="0.25">
      <c r="B242" s="705">
        <v>5</v>
      </c>
      <c r="C242" s="618" t="s">
        <v>18</v>
      </c>
      <c r="D242" s="619"/>
      <c r="E242" s="118"/>
      <c r="F242" s="620"/>
      <c r="G242" s="620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710"/>
      <c r="S242" s="694" t="s">
        <v>132</v>
      </c>
      <c r="T242" s="680" t="s">
        <v>132</v>
      </c>
      <c r="U242" s="767" t="s">
        <v>132</v>
      </c>
      <c r="W242" s="1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Q242" s="62"/>
      <c r="AW242" s="2"/>
      <c r="BC242" s="150"/>
      <c r="BD242" s="150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CG242" s="150"/>
      <c r="CZ242" s="1"/>
      <c r="DO242" s="430"/>
      <c r="DP242" s="150"/>
      <c r="DQ242" s="150"/>
      <c r="DR242" s="150"/>
      <c r="DS242" s="150"/>
      <c r="FV242" s="150"/>
      <c r="JQ242" s="150"/>
      <c r="JR242" s="150"/>
      <c r="JS242" s="150"/>
      <c r="JT242" s="150"/>
      <c r="OX242" s="150"/>
      <c r="OY242" s="150"/>
      <c r="PA242" s="150"/>
      <c r="PO242" s="617"/>
      <c r="PS242" s="150"/>
      <c r="RV242" s="617"/>
      <c r="AHE242" s="150"/>
      <c r="AIT242" s="150"/>
      <c r="AIU242" s="150"/>
      <c r="AIV242" s="150"/>
    </row>
    <row r="243" spans="2:932" x14ac:dyDescent="0.25">
      <c r="B243" s="708"/>
      <c r="C243" s="457" t="s">
        <v>4</v>
      </c>
      <c r="D243" s="622">
        <f>17000*24</f>
        <v>408000</v>
      </c>
      <c r="E243" s="490" t="s">
        <v>14</v>
      </c>
      <c r="F243" s="1651">
        <f>'Januari 2026 PMG 2'!AM253+'Januari 2026 PMG 1'!AM253</f>
        <v>9462478.5</v>
      </c>
      <c r="G243" s="278"/>
      <c r="H243" s="278"/>
      <c r="I243" s="278"/>
      <c r="J243" s="278"/>
      <c r="K243" s="278"/>
      <c r="L243" s="278"/>
      <c r="M243" s="278"/>
      <c r="N243" s="278"/>
      <c r="O243" s="278"/>
      <c r="P243" s="278"/>
      <c r="Q243" s="1651"/>
      <c r="R243" s="697"/>
      <c r="S243" s="2157">
        <f>SUM(F243:Q243)</f>
        <v>9462478.5</v>
      </c>
      <c r="T243" s="681">
        <v>110880000</v>
      </c>
      <c r="U243" s="755">
        <f>S243/T243*100</f>
        <v>8.5339813311688317</v>
      </c>
      <c r="V243" s="3"/>
      <c r="W243" s="1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Q243" s="62"/>
      <c r="AW243" s="2"/>
      <c r="BC243" s="140"/>
      <c r="BD243" s="140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CG243" s="140"/>
      <c r="CZ243" s="1"/>
      <c r="DO243" s="5"/>
      <c r="DP243" s="140"/>
      <c r="DQ243" s="140"/>
      <c r="DR243" s="140"/>
      <c r="DS243" s="140"/>
      <c r="FV243" s="140"/>
      <c r="JQ243" s="140"/>
      <c r="JR243" s="140"/>
      <c r="JS243" s="140"/>
      <c r="JT243" s="140"/>
      <c r="OX243" s="140"/>
      <c r="OY243" s="140"/>
      <c r="PA243" s="140"/>
      <c r="PO243" s="475"/>
      <c r="PS243" s="140"/>
      <c r="RV243" s="475"/>
      <c r="AHE243" s="140"/>
      <c r="AIT243" s="140"/>
      <c r="AIU243" s="140"/>
      <c r="AIV243" s="140"/>
    </row>
    <row r="244" spans="2:932" x14ac:dyDescent="0.25">
      <c r="B244" s="705"/>
      <c r="C244" s="556" t="s">
        <v>17</v>
      </c>
      <c r="D244" s="623"/>
      <c r="E244" s="13"/>
      <c r="F244" s="583"/>
      <c r="G244" s="583"/>
      <c r="H244" s="583"/>
      <c r="I244" s="583"/>
      <c r="J244" s="583"/>
      <c r="K244" s="583"/>
      <c r="L244" s="583"/>
      <c r="M244" s="583"/>
      <c r="N244" s="583"/>
      <c r="O244" s="583"/>
      <c r="P244" s="583"/>
      <c r="Q244" s="583"/>
      <c r="R244" s="710"/>
      <c r="S244" s="695" t="s">
        <v>17</v>
      </c>
      <c r="T244" s="682" t="s">
        <v>17</v>
      </c>
      <c r="U244" s="768" t="s">
        <v>17</v>
      </c>
      <c r="V244" s="27"/>
      <c r="W244" s="1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Q244" s="62"/>
      <c r="AW244" s="2"/>
      <c r="BC244" s="150"/>
      <c r="BD244" s="150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CG244" s="150"/>
      <c r="CZ244" s="1"/>
      <c r="DO244" s="430"/>
      <c r="DP244" s="150"/>
      <c r="DQ244" s="150"/>
      <c r="DR244" s="150"/>
      <c r="DS244" s="150"/>
      <c r="FV244" s="150"/>
      <c r="JQ244" s="150"/>
      <c r="JR244" s="150"/>
      <c r="JS244" s="150"/>
      <c r="JT244" s="150"/>
      <c r="OX244" s="150"/>
      <c r="OY244" s="150"/>
      <c r="PA244" s="150"/>
      <c r="PO244" s="617"/>
      <c r="PS244" s="150"/>
      <c r="RV244" s="617"/>
      <c r="AHE244" s="150"/>
      <c r="AIT244" s="150"/>
      <c r="AIU244" s="150"/>
      <c r="AIV244" s="150"/>
    </row>
    <row r="245" spans="2:932" x14ac:dyDescent="0.25">
      <c r="B245" s="708"/>
      <c r="C245" s="457" t="s">
        <v>16</v>
      </c>
      <c r="D245" s="622">
        <v>180000</v>
      </c>
      <c r="E245" s="490" t="s">
        <v>14</v>
      </c>
      <c r="F245" s="2015">
        <f>'Januari 2026 PMG 2'!AM255+'Januari 2026 PMG 1'!AM273</f>
        <v>1732470</v>
      </c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697"/>
      <c r="S245" s="571">
        <f>SUM(F245:H245)</f>
        <v>1732470</v>
      </c>
      <c r="T245" s="645">
        <v>41580000</v>
      </c>
      <c r="U245" s="740">
        <f>S245/T245*100</f>
        <v>4.1665945165945164</v>
      </c>
      <c r="V245" s="491"/>
      <c r="W245" s="1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Q245" s="62"/>
      <c r="AW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CZ245" s="1"/>
    </row>
    <row r="246" spans="2:932" x14ac:dyDescent="0.25">
      <c r="B246" s="708"/>
      <c r="C246" s="457" t="s">
        <v>15</v>
      </c>
      <c r="D246" s="622">
        <v>122000</v>
      </c>
      <c r="E246" s="490" t="s">
        <v>14</v>
      </c>
      <c r="F246" s="2015">
        <f>'Januari 2026 PMG 2'!AM257+'Januari 2026 PMG 1'!AM275</f>
        <v>1097786</v>
      </c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697"/>
      <c r="S246" s="571">
        <f t="shared" ref="S246:S247" si="20">SUM(F246:H246)</f>
        <v>1097786</v>
      </c>
      <c r="T246" s="645">
        <v>28182000</v>
      </c>
      <c r="U246" s="740">
        <f>S246/T246*100</f>
        <v>3.8953445461642184</v>
      </c>
      <c r="W246" s="1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Q246" s="62"/>
      <c r="AW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CZ246" s="1"/>
    </row>
    <row r="247" spans="2:932" x14ac:dyDescent="0.25">
      <c r="B247" s="708"/>
      <c r="C247" s="457" t="s">
        <v>7</v>
      </c>
      <c r="D247" s="622">
        <f>D243-D245-D246</f>
        <v>106000</v>
      </c>
      <c r="E247" s="490" t="s">
        <v>14</v>
      </c>
      <c r="F247" s="2155">
        <f>'Januari 2026 PMG 2'!AM259+'Januari 2026 PMG 1'!AM278</f>
        <v>2777633.5</v>
      </c>
      <c r="G247" s="434"/>
      <c r="H247" s="434"/>
      <c r="I247" s="434"/>
      <c r="J247" s="434"/>
      <c r="K247" s="434"/>
      <c r="L247" s="33"/>
      <c r="M247" s="33"/>
      <c r="N247" s="33"/>
      <c r="O247" s="33"/>
      <c r="P247" s="33"/>
      <c r="Q247" s="434"/>
      <c r="R247" s="697"/>
      <c r="S247" s="571">
        <f t="shared" si="20"/>
        <v>2777633.5</v>
      </c>
      <c r="T247" s="645">
        <v>41118000</v>
      </c>
      <c r="U247" s="740">
        <f>S247/T247*100</f>
        <v>6.7552738460041821</v>
      </c>
      <c r="W247" s="1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Q247" s="62"/>
      <c r="AW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CZ247" s="1"/>
    </row>
    <row r="248" spans="2:932" x14ac:dyDescent="0.25">
      <c r="B248" s="705"/>
      <c r="C248" s="566" t="s">
        <v>1</v>
      </c>
      <c r="D248" s="624">
        <f>SUM(D245:D247)</f>
        <v>408000</v>
      </c>
      <c r="E248" s="490" t="s">
        <v>14</v>
      </c>
      <c r="F248" s="2156">
        <f>'Januari 2026 PMG 2'!AM261+'Januari 2026 PMG 1'!AM261</f>
        <v>9462478.5</v>
      </c>
      <c r="G248" s="583"/>
      <c r="H248" s="583"/>
      <c r="I248" s="583"/>
      <c r="J248" s="583"/>
      <c r="K248" s="583"/>
      <c r="L248" s="583"/>
      <c r="M248" s="583"/>
      <c r="N248" s="583"/>
      <c r="O248" s="583"/>
      <c r="P248" s="583"/>
      <c r="Q248" s="583"/>
      <c r="R248" s="710"/>
      <c r="S248" s="2158">
        <f>SUM(F248:H248)</f>
        <v>9462478.5</v>
      </c>
      <c r="T248" s="683">
        <f>SUM(T245:T247)</f>
        <v>110880000</v>
      </c>
      <c r="U248" s="740">
        <f>S248/T248*100</f>
        <v>8.5339813311688317</v>
      </c>
      <c r="W248" s="1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Q248" s="62"/>
      <c r="AW248" s="2"/>
      <c r="BC248" s="150"/>
      <c r="BD248" s="150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CG248" s="150"/>
      <c r="CZ248" s="1"/>
      <c r="DO248" s="430"/>
      <c r="DP248" s="150"/>
      <c r="DQ248" s="150"/>
      <c r="DR248" s="150"/>
      <c r="DS248" s="150"/>
      <c r="FV248" s="150"/>
      <c r="JQ248" s="150"/>
      <c r="JR248" s="150"/>
      <c r="JS248" s="150"/>
      <c r="JT248" s="150"/>
      <c r="OX248" s="150"/>
      <c r="OY248" s="150"/>
      <c r="PA248" s="150"/>
      <c r="PO248" s="617"/>
      <c r="PS248" s="150"/>
      <c r="RV248" s="617"/>
      <c r="AHE248" s="150"/>
      <c r="AIT248" s="150"/>
      <c r="AIU248" s="150"/>
      <c r="AIV248" s="150"/>
    </row>
    <row r="249" spans="2:932" x14ac:dyDescent="0.25">
      <c r="B249" s="704">
        <v>6</v>
      </c>
      <c r="C249" s="515" t="s">
        <v>13</v>
      </c>
      <c r="D249" s="626"/>
      <c r="E249" s="76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697"/>
      <c r="S249" s="621" t="s">
        <v>133</v>
      </c>
      <c r="T249" s="680" t="s">
        <v>133</v>
      </c>
      <c r="U249" s="767" t="s">
        <v>133</v>
      </c>
      <c r="W249" s="1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Q249" s="62"/>
      <c r="AW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CZ249" s="1"/>
    </row>
    <row r="250" spans="2:932" ht="16.5" x14ac:dyDescent="0.25">
      <c r="B250" s="709"/>
      <c r="C250" s="559" t="s">
        <v>12</v>
      </c>
      <c r="D250" s="627">
        <v>750</v>
      </c>
      <c r="E250" s="560" t="s">
        <v>347</v>
      </c>
      <c r="F250" s="568">
        <f>'Januari 2026 PMG 2'!AM271+'Januari 2026 PMG 1'!AM271</f>
        <v>1609.5772727272729</v>
      </c>
      <c r="G250" s="568"/>
      <c r="H250" s="568"/>
      <c r="I250" s="568"/>
      <c r="J250" s="568"/>
      <c r="K250" s="568"/>
      <c r="L250" s="568"/>
      <c r="M250" s="568"/>
      <c r="N250" s="568"/>
      <c r="O250" s="568"/>
      <c r="P250" s="568"/>
      <c r="Q250" s="568"/>
      <c r="S250" s="628">
        <f>SUM(F250:Q250)</f>
        <v>1609.5772727272729</v>
      </c>
      <c r="T250" s="684">
        <v>232503.81</v>
      </c>
      <c r="U250" s="755">
        <f>S250/T250*100</f>
        <v>0.69227995563912392</v>
      </c>
      <c r="V250" s="790"/>
      <c r="W250" s="1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Q250" s="62"/>
      <c r="AW250" s="171">
        <f>AV250/4</f>
        <v>0</v>
      </c>
      <c r="BC250" s="143"/>
      <c r="BD250" s="143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CG250" s="143"/>
      <c r="CZ250" s="1"/>
      <c r="DO250" s="511"/>
      <c r="DP250" s="143"/>
      <c r="DQ250" s="143"/>
      <c r="DR250" s="143"/>
      <c r="DS250" s="143"/>
      <c r="FV250" s="143"/>
      <c r="JQ250" s="143"/>
      <c r="JR250" s="143"/>
      <c r="JS250" s="143"/>
      <c r="JT250" s="143"/>
      <c r="OX250" s="143"/>
      <c r="OY250" s="143"/>
      <c r="PA250" s="143"/>
      <c r="PO250" s="504"/>
      <c r="PS250" s="143"/>
      <c r="RV250" s="504"/>
      <c r="AHE250" s="143"/>
      <c r="AIT250" s="143"/>
      <c r="AIU250" s="143"/>
      <c r="AIV250" s="143"/>
    </row>
    <row r="251" spans="2:932" x14ac:dyDescent="0.25">
      <c r="B251" s="709"/>
      <c r="C251" s="629" t="s">
        <v>11</v>
      </c>
      <c r="D251" s="630"/>
      <c r="E251" s="433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S251" s="690" t="s">
        <v>11</v>
      </c>
      <c r="T251" s="685" t="s">
        <v>11</v>
      </c>
      <c r="U251" s="769" t="s">
        <v>11</v>
      </c>
      <c r="W251" s="1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Q251" s="62"/>
      <c r="AW251" s="16"/>
      <c r="BC251" s="143"/>
      <c r="BD251" s="143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CG251" s="143"/>
      <c r="CZ251" s="1"/>
      <c r="DO251" s="511"/>
      <c r="DP251" s="143"/>
      <c r="DQ251" s="143"/>
      <c r="DR251" s="143"/>
      <c r="DS251" s="143"/>
      <c r="FV251" s="143"/>
      <c r="JQ251" s="143"/>
      <c r="JR251" s="143"/>
      <c r="JS251" s="143"/>
      <c r="JT251" s="143"/>
      <c r="OX251" s="143"/>
      <c r="OY251" s="143"/>
      <c r="PA251" s="143"/>
      <c r="PO251" s="504"/>
      <c r="PS251" s="143"/>
      <c r="RV251" s="504"/>
      <c r="AHE251" s="143"/>
      <c r="AIT251" s="143"/>
      <c r="AIU251" s="143"/>
      <c r="AIV251" s="143"/>
    </row>
    <row r="252" spans="2:932" ht="16.5" x14ac:dyDescent="0.25">
      <c r="B252" s="709"/>
      <c r="C252" s="559" t="s">
        <v>10</v>
      </c>
      <c r="D252" s="631">
        <v>91.5</v>
      </c>
      <c r="E252" s="560" t="s">
        <v>347</v>
      </c>
      <c r="F252" s="1967">
        <f>'Januari 2026 PMG 2'!AM255+'Januari 2026 PMG 1'!AM255</f>
        <v>3314560</v>
      </c>
      <c r="G252" s="29"/>
      <c r="H252" s="1967"/>
      <c r="I252" s="29"/>
      <c r="J252" s="29"/>
      <c r="K252" s="29"/>
      <c r="L252" s="29"/>
      <c r="M252" s="29"/>
      <c r="N252" s="29"/>
      <c r="O252" s="29"/>
      <c r="P252" s="29"/>
      <c r="Q252" s="29"/>
      <c r="S252" s="632">
        <f>SUM(F252:Q252)</f>
        <v>3314560</v>
      </c>
      <c r="T252" s="686">
        <v>18496.169999999998</v>
      </c>
      <c r="U252" s="770">
        <f>S252/T252*100</f>
        <v>17920.2505167286</v>
      </c>
      <c r="V252" s="633"/>
      <c r="W252" s="1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Q252" s="62"/>
      <c r="AW252" s="16"/>
      <c r="BC252" s="143"/>
      <c r="BD252" s="143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CG252" s="143"/>
      <c r="CZ252" s="1"/>
      <c r="DO252" s="511"/>
      <c r="DP252" s="143"/>
      <c r="DQ252" s="143"/>
      <c r="DR252" s="143"/>
      <c r="DS252" s="143"/>
      <c r="FV252" s="143"/>
      <c r="JQ252" s="143"/>
      <c r="JR252" s="143"/>
      <c r="JS252" s="143"/>
      <c r="JT252" s="143"/>
      <c r="OX252" s="143"/>
      <c r="OY252" s="143"/>
      <c r="PA252" s="143"/>
      <c r="PO252" s="504"/>
      <c r="PS252" s="143"/>
      <c r="RV252" s="504"/>
      <c r="AFQ252" s="634" t="e">
        <f>#REF!-S252</f>
        <v>#REF!</v>
      </c>
      <c r="AHE252" s="143"/>
      <c r="AIT252" s="143"/>
      <c r="AIU252" s="143"/>
      <c r="AIV252" s="143"/>
    </row>
    <row r="253" spans="2:932" ht="16.5" x14ac:dyDescent="0.25">
      <c r="B253" s="709"/>
      <c r="C253" s="559" t="s">
        <v>9</v>
      </c>
      <c r="D253" s="631">
        <v>179.63</v>
      </c>
      <c r="E253" s="560" t="s">
        <v>347</v>
      </c>
      <c r="F253" s="29">
        <f>'Januari 2026 PMG 2'!AM275+'Januari 2026 PMG 1'!AM275</f>
        <v>2908</v>
      </c>
      <c r="G253" s="29"/>
      <c r="H253" s="1967"/>
      <c r="I253" s="29"/>
      <c r="J253" s="29"/>
      <c r="K253" s="29"/>
      <c r="L253" s="29"/>
      <c r="M253" s="29"/>
      <c r="N253" s="29"/>
      <c r="O253" s="29"/>
      <c r="P253" s="29"/>
      <c r="Q253" s="29"/>
      <c r="S253" s="632">
        <f>SUM(F253:Q253)</f>
        <v>2908</v>
      </c>
      <c r="T253" s="686">
        <v>31949.61</v>
      </c>
      <c r="U253" s="770">
        <f>S253/T253*100</f>
        <v>9.1018325419308717</v>
      </c>
      <c r="W253" s="1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Q253" s="62"/>
      <c r="AW253" s="16"/>
      <c r="BC253" s="143"/>
      <c r="BD253" s="143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CG253" s="143"/>
      <c r="CZ253" s="1"/>
      <c r="DO253" s="511"/>
      <c r="DP253" s="143"/>
      <c r="DQ253" s="143"/>
      <c r="DR253" s="143"/>
      <c r="DS253" s="143"/>
      <c r="FV253" s="143"/>
      <c r="JQ253" s="143"/>
      <c r="JR253" s="143"/>
      <c r="JS253" s="143"/>
      <c r="JT253" s="143"/>
      <c r="OX253" s="143"/>
      <c r="OY253" s="143"/>
      <c r="PA253" s="143"/>
      <c r="PO253" s="504"/>
      <c r="PS253" s="143"/>
      <c r="RV253" s="504"/>
      <c r="AFQ253" s="634" t="e">
        <f>#REF!-S253</f>
        <v>#REF!</v>
      </c>
      <c r="AHE253" s="143"/>
      <c r="AIT253" s="143"/>
      <c r="AIU253" s="143"/>
      <c r="AIV253" s="143"/>
    </row>
    <row r="254" spans="2:932" ht="16.5" x14ac:dyDescent="0.25">
      <c r="B254" s="709"/>
      <c r="C254" s="559" t="s">
        <v>8</v>
      </c>
      <c r="D254" s="627">
        <f>44.69%*D250</f>
        <v>335.17499999999995</v>
      </c>
      <c r="E254" s="560" t="s">
        <v>347</v>
      </c>
      <c r="F254" s="270">
        <f>'Januari 2026 PMG 2'!AM277+'Januari 2026 PMG 1'!AM277</f>
        <v>7946.9</v>
      </c>
      <c r="G254" s="270"/>
      <c r="H254" s="1966"/>
      <c r="I254" s="270"/>
      <c r="J254" s="270"/>
      <c r="K254" s="270"/>
      <c r="L254" s="270"/>
      <c r="M254" s="270"/>
      <c r="N254" s="270"/>
      <c r="O254" s="270"/>
      <c r="P254" s="270"/>
      <c r="Q254" s="270"/>
      <c r="S254" s="632">
        <f>SUM(F254:Q254)</f>
        <v>7946.9</v>
      </c>
      <c r="T254" s="686">
        <v>134857.79999999999</v>
      </c>
      <c r="U254" s="770">
        <f>S254/T254*100</f>
        <v>5.8927996749168381</v>
      </c>
      <c r="V254" s="634"/>
      <c r="W254" s="1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Q254" s="62"/>
      <c r="AW254" s="16"/>
      <c r="BC254" s="143"/>
      <c r="BD254" s="143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CG254" s="143"/>
      <c r="CZ254" s="1"/>
      <c r="DO254" s="511"/>
      <c r="DP254" s="143"/>
      <c r="DQ254" s="143"/>
      <c r="DR254" s="143"/>
      <c r="DS254" s="143"/>
      <c r="FV254" s="143"/>
      <c r="JQ254" s="143"/>
      <c r="JR254" s="143"/>
      <c r="JS254" s="143"/>
      <c r="JT254" s="143"/>
      <c r="OX254" s="143"/>
      <c r="OY254" s="143"/>
      <c r="PA254" s="143"/>
      <c r="PO254" s="504"/>
      <c r="PS254" s="143"/>
      <c r="RV254" s="504"/>
      <c r="AHE254" s="143"/>
      <c r="AIT254" s="143"/>
      <c r="AIU254" s="143"/>
      <c r="AIV254" s="143"/>
    </row>
    <row r="255" spans="2:932" ht="16.5" x14ac:dyDescent="0.25">
      <c r="B255" s="709"/>
      <c r="C255" s="559" t="s">
        <v>7</v>
      </c>
      <c r="D255" s="627">
        <f>D250-SUM(D252:D254)</f>
        <v>143.69500000000005</v>
      </c>
      <c r="E255" s="560" t="s">
        <v>347</v>
      </c>
      <c r="F255" s="270">
        <f>'Januari 2026 PMG 2'!AM278+'Januari 2026 PMG 1'!AM278</f>
        <v>8287.1</v>
      </c>
      <c r="G255" s="270"/>
      <c r="H255" s="1966"/>
      <c r="I255" s="270"/>
      <c r="J255" s="270"/>
      <c r="K255" s="270"/>
      <c r="L255" s="270"/>
      <c r="M255" s="270"/>
      <c r="N255" s="270"/>
      <c r="O255" s="270"/>
      <c r="P255" s="270"/>
      <c r="Q255" s="270"/>
      <c r="S255" s="632">
        <f>SUM(F255:Q255)</f>
        <v>8287.1</v>
      </c>
      <c r="T255" s="686">
        <f>143.7*231</f>
        <v>33194.699999999997</v>
      </c>
      <c r="U255" s="770">
        <f>S255/T255*100</f>
        <v>24.965129975568392</v>
      </c>
      <c r="V255" s="791"/>
      <c r="W255" s="1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Q255" s="62"/>
      <c r="AW255" s="16"/>
      <c r="BC255" s="143"/>
      <c r="BD255" s="143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CG255" s="143"/>
      <c r="CZ255" s="1"/>
      <c r="DO255" s="511"/>
      <c r="DP255" s="143"/>
      <c r="DQ255" s="143"/>
      <c r="DR255" s="143"/>
      <c r="DS255" s="143"/>
      <c r="FV255" s="143"/>
      <c r="JQ255" s="143"/>
      <c r="JR255" s="143"/>
      <c r="JS255" s="143"/>
      <c r="JT255" s="143"/>
      <c r="OX255" s="143"/>
      <c r="OY255" s="143"/>
      <c r="PA255" s="143"/>
      <c r="PO255" s="504"/>
      <c r="PS255" s="143"/>
      <c r="RV255" s="504"/>
      <c r="AHE255" s="143"/>
      <c r="AIT255" s="143"/>
      <c r="AIU255" s="143"/>
      <c r="AIV255" s="143"/>
    </row>
    <row r="256" spans="2:932" ht="16.5" x14ac:dyDescent="0.25">
      <c r="B256" s="709"/>
      <c r="C256" s="559" t="s">
        <v>6</v>
      </c>
      <c r="D256" s="627">
        <f>30%*D250</f>
        <v>225</v>
      </c>
      <c r="E256" s="560" t="s">
        <v>347</v>
      </c>
      <c r="F256" s="270">
        <f>'Januari 2026 PMG 2'!AM279+'Januari 2026 PMG 1'!AM279</f>
        <v>5694</v>
      </c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S256" s="632">
        <f>SUM(F256:Q256)</f>
        <v>5694</v>
      </c>
      <c r="T256" s="686">
        <v>47200.23</v>
      </c>
      <c r="U256" s="770">
        <f>S256/T256*100</f>
        <v>12.063500538027039</v>
      </c>
      <c r="W256" s="1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Q256" s="62"/>
      <c r="AW256" s="16"/>
      <c r="BC256" s="143"/>
      <c r="BD256" s="143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CG256" s="143"/>
      <c r="CZ256" s="1"/>
      <c r="DO256" s="511"/>
      <c r="DP256" s="143"/>
      <c r="DQ256" s="143"/>
      <c r="DR256" s="143"/>
      <c r="DS256" s="143"/>
      <c r="FV256" s="143"/>
      <c r="JQ256" s="143"/>
      <c r="JR256" s="143"/>
      <c r="JS256" s="143"/>
      <c r="JT256" s="143"/>
      <c r="OX256" s="143"/>
      <c r="OY256" s="143"/>
      <c r="PA256" s="143"/>
      <c r="PO256" s="504"/>
      <c r="PS256" s="143"/>
      <c r="RV256" s="504"/>
      <c r="AHE256" s="143"/>
      <c r="AIT256" s="143"/>
      <c r="AIU256" s="143"/>
      <c r="AIV256" s="143"/>
    </row>
    <row r="257" spans="2:105" x14ac:dyDescent="0.25">
      <c r="B257" s="2301">
        <v>7</v>
      </c>
      <c r="C257" s="515" t="s">
        <v>5</v>
      </c>
      <c r="D257" s="626"/>
      <c r="E257" s="76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697"/>
      <c r="S257" s="635" t="s">
        <v>134</v>
      </c>
      <c r="T257" s="687" t="s">
        <v>134</v>
      </c>
      <c r="U257" s="771" t="s">
        <v>134</v>
      </c>
      <c r="W257" s="1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Q257" s="62"/>
      <c r="AW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CZ257" s="1"/>
    </row>
    <row r="258" spans="2:105" x14ac:dyDescent="0.25">
      <c r="B258" s="2302"/>
      <c r="C258" s="636" t="s">
        <v>4</v>
      </c>
      <c r="D258" s="637"/>
      <c r="E258" s="638"/>
      <c r="F258" s="434"/>
      <c r="G258" s="434"/>
      <c r="H258" s="434"/>
      <c r="I258" s="434"/>
      <c r="J258" s="434"/>
      <c r="K258" s="434"/>
      <c r="L258" s="434"/>
      <c r="M258" s="434"/>
      <c r="N258" s="434"/>
      <c r="O258" s="434"/>
      <c r="P258" s="434"/>
      <c r="Q258" s="434"/>
      <c r="R258" s="697"/>
      <c r="S258" s="692" t="s">
        <v>4</v>
      </c>
      <c r="T258" s="677" t="s">
        <v>4</v>
      </c>
      <c r="U258" s="765" t="s">
        <v>4</v>
      </c>
      <c r="W258" s="1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Q258" s="62"/>
      <c r="AW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CZ258" s="1"/>
    </row>
    <row r="259" spans="2:105" x14ac:dyDescent="0.25">
      <c r="B259" s="2302"/>
      <c r="C259" s="517" t="s">
        <v>3</v>
      </c>
      <c r="D259" s="622">
        <v>28770</v>
      </c>
      <c r="E259" s="471" t="s">
        <v>943</v>
      </c>
      <c r="F259" s="2082">
        <f>'Januari 2026 PMG 2'!AM292+'Januari 2026 PMG 1'!AM292</f>
        <v>80.785909090909087</v>
      </c>
      <c r="G259" s="1729"/>
      <c r="H259" s="2082"/>
      <c r="I259" s="584"/>
      <c r="J259" s="434"/>
      <c r="K259" s="2082"/>
      <c r="L259" s="1729"/>
      <c r="M259" s="1729"/>
      <c r="N259" s="1729"/>
      <c r="O259" s="1729"/>
      <c r="P259" s="1729"/>
      <c r="Q259" s="2082"/>
      <c r="R259" s="697"/>
      <c r="S259" s="445">
        <f>SUM(F259:Q259)</f>
        <v>80.785909090909087</v>
      </c>
      <c r="T259" s="647">
        <v>6906893</v>
      </c>
      <c r="U259" s="742">
        <f>S259/T259*100</f>
        <v>1.1696418214515425E-3</v>
      </c>
      <c r="W259" s="1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Q259" s="62"/>
      <c r="AW259" s="171">
        <f>AV259/4</f>
        <v>0</v>
      </c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CZ259" s="1"/>
    </row>
    <row r="260" spans="2:105" ht="15.75" thickBot="1" x14ac:dyDescent="0.3">
      <c r="B260" s="2302"/>
      <c r="C260" s="636" t="s">
        <v>1</v>
      </c>
      <c r="D260" s="623"/>
      <c r="E260" s="69" t="s">
        <v>0</v>
      </c>
      <c r="F260" s="583">
        <f>'Januari 2026 PMG 2'!AM293+'Januari 2026 PMG 1'!AM293</f>
        <v>1337700</v>
      </c>
      <c r="G260" s="583"/>
      <c r="H260" s="583"/>
      <c r="I260" s="583"/>
      <c r="J260" s="583"/>
      <c r="K260" s="583"/>
      <c r="L260" s="583"/>
      <c r="M260" s="583"/>
      <c r="N260" s="583"/>
      <c r="O260" s="583"/>
      <c r="P260" s="583"/>
      <c r="Q260" s="583"/>
      <c r="R260" s="698"/>
      <c r="S260" s="625">
        <f>SUM(F260:Q260)</f>
        <v>1337700</v>
      </c>
      <c r="T260" s="640">
        <v>9666771</v>
      </c>
      <c r="U260" s="772">
        <f>S260/T260*100</f>
        <v>13.838126505738057</v>
      </c>
      <c r="V260" s="410"/>
      <c r="W260" s="1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Q260" s="62"/>
      <c r="AW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CZ260" s="1"/>
    </row>
    <row r="261" spans="2:105" x14ac:dyDescent="0.25">
      <c r="B261" s="2302"/>
      <c r="C261" s="720" t="s">
        <v>16</v>
      </c>
      <c r="D261" s="725"/>
      <c r="E261" s="725"/>
      <c r="F261" s="527"/>
      <c r="G261" s="726"/>
      <c r="H261" s="726"/>
      <c r="I261" s="527"/>
      <c r="J261" s="726"/>
      <c r="K261" s="726"/>
      <c r="L261" s="527"/>
      <c r="M261" s="527"/>
      <c r="N261" s="527"/>
      <c r="O261" s="527"/>
      <c r="P261" s="527"/>
      <c r="Q261" s="527"/>
      <c r="R261" s="725"/>
      <c r="S261" s="123" t="s">
        <v>16</v>
      </c>
      <c r="AN261" s="62"/>
      <c r="AO261" s="773"/>
      <c r="AP261" s="62"/>
      <c r="AR261" s="62"/>
      <c r="BW261" s="1"/>
      <c r="BX261" s="1"/>
      <c r="BY261" s="1"/>
      <c r="DA261" s="1"/>
    </row>
    <row r="262" spans="2:105" ht="15.75" thickBot="1" x14ac:dyDescent="0.3">
      <c r="B262" s="2302"/>
      <c r="C262" s="721" t="s">
        <v>118</v>
      </c>
      <c r="D262" s="723">
        <v>5404.17</v>
      </c>
      <c r="E262" s="724" t="s">
        <v>2</v>
      </c>
      <c r="F262" s="796">
        <f>'Januari 2026 PMG 2'!AM298+'Januari 2026 PMG 1'!AM298</f>
        <v>250620.34</v>
      </c>
      <c r="G262" s="527"/>
      <c r="H262" s="527"/>
      <c r="I262" s="527"/>
      <c r="J262" s="527"/>
      <c r="K262" s="527"/>
      <c r="L262" s="796"/>
      <c r="M262" s="796"/>
      <c r="N262" s="796"/>
      <c r="O262" s="796"/>
      <c r="P262" s="796"/>
      <c r="Q262" s="796"/>
      <c r="R262" s="725"/>
      <c r="S262" s="625">
        <f>SUM(E262:Q262)</f>
        <v>250620.34</v>
      </c>
      <c r="T262" s="639">
        <f>SUM(F262:R262)</f>
        <v>250620.34</v>
      </c>
    </row>
    <row r="263" spans="2:105" ht="15.75" thickBot="1" x14ac:dyDescent="0.3">
      <c r="B263" s="2302"/>
      <c r="C263" s="721" t="s">
        <v>119</v>
      </c>
      <c r="D263" s="723">
        <v>3850.42</v>
      </c>
      <c r="E263" s="724" t="s">
        <v>2</v>
      </c>
      <c r="F263" s="2083">
        <f>'Januari 2026 PMG 2'!AM296+'Januari 2026 PMG 1'!AM296</f>
        <v>293917</v>
      </c>
      <c r="G263" s="527"/>
      <c r="H263" s="527"/>
      <c r="I263" s="527"/>
      <c r="J263" s="527"/>
      <c r="K263" s="527"/>
      <c r="L263" s="796"/>
      <c r="M263" s="796"/>
      <c r="N263" s="796"/>
      <c r="O263" s="796"/>
      <c r="P263" s="796"/>
      <c r="Q263" s="2083"/>
      <c r="R263" s="725"/>
      <c r="S263" s="625">
        <f>SUM(E263:Q263)</f>
        <v>293917</v>
      </c>
      <c r="T263" s="640">
        <f>SUM(F263:R263)</f>
        <v>293917</v>
      </c>
    </row>
    <row r="264" spans="2:105" ht="15.75" thickBot="1" x14ac:dyDescent="0.3">
      <c r="B264" s="2302"/>
      <c r="C264" s="722" t="s">
        <v>15</v>
      </c>
      <c r="D264" s="723"/>
      <c r="E264" s="725"/>
      <c r="F264" s="796"/>
      <c r="G264" s="527"/>
      <c r="H264" s="527"/>
      <c r="I264" s="527"/>
      <c r="J264" s="527"/>
      <c r="K264" s="527"/>
      <c r="L264" s="796"/>
      <c r="M264" s="796"/>
      <c r="N264" s="796"/>
      <c r="O264" s="796"/>
      <c r="P264" s="796"/>
      <c r="Q264" s="796"/>
      <c r="R264" s="725"/>
      <c r="S264" s="124" t="s">
        <v>15</v>
      </c>
    </row>
    <row r="265" spans="2:105" ht="15.75" thickBot="1" x14ac:dyDescent="0.3">
      <c r="B265" s="2302"/>
      <c r="C265" s="721" t="s">
        <v>120</v>
      </c>
      <c r="D265" s="723">
        <v>5759.67</v>
      </c>
      <c r="E265" s="724" t="s">
        <v>2</v>
      </c>
      <c r="F265" s="796">
        <f>'Januari 2026 PMG 2'!AM303+'Januari 2026 PMG 1'!AM303</f>
        <v>208471.1</v>
      </c>
      <c r="G265" s="527"/>
      <c r="H265" s="527"/>
      <c r="I265" s="527"/>
      <c r="J265" s="527"/>
      <c r="K265" s="527"/>
      <c r="L265" s="796"/>
      <c r="M265" s="796"/>
      <c r="N265" s="796"/>
      <c r="O265" s="796"/>
      <c r="P265" s="796"/>
      <c r="Q265" s="796"/>
      <c r="R265" s="725"/>
      <c r="S265" s="625">
        <f>SUM(E265:Q265)</f>
        <v>208471.1</v>
      </c>
      <c r="T265" s="641">
        <f>SUM(F265:R265)</f>
        <v>208471.1</v>
      </c>
    </row>
    <row r="266" spans="2:105" ht="15.75" thickBot="1" x14ac:dyDescent="0.3">
      <c r="B266" s="2303"/>
      <c r="C266" s="2086" t="s">
        <v>119</v>
      </c>
      <c r="D266" s="2087">
        <v>1308.96</v>
      </c>
      <c r="E266" s="2088" t="s">
        <v>2</v>
      </c>
      <c r="F266" s="2089">
        <f>'Januari 2026 PMG 2'!AM301+'Januari 2026 PMG 1'!AM301</f>
        <v>229862</v>
      </c>
      <c r="G266" s="715"/>
      <c r="H266" s="715"/>
      <c r="I266" s="715"/>
      <c r="J266" s="715"/>
      <c r="K266" s="715"/>
      <c r="L266" s="2089"/>
      <c r="M266" s="2089"/>
      <c r="N266" s="2089"/>
      <c r="O266" s="2089"/>
      <c r="P266" s="2089"/>
      <c r="Q266" s="2089"/>
      <c r="R266" s="725"/>
      <c r="S266" s="2084">
        <f>SUM(E266:Q266)</f>
        <v>229862</v>
      </c>
      <c r="T266" s="640">
        <f>SUM(F266:R266)</f>
        <v>229862</v>
      </c>
    </row>
    <row r="267" spans="2:105" hidden="1" x14ac:dyDescent="0.25">
      <c r="B267" s="2090"/>
      <c r="C267" s="722" t="s">
        <v>7</v>
      </c>
      <c r="D267" s="723"/>
      <c r="E267" s="725"/>
      <c r="F267" s="796"/>
      <c r="G267" s="527"/>
      <c r="H267" s="527"/>
      <c r="I267" s="527"/>
      <c r="J267" s="527"/>
      <c r="K267" s="527"/>
      <c r="L267" s="796"/>
      <c r="M267" s="796"/>
      <c r="N267" s="796"/>
      <c r="O267" s="796"/>
      <c r="P267" s="796"/>
      <c r="Q267" s="796"/>
      <c r="R267" s="725"/>
      <c r="S267" s="124" t="s">
        <v>7</v>
      </c>
      <c r="AK267" s="428"/>
      <c r="AL267" s="428"/>
      <c r="AM267" s="428"/>
    </row>
    <row r="268" spans="2:105" ht="15.75" hidden="1" thickBot="1" x14ac:dyDescent="0.3">
      <c r="B268" s="2090"/>
      <c r="C268" s="721" t="s">
        <v>121</v>
      </c>
      <c r="D268" s="723">
        <v>11.81</v>
      </c>
      <c r="E268" s="724" t="s">
        <v>2</v>
      </c>
      <c r="F268" s="796"/>
      <c r="G268" s="527"/>
      <c r="H268" s="527"/>
      <c r="I268" s="527"/>
      <c r="J268" s="527"/>
      <c r="K268" s="527"/>
      <c r="L268" s="796"/>
      <c r="M268" s="796"/>
      <c r="N268" s="796"/>
      <c r="O268" s="796"/>
      <c r="P268" s="796"/>
      <c r="Q268" s="796"/>
      <c r="R268" s="725"/>
      <c r="S268" s="625">
        <f>SUM(E268:Q268)</f>
        <v>0</v>
      </c>
      <c r="T268" s="641">
        <f>SUM(F268:R268)</f>
        <v>0</v>
      </c>
      <c r="AK268" s="428"/>
      <c r="AL268" s="428"/>
      <c r="AM268" s="428"/>
    </row>
    <row r="269" spans="2:105" ht="15.75" hidden="1" thickBot="1" x14ac:dyDescent="0.3">
      <c r="B269" s="2091"/>
      <c r="C269" s="2086" t="s">
        <v>122</v>
      </c>
      <c r="D269" s="2087">
        <v>241.12</v>
      </c>
      <c r="E269" s="2088" t="s">
        <v>2</v>
      </c>
      <c r="F269" s="2089"/>
      <c r="G269" s="715"/>
      <c r="H269" s="715"/>
      <c r="I269" s="715"/>
      <c r="J269" s="715"/>
      <c r="K269" s="715"/>
      <c r="L269" s="2089"/>
      <c r="M269" s="2089"/>
      <c r="N269" s="2089"/>
      <c r="O269" s="2089"/>
      <c r="P269" s="2089"/>
      <c r="Q269" s="2089"/>
      <c r="R269" s="2038"/>
      <c r="S269" s="727">
        <f>SUM(E269:Q269)</f>
        <v>0</v>
      </c>
      <c r="T269" s="640">
        <f>SUM(F269:R269)</f>
        <v>0</v>
      </c>
      <c r="AK269" s="428"/>
      <c r="AL269" s="428"/>
      <c r="AM269" s="428"/>
    </row>
    <row r="270" spans="2:105" x14ac:dyDescent="0.25">
      <c r="I270" s="1"/>
      <c r="AJ270" s="4"/>
      <c r="AK270" s="4"/>
    </row>
    <row r="271" spans="2:105" x14ac:dyDescent="0.25">
      <c r="I271" s="1"/>
      <c r="AJ271" s="4"/>
      <c r="AK271" s="4"/>
    </row>
    <row r="272" spans="2:105" x14ac:dyDescent="0.25">
      <c r="I272" s="1"/>
    </row>
  </sheetData>
  <mergeCells count="13">
    <mergeCell ref="B257:B266"/>
    <mergeCell ref="B6:B74"/>
    <mergeCell ref="AE37:AF37"/>
    <mergeCell ref="AE40:AF40"/>
    <mergeCell ref="AG40:AK40"/>
    <mergeCell ref="B75:B81"/>
    <mergeCell ref="AE39:AF39"/>
    <mergeCell ref="B2:S2"/>
    <mergeCell ref="B4:B5"/>
    <mergeCell ref="C4:C5"/>
    <mergeCell ref="D4:D5"/>
    <mergeCell ref="E4:E5"/>
    <mergeCell ref="F4:Q4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AT53"/>
  <sheetViews>
    <sheetView topLeftCell="E1" workbookViewId="0">
      <selection activeCell="F28" sqref="F28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48.42578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2309" t="s">
        <v>837</v>
      </c>
      <c r="G2" s="2309"/>
      <c r="H2" s="2309"/>
      <c r="I2" s="2309"/>
      <c r="J2" s="2309"/>
      <c r="K2" s="1520"/>
      <c r="L2" s="1520"/>
      <c r="M2" s="1520"/>
    </row>
    <row r="3" spans="3:46" s="16" customFormat="1" x14ac:dyDescent="0.2">
      <c r="C3" s="1"/>
      <c r="F3" s="1521"/>
      <c r="G3" s="1522"/>
      <c r="H3" s="1523"/>
    </row>
    <row r="4" spans="3:46" s="16" customFormat="1" ht="15" thickBot="1" x14ac:dyDescent="0.3">
      <c r="F4" s="1524" t="s">
        <v>838</v>
      </c>
      <c r="G4" s="1522"/>
      <c r="H4" s="1523"/>
    </row>
    <row r="5" spans="3:46" s="16" customFormat="1" ht="15" customHeight="1" thickTop="1" thickBot="1" x14ac:dyDescent="0.3">
      <c r="F5" s="2310" t="s">
        <v>173</v>
      </c>
      <c r="G5" s="2312" t="s">
        <v>839</v>
      </c>
      <c r="H5" s="2314" t="s">
        <v>840</v>
      </c>
      <c r="I5" s="2316" t="s">
        <v>841</v>
      </c>
      <c r="J5" s="2317"/>
      <c r="K5" s="2318"/>
      <c r="L5" s="1526"/>
      <c r="M5" s="511" t="s">
        <v>842</v>
      </c>
    </row>
    <row r="6" spans="3:46" s="16" customFormat="1" ht="16.5" thickTop="1" thickBot="1" x14ac:dyDescent="0.3">
      <c r="F6" s="2311"/>
      <c r="G6" s="2313"/>
      <c r="H6" s="2315"/>
      <c r="I6" s="1527" t="s">
        <v>843</v>
      </c>
      <c r="J6" s="1528" t="s">
        <v>844</v>
      </c>
      <c r="K6" s="1527" t="s">
        <v>25</v>
      </c>
      <c r="L6" s="1526"/>
      <c r="M6" s="1526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29">
        <v>1</v>
      </c>
      <c r="G7" s="1530">
        <v>1329220</v>
      </c>
      <c r="H7" s="1531" t="s">
        <v>845</v>
      </c>
      <c r="I7" s="1532"/>
      <c r="J7" s="1532">
        <f t="shared" ref="J7:J37" si="0">(2200-(G7/1000))/91.7</f>
        <v>9.4959651035986905</v>
      </c>
      <c r="K7" s="1533">
        <f>G7/2200/1000</f>
        <v>0.60419090909090911</v>
      </c>
      <c r="L7" s="1534"/>
      <c r="M7" s="1535">
        <f>(G7/1000)/24</f>
        <v>55.384166666666665</v>
      </c>
      <c r="O7" s="1536">
        <f>249.262+270.9</f>
        <v>520.16200000000003</v>
      </c>
      <c r="P7" s="1537">
        <f>1356.367+39.742</f>
        <v>1396.1089999999999</v>
      </c>
      <c r="Q7" s="1537">
        <f>1086.521+50.6</f>
        <v>1137.1209999999999</v>
      </c>
      <c r="R7" s="1537">
        <f>1353.558+373.309</f>
        <v>1726.867</v>
      </c>
      <c r="S7" s="1536">
        <v>1942.7460000000001</v>
      </c>
      <c r="T7" s="1536">
        <v>1868.212</v>
      </c>
      <c r="U7" s="1536">
        <v>2057.011</v>
      </c>
      <c r="V7" s="1536">
        <v>1781.8440000000001</v>
      </c>
      <c r="W7" s="1538">
        <v>1250.7639999999999</v>
      </c>
      <c r="X7" s="1538">
        <v>1613.4860000000001</v>
      </c>
      <c r="Y7" s="1538">
        <v>1325.077</v>
      </c>
      <c r="Z7" s="1536">
        <f>66.442+571.568</f>
        <v>638.01</v>
      </c>
      <c r="AA7" s="1536">
        <f>815.429</f>
        <v>815.42899999999997</v>
      </c>
      <c r="AB7" s="1538">
        <f>352.234+731.627</f>
        <v>1083.8609999999999</v>
      </c>
      <c r="AC7" s="1536">
        <f>1626.002+13.213</f>
        <v>1639.2149999999999</v>
      </c>
      <c r="AD7" s="1536">
        <v>2094.7910000000002</v>
      </c>
      <c r="AE7" s="1538">
        <v>2075.375</v>
      </c>
      <c r="AF7" s="1538">
        <v>2008.8040000000001</v>
      </c>
      <c r="AG7" s="1538">
        <v>1946.712</v>
      </c>
      <c r="AH7" s="1538">
        <v>1998.9390000000001</v>
      </c>
      <c r="AI7" s="1536">
        <f>1623.839+281.468</f>
        <v>1905.307</v>
      </c>
      <c r="AJ7" s="1536">
        <v>1610.0239999999999</v>
      </c>
      <c r="AK7" s="1536">
        <f>1135.181+98.368</f>
        <v>1233.549</v>
      </c>
      <c r="AL7" s="1536">
        <f>958.893+543.852</f>
        <v>1502.7449999999999</v>
      </c>
      <c r="AM7" s="1536">
        <v>2043.15</v>
      </c>
      <c r="AN7" s="1536">
        <v>1762.6420000000001</v>
      </c>
      <c r="AO7" s="1536">
        <v>2170.3359999999998</v>
      </c>
      <c r="AP7" s="1536">
        <f>1181.38+463.711</f>
        <v>1645.0910000000001</v>
      </c>
      <c r="AQ7" s="1536">
        <v>219.47399999999999</v>
      </c>
      <c r="AR7" s="1536">
        <f>48.153+1225.968+107.3</f>
        <v>1381.421</v>
      </c>
      <c r="AS7" s="1536"/>
    </row>
    <row r="8" spans="3:46" s="16" customFormat="1" x14ac:dyDescent="0.25">
      <c r="F8" s="1539">
        <v>2</v>
      </c>
      <c r="G8" s="1540">
        <v>1090185</v>
      </c>
      <c r="H8" s="1531" t="s">
        <v>845</v>
      </c>
      <c r="I8" s="1541"/>
      <c r="J8" s="1541">
        <f t="shared" si="0"/>
        <v>12.102671755725192</v>
      </c>
      <c r="K8" s="1542">
        <f>G8/2200/1000</f>
        <v>0.49553863636363638</v>
      </c>
      <c r="L8" s="1534"/>
      <c r="M8" s="1535">
        <f t="shared" ref="M8:M37" si="1">(G8/1000)/24</f>
        <v>45.424374999999998</v>
      </c>
    </row>
    <row r="9" spans="3:46" s="16" customFormat="1" x14ac:dyDescent="0.25">
      <c r="F9" s="1543">
        <v>3</v>
      </c>
      <c r="G9" s="1540">
        <v>0</v>
      </c>
      <c r="H9" s="1531" t="s">
        <v>846</v>
      </c>
      <c r="I9" s="1541"/>
      <c r="J9" s="1541">
        <f t="shared" si="0"/>
        <v>23.991275899672846</v>
      </c>
      <c r="K9" s="1542">
        <f>G9/2200/1000</f>
        <v>0</v>
      </c>
      <c r="L9" s="1534"/>
      <c r="M9" s="1535">
        <f t="shared" si="1"/>
        <v>0</v>
      </c>
    </row>
    <row r="10" spans="3:46" s="16" customFormat="1" x14ac:dyDescent="0.25">
      <c r="F10" s="1543">
        <v>4</v>
      </c>
      <c r="G10" s="1540">
        <v>1214493</v>
      </c>
      <c r="H10" s="1531" t="s">
        <v>845</v>
      </c>
      <c r="I10" s="1541"/>
      <c r="J10" s="1541">
        <f t="shared" si="0"/>
        <v>10.747077426390403</v>
      </c>
      <c r="K10" s="1542">
        <f>G10/2200/1000</f>
        <v>0.55204227272727269</v>
      </c>
      <c r="L10" s="1534"/>
      <c r="M10" s="1535">
        <f t="shared" si="1"/>
        <v>50.603874999999995</v>
      </c>
    </row>
    <row r="11" spans="3:46" s="16" customFormat="1" x14ac:dyDescent="0.25">
      <c r="F11" s="1543">
        <v>5</v>
      </c>
      <c r="G11" s="1540">
        <v>466758</v>
      </c>
      <c r="H11" s="1531" t="s">
        <v>845</v>
      </c>
      <c r="I11" s="1541"/>
      <c r="J11" s="1541">
        <f t="shared" si="0"/>
        <v>18.9012213740458</v>
      </c>
      <c r="K11" s="1542">
        <f>G11/2000/1000</f>
        <v>0.233379</v>
      </c>
      <c r="L11" s="1534"/>
      <c r="M11" s="1535">
        <f t="shared" si="1"/>
        <v>19.448249999999998</v>
      </c>
    </row>
    <row r="12" spans="3:46" s="16" customFormat="1" x14ac:dyDescent="0.25">
      <c r="F12" s="1543">
        <v>6</v>
      </c>
      <c r="G12" s="1540">
        <v>206159</v>
      </c>
      <c r="H12" s="1531" t="s">
        <v>845</v>
      </c>
      <c r="I12" s="1541"/>
      <c r="J12" s="1541">
        <f t="shared" si="0"/>
        <v>21.743086150490729</v>
      </c>
      <c r="K12" s="1542">
        <f t="shared" ref="K12:K37" si="2">G12/2200/1000</f>
        <v>9.3708636363636355E-2</v>
      </c>
      <c r="L12" s="1534"/>
      <c r="M12" s="1535">
        <f t="shared" si="1"/>
        <v>8.5899583333333336</v>
      </c>
      <c r="AT12" s="138"/>
    </row>
    <row r="13" spans="3:46" s="16" customFormat="1" x14ac:dyDescent="0.25">
      <c r="F13" s="1543">
        <v>7</v>
      </c>
      <c r="G13" s="1540">
        <v>630399</v>
      </c>
      <c r="H13" s="1531" t="s">
        <v>845</v>
      </c>
      <c r="I13" s="1541"/>
      <c r="J13" s="1541">
        <f t="shared" si="0"/>
        <v>17.116695747001092</v>
      </c>
      <c r="K13" s="1542">
        <f t="shared" si="2"/>
        <v>0.28654499999999999</v>
      </c>
      <c r="L13" s="1534"/>
      <c r="M13" s="1535">
        <f t="shared" si="1"/>
        <v>26.266625000000001</v>
      </c>
    </row>
    <row r="14" spans="3:46" s="16" customFormat="1" x14ac:dyDescent="0.25">
      <c r="F14" s="1543">
        <v>8</v>
      </c>
      <c r="G14" s="1540">
        <v>326961</v>
      </c>
      <c r="H14" s="1531" t="s">
        <v>845</v>
      </c>
      <c r="I14" s="1541"/>
      <c r="J14" s="1541">
        <f t="shared" si="0"/>
        <v>20.425725190839692</v>
      </c>
      <c r="K14" s="1542">
        <f t="shared" si="2"/>
        <v>0.14861863636363637</v>
      </c>
      <c r="L14" s="1534"/>
      <c r="M14" s="1535">
        <f t="shared" si="1"/>
        <v>13.623375000000001</v>
      </c>
    </row>
    <row r="15" spans="3:46" s="16" customFormat="1" x14ac:dyDescent="0.25">
      <c r="F15" s="1543">
        <v>9</v>
      </c>
      <c r="G15" s="1540">
        <v>783993</v>
      </c>
      <c r="H15" s="1531" t="s">
        <v>845</v>
      </c>
      <c r="I15" s="1541"/>
      <c r="J15" s="1541">
        <f t="shared" si="0"/>
        <v>15.441733914940022</v>
      </c>
      <c r="K15" s="1542">
        <f t="shared" si="2"/>
        <v>0.35636045454545456</v>
      </c>
      <c r="L15" s="1534"/>
      <c r="M15" s="1535">
        <f t="shared" si="1"/>
        <v>32.666375000000002</v>
      </c>
    </row>
    <row r="16" spans="3:46" s="16" customFormat="1" x14ac:dyDescent="0.25">
      <c r="F16" s="1543">
        <v>10</v>
      </c>
      <c r="G16" s="1540">
        <v>529241</v>
      </c>
      <c r="H16" s="1531" t="s">
        <v>845</v>
      </c>
      <c r="I16" s="1541"/>
      <c r="J16" s="1541">
        <f t="shared" si="0"/>
        <v>18.219836423118867</v>
      </c>
      <c r="K16" s="1542">
        <f t="shared" si="2"/>
        <v>0.24056409090909089</v>
      </c>
      <c r="L16" s="1534"/>
      <c r="M16" s="1535">
        <f t="shared" si="1"/>
        <v>22.051708333333334</v>
      </c>
    </row>
    <row r="17" spans="6:13" s="16" customFormat="1" x14ac:dyDescent="0.25">
      <c r="F17" s="1543">
        <v>11</v>
      </c>
      <c r="G17" s="1540">
        <v>1204852</v>
      </c>
      <c r="H17" s="1531" t="s">
        <v>845</v>
      </c>
      <c r="I17" s="1541"/>
      <c r="J17" s="1541">
        <f t="shared" si="0"/>
        <v>10.852213740458014</v>
      </c>
      <c r="K17" s="1542">
        <f t="shared" si="2"/>
        <v>0.54765999999999992</v>
      </c>
      <c r="L17" s="1534"/>
      <c r="M17" s="1535">
        <f t="shared" si="1"/>
        <v>50.20216666666667</v>
      </c>
    </row>
    <row r="18" spans="6:13" s="16" customFormat="1" x14ac:dyDescent="0.25">
      <c r="F18" s="1543">
        <v>12</v>
      </c>
      <c r="G18" s="1540">
        <v>1651432</v>
      </c>
      <c r="H18" s="1531" t="s">
        <v>845</v>
      </c>
      <c r="I18" s="1541"/>
      <c r="J18" s="1541">
        <f t="shared" si="0"/>
        <v>5.9822028353326058</v>
      </c>
      <c r="K18" s="1542">
        <f t="shared" si="2"/>
        <v>0.75065090909090904</v>
      </c>
      <c r="L18" s="1534"/>
      <c r="M18" s="1535">
        <f t="shared" si="1"/>
        <v>68.809666666666672</v>
      </c>
    </row>
    <row r="19" spans="6:13" s="16" customFormat="1" x14ac:dyDescent="0.25">
      <c r="F19" s="1543">
        <v>13</v>
      </c>
      <c r="G19" s="1540">
        <v>1336027</v>
      </c>
      <c r="H19" s="1531" t="s">
        <v>845</v>
      </c>
      <c r="I19" s="1541"/>
      <c r="J19" s="1541">
        <f t="shared" si="0"/>
        <v>9.4217339149400203</v>
      </c>
      <c r="K19" s="1542">
        <f t="shared" si="2"/>
        <v>0.60728499999999996</v>
      </c>
      <c r="L19" s="1534"/>
      <c r="M19" s="1535">
        <f t="shared" si="1"/>
        <v>55.667791666666666</v>
      </c>
    </row>
    <row r="20" spans="6:13" s="16" customFormat="1" x14ac:dyDescent="0.25">
      <c r="F20" s="1543">
        <v>14</v>
      </c>
      <c r="G20" s="1540">
        <v>524254</v>
      </c>
      <c r="H20" s="1531" t="s">
        <v>845</v>
      </c>
      <c r="I20" s="1541"/>
      <c r="J20" s="1541">
        <f t="shared" si="0"/>
        <v>18.274220283533261</v>
      </c>
      <c r="K20" s="1542">
        <f t="shared" si="2"/>
        <v>0.23829727272727275</v>
      </c>
      <c r="L20" s="1534"/>
      <c r="M20" s="1535">
        <f t="shared" si="1"/>
        <v>21.843916666666669</v>
      </c>
    </row>
    <row r="21" spans="6:13" s="16" customFormat="1" x14ac:dyDescent="0.25">
      <c r="F21" s="1543">
        <v>15</v>
      </c>
      <c r="G21" s="1544">
        <v>935273</v>
      </c>
      <c r="H21" s="1531" t="s">
        <v>845</v>
      </c>
      <c r="I21" s="1541"/>
      <c r="J21" s="1541">
        <f t="shared" si="0"/>
        <v>13.792006543075244</v>
      </c>
      <c r="K21" s="1542">
        <f t="shared" si="2"/>
        <v>0.42512409090909092</v>
      </c>
      <c r="L21" s="1534"/>
      <c r="M21" s="1535">
        <f t="shared" si="1"/>
        <v>38.969708333333337</v>
      </c>
    </row>
    <row r="22" spans="6:13" s="16" customFormat="1" x14ac:dyDescent="0.25">
      <c r="F22" s="1543">
        <v>16</v>
      </c>
      <c r="G22" s="1540">
        <v>1014253</v>
      </c>
      <c r="H22" s="1531" t="s">
        <v>845</v>
      </c>
      <c r="I22" s="1541"/>
      <c r="J22" s="1541">
        <f t="shared" si="0"/>
        <v>12.930719738276988</v>
      </c>
      <c r="K22" s="1542">
        <f t="shared" si="2"/>
        <v>0.46102409090909091</v>
      </c>
      <c r="L22" s="1534"/>
      <c r="M22" s="1535">
        <f t="shared" si="1"/>
        <v>42.260541666666668</v>
      </c>
    </row>
    <row r="23" spans="6:13" s="16" customFormat="1" x14ac:dyDescent="0.25">
      <c r="F23" s="1543">
        <v>17</v>
      </c>
      <c r="G23" s="1545">
        <v>805977</v>
      </c>
      <c r="H23" s="1531" t="s">
        <v>845</v>
      </c>
      <c r="I23" s="1541"/>
      <c r="J23" s="1541">
        <f t="shared" si="0"/>
        <v>15.201995637949837</v>
      </c>
      <c r="K23" s="1542">
        <f t="shared" si="2"/>
        <v>0.36635318181818183</v>
      </c>
      <c r="L23" s="1534"/>
      <c r="M23" s="1535">
        <f t="shared" si="1"/>
        <v>33.582374999999999</v>
      </c>
    </row>
    <row r="24" spans="6:13" s="16" customFormat="1" x14ac:dyDescent="0.2">
      <c r="F24" s="1546">
        <v>18</v>
      </c>
      <c r="G24" s="1547">
        <v>893818</v>
      </c>
      <c r="H24" s="1531" t="s">
        <v>845</v>
      </c>
      <c r="I24" s="1541"/>
      <c r="J24" s="1541">
        <f t="shared" si="0"/>
        <v>14.244078516902944</v>
      </c>
      <c r="K24" s="1542">
        <f t="shared" si="2"/>
        <v>0.40628090909090908</v>
      </c>
      <c r="L24" s="1534"/>
      <c r="M24" s="1535">
        <f t="shared" si="1"/>
        <v>37.242416666666664</v>
      </c>
    </row>
    <row r="25" spans="6:13" s="16" customFormat="1" x14ac:dyDescent="0.2">
      <c r="F25" s="1546">
        <v>19</v>
      </c>
      <c r="G25" s="1547">
        <v>587447</v>
      </c>
      <c r="H25" s="1531" t="s">
        <v>845</v>
      </c>
      <c r="I25" s="1541"/>
      <c r="J25" s="1541">
        <f t="shared" si="0"/>
        <v>17.585092693565976</v>
      </c>
      <c r="K25" s="1542">
        <f t="shared" si="2"/>
        <v>0.26702136363636364</v>
      </c>
      <c r="L25" s="1534"/>
      <c r="M25" s="1535">
        <f t="shared" si="1"/>
        <v>24.476958333333332</v>
      </c>
    </row>
    <row r="26" spans="6:13" s="16" customFormat="1" x14ac:dyDescent="0.25">
      <c r="F26" s="1546">
        <v>20</v>
      </c>
      <c r="G26" s="1540">
        <v>0</v>
      </c>
      <c r="H26" s="1531" t="s">
        <v>846</v>
      </c>
      <c r="I26" s="1541"/>
      <c r="J26" s="1541">
        <f t="shared" si="0"/>
        <v>23.991275899672846</v>
      </c>
      <c r="K26" s="1542">
        <f t="shared" si="2"/>
        <v>0</v>
      </c>
      <c r="L26" s="1534"/>
      <c r="M26" s="1535">
        <f t="shared" si="1"/>
        <v>0</v>
      </c>
    </row>
    <row r="27" spans="6:13" s="16" customFormat="1" x14ac:dyDescent="0.25">
      <c r="F27" s="1546">
        <v>21</v>
      </c>
      <c r="G27" s="1540">
        <v>0</v>
      </c>
      <c r="H27" s="1531" t="s">
        <v>846</v>
      </c>
      <c r="I27" s="1541"/>
      <c r="J27" s="1541">
        <f t="shared" si="0"/>
        <v>23.991275899672846</v>
      </c>
      <c r="K27" s="1542">
        <f t="shared" si="2"/>
        <v>0</v>
      </c>
      <c r="L27" s="1534"/>
      <c r="M27" s="1535">
        <f t="shared" si="1"/>
        <v>0</v>
      </c>
    </row>
    <row r="28" spans="6:13" s="16" customFormat="1" x14ac:dyDescent="0.25">
      <c r="F28" s="1546">
        <v>22</v>
      </c>
      <c r="G28" s="1540">
        <v>868833</v>
      </c>
      <c r="H28" s="1531" t="s">
        <v>845</v>
      </c>
      <c r="I28" s="1541"/>
      <c r="J28" s="1541">
        <f t="shared" si="0"/>
        <v>14.516543075245364</v>
      </c>
      <c r="K28" s="1542">
        <f t="shared" si="2"/>
        <v>0.39492409090909092</v>
      </c>
      <c r="L28" s="1534"/>
      <c r="M28" s="1535">
        <f t="shared" si="1"/>
        <v>36.201374999999999</v>
      </c>
    </row>
    <row r="29" spans="6:13" s="16" customFormat="1" x14ac:dyDescent="0.25">
      <c r="F29" s="1546">
        <v>23</v>
      </c>
      <c r="G29" s="1540">
        <v>648855</v>
      </c>
      <c r="H29" s="1531" t="s">
        <v>845</v>
      </c>
      <c r="I29" s="1541"/>
      <c r="J29" s="1541">
        <f t="shared" si="0"/>
        <v>16.915430752453652</v>
      </c>
      <c r="K29" s="1542">
        <f t="shared" si="2"/>
        <v>0.2949340909090909</v>
      </c>
      <c r="L29" s="1534"/>
      <c r="M29" s="1535">
        <f t="shared" si="1"/>
        <v>27.035625</v>
      </c>
    </row>
    <row r="30" spans="6:13" s="16" customFormat="1" x14ac:dyDescent="0.25">
      <c r="F30" s="1546">
        <v>24</v>
      </c>
      <c r="G30" s="1540">
        <v>818614</v>
      </c>
      <c r="H30" s="1531" t="s">
        <v>845</v>
      </c>
      <c r="I30" s="1541"/>
      <c r="J30" s="1541">
        <f t="shared" si="0"/>
        <v>15.064187568157033</v>
      </c>
      <c r="K30" s="1542">
        <f t="shared" si="2"/>
        <v>0.37209727272727278</v>
      </c>
      <c r="L30" s="1534"/>
      <c r="M30" s="1535">
        <f t="shared" si="1"/>
        <v>34.108916666666666</v>
      </c>
    </row>
    <row r="31" spans="6:13" s="16" customFormat="1" x14ac:dyDescent="0.25">
      <c r="F31" s="1546">
        <v>25</v>
      </c>
      <c r="G31" s="1540">
        <v>914874</v>
      </c>
      <c r="H31" s="1531" t="s">
        <v>845</v>
      </c>
      <c r="I31" s="1541"/>
      <c r="J31" s="1541">
        <f t="shared" si="0"/>
        <v>14.014460196292257</v>
      </c>
      <c r="K31" s="1542">
        <f t="shared" si="2"/>
        <v>0.41585181818181821</v>
      </c>
      <c r="L31" s="1534"/>
      <c r="M31" s="1535">
        <f t="shared" si="1"/>
        <v>38.119750000000003</v>
      </c>
    </row>
    <row r="32" spans="6:13" s="16" customFormat="1" x14ac:dyDescent="0.25">
      <c r="F32" s="1546">
        <v>26</v>
      </c>
      <c r="G32" s="1540">
        <v>1316808</v>
      </c>
      <c r="H32" s="1531" t="s">
        <v>845</v>
      </c>
      <c r="I32" s="1541"/>
      <c r="J32" s="1541">
        <f t="shared" si="0"/>
        <v>9.6313195201744826</v>
      </c>
      <c r="K32" s="1542">
        <f t="shared" si="2"/>
        <v>0.59854909090909092</v>
      </c>
      <c r="L32" s="1534"/>
      <c r="M32" s="1535">
        <f t="shared" si="1"/>
        <v>54.866999999999997</v>
      </c>
    </row>
    <row r="33" spans="6:16" s="16" customFormat="1" x14ac:dyDescent="0.25">
      <c r="F33" s="1546">
        <v>27</v>
      </c>
      <c r="G33" s="1540">
        <v>929598</v>
      </c>
      <c r="H33" s="1531" t="s">
        <v>845</v>
      </c>
      <c r="I33" s="1541"/>
      <c r="J33" s="1541">
        <f t="shared" si="0"/>
        <v>13.853893129770993</v>
      </c>
      <c r="K33" s="1542">
        <f t="shared" si="2"/>
        <v>0.42254454545454545</v>
      </c>
      <c r="L33" s="1534"/>
      <c r="M33" s="1535">
        <f t="shared" si="1"/>
        <v>38.733249999999998</v>
      </c>
    </row>
    <row r="34" spans="6:16" s="16" customFormat="1" x14ac:dyDescent="0.25">
      <c r="F34" s="1546">
        <v>28</v>
      </c>
      <c r="G34" s="1540">
        <v>303909</v>
      </c>
      <c r="H34" s="1531" t="s">
        <v>845</v>
      </c>
      <c r="I34" s="1541"/>
      <c r="J34" s="1541">
        <f t="shared" si="0"/>
        <v>20.677110141766629</v>
      </c>
      <c r="K34" s="1542">
        <f t="shared" si="2"/>
        <v>0.13814045454545454</v>
      </c>
      <c r="L34" s="1534"/>
      <c r="M34" s="1535">
        <f t="shared" si="1"/>
        <v>12.662875</v>
      </c>
    </row>
    <row r="35" spans="6:16" s="16" customFormat="1" x14ac:dyDescent="0.25">
      <c r="F35" s="1546">
        <v>29</v>
      </c>
      <c r="G35" s="1540">
        <v>1397582</v>
      </c>
      <c r="H35" s="1531" t="s">
        <v>847</v>
      </c>
      <c r="I35" s="1541"/>
      <c r="J35" s="1541">
        <f t="shared" si="0"/>
        <v>8.7504689203925832</v>
      </c>
      <c r="K35" s="1542">
        <f t="shared" si="2"/>
        <v>0.63526454545454547</v>
      </c>
      <c r="L35" s="1534"/>
      <c r="M35" s="1535">
        <f t="shared" si="1"/>
        <v>58.232583333333338</v>
      </c>
    </row>
    <row r="36" spans="6:16" s="16" customFormat="1" x14ac:dyDescent="0.25">
      <c r="F36" s="1548">
        <v>30</v>
      </c>
      <c r="G36" s="1549">
        <v>238757</v>
      </c>
      <c r="H36" s="1531" t="s">
        <v>845</v>
      </c>
      <c r="I36" s="1550"/>
      <c r="J36" s="1541">
        <f t="shared" si="0"/>
        <v>21.387600872410033</v>
      </c>
      <c r="K36" s="1542">
        <f t="shared" si="2"/>
        <v>0.10852590909090909</v>
      </c>
      <c r="L36" s="1534"/>
      <c r="M36" s="1535">
        <f t="shared" si="1"/>
        <v>9.9482083333333335</v>
      </c>
    </row>
    <row r="37" spans="6:16" s="16" customFormat="1" ht="15" thickBot="1" x14ac:dyDescent="0.3">
      <c r="F37" s="1551">
        <v>31</v>
      </c>
      <c r="G37" s="1552">
        <v>498387</v>
      </c>
      <c r="H37" s="1531" t="s">
        <v>845</v>
      </c>
      <c r="I37" s="1553"/>
      <c r="J37" s="1554">
        <f t="shared" si="0"/>
        <v>18.556303162486369</v>
      </c>
      <c r="K37" s="1555">
        <f t="shared" si="2"/>
        <v>0.22653954545454544</v>
      </c>
      <c r="L37" s="1534"/>
      <c r="M37" s="1535">
        <f t="shared" si="1"/>
        <v>20.766124999999999</v>
      </c>
    </row>
    <row r="38" spans="6:16" s="16" customFormat="1" ht="18" customHeight="1" thickTop="1" thickBot="1" x14ac:dyDescent="0.3">
      <c r="F38" s="1525" t="s">
        <v>157</v>
      </c>
      <c r="G38" s="1556">
        <f>SUM(G7:G37)</f>
        <v>23466959</v>
      </c>
      <c r="H38" s="1557"/>
      <c r="I38" s="1558">
        <f>SUM(I7:I36)</f>
        <v>0</v>
      </c>
      <c r="J38" s="1559">
        <f>SUM(J7:J37)</f>
        <v>487.81942202835324</v>
      </c>
      <c r="K38" s="1558"/>
      <c r="L38" s="1560"/>
      <c r="M38" s="1561">
        <f>AVERAGE(M7:M37)</f>
        <v>31.541611559139785</v>
      </c>
    </row>
    <row r="39" spans="6:16" customFormat="1" ht="15.75" thickTop="1" x14ac:dyDescent="0.25">
      <c r="F39" s="1562"/>
      <c r="G39" s="1563"/>
      <c r="H39" s="1564"/>
      <c r="I39" s="1"/>
      <c r="J39" s="1"/>
      <c r="K39" s="1"/>
      <c r="L39" s="1"/>
      <c r="M39" s="1"/>
    </row>
    <row r="40" spans="6:16" s="16" customFormat="1" x14ac:dyDescent="0.25">
      <c r="G40" s="1565" t="s">
        <v>848</v>
      </c>
    </row>
    <row r="41" spans="6:16" s="16" customFormat="1" x14ac:dyDescent="0.25">
      <c r="G41" s="16" t="s">
        <v>849</v>
      </c>
      <c r="I41" s="1535">
        <v>0</v>
      </c>
      <c r="J41" s="16" t="s">
        <v>850</v>
      </c>
      <c r="P41" s="1566"/>
    </row>
    <row r="42" spans="6:16" s="16" customFormat="1" x14ac:dyDescent="0.25">
      <c r="G42" s="16" t="s">
        <v>851</v>
      </c>
      <c r="I42" s="1535">
        <v>0</v>
      </c>
      <c r="J42" s="16" t="s">
        <v>850</v>
      </c>
    </row>
    <row r="43" spans="6:16" s="16" customFormat="1" x14ac:dyDescent="0.25">
      <c r="G43" s="16" t="s">
        <v>852</v>
      </c>
      <c r="I43" s="1535">
        <v>0</v>
      </c>
      <c r="J43" s="16" t="s">
        <v>850</v>
      </c>
    </row>
    <row r="44" spans="6:16" s="16" customFormat="1" x14ac:dyDescent="0.25">
      <c r="G44" s="16" t="s">
        <v>853</v>
      </c>
      <c r="I44" s="1535">
        <f>SUM(J7,J8,J10,J11,J12,J13,J14,J15,J16,J17,J18,J19,J20,J21,J22,J24,J23,J25,J28,J29,J30,J31,J32,J33,J34,J35,J36,J37)</f>
        <v>415.84559432933463</v>
      </c>
      <c r="J44" s="16" t="s">
        <v>850</v>
      </c>
    </row>
    <row r="45" spans="6:16" s="16" customFormat="1" x14ac:dyDescent="0.25">
      <c r="G45" s="16" t="s">
        <v>854</v>
      </c>
      <c r="I45" s="1567"/>
      <c r="J45" s="16" t="s">
        <v>850</v>
      </c>
    </row>
    <row r="46" spans="6:16" s="16" customFormat="1" x14ac:dyDescent="0.25">
      <c r="G46" s="16" t="s">
        <v>855</v>
      </c>
      <c r="I46" s="1567">
        <v>0</v>
      </c>
      <c r="J46" s="16" t="s">
        <v>850</v>
      </c>
    </row>
    <row r="47" spans="6:16" s="16" customFormat="1" x14ac:dyDescent="0.25">
      <c r="G47" s="16" t="s">
        <v>856</v>
      </c>
      <c r="I47" s="1567">
        <v>0</v>
      </c>
      <c r="J47" s="16" t="s">
        <v>850</v>
      </c>
    </row>
    <row r="48" spans="6:16" s="16" customFormat="1" x14ac:dyDescent="0.25">
      <c r="G48" s="16" t="s">
        <v>857</v>
      </c>
      <c r="I48" s="1567">
        <v>0</v>
      </c>
      <c r="J48" s="16" t="s">
        <v>850</v>
      </c>
    </row>
    <row r="49" spans="7:13" s="16" customFormat="1" x14ac:dyDescent="0.25">
      <c r="G49" s="16" t="s">
        <v>858</v>
      </c>
      <c r="I49" s="1567">
        <v>0</v>
      </c>
      <c r="J49" s="16" t="s">
        <v>850</v>
      </c>
    </row>
    <row r="50" spans="7:13" s="16" customFormat="1" x14ac:dyDescent="0.25">
      <c r="G50" s="16" t="s">
        <v>859</v>
      </c>
      <c r="I50" s="1567">
        <v>0</v>
      </c>
      <c r="J50" s="16" t="s">
        <v>850</v>
      </c>
    </row>
    <row r="51" spans="7:13" s="16" customFormat="1" x14ac:dyDescent="0.25">
      <c r="G51" s="16" t="s">
        <v>860</v>
      </c>
      <c r="I51" s="1535">
        <f>SUM(J9,J26,J27)</f>
        <v>71.973827699018543</v>
      </c>
      <c r="J51" s="16" t="s">
        <v>850</v>
      </c>
    </row>
    <row r="52" spans="7:13" ht="15" x14ac:dyDescent="0.25">
      <c r="G52" s="2319" t="s">
        <v>1</v>
      </c>
      <c r="H52" s="2319"/>
      <c r="I52" s="1568">
        <f>SUM(I41:I51)</f>
        <v>487.81942202835319</v>
      </c>
      <c r="J52" s="2" t="s">
        <v>850</v>
      </c>
      <c r="K52" s="2"/>
      <c r="L52" s="2"/>
      <c r="M52" s="2"/>
    </row>
    <row r="53" spans="7:13" x14ac:dyDescent="0.2">
      <c r="G53" s="2308" t="s">
        <v>861</v>
      </c>
      <c r="H53" s="2308"/>
    </row>
  </sheetData>
  <mergeCells count="7">
    <mergeCell ref="G53:H53"/>
    <mergeCell ref="F2:J2"/>
    <mergeCell ref="F5:F6"/>
    <mergeCell ref="G5:G6"/>
    <mergeCell ref="H5:H6"/>
    <mergeCell ref="I5:K5"/>
    <mergeCell ref="G52:H5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F2:AS56"/>
  <sheetViews>
    <sheetView topLeftCell="E1" workbookViewId="0">
      <selection activeCell="D2" sqref="D2:L2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52.5703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2309" t="s">
        <v>862</v>
      </c>
      <c r="G2" s="2309"/>
      <c r="H2" s="2309"/>
      <c r="I2" s="2309"/>
      <c r="J2" s="2309"/>
      <c r="K2" s="1520"/>
      <c r="L2" s="1520"/>
      <c r="M2" s="1520"/>
    </row>
    <row r="3" spans="6:45" s="16" customFormat="1" x14ac:dyDescent="0.25">
      <c r="F3" s="1521"/>
      <c r="G3" s="1522"/>
      <c r="H3" s="1523"/>
    </row>
    <row r="4" spans="6:45" s="16" customFormat="1" ht="15" thickBot="1" x14ac:dyDescent="0.3">
      <c r="F4" s="1524" t="s">
        <v>863</v>
      </c>
      <c r="G4" s="1522"/>
      <c r="H4" s="1523"/>
    </row>
    <row r="5" spans="6:45" s="16" customFormat="1" ht="15" customHeight="1" thickTop="1" thickBot="1" x14ac:dyDescent="0.3">
      <c r="F5" s="2310" t="s">
        <v>173</v>
      </c>
      <c r="G5" s="2312" t="s">
        <v>839</v>
      </c>
      <c r="H5" s="2314" t="s">
        <v>840</v>
      </c>
      <c r="I5" s="2316" t="s">
        <v>841</v>
      </c>
      <c r="J5" s="2317"/>
      <c r="K5" s="2318"/>
      <c r="L5" s="1526"/>
      <c r="M5" s="511" t="s">
        <v>842</v>
      </c>
    </row>
    <row r="6" spans="6:45" s="16" customFormat="1" ht="16.5" thickTop="1" thickBot="1" x14ac:dyDescent="0.3">
      <c r="F6" s="2311"/>
      <c r="G6" s="2313"/>
      <c r="H6" s="2315"/>
      <c r="I6" s="1527" t="s">
        <v>843</v>
      </c>
      <c r="J6" s="1528" t="s">
        <v>844</v>
      </c>
      <c r="K6" s="1527" t="s">
        <v>25</v>
      </c>
      <c r="L6" s="1526"/>
      <c r="M6" s="1526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3.35" customHeight="1" thickTop="1" x14ac:dyDescent="0.25">
      <c r="F7" s="1529">
        <v>1</v>
      </c>
      <c r="G7" s="33">
        <v>823008</v>
      </c>
      <c r="H7" s="1531" t="s">
        <v>864</v>
      </c>
      <c r="I7" s="1532"/>
      <c r="J7" s="1532">
        <f>(2000-(G7/1000))/83.33</f>
        <v>14.12446897875915</v>
      </c>
      <c r="K7" s="1533">
        <f>G7/2000/1000</f>
        <v>0.41150400000000004</v>
      </c>
      <c r="L7" s="1534"/>
      <c r="M7" s="1535">
        <f>(G7/1000)/24</f>
        <v>34.292000000000002</v>
      </c>
      <c r="O7" s="1536">
        <f>249.262+270.9</f>
        <v>520.16200000000003</v>
      </c>
      <c r="P7" s="1537">
        <f>1356.367+39.742</f>
        <v>1396.1089999999999</v>
      </c>
      <c r="Q7" s="1537">
        <f>1086.521+50.6</f>
        <v>1137.1209999999999</v>
      </c>
      <c r="R7" s="1537">
        <f>1353.558+373.309</f>
        <v>1726.867</v>
      </c>
      <c r="S7" s="1536">
        <v>1942.7460000000001</v>
      </c>
      <c r="T7" s="1536">
        <v>1868.212</v>
      </c>
      <c r="U7" s="1536">
        <v>2057.011</v>
      </c>
      <c r="V7" s="1536">
        <v>1781.8440000000001</v>
      </c>
      <c r="W7" s="1538">
        <v>1250.7639999999999</v>
      </c>
      <c r="X7" s="1538">
        <v>1613.4860000000001</v>
      </c>
      <c r="Y7" s="1538">
        <v>1325.077</v>
      </c>
      <c r="Z7" s="1536">
        <f>66.442+571.568</f>
        <v>638.01</v>
      </c>
      <c r="AA7" s="1536">
        <f>815.429</f>
        <v>815.42899999999997</v>
      </c>
      <c r="AB7" s="1538">
        <f>352.234+731.627</f>
        <v>1083.8609999999999</v>
      </c>
      <c r="AC7" s="1536">
        <f>1626.002+13.213</f>
        <v>1639.2149999999999</v>
      </c>
      <c r="AD7" s="1536">
        <v>2094.7910000000002</v>
      </c>
      <c r="AE7" s="1538">
        <v>2075.375</v>
      </c>
      <c r="AF7" s="1538">
        <v>2008.8040000000001</v>
      </c>
      <c r="AG7" s="1538">
        <v>1946.712</v>
      </c>
      <c r="AH7" s="1538">
        <v>1998.9390000000001</v>
      </c>
      <c r="AI7" s="1536">
        <f>1623.839+281.468</f>
        <v>1905.307</v>
      </c>
      <c r="AJ7" s="1536">
        <v>1610.0239999999999</v>
      </c>
      <c r="AK7" s="1536">
        <f>1135.181+98.368</f>
        <v>1233.549</v>
      </c>
      <c r="AL7" s="1536">
        <f>958.893+543.852</f>
        <v>1502.7449999999999</v>
      </c>
      <c r="AM7" s="1536">
        <v>2043.15</v>
      </c>
      <c r="AN7" s="1536">
        <v>1762.6420000000001</v>
      </c>
      <c r="AO7" s="1536">
        <v>2170.3359999999998</v>
      </c>
      <c r="AP7" s="1536">
        <f>1181.38+463.711</f>
        <v>1645.0910000000001</v>
      </c>
      <c r="AQ7" s="1536">
        <v>219.47399999999999</v>
      </c>
      <c r="AR7" s="1536">
        <f>48.153+1225.968+107.3</f>
        <v>1381.421</v>
      </c>
      <c r="AS7" s="1536"/>
    </row>
    <row r="8" spans="6:45" s="16" customFormat="1" x14ac:dyDescent="0.2">
      <c r="F8" s="1539">
        <v>2</v>
      </c>
      <c r="G8" s="1547">
        <v>1133656</v>
      </c>
      <c r="H8" s="1531" t="s">
        <v>865</v>
      </c>
      <c r="I8" s="1541"/>
      <c r="J8" s="1541">
        <f t="shared" ref="J8:J37" si="0">(2000-(G8/1000))/83.33</f>
        <v>10.396543861754472</v>
      </c>
      <c r="K8" s="1542">
        <f t="shared" ref="K8:K37" si="1">G8/2000/1000</f>
        <v>0.566828</v>
      </c>
      <c r="L8" s="1534"/>
      <c r="M8" s="1535">
        <f t="shared" ref="M8:M37" si="2">(G8/1000)/24</f>
        <v>47.235666666666667</v>
      </c>
    </row>
    <row r="9" spans="6:45" s="16" customFormat="1" x14ac:dyDescent="0.2">
      <c r="F9" s="1543">
        <v>3</v>
      </c>
      <c r="G9" s="1547">
        <v>852841</v>
      </c>
      <c r="H9" s="1531" t="s">
        <v>865</v>
      </c>
      <c r="I9" s="1541"/>
      <c r="J9" s="1541">
        <f t="shared" si="0"/>
        <v>13.766458658346336</v>
      </c>
      <c r="K9" s="1542">
        <f t="shared" si="1"/>
        <v>0.42642049999999998</v>
      </c>
      <c r="L9" s="1534"/>
      <c r="M9" s="1535">
        <f t="shared" si="2"/>
        <v>35.535041666666665</v>
      </c>
    </row>
    <row r="10" spans="6:45" s="779" customFormat="1" x14ac:dyDescent="0.2">
      <c r="F10" s="1569">
        <v>4</v>
      </c>
      <c r="G10" s="1547">
        <v>285950</v>
      </c>
      <c r="H10" s="1531" t="s">
        <v>865</v>
      </c>
      <c r="I10" s="1570"/>
      <c r="J10" s="1570">
        <f t="shared" si="0"/>
        <v>20.569422776911075</v>
      </c>
      <c r="K10" s="1571">
        <f t="shared" si="1"/>
        <v>0.14297499999999999</v>
      </c>
      <c r="L10" s="1572"/>
      <c r="M10" s="1573">
        <f t="shared" si="2"/>
        <v>11.914583333333333</v>
      </c>
    </row>
    <row r="11" spans="6:45" s="16" customFormat="1" ht="14.85" customHeight="1" x14ac:dyDescent="0.2">
      <c r="F11" s="1543">
        <v>5</v>
      </c>
      <c r="G11" s="1547">
        <v>767986</v>
      </c>
      <c r="H11" s="1531" t="s">
        <v>865</v>
      </c>
      <c r="I11" s="1541"/>
      <c r="J11" s="1541">
        <f t="shared" si="0"/>
        <v>14.784759390375617</v>
      </c>
      <c r="K11" s="1542">
        <f t="shared" si="1"/>
        <v>0.38399299999999997</v>
      </c>
      <c r="L11" s="1534"/>
      <c r="M11" s="1535">
        <f t="shared" si="2"/>
        <v>31.999416666666665</v>
      </c>
    </row>
    <row r="12" spans="6:45" s="16" customFormat="1" x14ac:dyDescent="0.2">
      <c r="F12" s="1543">
        <v>6</v>
      </c>
      <c r="G12" s="1547">
        <v>178639</v>
      </c>
      <c r="H12" s="1531" t="s">
        <v>865</v>
      </c>
      <c r="I12" s="1541"/>
      <c r="J12" s="1541">
        <f t="shared" si="0"/>
        <v>21.857206288251529</v>
      </c>
      <c r="K12" s="1542">
        <f t="shared" si="1"/>
        <v>8.931950000000001E-2</v>
      </c>
      <c r="L12" s="1534"/>
      <c r="M12" s="1535">
        <f t="shared" si="2"/>
        <v>7.4432916666666671</v>
      </c>
    </row>
    <row r="13" spans="6:45" s="16" customFormat="1" x14ac:dyDescent="0.25">
      <c r="F13" s="1543">
        <v>7</v>
      </c>
      <c r="G13" s="1574">
        <v>216297</v>
      </c>
      <c r="H13" s="1531" t="s">
        <v>865</v>
      </c>
      <c r="I13" s="1541"/>
      <c r="J13" s="1541">
        <f t="shared" si="0"/>
        <v>21.405292211688469</v>
      </c>
      <c r="K13" s="1542">
        <f t="shared" si="1"/>
        <v>0.10814849999999999</v>
      </c>
      <c r="L13" s="1534"/>
      <c r="M13" s="1535">
        <f t="shared" si="2"/>
        <v>9.0123750000000005</v>
      </c>
    </row>
    <row r="14" spans="6:45" s="16" customFormat="1" x14ac:dyDescent="0.25">
      <c r="F14" s="1543">
        <v>8</v>
      </c>
      <c r="G14" s="1574">
        <v>447025</v>
      </c>
      <c r="H14" s="1531" t="s">
        <v>865</v>
      </c>
      <c r="I14" s="1541"/>
      <c r="J14" s="1541">
        <f t="shared" si="0"/>
        <v>18.636445457818311</v>
      </c>
      <c r="K14" s="1542">
        <f t="shared" si="1"/>
        <v>0.22351249999999998</v>
      </c>
      <c r="L14" s="1534"/>
      <c r="M14" s="1535">
        <f t="shared" si="2"/>
        <v>18.626041666666666</v>
      </c>
    </row>
    <row r="15" spans="6:45" s="16" customFormat="1" ht="12" customHeight="1" x14ac:dyDescent="0.25">
      <c r="F15" s="1543">
        <v>9</v>
      </c>
      <c r="G15" s="1574">
        <v>821777</v>
      </c>
      <c r="H15" s="1531" t="s">
        <v>865</v>
      </c>
      <c r="I15" s="1541"/>
      <c r="J15" s="1541">
        <f t="shared" si="0"/>
        <v>14.139241569662786</v>
      </c>
      <c r="K15" s="1542">
        <f t="shared" si="1"/>
        <v>0.41088850000000005</v>
      </c>
      <c r="L15" s="1534"/>
      <c r="M15" s="1535">
        <f t="shared" si="2"/>
        <v>34.240708333333338</v>
      </c>
    </row>
    <row r="16" spans="6:45" s="16" customFormat="1" ht="14.1" customHeight="1" x14ac:dyDescent="0.2">
      <c r="F16" s="1543">
        <v>10</v>
      </c>
      <c r="G16" s="1547">
        <v>862670</v>
      </c>
      <c r="H16" s="1531" t="s">
        <v>864</v>
      </c>
      <c r="I16" s="1541"/>
      <c r="J16" s="1541">
        <f t="shared" si="0"/>
        <v>13.648505940237609</v>
      </c>
      <c r="K16" s="1542">
        <f t="shared" si="1"/>
        <v>0.43133499999999997</v>
      </c>
      <c r="L16" s="1534"/>
      <c r="M16" s="1535">
        <f t="shared" si="2"/>
        <v>35.944583333333334</v>
      </c>
    </row>
    <row r="17" spans="6:13" s="16" customFormat="1" ht="12.6" customHeight="1" x14ac:dyDescent="0.2">
      <c r="F17" s="1543">
        <v>11</v>
      </c>
      <c r="G17" s="1547">
        <v>1138713</v>
      </c>
      <c r="H17" s="1531" t="s">
        <v>864</v>
      </c>
      <c r="I17" s="1541"/>
      <c r="J17" s="1541">
        <f t="shared" si="0"/>
        <v>10.335857434297372</v>
      </c>
      <c r="K17" s="1542">
        <f t="shared" si="1"/>
        <v>0.56935649999999993</v>
      </c>
      <c r="L17" s="1534"/>
      <c r="M17" s="1535">
        <f t="shared" si="2"/>
        <v>47.446374999999996</v>
      </c>
    </row>
    <row r="18" spans="6:13" s="16" customFormat="1" x14ac:dyDescent="0.2">
      <c r="F18" s="1543">
        <v>12</v>
      </c>
      <c r="G18" s="1547">
        <v>1185707</v>
      </c>
      <c r="H18" s="1531" t="s">
        <v>866</v>
      </c>
      <c r="I18" s="1541"/>
      <c r="J18" s="1541">
        <f t="shared" si="0"/>
        <v>9.7719068762750503</v>
      </c>
      <c r="K18" s="1542">
        <f t="shared" si="1"/>
        <v>0.59285350000000003</v>
      </c>
      <c r="L18" s="1534"/>
      <c r="M18" s="1535">
        <f t="shared" si="2"/>
        <v>49.404458333333338</v>
      </c>
    </row>
    <row r="19" spans="6:13" s="16" customFormat="1" x14ac:dyDescent="0.2">
      <c r="F19" s="1543">
        <v>13</v>
      </c>
      <c r="G19" s="1547">
        <v>699301</v>
      </c>
      <c r="H19" s="1531" t="s">
        <v>866</v>
      </c>
      <c r="I19" s="1541"/>
      <c r="J19" s="1541">
        <f t="shared" si="0"/>
        <v>15.609012360494422</v>
      </c>
      <c r="K19" s="1542">
        <f t="shared" si="1"/>
        <v>0.34965050000000003</v>
      </c>
      <c r="L19" s="1534"/>
      <c r="M19" s="1535">
        <f t="shared" si="2"/>
        <v>29.137541666666667</v>
      </c>
    </row>
    <row r="20" spans="6:13" s="16" customFormat="1" x14ac:dyDescent="0.2">
      <c r="F20" s="1543">
        <v>14</v>
      </c>
      <c r="G20" s="1547">
        <v>1152772</v>
      </c>
      <c r="H20" s="1531" t="s">
        <v>866</v>
      </c>
      <c r="I20" s="1541"/>
      <c r="J20" s="1541">
        <f t="shared" si="0"/>
        <v>10.167142685707429</v>
      </c>
      <c r="K20" s="1542">
        <f t="shared" si="1"/>
        <v>0.57638599999999995</v>
      </c>
      <c r="L20" s="1534"/>
      <c r="M20" s="1535">
        <f t="shared" si="2"/>
        <v>48.032166666666662</v>
      </c>
    </row>
    <row r="21" spans="6:13" s="16" customFormat="1" x14ac:dyDescent="0.2">
      <c r="F21" s="1543">
        <v>15</v>
      </c>
      <c r="G21" s="1547">
        <v>1232928</v>
      </c>
      <c r="H21" s="1531" t="s">
        <v>866</v>
      </c>
      <c r="I21" s="1541"/>
      <c r="J21" s="1541">
        <f t="shared" si="0"/>
        <v>9.2052322092883703</v>
      </c>
      <c r="K21" s="1542">
        <f t="shared" si="1"/>
        <v>0.61646400000000001</v>
      </c>
      <c r="L21" s="1534"/>
      <c r="M21" s="1535">
        <f t="shared" si="2"/>
        <v>51.372000000000007</v>
      </c>
    </row>
    <row r="22" spans="6:13" s="16" customFormat="1" x14ac:dyDescent="0.2">
      <c r="F22" s="1543">
        <v>16</v>
      </c>
      <c r="G22" s="1547">
        <v>1057088</v>
      </c>
      <c r="H22" s="1531" t="s">
        <v>866</v>
      </c>
      <c r="I22" s="1541"/>
      <c r="J22" s="1541">
        <f t="shared" si="0"/>
        <v>11.315396615864636</v>
      </c>
      <c r="K22" s="1542">
        <f t="shared" si="1"/>
        <v>0.52854400000000001</v>
      </c>
      <c r="L22" s="1534"/>
      <c r="M22" s="1535">
        <f t="shared" si="2"/>
        <v>44.045333333333332</v>
      </c>
    </row>
    <row r="23" spans="6:13" s="16" customFormat="1" ht="13.5" customHeight="1" x14ac:dyDescent="0.2">
      <c r="F23" s="1543">
        <v>17</v>
      </c>
      <c r="G23" s="1547">
        <v>814994</v>
      </c>
      <c r="H23" s="1531" t="s">
        <v>866</v>
      </c>
      <c r="I23" s="1541"/>
      <c r="J23" s="1541">
        <f t="shared" si="0"/>
        <v>14.220640825633025</v>
      </c>
      <c r="K23" s="1542">
        <f t="shared" si="1"/>
        <v>0.407497</v>
      </c>
      <c r="L23" s="1534"/>
      <c r="M23" s="1535">
        <f t="shared" si="2"/>
        <v>33.958083333333335</v>
      </c>
    </row>
    <row r="24" spans="6:13" s="16" customFormat="1" x14ac:dyDescent="0.2">
      <c r="F24" s="1546">
        <v>18</v>
      </c>
      <c r="G24" s="1547">
        <v>698655</v>
      </c>
      <c r="H24" s="1531" t="s">
        <v>866</v>
      </c>
      <c r="I24" s="1541"/>
      <c r="J24" s="1541">
        <f t="shared" si="0"/>
        <v>15.616764670586823</v>
      </c>
      <c r="K24" s="1542">
        <f t="shared" si="1"/>
        <v>0.34932750000000001</v>
      </c>
      <c r="L24" s="1534"/>
      <c r="M24" s="1535">
        <f t="shared" si="2"/>
        <v>29.110624999999999</v>
      </c>
    </row>
    <row r="25" spans="6:13" s="16" customFormat="1" x14ac:dyDescent="0.2">
      <c r="F25" s="1546">
        <v>19</v>
      </c>
      <c r="G25" s="1547">
        <v>656546</v>
      </c>
      <c r="H25" s="1531" t="s">
        <v>866</v>
      </c>
      <c r="I25" s="1541"/>
      <c r="J25" s="1541">
        <f t="shared" si="0"/>
        <v>16.12209288371535</v>
      </c>
      <c r="K25" s="1542">
        <f t="shared" si="1"/>
        <v>0.32827300000000004</v>
      </c>
      <c r="L25" s="1534"/>
      <c r="M25" s="1535">
        <f t="shared" si="2"/>
        <v>27.356083333333334</v>
      </c>
    </row>
    <row r="26" spans="6:13" s="16" customFormat="1" x14ac:dyDescent="0.2">
      <c r="F26" s="1546">
        <v>20</v>
      </c>
      <c r="G26" s="1547">
        <v>220220</v>
      </c>
      <c r="H26" s="1531" t="s">
        <v>866</v>
      </c>
      <c r="I26" s="1541"/>
      <c r="J26" s="1541">
        <f t="shared" si="0"/>
        <v>21.358214328573144</v>
      </c>
      <c r="K26" s="1542">
        <f t="shared" si="1"/>
        <v>0.11011</v>
      </c>
      <c r="L26" s="1534"/>
      <c r="M26" s="1535">
        <f t="shared" si="2"/>
        <v>9.1758333333333333</v>
      </c>
    </row>
    <row r="27" spans="6:13" s="16" customFormat="1" x14ac:dyDescent="0.2">
      <c r="F27" s="1546">
        <v>21</v>
      </c>
      <c r="G27" s="1547">
        <v>0</v>
      </c>
      <c r="H27" s="1531" t="s">
        <v>867</v>
      </c>
      <c r="I27" s="1541"/>
      <c r="J27" s="1541">
        <f t="shared" si="0"/>
        <v>24.000960038401537</v>
      </c>
      <c r="K27" s="1542">
        <f t="shared" si="1"/>
        <v>0</v>
      </c>
      <c r="L27" s="1534"/>
      <c r="M27" s="1535">
        <f t="shared" si="2"/>
        <v>0</v>
      </c>
    </row>
    <row r="28" spans="6:13" s="16" customFormat="1" x14ac:dyDescent="0.2">
      <c r="F28" s="1546">
        <v>22</v>
      </c>
      <c r="G28" s="1547">
        <v>0</v>
      </c>
      <c r="H28" s="1531" t="s">
        <v>867</v>
      </c>
      <c r="I28" s="1541"/>
      <c r="J28" s="1541">
        <f t="shared" si="0"/>
        <v>24.000960038401537</v>
      </c>
      <c r="K28" s="1542">
        <f t="shared" si="1"/>
        <v>0</v>
      </c>
      <c r="L28" s="1534"/>
      <c r="M28" s="1535">
        <f t="shared" si="2"/>
        <v>0</v>
      </c>
    </row>
    <row r="29" spans="6:13" s="16" customFormat="1" x14ac:dyDescent="0.2">
      <c r="F29" s="1546">
        <v>23</v>
      </c>
      <c r="G29" s="1547">
        <v>0</v>
      </c>
      <c r="H29" s="1531" t="s">
        <v>867</v>
      </c>
      <c r="I29" s="1541"/>
      <c r="J29" s="1541">
        <f t="shared" si="0"/>
        <v>24.000960038401537</v>
      </c>
      <c r="K29" s="1542">
        <f t="shared" si="1"/>
        <v>0</v>
      </c>
      <c r="L29" s="1534"/>
      <c r="M29" s="1535">
        <f t="shared" si="2"/>
        <v>0</v>
      </c>
    </row>
    <row r="30" spans="6:13" s="16" customFormat="1" x14ac:dyDescent="0.2">
      <c r="F30" s="1546">
        <v>24</v>
      </c>
      <c r="G30" s="1547">
        <v>0</v>
      </c>
      <c r="H30" s="1531" t="s">
        <v>867</v>
      </c>
      <c r="I30" s="1541"/>
      <c r="J30" s="1541">
        <f t="shared" si="0"/>
        <v>24.000960038401537</v>
      </c>
      <c r="K30" s="1542">
        <f t="shared" si="1"/>
        <v>0</v>
      </c>
      <c r="L30" s="1534"/>
      <c r="M30" s="1535">
        <f t="shared" si="2"/>
        <v>0</v>
      </c>
    </row>
    <row r="31" spans="6:13" s="16" customFormat="1" x14ac:dyDescent="0.2">
      <c r="F31" s="1546">
        <v>25</v>
      </c>
      <c r="G31" s="1547">
        <v>212943</v>
      </c>
      <c r="H31" s="1531" t="s">
        <v>865</v>
      </c>
      <c r="I31" s="1541"/>
      <c r="J31" s="1541">
        <f t="shared" si="0"/>
        <v>21.445541821672869</v>
      </c>
      <c r="K31" s="1542">
        <f t="shared" si="1"/>
        <v>0.10647150000000001</v>
      </c>
      <c r="L31" s="1534"/>
      <c r="M31" s="1535">
        <f t="shared" si="2"/>
        <v>8.8726250000000011</v>
      </c>
    </row>
    <row r="32" spans="6:13" s="16" customFormat="1" x14ac:dyDescent="0.2">
      <c r="F32" s="1546">
        <v>26</v>
      </c>
      <c r="G32" s="1547">
        <v>607542</v>
      </c>
      <c r="H32" s="1531" t="s">
        <v>865</v>
      </c>
      <c r="I32" s="1541"/>
      <c r="J32" s="1541">
        <f t="shared" si="0"/>
        <v>16.710164406576265</v>
      </c>
      <c r="K32" s="1542">
        <f t="shared" si="1"/>
        <v>0.30377100000000001</v>
      </c>
      <c r="L32" s="1534"/>
      <c r="M32" s="1535">
        <f t="shared" si="2"/>
        <v>25.314250000000001</v>
      </c>
    </row>
    <row r="33" spans="6:16" s="16" customFormat="1" x14ac:dyDescent="0.2">
      <c r="F33" s="1546">
        <v>27</v>
      </c>
      <c r="G33" s="1547">
        <v>598649</v>
      </c>
      <c r="H33" s="1531" t="s">
        <v>865</v>
      </c>
      <c r="I33" s="1541"/>
      <c r="J33" s="1541">
        <f t="shared" si="0"/>
        <v>16.816884675387016</v>
      </c>
      <c r="K33" s="1542">
        <f t="shared" si="1"/>
        <v>0.29932449999999999</v>
      </c>
      <c r="L33" s="1534"/>
      <c r="M33" s="1535">
        <f t="shared" si="2"/>
        <v>24.943708333333333</v>
      </c>
    </row>
    <row r="34" spans="6:16" s="16" customFormat="1" x14ac:dyDescent="0.2">
      <c r="F34" s="1546">
        <v>28</v>
      </c>
      <c r="G34" s="1547">
        <v>599016</v>
      </c>
      <c r="H34" s="1531" t="s">
        <v>865</v>
      </c>
      <c r="I34" s="1541"/>
      <c r="J34" s="1541">
        <f t="shared" si="0"/>
        <v>16.812480499219969</v>
      </c>
      <c r="K34" s="1542">
        <f t="shared" si="1"/>
        <v>0.299508</v>
      </c>
      <c r="L34" s="1534"/>
      <c r="M34" s="1535">
        <f t="shared" si="2"/>
        <v>24.959</v>
      </c>
    </row>
    <row r="35" spans="6:16" s="16" customFormat="1" ht="12.6" customHeight="1" x14ac:dyDescent="0.2">
      <c r="F35" s="1546">
        <v>29</v>
      </c>
      <c r="G35" s="1547">
        <v>878566</v>
      </c>
      <c r="H35" s="1531" t="s">
        <v>865</v>
      </c>
      <c r="I35" s="1575"/>
      <c r="J35" s="1541">
        <f t="shared" si="0"/>
        <v>13.457746309852395</v>
      </c>
      <c r="K35" s="1542">
        <f t="shared" si="1"/>
        <v>0.43928300000000003</v>
      </c>
      <c r="L35" s="1534"/>
      <c r="M35" s="1535">
        <f t="shared" si="2"/>
        <v>36.60691666666667</v>
      </c>
    </row>
    <row r="36" spans="6:16" s="16" customFormat="1" x14ac:dyDescent="0.2">
      <c r="F36" s="1548">
        <v>30</v>
      </c>
      <c r="G36" s="1576">
        <v>856350</v>
      </c>
      <c r="H36" s="1531" t="s">
        <v>865</v>
      </c>
      <c r="I36" s="1577"/>
      <c r="J36" s="1541">
        <f t="shared" si="0"/>
        <v>13.724348973958961</v>
      </c>
      <c r="K36" s="1542">
        <f t="shared" si="1"/>
        <v>0.42817500000000003</v>
      </c>
      <c r="L36" s="1534"/>
      <c r="M36" s="1535">
        <f t="shared" si="2"/>
        <v>35.681249999999999</v>
      </c>
    </row>
    <row r="37" spans="6:16" s="16" customFormat="1" ht="15" thickBot="1" x14ac:dyDescent="0.25">
      <c r="F37" s="1551">
        <v>31</v>
      </c>
      <c r="G37" s="1578">
        <v>1052080</v>
      </c>
      <c r="H37" s="1531" t="s">
        <v>865</v>
      </c>
      <c r="I37" s="1553"/>
      <c r="J37" s="1554">
        <f t="shared" si="0"/>
        <v>11.375495019800793</v>
      </c>
      <c r="K37" s="1542">
        <f t="shared" si="1"/>
        <v>0.52603999999999995</v>
      </c>
      <c r="L37" s="1534"/>
      <c r="M37" s="1535">
        <f t="shared" si="2"/>
        <v>43.836666666666666</v>
      </c>
    </row>
    <row r="38" spans="6:16" s="16" customFormat="1" ht="18" customHeight="1" thickTop="1" thickBot="1" x14ac:dyDescent="0.3">
      <c r="F38" s="1525" t="s">
        <v>157</v>
      </c>
      <c r="G38" s="1579">
        <f>SUM(G7:G37)</f>
        <v>20051919</v>
      </c>
      <c r="H38" s="1580"/>
      <c r="I38" s="1558">
        <f>SUM(I7:I36)</f>
        <v>0</v>
      </c>
      <c r="J38" s="1559">
        <f>SUM(J7:J37)</f>
        <v>503.39710788431546</v>
      </c>
      <c r="K38" s="1558"/>
      <c r="L38" s="1560"/>
      <c r="M38" s="1561">
        <f>AVERAGE(M7:M37)</f>
        <v>26.951504032258065</v>
      </c>
    </row>
    <row r="39" spans="6:16" customFormat="1" ht="15.75" thickTop="1" x14ac:dyDescent="0.25">
      <c r="F39" s="1562"/>
      <c r="G39" s="1563"/>
      <c r="H39" s="1564"/>
      <c r="I39" s="1"/>
      <c r="J39" s="1"/>
      <c r="K39" s="1"/>
      <c r="L39" s="1"/>
      <c r="M39" s="1"/>
    </row>
    <row r="40" spans="6:16" s="16" customFormat="1" x14ac:dyDescent="0.25">
      <c r="G40" s="1565" t="s">
        <v>848</v>
      </c>
    </row>
    <row r="41" spans="6:16" s="16" customFormat="1" x14ac:dyDescent="0.25">
      <c r="G41" s="16" t="s">
        <v>849</v>
      </c>
      <c r="I41" s="1535">
        <v>0</v>
      </c>
      <c r="J41" s="16" t="s">
        <v>850</v>
      </c>
      <c r="P41" s="1566"/>
    </row>
    <row r="42" spans="6:16" s="16" customFormat="1" x14ac:dyDescent="0.25">
      <c r="G42" s="16" t="s">
        <v>851</v>
      </c>
      <c r="I42" s="1535">
        <v>0</v>
      </c>
      <c r="J42" s="16" t="s">
        <v>850</v>
      </c>
    </row>
    <row r="43" spans="6:16" s="16" customFormat="1" x14ac:dyDescent="0.25">
      <c r="G43" s="16" t="s">
        <v>868</v>
      </c>
      <c r="I43" s="1535">
        <v>0</v>
      </c>
      <c r="J43" s="16" t="s">
        <v>850</v>
      </c>
    </row>
    <row r="44" spans="6:16" s="16" customFormat="1" x14ac:dyDescent="0.25">
      <c r="G44" s="16" t="s">
        <v>869</v>
      </c>
      <c r="I44" s="1567">
        <v>0</v>
      </c>
      <c r="J44" s="16" t="s">
        <v>850</v>
      </c>
    </row>
    <row r="45" spans="6:16" s="16" customFormat="1" x14ac:dyDescent="0.25">
      <c r="G45" s="16" t="s">
        <v>870</v>
      </c>
      <c r="I45" s="1567">
        <v>0</v>
      </c>
      <c r="J45" s="16" t="s">
        <v>850</v>
      </c>
    </row>
    <row r="46" spans="6:16" s="16" customFormat="1" x14ac:dyDescent="0.25">
      <c r="G46" s="16" t="s">
        <v>855</v>
      </c>
      <c r="I46" s="1567">
        <v>0</v>
      </c>
      <c r="J46" s="16" t="s">
        <v>850</v>
      </c>
    </row>
    <row r="47" spans="6:16" s="16" customFormat="1" x14ac:dyDescent="0.25">
      <c r="G47" s="16" t="s">
        <v>856</v>
      </c>
      <c r="I47" s="1567">
        <v>0</v>
      </c>
      <c r="J47" s="16" t="s">
        <v>850</v>
      </c>
    </row>
    <row r="48" spans="6:16" s="16" customFormat="1" x14ac:dyDescent="0.25">
      <c r="G48" s="16" t="s">
        <v>857</v>
      </c>
      <c r="I48" s="1567">
        <v>0</v>
      </c>
      <c r="J48" s="16" t="s">
        <v>850</v>
      </c>
    </row>
    <row r="49" spans="7:13" s="16" customFormat="1" x14ac:dyDescent="0.25">
      <c r="G49" s="16" t="s">
        <v>858</v>
      </c>
      <c r="I49" s="1567">
        <v>0</v>
      </c>
      <c r="J49" s="16" t="s">
        <v>850</v>
      </c>
    </row>
    <row r="50" spans="7:13" s="16" customFormat="1" x14ac:dyDescent="0.25">
      <c r="G50" s="1523" t="s">
        <v>871</v>
      </c>
      <c r="I50" s="1567">
        <f>SUM(J8,J9,J10,J11,J12,J13,J14,J15,J31,J32,J33,J34,J35,J36,J37)</f>
        <v>245.89803192127684</v>
      </c>
      <c r="J50" s="16" t="s">
        <v>850</v>
      </c>
    </row>
    <row r="51" spans="7:13" s="16" customFormat="1" x14ac:dyDescent="0.25">
      <c r="G51" s="1523" t="s">
        <v>872</v>
      </c>
      <c r="I51" s="1567">
        <f>SUM(J27,J28,J29,J30)</f>
        <v>96.003840153606149</v>
      </c>
      <c r="J51" s="16" t="s">
        <v>850</v>
      </c>
    </row>
    <row r="52" spans="7:13" s="16" customFormat="1" x14ac:dyDescent="0.25">
      <c r="G52" s="1523" t="s">
        <v>873</v>
      </c>
      <c r="I52" s="1567">
        <f>SUM(J18,J19,J20,J21,J22,J23,J24,J25,J26)</f>
        <v>123.38640345613824</v>
      </c>
      <c r="J52" s="16" t="s">
        <v>850</v>
      </c>
    </row>
    <row r="53" spans="7:13" s="16" customFormat="1" x14ac:dyDescent="0.25">
      <c r="G53" s="1523" t="s">
        <v>874</v>
      </c>
      <c r="I53" s="1567">
        <v>0</v>
      </c>
      <c r="J53" s="16" t="s">
        <v>850</v>
      </c>
    </row>
    <row r="54" spans="7:13" s="16" customFormat="1" x14ac:dyDescent="0.25">
      <c r="G54" s="1523" t="s">
        <v>875</v>
      </c>
      <c r="I54" s="1567">
        <f>SUM(J7,J16,J17)</f>
        <v>38.108832353294133</v>
      </c>
      <c r="J54" s="16" t="s">
        <v>850</v>
      </c>
    </row>
    <row r="55" spans="7:13" ht="15" x14ac:dyDescent="0.25">
      <c r="G55" s="2319" t="s">
        <v>1</v>
      </c>
      <c r="H55" s="2319"/>
      <c r="I55" s="1568">
        <f>SUM(I41:I54)</f>
        <v>503.39710788431535</v>
      </c>
      <c r="J55" s="2" t="s">
        <v>850</v>
      </c>
      <c r="K55" s="2"/>
      <c r="L55" s="2"/>
      <c r="M55" s="2"/>
    </row>
    <row r="56" spans="7:13" x14ac:dyDescent="0.2">
      <c r="G56" s="2308" t="s">
        <v>876</v>
      </c>
      <c r="H56" s="2308"/>
    </row>
  </sheetData>
  <mergeCells count="7">
    <mergeCell ref="G56:H56"/>
    <mergeCell ref="F2:J2"/>
    <mergeCell ref="F5:F6"/>
    <mergeCell ref="G5:G6"/>
    <mergeCell ref="H5:H6"/>
    <mergeCell ref="I5:K5"/>
    <mergeCell ref="G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56" zoomScale="85" zoomScaleNormal="85" workbookViewId="0">
      <selection activeCell="D2" sqref="D2:L2"/>
    </sheetView>
  </sheetViews>
  <sheetFormatPr defaultColWidth="9.42578125" defaultRowHeight="15" x14ac:dyDescent="0.25"/>
  <cols>
    <col min="1" max="1" width="9.42578125" style="1157"/>
    <col min="2" max="2" width="5.5703125" style="1157" customWidth="1"/>
    <col min="3" max="3" width="32.5703125" style="1157" customWidth="1"/>
    <col min="4" max="4" width="9" style="1157" customWidth="1"/>
    <col min="5" max="5" width="15.5703125" style="1157" customWidth="1"/>
    <col min="6" max="6" width="20.5703125" style="1157" customWidth="1"/>
    <col min="7" max="7" width="13.5703125" style="1157" customWidth="1"/>
    <col min="8" max="8" width="21.5703125" style="1158" customWidth="1"/>
    <col min="9" max="9" width="16.42578125" style="1159" customWidth="1"/>
    <col min="10" max="10" width="11.42578125" style="1157" bestFit="1" customWidth="1"/>
    <col min="11" max="11" width="11.5703125" style="1157" bestFit="1" customWidth="1"/>
    <col min="12" max="12" width="13.5703125" style="1157" customWidth="1"/>
    <col min="13" max="13" width="13.42578125" style="1157" bestFit="1" customWidth="1"/>
    <col min="14" max="16384" width="9.42578125" style="1157"/>
  </cols>
  <sheetData>
    <row r="1" spans="2:12" x14ac:dyDescent="0.25">
      <c r="B1" s="1156"/>
    </row>
    <row r="2" spans="2:12" x14ac:dyDescent="0.25">
      <c r="B2" s="2320" t="s">
        <v>729</v>
      </c>
      <c r="C2" s="2320"/>
      <c r="D2" s="2320"/>
      <c r="E2" s="2320"/>
      <c r="F2" s="2320"/>
      <c r="G2" s="2320"/>
      <c r="H2" s="2320"/>
      <c r="I2" s="1161"/>
    </row>
    <row r="3" spans="2:12" x14ac:dyDescent="0.25">
      <c r="B3" s="2320" t="s">
        <v>730</v>
      </c>
      <c r="C3" s="2320"/>
      <c r="D3" s="2320"/>
      <c r="E3" s="2320"/>
      <c r="F3" s="2320"/>
      <c r="G3" s="2320"/>
      <c r="H3" s="2320"/>
      <c r="I3" s="1161"/>
    </row>
    <row r="4" spans="2:12" ht="15.75" thickBot="1" x14ac:dyDescent="0.3">
      <c r="B4" s="2321" t="s">
        <v>1094</v>
      </c>
      <c r="C4" s="2321"/>
      <c r="D4" s="1162"/>
      <c r="E4" s="1162"/>
      <c r="F4" s="1162"/>
      <c r="G4" s="1163"/>
      <c r="H4" s="1164"/>
      <c r="I4" s="1165"/>
    </row>
    <row r="5" spans="2:12" x14ac:dyDescent="0.25">
      <c r="B5" s="2322" t="s">
        <v>174</v>
      </c>
      <c r="C5" s="2324" t="s">
        <v>731</v>
      </c>
      <c r="D5" s="2324" t="s">
        <v>732</v>
      </c>
      <c r="E5" s="2326" t="s">
        <v>733</v>
      </c>
      <c r="F5" s="2327"/>
      <c r="G5" s="2328"/>
      <c r="H5" s="2329" t="s">
        <v>734</v>
      </c>
      <c r="I5" s="1166"/>
    </row>
    <row r="6" spans="2:12" ht="41.25" customHeight="1" x14ac:dyDescent="0.25">
      <c r="B6" s="2323"/>
      <c r="C6" s="2325"/>
      <c r="D6" s="2325"/>
      <c r="E6" s="1167" t="s">
        <v>735</v>
      </c>
      <c r="F6" s="1167" t="s">
        <v>736</v>
      </c>
      <c r="G6" s="1167" t="s">
        <v>737</v>
      </c>
      <c r="H6" s="2330"/>
      <c r="I6" s="1166"/>
    </row>
    <row r="7" spans="2:12" x14ac:dyDescent="0.25">
      <c r="B7" s="1168" t="s">
        <v>738</v>
      </c>
      <c r="C7" s="1169" t="s">
        <v>84</v>
      </c>
      <c r="D7" s="1170"/>
      <c r="E7" s="1171"/>
      <c r="F7" s="1171"/>
      <c r="G7" s="1171"/>
      <c r="H7" s="1172"/>
      <c r="I7" s="1173"/>
    </row>
    <row r="8" spans="2:12" x14ac:dyDescent="0.25">
      <c r="B8" s="1174"/>
      <c r="C8" s="1175" t="s">
        <v>739</v>
      </c>
      <c r="D8" s="1176"/>
      <c r="E8" s="1177"/>
      <c r="F8" s="1178"/>
      <c r="G8" s="1177"/>
      <c r="H8" s="1179"/>
      <c r="I8" s="1173"/>
      <c r="J8" s="1180"/>
      <c r="K8" s="1180"/>
      <c r="L8" s="1181"/>
    </row>
    <row r="9" spans="2:12" x14ac:dyDescent="0.25">
      <c r="B9" s="1174"/>
      <c r="C9" s="1182" t="s">
        <v>83</v>
      </c>
      <c r="D9" s="1183" t="s">
        <v>227</v>
      </c>
      <c r="E9" s="1184">
        <v>19</v>
      </c>
      <c r="F9" s="1184">
        <f>'Januari 2026 PMG 2'!$AM$6</f>
        <v>20</v>
      </c>
      <c r="G9" s="1185">
        <f>(F9/E9)</f>
        <v>1.0526315789473684</v>
      </c>
      <c r="H9" s="1186" t="s">
        <v>740</v>
      </c>
      <c r="I9" s="1173"/>
      <c r="J9" s="1187"/>
      <c r="K9" s="1180"/>
    </row>
    <row r="10" spans="2:12" x14ac:dyDescent="0.25">
      <c r="B10" s="1174"/>
      <c r="C10" s="1188" t="s">
        <v>741</v>
      </c>
      <c r="D10" s="1189" t="s">
        <v>14</v>
      </c>
      <c r="E10" s="1178"/>
      <c r="F10" s="1178"/>
      <c r="G10" s="1190"/>
      <c r="H10" s="1191"/>
      <c r="I10" s="1192"/>
      <c r="J10" s="1187"/>
      <c r="K10" s="1180"/>
    </row>
    <row r="11" spans="2:12" x14ac:dyDescent="0.25">
      <c r="B11" s="1174"/>
      <c r="C11" s="1182" t="s">
        <v>742</v>
      </c>
      <c r="D11" s="1183" t="s">
        <v>14</v>
      </c>
      <c r="E11" s="1184">
        <f>'Januari 2026 PMG 2'!E9</f>
        <v>58900000</v>
      </c>
      <c r="F11" s="1184">
        <f>F12+F13</f>
        <v>40125380</v>
      </c>
      <c r="G11" s="1185">
        <f>(F11/E11)</f>
        <v>0.68124584040747027</v>
      </c>
      <c r="H11" s="1193" t="s">
        <v>743</v>
      </c>
      <c r="I11" s="1173"/>
      <c r="J11" s="1194"/>
      <c r="L11" s="1181"/>
    </row>
    <row r="12" spans="2:12" x14ac:dyDescent="0.25">
      <c r="B12" s="1174"/>
      <c r="C12" s="1182" t="s">
        <v>96</v>
      </c>
      <c r="D12" s="1183"/>
      <c r="E12" s="1184"/>
      <c r="F12" s="1184">
        <f>'Januari 2026 PMG 2'!$AM$11</f>
        <v>40125380</v>
      </c>
      <c r="G12" s="1185"/>
      <c r="H12" s="1193"/>
      <c r="I12" s="1173"/>
      <c r="J12" s="1194"/>
      <c r="L12" s="1181"/>
    </row>
    <row r="13" spans="2:12" x14ac:dyDescent="0.25">
      <c r="B13" s="1174"/>
      <c r="C13" s="1182" t="s">
        <v>97</v>
      </c>
      <c r="D13" s="1183"/>
      <c r="E13" s="1184"/>
      <c r="F13" s="1184">
        <f>'Januari 2026 PMG 2'!$AM$12</f>
        <v>0</v>
      </c>
      <c r="G13" s="1185"/>
      <c r="H13" s="1193"/>
      <c r="I13" s="1173"/>
      <c r="J13" s="1194"/>
      <c r="L13" s="1181"/>
    </row>
    <row r="14" spans="2:12" x14ac:dyDescent="0.25">
      <c r="B14" s="1174"/>
      <c r="C14" s="1195" t="s">
        <v>744</v>
      </c>
      <c r="D14" s="1196" t="s">
        <v>25</v>
      </c>
      <c r="E14" s="1197">
        <v>5</v>
      </c>
      <c r="F14" s="1198">
        <f>'Januari 2026 PMG 2'!$AM$13</f>
        <v>3.7489166666666662</v>
      </c>
      <c r="G14" s="1199">
        <f>(F14/E14)</f>
        <v>0.74978333333333325</v>
      </c>
      <c r="H14" s="1200"/>
      <c r="I14" s="1201"/>
      <c r="J14" s="1202"/>
    </row>
    <row r="15" spans="2:12" x14ac:dyDescent="0.25">
      <c r="B15" s="1174"/>
      <c r="C15" s="1195" t="s">
        <v>745</v>
      </c>
      <c r="D15" s="1196" t="s">
        <v>25</v>
      </c>
      <c r="E15" s="1197">
        <v>0.5</v>
      </c>
      <c r="F15" s="1198">
        <f>'Januari 2026 PMG 2'!$AM$14</f>
        <v>0.4560833333333334</v>
      </c>
      <c r="G15" s="1199">
        <f>(F15/E15)</f>
        <v>0.91216666666666679</v>
      </c>
      <c r="H15" s="1200"/>
      <c r="I15" s="1201"/>
      <c r="J15" s="1202"/>
    </row>
    <row r="16" spans="2:12" x14ac:dyDescent="0.25">
      <c r="B16" s="1174"/>
      <c r="C16" s="1195" t="s">
        <v>746</v>
      </c>
      <c r="D16" s="1196" t="s">
        <v>25</v>
      </c>
      <c r="E16" s="1197">
        <v>22.2</v>
      </c>
      <c r="F16" s="1198">
        <f>'Januari 2026 PMG 2'!$O$15</f>
        <v>0</v>
      </c>
      <c r="G16" s="1199">
        <f>(F16/E16)</f>
        <v>0</v>
      </c>
      <c r="H16" s="1200"/>
      <c r="I16" s="1201"/>
    </row>
    <row r="17" spans="2:13" x14ac:dyDescent="0.25">
      <c r="B17" s="1174"/>
      <c r="C17" s="1203" t="s">
        <v>77</v>
      </c>
      <c r="D17" s="1189"/>
      <c r="E17" s="1178"/>
      <c r="F17" s="1178"/>
      <c r="G17" s="1199"/>
      <c r="H17" s="1204"/>
      <c r="I17" s="1201"/>
    </row>
    <row r="18" spans="2:13" x14ac:dyDescent="0.25">
      <c r="B18" s="1174"/>
      <c r="C18" s="1205" t="s">
        <v>192</v>
      </c>
      <c r="D18" s="1206" t="s">
        <v>14</v>
      </c>
      <c r="E18" s="1178">
        <f>'Januari 2026 PMG 2'!E20</f>
        <v>55661000</v>
      </c>
      <c r="F18" s="1178">
        <f>'Januari 2026 PMG 2'!$AM$20</f>
        <v>0</v>
      </c>
      <c r="G18" s="1199">
        <f>(F18/E18)</f>
        <v>0</v>
      </c>
      <c r="H18" s="1207"/>
      <c r="I18" s="1173"/>
    </row>
    <row r="19" spans="2:13" x14ac:dyDescent="0.25">
      <c r="B19" s="1174"/>
      <c r="C19" s="1208" t="s">
        <v>64</v>
      </c>
      <c r="D19" s="1209" t="s">
        <v>14</v>
      </c>
      <c r="E19" s="1210">
        <f>'Januari 2026 PMG 2'!E21</f>
        <v>2827000</v>
      </c>
      <c r="F19" s="1178">
        <f>'Januari 2026 PMG 2'!$AM$21</f>
        <v>1752488</v>
      </c>
      <c r="G19" s="1199">
        <f>(F19/E19)</f>
        <v>0.61991085956844716</v>
      </c>
      <c r="H19" s="1211"/>
      <c r="I19" s="1173"/>
    </row>
    <row r="20" spans="2:13" ht="8.25" customHeight="1" x14ac:dyDescent="0.25">
      <c r="B20" s="1174"/>
      <c r="C20" s="1212"/>
      <c r="D20" s="1213"/>
      <c r="E20" s="1177"/>
      <c r="F20" s="1214"/>
      <c r="G20" s="1215"/>
      <c r="H20" s="1207"/>
      <c r="I20" s="1173"/>
    </row>
    <row r="21" spans="2:13" s="1216" customFormat="1" ht="14.25" customHeight="1" x14ac:dyDescent="0.25">
      <c r="B21" s="1174"/>
      <c r="C21" s="1175" t="s">
        <v>747</v>
      </c>
      <c r="D21" s="1213"/>
      <c r="E21" s="1177"/>
      <c r="F21" s="1178"/>
      <c r="G21" s="1190"/>
      <c r="H21" s="1207"/>
      <c r="I21" s="1173"/>
    </row>
    <row r="22" spans="2:13" s="1216" customFormat="1" ht="14.25" customHeight="1" x14ac:dyDescent="0.25">
      <c r="B22" s="1174"/>
      <c r="C22" s="1217" t="s">
        <v>350</v>
      </c>
      <c r="D22" s="1213" t="s">
        <v>14</v>
      </c>
      <c r="E22" s="1177">
        <f>'Januari 2026 PMG 2'!E29</f>
        <v>35501000</v>
      </c>
      <c r="F22" s="1178">
        <f>'Januari 2026 PMG 2'!$AM$29</f>
        <v>51490545</v>
      </c>
      <c r="G22" s="1199">
        <f>(F22/E22)</f>
        <v>1.4503970310695473</v>
      </c>
      <c r="H22" s="1207" t="s">
        <v>743</v>
      </c>
      <c r="I22" s="1173"/>
    </row>
    <row r="23" spans="2:13" s="1216" customFormat="1" ht="20.25" customHeight="1" x14ac:dyDescent="0.25">
      <c r="B23" s="1174"/>
      <c r="C23" s="1217" t="s">
        <v>748</v>
      </c>
      <c r="D23" s="1213" t="s">
        <v>14</v>
      </c>
      <c r="E23" s="1177">
        <v>35501000</v>
      </c>
      <c r="F23" s="1218">
        <f>'Januari 2026 PMG 2'!$AM$25</f>
        <v>0</v>
      </c>
      <c r="G23" s="1199">
        <f>(F23/E23)</f>
        <v>0</v>
      </c>
      <c r="H23" s="1207" t="s">
        <v>743</v>
      </c>
      <c r="I23" s="1173"/>
    </row>
    <row r="24" spans="2:13" x14ac:dyDescent="0.25">
      <c r="B24" s="1174"/>
      <c r="C24" s="1219" t="s">
        <v>749</v>
      </c>
      <c r="D24" s="1220"/>
      <c r="E24" s="1221"/>
      <c r="F24" s="1214"/>
      <c r="G24" s="1215"/>
      <c r="H24" s="1222"/>
      <c r="I24" s="1173"/>
    </row>
    <row r="25" spans="2:13" x14ac:dyDescent="0.25">
      <c r="B25" s="1174"/>
      <c r="C25" s="1205" t="s">
        <v>75</v>
      </c>
      <c r="D25" s="1206" t="s">
        <v>14</v>
      </c>
      <c r="E25" s="1178">
        <f>E26+E27</f>
        <v>25639000</v>
      </c>
      <c r="F25" s="1178">
        <f>F26+F27</f>
        <v>39418618</v>
      </c>
      <c r="G25" s="1199">
        <f>(F25/E25)</f>
        <v>1.5374475603572682</v>
      </c>
      <c r="H25" s="1223" t="s">
        <v>740</v>
      </c>
      <c r="I25" s="1173"/>
      <c r="J25" s="1202"/>
    </row>
    <row r="26" spans="2:13" x14ac:dyDescent="0.25">
      <c r="B26" s="1174"/>
      <c r="C26" s="1224" t="s">
        <v>63</v>
      </c>
      <c r="D26" s="1225" t="s">
        <v>14</v>
      </c>
      <c r="E26" s="1184">
        <f>'Januari 2026 PMG 2'!E33</f>
        <v>25000000</v>
      </c>
      <c r="F26" s="1184">
        <f>'Januari 2026 PMG 2'!$AM$33</f>
        <v>32649843</v>
      </c>
      <c r="G26" s="1185">
        <f>(F26/E26)</f>
        <v>1.30599372</v>
      </c>
      <c r="H26" s="1226" t="s">
        <v>740</v>
      </c>
      <c r="I26" s="1173"/>
      <c r="J26" s="1202"/>
      <c r="M26" s="1227"/>
    </row>
    <row r="27" spans="2:13" x14ac:dyDescent="0.25">
      <c r="B27" s="1174"/>
      <c r="C27" s="1208" t="s">
        <v>62</v>
      </c>
      <c r="D27" s="1209" t="s">
        <v>14</v>
      </c>
      <c r="E27" s="1210">
        <f>'Januari 2026 PMG 2'!E34</f>
        <v>639000</v>
      </c>
      <c r="F27" s="1218">
        <f>'Januari 2026 PMG 2'!$AM$34</f>
        <v>6768775</v>
      </c>
      <c r="G27" s="1199">
        <f>(F27/E27)</f>
        <v>10.592762128325509</v>
      </c>
      <c r="H27" s="1228" t="s">
        <v>740</v>
      </c>
      <c r="I27" s="1173"/>
      <c r="J27" s="1202"/>
      <c r="M27" s="1227"/>
    </row>
    <row r="28" spans="2:13" x14ac:dyDescent="0.25">
      <c r="B28" s="1174"/>
      <c r="C28" s="1219" t="s">
        <v>750</v>
      </c>
      <c r="D28" s="1229"/>
      <c r="E28" s="1221"/>
      <c r="F28" s="1214"/>
      <c r="G28" s="1215"/>
      <c r="H28" s="1207"/>
      <c r="I28" s="1173"/>
      <c r="M28" s="1227"/>
    </row>
    <row r="29" spans="2:13" x14ac:dyDescent="0.25">
      <c r="B29" s="1174"/>
      <c r="C29" s="1188" t="s">
        <v>75</v>
      </c>
      <c r="D29" s="1189" t="s">
        <v>14</v>
      </c>
      <c r="E29" s="1177">
        <v>0</v>
      </c>
      <c r="F29" s="1178"/>
      <c r="G29" s="1190"/>
      <c r="H29" s="1207"/>
      <c r="I29" s="1173"/>
      <c r="J29" s="1202"/>
    </row>
    <row r="30" spans="2:13" x14ac:dyDescent="0.25">
      <c r="B30" s="1174"/>
      <c r="C30" s="1182" t="s">
        <v>751</v>
      </c>
      <c r="D30" s="1183" t="s">
        <v>14</v>
      </c>
      <c r="E30" s="1184">
        <v>0</v>
      </c>
      <c r="F30" s="1184">
        <v>0</v>
      </c>
      <c r="G30" s="1184">
        <v>0</v>
      </c>
      <c r="H30" s="1193"/>
      <c r="I30" s="1173"/>
      <c r="J30" s="1202"/>
    </row>
    <row r="31" spans="2:13" x14ac:dyDescent="0.25">
      <c r="B31" s="1174"/>
      <c r="C31" s="1212" t="s">
        <v>62</v>
      </c>
      <c r="D31" s="1230" t="s">
        <v>14</v>
      </c>
      <c r="E31" s="1177">
        <v>0</v>
      </c>
      <c r="F31" s="1178"/>
      <c r="G31" s="1231"/>
      <c r="H31" s="1207"/>
      <c r="I31" s="1173"/>
      <c r="J31" s="1202"/>
    </row>
    <row r="32" spans="2:13" x14ac:dyDescent="0.25">
      <c r="B32" s="1232"/>
      <c r="C32" s="1219" t="s">
        <v>1095</v>
      </c>
      <c r="D32" s="1220"/>
      <c r="E32" s="1221"/>
      <c r="F32" s="1214"/>
      <c r="G32" s="1215"/>
      <c r="H32" s="1233"/>
      <c r="I32" s="1173"/>
    </row>
    <row r="33" spans="2:13" hidden="1" x14ac:dyDescent="0.25">
      <c r="B33" s="1232"/>
      <c r="C33" s="1234" t="s">
        <v>191</v>
      </c>
      <c r="D33" s="1176" t="s">
        <v>14</v>
      </c>
      <c r="E33" s="1177">
        <v>1812101.9108280253</v>
      </c>
      <c r="F33" s="1178"/>
      <c r="G33" s="1235">
        <f t="shared" ref="G33:G68" si="0">(F33/E33)*100</f>
        <v>0</v>
      </c>
      <c r="H33" s="1207"/>
      <c r="I33" s="1173"/>
      <c r="M33" s="1180"/>
    </row>
    <row r="34" spans="2:13" x14ac:dyDescent="0.25">
      <c r="B34" s="1232"/>
      <c r="C34" s="1188" t="s">
        <v>75</v>
      </c>
      <c r="D34" s="1189" t="s">
        <v>14</v>
      </c>
      <c r="E34" s="1178">
        <f>E35+E36</f>
        <v>12514300</v>
      </c>
      <c r="F34" s="1178">
        <f>F35+F36</f>
        <v>0</v>
      </c>
      <c r="G34" s="1190">
        <f t="shared" si="0"/>
        <v>0</v>
      </c>
      <c r="H34" s="1207" t="s">
        <v>743</v>
      </c>
      <c r="I34" s="1173"/>
      <c r="J34" s="1202"/>
    </row>
    <row r="35" spans="2:13" x14ac:dyDescent="0.25">
      <c r="B35" s="1232"/>
      <c r="C35" s="1182" t="s">
        <v>327</v>
      </c>
      <c r="D35" s="1183" t="s">
        <v>14</v>
      </c>
      <c r="E35" s="1184">
        <f>'Januari 2026 PMG 2'!E46</f>
        <v>12000000</v>
      </c>
      <c r="F35" s="1184"/>
      <c r="G35" s="1235">
        <f t="shared" si="0"/>
        <v>0</v>
      </c>
      <c r="H35" s="1193" t="s">
        <v>743</v>
      </c>
      <c r="I35" s="1173"/>
      <c r="J35" s="1202"/>
    </row>
    <row r="36" spans="2:13" x14ac:dyDescent="0.25">
      <c r="B36" s="1232"/>
      <c r="C36" s="1212" t="s">
        <v>62</v>
      </c>
      <c r="D36" s="1176" t="s">
        <v>14</v>
      </c>
      <c r="E36" s="1177">
        <f>'Januari 2026 PMG 2'!E47</f>
        <v>514300</v>
      </c>
      <c r="F36" s="1178"/>
      <c r="G36" s="1231">
        <f t="shared" si="0"/>
        <v>0</v>
      </c>
      <c r="H36" s="1207" t="s">
        <v>743</v>
      </c>
      <c r="I36" s="1173"/>
      <c r="J36" s="1202"/>
    </row>
    <row r="37" spans="2:13" hidden="1" x14ac:dyDescent="0.25">
      <c r="B37" s="1174"/>
      <c r="C37" s="1219" t="s">
        <v>752</v>
      </c>
      <c r="D37" s="1220"/>
      <c r="E37" s="1221"/>
      <c r="F37" s="1214"/>
      <c r="G37" s="1215"/>
      <c r="H37" s="1233"/>
      <c r="I37" s="1173"/>
    </row>
    <row r="38" spans="2:13" hidden="1" x14ac:dyDescent="0.25">
      <c r="B38" s="1174"/>
      <c r="C38" s="1205" t="s">
        <v>75</v>
      </c>
      <c r="D38" s="1206" t="s">
        <v>14</v>
      </c>
      <c r="E38" s="1178">
        <v>21429000</v>
      </c>
      <c r="F38" s="1178">
        <f>F39+F40</f>
        <v>12071927</v>
      </c>
      <c r="G38" s="1190">
        <f t="shared" si="0"/>
        <v>56.334532642680479</v>
      </c>
      <c r="H38" s="1207" t="s">
        <v>743</v>
      </c>
      <c r="I38" s="1173"/>
      <c r="J38" s="1202"/>
    </row>
    <row r="39" spans="2:13" hidden="1" x14ac:dyDescent="0.25">
      <c r="B39" s="1174"/>
      <c r="C39" s="1224" t="s">
        <v>327</v>
      </c>
      <c r="D39" s="1225" t="s">
        <v>14</v>
      </c>
      <c r="E39" s="1184">
        <v>15000000</v>
      </c>
      <c r="F39" s="1184">
        <f>'Januari 2026 PMG 2'!$AM$46</f>
        <v>9158548</v>
      </c>
      <c r="G39" s="1235">
        <f t="shared" si="0"/>
        <v>61.056986666666667</v>
      </c>
      <c r="H39" s="1193" t="s">
        <v>743</v>
      </c>
      <c r="I39" s="1173"/>
      <c r="J39" s="1202"/>
    </row>
    <row r="40" spans="2:13" hidden="1" x14ac:dyDescent="0.25">
      <c r="B40" s="1174"/>
      <c r="C40" s="1212" t="s">
        <v>62</v>
      </c>
      <c r="D40" s="1213" t="s">
        <v>14</v>
      </c>
      <c r="E40" s="1177">
        <v>6429000</v>
      </c>
      <c r="F40" s="1178">
        <f>'Januari 2026 PMG 2'!$AM$47</f>
        <v>2913379</v>
      </c>
      <c r="G40" s="1231">
        <f t="shared" si="0"/>
        <v>45.316207808368333</v>
      </c>
      <c r="H40" s="1207" t="s">
        <v>743</v>
      </c>
      <c r="I40" s="1173"/>
      <c r="J40" s="1202"/>
    </row>
    <row r="41" spans="2:13" x14ac:dyDescent="0.25">
      <c r="B41" s="1232"/>
      <c r="C41" s="1219" t="s">
        <v>753</v>
      </c>
      <c r="D41" s="1220"/>
      <c r="E41" s="1221"/>
      <c r="F41" s="1214"/>
      <c r="G41" s="1215"/>
      <c r="H41" s="1233"/>
      <c r="I41" s="1173"/>
    </row>
    <row r="42" spans="2:13" hidden="1" x14ac:dyDescent="0.25">
      <c r="B42" s="1232"/>
      <c r="C42" s="1234" t="s">
        <v>191</v>
      </c>
      <c r="D42" s="1236"/>
      <c r="E42" s="1177">
        <v>2234607.2186836516</v>
      </c>
      <c r="F42" s="1178">
        <v>0</v>
      </c>
      <c r="G42" s="1190">
        <f t="shared" si="0"/>
        <v>0</v>
      </c>
      <c r="H42" s="1207"/>
      <c r="I42" s="1173"/>
    </row>
    <row r="43" spans="2:13" x14ac:dyDescent="0.25">
      <c r="B43" s="1232"/>
      <c r="C43" s="1188" t="s">
        <v>75</v>
      </c>
      <c r="D43" s="1189" t="s">
        <v>14</v>
      </c>
      <c r="E43" s="1178">
        <f>E44+E45</f>
        <v>1333300</v>
      </c>
      <c r="F43" s="1178">
        <v>0</v>
      </c>
      <c r="G43" s="1190">
        <f t="shared" si="0"/>
        <v>0</v>
      </c>
      <c r="H43" s="1207" t="s">
        <v>743</v>
      </c>
      <c r="I43" s="1173"/>
      <c r="J43" s="1202"/>
    </row>
    <row r="44" spans="2:13" x14ac:dyDescent="0.25">
      <c r="B44" s="1232"/>
      <c r="C44" s="1182" t="s">
        <v>754</v>
      </c>
      <c r="D44" s="1183" t="s">
        <v>14</v>
      </c>
      <c r="E44" s="1184">
        <f>'Januari 2026 PMG 2'!E56</f>
        <v>1250000</v>
      </c>
      <c r="F44" s="1184">
        <f>'Januari 2026 PMG 2'!AM56</f>
        <v>0</v>
      </c>
      <c r="G44" s="1235">
        <f t="shared" si="0"/>
        <v>0</v>
      </c>
      <c r="H44" s="1193" t="s">
        <v>743</v>
      </c>
      <c r="I44" s="1173"/>
      <c r="J44" s="1202"/>
    </row>
    <row r="45" spans="2:13" x14ac:dyDescent="0.25">
      <c r="B45" s="1232"/>
      <c r="C45" s="1237" t="s">
        <v>60</v>
      </c>
      <c r="D45" s="1230" t="s">
        <v>14</v>
      </c>
      <c r="E45" s="1210">
        <f>'Januari 2026 PMG 2'!E57</f>
        <v>83300</v>
      </c>
      <c r="F45" s="1178">
        <f>'Januari 2026 PMG 2'!AM57</f>
        <v>0</v>
      </c>
      <c r="G45" s="1231">
        <f t="shared" si="0"/>
        <v>0</v>
      </c>
      <c r="H45" s="1207" t="s">
        <v>743</v>
      </c>
      <c r="I45" s="1173"/>
      <c r="J45" s="1202"/>
    </row>
    <row r="46" spans="2:13" x14ac:dyDescent="0.25">
      <c r="B46" s="1238" t="s">
        <v>755</v>
      </c>
      <c r="C46" s="1239" t="s">
        <v>756</v>
      </c>
      <c r="D46" s="1170"/>
      <c r="E46" s="1171"/>
      <c r="F46" s="1171"/>
      <c r="G46" s="1240"/>
      <c r="H46" s="1241"/>
      <c r="I46" s="1173"/>
    </row>
    <row r="47" spans="2:13" x14ac:dyDescent="0.25">
      <c r="B47" s="1242"/>
      <c r="C47" s="1205" t="s">
        <v>65</v>
      </c>
      <c r="D47" s="1206" t="s">
        <v>25</v>
      </c>
      <c r="E47" s="1198">
        <v>94.77</v>
      </c>
      <c r="F47" s="270">
        <f>(F18/F11)*100</f>
        <v>0</v>
      </c>
      <c r="G47" s="1190">
        <f t="shared" si="0"/>
        <v>0</v>
      </c>
      <c r="H47" s="1207" t="s">
        <v>743</v>
      </c>
      <c r="I47" s="1201"/>
    </row>
    <row r="48" spans="2:13" x14ac:dyDescent="0.25">
      <c r="B48" s="1242"/>
      <c r="C48" s="1205" t="s">
        <v>64</v>
      </c>
      <c r="D48" s="1206" t="s">
        <v>25</v>
      </c>
      <c r="E48" s="1198">
        <v>4.5</v>
      </c>
      <c r="F48" s="270">
        <f>(F19/(F11))*100</f>
        <v>4.3675299772861962</v>
      </c>
      <c r="G48" s="1231">
        <f t="shared" si="0"/>
        <v>97.056221717471018</v>
      </c>
      <c r="H48" s="1207" t="s">
        <v>743</v>
      </c>
      <c r="I48" s="1201"/>
    </row>
    <row r="49" spans="2:9" x14ac:dyDescent="0.25">
      <c r="B49" s="1242"/>
      <c r="C49" s="1243" t="s">
        <v>63</v>
      </c>
      <c r="D49" s="1244" t="s">
        <v>25</v>
      </c>
      <c r="E49" s="1245">
        <v>82</v>
      </c>
      <c r="F49" s="1246">
        <f>F26/(F26+F27)*100</f>
        <v>82.828482216195397</v>
      </c>
      <c r="G49" s="1215">
        <f t="shared" si="0"/>
        <v>101.01034416609194</v>
      </c>
      <c r="H49" s="1247" t="s">
        <v>740</v>
      </c>
      <c r="I49" s="1201"/>
    </row>
    <row r="50" spans="2:9" x14ac:dyDescent="0.25">
      <c r="B50" s="1242"/>
      <c r="C50" s="1205" t="s">
        <v>62</v>
      </c>
      <c r="D50" s="1206" t="s">
        <v>25</v>
      </c>
      <c r="E50" s="1198">
        <v>18</v>
      </c>
      <c r="F50" s="1248">
        <f>(F27/F25)*100</f>
        <v>17.171517783804596</v>
      </c>
      <c r="G50" s="1231">
        <f t="shared" si="0"/>
        <v>95.397321021136648</v>
      </c>
      <c r="H50" s="1228" t="s">
        <v>740</v>
      </c>
      <c r="I50" s="1201"/>
    </row>
    <row r="51" spans="2:9" x14ac:dyDescent="0.25">
      <c r="B51" s="1242"/>
      <c r="C51" s="1249" t="s">
        <v>105</v>
      </c>
      <c r="D51" s="1244" t="s">
        <v>25</v>
      </c>
      <c r="E51" s="1245">
        <v>75</v>
      </c>
      <c r="F51" s="1250">
        <v>0</v>
      </c>
      <c r="G51" s="1215">
        <f t="shared" si="0"/>
        <v>0</v>
      </c>
      <c r="H51" s="1251"/>
      <c r="I51" s="1201"/>
    </row>
    <row r="52" spans="2:9" x14ac:dyDescent="0.25">
      <c r="B52" s="1242"/>
      <c r="C52" s="1205" t="s">
        <v>62</v>
      </c>
      <c r="D52" s="1206" t="s">
        <v>25</v>
      </c>
      <c r="E52" s="1198">
        <v>25</v>
      </c>
      <c r="F52" s="1252">
        <v>0</v>
      </c>
      <c r="G52" s="1231">
        <f t="shared" si="0"/>
        <v>0</v>
      </c>
      <c r="H52" s="1253"/>
      <c r="I52" s="1201"/>
    </row>
    <row r="53" spans="2:9" x14ac:dyDescent="0.25">
      <c r="B53" s="1242"/>
      <c r="C53" s="1249" t="s">
        <v>107</v>
      </c>
      <c r="D53" s="1244" t="s">
        <v>25</v>
      </c>
      <c r="E53" s="1245">
        <v>75</v>
      </c>
      <c r="F53" s="1246" t="e">
        <f>F35/(F35+F36)*100</f>
        <v>#DIV/0!</v>
      </c>
      <c r="G53" s="1215" t="e">
        <f t="shared" si="0"/>
        <v>#DIV/0!</v>
      </c>
      <c r="H53" s="1254" t="s">
        <v>740</v>
      </c>
      <c r="I53" s="1201"/>
    </row>
    <row r="54" spans="2:9" x14ac:dyDescent="0.25">
      <c r="B54" s="1242"/>
      <c r="C54" s="1205" t="s">
        <v>62</v>
      </c>
      <c r="D54" s="1206" t="s">
        <v>25</v>
      </c>
      <c r="E54" s="1198">
        <v>25</v>
      </c>
      <c r="F54" s="1248" t="e">
        <f>(F36/F34)*100</f>
        <v>#DIV/0!</v>
      </c>
      <c r="G54" s="1231" t="e">
        <f t="shared" si="0"/>
        <v>#DIV/0!</v>
      </c>
      <c r="H54" s="1254" t="s">
        <v>740</v>
      </c>
      <c r="I54" s="1201"/>
    </row>
    <row r="55" spans="2:9" x14ac:dyDescent="0.25">
      <c r="B55" s="1242"/>
      <c r="C55" s="1249" t="s">
        <v>327</v>
      </c>
      <c r="D55" s="1244" t="s">
        <v>25</v>
      </c>
      <c r="E55" s="1245">
        <v>70</v>
      </c>
      <c r="F55" s="1246">
        <f>F39/(F39+F40)*100</f>
        <v>75.866495879241143</v>
      </c>
      <c r="G55" s="1215">
        <f t="shared" si="0"/>
        <v>108.38070839891591</v>
      </c>
      <c r="H55" s="1247" t="s">
        <v>740</v>
      </c>
      <c r="I55" s="1201"/>
    </row>
    <row r="56" spans="2:9" x14ac:dyDescent="0.25">
      <c r="B56" s="1242"/>
      <c r="C56" s="1205" t="s">
        <v>62</v>
      </c>
      <c r="D56" s="1206" t="s">
        <v>25</v>
      </c>
      <c r="E56" s="1198">
        <v>30</v>
      </c>
      <c r="F56" s="1248">
        <f>(F40/F38)*100</f>
        <v>24.133504120758847</v>
      </c>
      <c r="G56" s="1231">
        <f t="shared" si="0"/>
        <v>80.44501373586283</v>
      </c>
      <c r="H56" s="1228" t="s">
        <v>740</v>
      </c>
      <c r="I56" s="1201"/>
    </row>
    <row r="57" spans="2:9" x14ac:dyDescent="0.25">
      <c r="B57" s="1242"/>
      <c r="C57" s="1243" t="s">
        <v>61</v>
      </c>
      <c r="D57" s="1244" t="s">
        <v>25</v>
      </c>
      <c r="E57" s="1245">
        <v>60</v>
      </c>
      <c r="F57" s="270">
        <v>0</v>
      </c>
      <c r="G57" s="1215">
        <f t="shared" si="0"/>
        <v>0</v>
      </c>
      <c r="H57" s="1255"/>
      <c r="I57" s="1201"/>
    </row>
    <row r="58" spans="2:9" x14ac:dyDescent="0.25">
      <c r="B58" s="1242"/>
      <c r="C58" s="1256" t="s">
        <v>60</v>
      </c>
      <c r="D58" s="1257" t="s">
        <v>25</v>
      </c>
      <c r="E58" s="1252">
        <v>40</v>
      </c>
      <c r="F58" s="270">
        <v>0</v>
      </c>
      <c r="G58" s="1231">
        <f t="shared" si="0"/>
        <v>0</v>
      </c>
      <c r="H58" s="1258"/>
      <c r="I58" s="1201"/>
    </row>
    <row r="59" spans="2:9" x14ac:dyDescent="0.25">
      <c r="B59" s="1168" t="s">
        <v>757</v>
      </c>
      <c r="C59" s="1169" t="s">
        <v>59</v>
      </c>
      <c r="D59" s="1170"/>
      <c r="E59" s="1171"/>
      <c r="F59" s="1171"/>
      <c r="G59" s="1240"/>
      <c r="H59" s="1241"/>
      <c r="I59" s="1173"/>
    </row>
    <row r="60" spans="2:9" x14ac:dyDescent="0.25">
      <c r="B60" s="1259"/>
      <c r="C60" s="1260" t="s">
        <v>758</v>
      </c>
      <c r="D60" s="1176" t="s">
        <v>14</v>
      </c>
      <c r="E60" s="1953">
        <v>530100</v>
      </c>
      <c r="F60" s="1178">
        <f>'Januari 2026 PMG 2'!$AM$75</f>
        <v>270687</v>
      </c>
      <c r="G60" s="1190">
        <f>(F60/E60)*100</f>
        <v>51.063384267119417</v>
      </c>
      <c r="H60" s="1207"/>
      <c r="I60" s="1173"/>
    </row>
    <row r="61" spans="2:9" x14ac:dyDescent="0.25">
      <c r="B61" s="1259"/>
      <c r="C61" s="1188"/>
      <c r="D61" s="1206" t="s">
        <v>321</v>
      </c>
      <c r="E61" s="1261">
        <f>'Januari 2026 PMG 2'!E75</f>
        <v>9</v>
      </c>
      <c r="F61" s="1261">
        <f>(F60/F12)*1000</f>
        <v>6.7460295703118573</v>
      </c>
      <c r="G61" s="1235">
        <f t="shared" si="0"/>
        <v>74.955884114576193</v>
      </c>
      <c r="H61" s="1186" t="s">
        <v>740</v>
      </c>
      <c r="I61" s="1201"/>
    </row>
    <row r="62" spans="2:9" x14ac:dyDescent="0.25">
      <c r="B62" s="1259"/>
      <c r="C62" s="1260" t="s">
        <v>759</v>
      </c>
      <c r="D62" s="1176" t="s">
        <v>14</v>
      </c>
      <c r="E62" s="1177">
        <v>106326</v>
      </c>
      <c r="F62" s="1178">
        <f>'Januari 2026 PMG 2'!AM12</f>
        <v>0</v>
      </c>
      <c r="G62" s="1190">
        <f t="shared" si="0"/>
        <v>0</v>
      </c>
      <c r="H62" s="1254"/>
      <c r="I62" s="1173"/>
    </row>
    <row r="63" spans="2:9" x14ac:dyDescent="0.25">
      <c r="B63" s="1259"/>
      <c r="C63" s="1188"/>
      <c r="D63" s="1206" t="s">
        <v>321</v>
      </c>
      <c r="E63" s="1261">
        <v>1060</v>
      </c>
      <c r="F63" s="1261"/>
      <c r="G63" s="1235">
        <f t="shared" si="0"/>
        <v>0</v>
      </c>
      <c r="H63" s="1262"/>
      <c r="I63" s="1201"/>
    </row>
    <row r="64" spans="2:9" x14ac:dyDescent="0.25">
      <c r="B64" s="1259"/>
      <c r="C64" s="1205" t="s">
        <v>760</v>
      </c>
      <c r="D64" s="1206" t="s">
        <v>14</v>
      </c>
      <c r="E64" s="1178">
        <v>35340</v>
      </c>
      <c r="F64" s="1178">
        <f>'Januari 2026 PMG 2'!$AM$86</f>
        <v>24463.56</v>
      </c>
      <c r="G64" s="1190">
        <f t="shared" si="0"/>
        <v>69.22342954159592</v>
      </c>
      <c r="H64" s="1254"/>
      <c r="I64" s="1173"/>
    </row>
    <row r="65" spans="1:9" x14ac:dyDescent="0.25">
      <c r="B65" s="1259"/>
      <c r="C65" s="1260"/>
      <c r="D65" s="1213" t="s">
        <v>321</v>
      </c>
      <c r="E65" s="1263">
        <v>0.6</v>
      </c>
      <c r="F65" s="1263">
        <f>(F64/F11)*1000</f>
        <v>0.60967796442052391</v>
      </c>
      <c r="G65" s="1264">
        <f t="shared" si="0"/>
        <v>101.61299407008732</v>
      </c>
      <c r="H65" s="1186" t="s">
        <v>740</v>
      </c>
      <c r="I65" s="1201"/>
    </row>
    <row r="66" spans="1:9" x14ac:dyDescent="0.25">
      <c r="B66" s="1168" t="s">
        <v>761</v>
      </c>
      <c r="C66" s="1239" t="s">
        <v>167</v>
      </c>
      <c r="D66" s="1170"/>
      <c r="E66" s="1171"/>
      <c r="F66" s="1171"/>
      <c r="G66" s="1240"/>
      <c r="H66" s="1241"/>
      <c r="I66" s="1173"/>
    </row>
    <row r="67" spans="1:9" x14ac:dyDescent="0.25">
      <c r="B67" s="1265"/>
      <c r="C67" s="1205" t="s">
        <v>762</v>
      </c>
      <c r="D67" s="1206" t="s">
        <v>25</v>
      </c>
      <c r="E67" s="1266">
        <v>-0.73</v>
      </c>
      <c r="F67" s="1263">
        <f>'Januari 2026 PMG 2'!$AM$88</f>
        <v>-0.25548916919914527</v>
      </c>
      <c r="G67" s="1235">
        <f t="shared" si="0"/>
        <v>34.998516328650034</v>
      </c>
      <c r="H67" s="1193" t="s">
        <v>743</v>
      </c>
      <c r="I67" s="1201"/>
    </row>
    <row r="68" spans="1:9" x14ac:dyDescent="0.25">
      <c r="B68" s="1265"/>
      <c r="C68" s="1205" t="s">
        <v>54</v>
      </c>
      <c r="D68" s="1206" t="s">
        <v>25</v>
      </c>
      <c r="E68" s="1198">
        <v>22</v>
      </c>
      <c r="F68" s="1198">
        <f>'Januari 2026 PMG 2'!$AM$90</f>
        <v>17.46</v>
      </c>
      <c r="G68" s="1190">
        <f t="shared" si="0"/>
        <v>79.363636363636374</v>
      </c>
      <c r="H68" s="1200"/>
      <c r="I68" s="1201"/>
    </row>
    <row r="69" spans="1:9" ht="15.75" thickBot="1" x14ac:dyDescent="0.3">
      <c r="B69" s="1267"/>
      <c r="C69" s="1268" t="s">
        <v>53</v>
      </c>
      <c r="D69" s="1269" t="s">
        <v>14</v>
      </c>
      <c r="E69" s="1270">
        <v>413199.35999999999</v>
      </c>
      <c r="F69" s="1270">
        <f>'Januari 2026 PMG 2'!$AM$91</f>
        <v>273050.09750999999</v>
      </c>
      <c r="G69" s="1271">
        <f>(F69/E69)*100</f>
        <v>66.081926532993663</v>
      </c>
      <c r="H69" s="1272"/>
      <c r="I69" s="1201"/>
    </row>
    <row r="70" spans="1:9" x14ac:dyDescent="0.25">
      <c r="B70" s="1157" t="s">
        <v>763</v>
      </c>
      <c r="C70" s="1273"/>
      <c r="D70" s="1274"/>
      <c r="E70" s="1201"/>
      <c r="F70" s="1201"/>
      <c r="G70" s="1201"/>
      <c r="H70" s="1275"/>
      <c r="I70" s="1201"/>
    </row>
    <row r="71" spans="1:9" x14ac:dyDescent="0.25">
      <c r="B71" s="2333" t="s">
        <v>764</v>
      </c>
      <c r="C71" s="2333"/>
      <c r="D71" s="2333"/>
      <c r="E71" s="2333"/>
      <c r="F71" s="2333"/>
      <c r="G71" s="2333"/>
      <c r="H71" s="2333"/>
      <c r="I71" s="1276"/>
    </row>
    <row r="72" spans="1:9" x14ac:dyDescent="0.25">
      <c r="B72" s="2334" t="s">
        <v>765</v>
      </c>
      <c r="C72" s="2334"/>
      <c r="D72" s="2334"/>
      <c r="E72" s="2334"/>
      <c r="F72" s="2334"/>
      <c r="G72" s="2334"/>
      <c r="H72" s="2334"/>
      <c r="I72" s="1276"/>
    </row>
    <row r="73" spans="1:9" x14ac:dyDescent="0.25">
      <c r="B73" s="2334"/>
      <c r="C73" s="2334"/>
      <c r="D73" s="2334"/>
      <c r="E73" s="2334"/>
      <c r="F73" s="2334"/>
      <c r="G73" s="2334"/>
      <c r="H73" s="2334"/>
      <c r="I73" s="1276"/>
    </row>
    <row r="74" spans="1:9" x14ac:dyDescent="0.25">
      <c r="B74" s="2333" t="s">
        <v>766</v>
      </c>
      <c r="C74" s="2333"/>
      <c r="D74" s="2333"/>
      <c r="E74" s="2333"/>
      <c r="F74" s="2333"/>
      <c r="G74" s="2333"/>
      <c r="H74" s="2333"/>
      <c r="I74" s="1276"/>
    </row>
    <row r="75" spans="1:9" x14ac:dyDescent="0.25">
      <c r="B75" s="2333" t="s">
        <v>767</v>
      </c>
      <c r="C75" s="2333"/>
      <c r="D75" s="2333"/>
      <c r="E75" s="2333"/>
      <c r="F75" s="2333"/>
      <c r="G75" s="2333"/>
      <c r="H75" s="2333"/>
      <c r="I75" s="1276"/>
    </row>
    <row r="76" spans="1:9" x14ac:dyDescent="0.25">
      <c r="B76" s="1276"/>
      <c r="C76" s="1276"/>
      <c r="D76" s="1276"/>
      <c r="E76" s="1276"/>
      <c r="F76" s="1276"/>
      <c r="G76" s="1276"/>
      <c r="H76" s="1277"/>
      <c r="I76" s="1276"/>
    </row>
    <row r="77" spans="1:9" s="1279" customFormat="1" x14ac:dyDescent="0.25">
      <c r="A77" s="2320" t="s">
        <v>768</v>
      </c>
      <c r="B77" s="2320"/>
      <c r="C77" s="2320"/>
      <c r="D77" s="2320" t="s">
        <v>769</v>
      </c>
      <c r="E77" s="2320"/>
      <c r="F77" s="2320"/>
      <c r="G77" s="1278"/>
      <c r="H77" s="1160" t="s">
        <v>770</v>
      </c>
      <c r="I77" s="1161"/>
    </row>
    <row r="78" spans="1:9" x14ac:dyDescent="0.25">
      <c r="B78" s="1280"/>
      <c r="C78" s="1280"/>
      <c r="D78" s="1280"/>
      <c r="E78" s="1280"/>
      <c r="G78" s="1280"/>
      <c r="H78" s="1280"/>
      <c r="I78" s="1281"/>
    </row>
    <row r="79" spans="1:9" x14ac:dyDescent="0.25">
      <c r="B79" s="1280"/>
      <c r="C79" s="1280"/>
      <c r="D79" s="1280"/>
      <c r="E79" s="1280"/>
      <c r="G79" s="1280"/>
      <c r="H79" s="1280"/>
      <c r="I79" s="1281"/>
    </row>
    <row r="80" spans="1:9" x14ac:dyDescent="0.25">
      <c r="B80" s="1280"/>
      <c r="C80" s="1280"/>
      <c r="D80" s="1280"/>
      <c r="E80" s="1280"/>
      <c r="G80" s="1280"/>
      <c r="H80" s="1280"/>
      <c r="I80" s="1281"/>
    </row>
    <row r="81" spans="1:9" x14ac:dyDescent="0.25">
      <c r="A81" s="2331" t="s">
        <v>771</v>
      </c>
      <c r="B81" s="2331"/>
      <c r="C81" s="2331"/>
      <c r="D81" s="2331" t="s">
        <v>772</v>
      </c>
      <c r="E81" s="2331"/>
      <c r="F81" s="1282" t="s">
        <v>773</v>
      </c>
      <c r="G81" s="1283"/>
      <c r="H81" s="1282" t="s">
        <v>774</v>
      </c>
      <c r="I81" s="1284"/>
    </row>
    <row r="82" spans="1:9" ht="20.85" customHeight="1" x14ac:dyDescent="0.25">
      <c r="A82" s="2332" t="s">
        <v>775</v>
      </c>
      <c r="B82" s="2332"/>
      <c r="C82" s="2332"/>
      <c r="D82" s="2332" t="s">
        <v>776</v>
      </c>
      <c r="E82" s="2332"/>
      <c r="F82" s="1280" t="s">
        <v>777</v>
      </c>
      <c r="G82" s="1285"/>
      <c r="H82" s="1280" t="s">
        <v>778</v>
      </c>
      <c r="I82" s="1281"/>
    </row>
  </sheetData>
  <mergeCells count="18"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  <mergeCell ref="B2:H2"/>
    <mergeCell ref="B3:H3"/>
    <mergeCell ref="B4:C4"/>
    <mergeCell ref="B5:B6"/>
    <mergeCell ref="C5:C6"/>
    <mergeCell ref="D5:D6"/>
    <mergeCell ref="E5:G5"/>
    <mergeCell ref="H5:H6"/>
  </mergeCells>
  <printOptions horizontalCentered="1" verticalCentered="1"/>
  <pageMargins left="0" right="0" top="0" bottom="0" header="0" footer="0"/>
  <pageSetup paperSize="9" scale="7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zoomScale="90" zoomScaleNormal="90" zoomScaleSheetLayoutView="115" workbookViewId="0">
      <selection activeCell="D2" sqref="D2:L2"/>
    </sheetView>
  </sheetViews>
  <sheetFormatPr defaultColWidth="9" defaultRowHeight="14.25" x14ac:dyDescent="0.2"/>
  <cols>
    <col min="1" max="2" width="9" style="1287"/>
    <col min="3" max="3" width="1.5703125" style="1287" customWidth="1"/>
    <col min="4" max="4" width="4.42578125" style="1290" customWidth="1"/>
    <col min="5" max="5" width="42.5703125" style="1287" customWidth="1"/>
    <col min="6" max="6" width="9.5703125" style="1288" customWidth="1"/>
    <col min="7" max="7" width="9" style="1287" customWidth="1"/>
    <col min="8" max="8" width="15.42578125" style="1287" customWidth="1"/>
    <col min="9" max="9" width="15.5703125" style="1287" customWidth="1"/>
    <col min="10" max="10" width="16.42578125" style="1289" customWidth="1"/>
    <col min="11" max="11" width="13.5703125" style="1289" customWidth="1"/>
    <col min="12" max="12" width="14" style="1289" customWidth="1"/>
    <col min="13" max="13" width="9" style="1287"/>
    <col min="14" max="14" width="16.42578125" style="1287" bestFit="1" customWidth="1"/>
    <col min="15" max="16384" width="9" style="1287"/>
  </cols>
  <sheetData>
    <row r="1" spans="4:14" x14ac:dyDescent="0.2">
      <c r="D1" s="1286"/>
    </row>
    <row r="2" spans="4:14" ht="17.100000000000001" customHeight="1" x14ac:dyDescent="0.25">
      <c r="D2" s="2336" t="s">
        <v>779</v>
      </c>
      <c r="E2" s="2336"/>
      <c r="F2" s="2336"/>
      <c r="G2" s="2336"/>
      <c r="H2" s="2336"/>
      <c r="I2" s="2336"/>
      <c r="J2" s="2337"/>
      <c r="K2" s="2336"/>
      <c r="L2" s="2336"/>
    </row>
    <row r="3" spans="4:14" ht="17.100000000000001" customHeight="1" x14ac:dyDescent="0.25">
      <c r="D3" s="2336" t="s">
        <v>730</v>
      </c>
      <c r="E3" s="2336"/>
      <c r="F3" s="2336"/>
      <c r="G3" s="2336"/>
      <c r="H3" s="2336"/>
      <c r="I3" s="2336"/>
      <c r="J3" s="2337"/>
      <c r="K3" s="2336"/>
      <c r="L3" s="2336"/>
    </row>
    <row r="4" spans="4:14" ht="10.5" customHeight="1" x14ac:dyDescent="0.2"/>
    <row r="5" spans="4:14" ht="13.35" customHeight="1" thickBot="1" x14ac:dyDescent="0.25">
      <c r="D5" s="2321" t="s">
        <v>1094</v>
      </c>
      <c r="E5" s="2321"/>
    </row>
    <row r="6" spans="4:14" ht="15" customHeight="1" x14ac:dyDescent="0.25">
      <c r="D6" s="2338" t="s">
        <v>98</v>
      </c>
      <c r="E6" s="2338" t="s">
        <v>731</v>
      </c>
      <c r="F6" s="2339" t="s">
        <v>780</v>
      </c>
      <c r="G6" s="2339" t="s">
        <v>101</v>
      </c>
      <c r="H6" s="2342" t="s">
        <v>733</v>
      </c>
      <c r="I6" s="2342"/>
      <c r="J6" s="2343"/>
      <c r="K6" s="2344" t="s">
        <v>781</v>
      </c>
      <c r="L6" s="2347" t="s">
        <v>734</v>
      </c>
    </row>
    <row r="7" spans="4:14" ht="15" customHeight="1" x14ac:dyDescent="0.2">
      <c r="D7" s="2338"/>
      <c r="E7" s="2338"/>
      <c r="F7" s="2340"/>
      <c r="G7" s="2340"/>
      <c r="H7" s="2350" t="s">
        <v>735</v>
      </c>
      <c r="I7" s="2352" t="s">
        <v>736</v>
      </c>
      <c r="J7" s="2354" t="s">
        <v>737</v>
      </c>
      <c r="K7" s="2345"/>
      <c r="L7" s="2348"/>
    </row>
    <row r="8" spans="4:14" ht="24" customHeight="1" x14ac:dyDescent="0.2">
      <c r="D8" s="2338"/>
      <c r="E8" s="2338"/>
      <c r="F8" s="2341"/>
      <c r="G8" s="2341"/>
      <c r="H8" s="2351"/>
      <c r="I8" s="2353"/>
      <c r="J8" s="2355"/>
      <c r="K8" s="2346"/>
      <c r="L8" s="2349"/>
    </row>
    <row r="9" spans="4:14" ht="20.25" customHeight="1" x14ac:dyDescent="0.2">
      <c r="D9" s="1291"/>
      <c r="E9" s="1291" t="s">
        <v>782</v>
      </c>
      <c r="F9" s="1291"/>
      <c r="G9" s="1291"/>
      <c r="H9" s="1293"/>
      <c r="I9" s="1294"/>
      <c r="J9" s="1295"/>
      <c r="K9" s="1296">
        <v>24046</v>
      </c>
      <c r="L9" s="1292"/>
    </row>
    <row r="10" spans="4:14" ht="15" x14ac:dyDescent="0.25">
      <c r="D10" s="1297" t="s">
        <v>738</v>
      </c>
      <c r="E10" s="1298" t="s">
        <v>24</v>
      </c>
      <c r="F10" s="1299"/>
      <c r="G10" s="1300"/>
      <c r="H10" s="1301"/>
      <c r="I10" s="1301"/>
      <c r="J10" s="1302"/>
      <c r="K10" s="1302"/>
      <c r="L10" s="1303"/>
    </row>
    <row r="11" spans="4:14" ht="15" x14ac:dyDescent="0.25">
      <c r="D11" s="1304"/>
      <c r="E11" s="1305" t="s">
        <v>783</v>
      </c>
      <c r="F11" s="1306"/>
      <c r="G11" s="1307" t="s">
        <v>19</v>
      </c>
      <c r="H11" s="1308"/>
      <c r="I11" s="1309">
        <f>'Januari 2026 PMG 2'!$AM$244</f>
        <v>26545.917399999995</v>
      </c>
      <c r="J11" s="1310"/>
      <c r="K11" s="1311"/>
      <c r="L11" s="1312"/>
    </row>
    <row r="12" spans="4:14" s="1322" customFormat="1" ht="15" x14ac:dyDescent="0.25">
      <c r="D12" s="1313"/>
      <c r="E12" s="1314" t="s">
        <v>784</v>
      </c>
      <c r="F12" s="1315">
        <v>1460.001</v>
      </c>
      <c r="G12" s="1316" t="s">
        <v>19</v>
      </c>
      <c r="H12" s="1317">
        <v>26051.47</v>
      </c>
      <c r="I12" s="1318">
        <f>'Januari 2026 PMG 2'!$AM$242</f>
        <v>26890.591961393569</v>
      </c>
      <c r="J12" s="1319">
        <f>I12/H12</f>
        <v>1.0322101578680039</v>
      </c>
      <c r="K12" s="1320">
        <f>I12/K9</f>
        <v>1.1182979273639511</v>
      </c>
      <c r="L12" s="1321"/>
      <c r="N12" s="1323"/>
    </row>
    <row r="13" spans="4:14" x14ac:dyDescent="0.2">
      <c r="D13" s="1313"/>
      <c r="E13" s="1324" t="s">
        <v>17</v>
      </c>
      <c r="F13" s="1325"/>
      <c r="G13" s="1313"/>
      <c r="H13" s="1326"/>
      <c r="I13" s="1327"/>
      <c r="J13" s="1328"/>
      <c r="K13" s="1329"/>
      <c r="L13" s="1330"/>
    </row>
    <row r="14" spans="4:14" x14ac:dyDescent="0.2">
      <c r="D14" s="1313"/>
      <c r="E14" s="1314" t="s">
        <v>21</v>
      </c>
      <c r="F14" s="1315"/>
      <c r="G14" s="1316" t="s">
        <v>19</v>
      </c>
      <c r="H14" s="1326">
        <v>3907.73</v>
      </c>
      <c r="I14" s="1331">
        <f>'Januari 2026 PMG 2'!$AM$246</f>
        <v>109902</v>
      </c>
      <c r="J14" s="1328">
        <f t="shared" ref="J14:J42" si="0">I14/H14</f>
        <v>28.12425628177996</v>
      </c>
      <c r="K14" s="1329">
        <f>I14/K9</f>
        <v>4.5704898943691257</v>
      </c>
      <c r="L14" s="1330"/>
      <c r="N14" s="1332"/>
    </row>
    <row r="15" spans="4:14" x14ac:dyDescent="0.2">
      <c r="D15" s="1313"/>
      <c r="E15" s="1314" t="s">
        <v>785</v>
      </c>
      <c r="F15" s="1315"/>
      <c r="G15" s="1316" t="s">
        <v>19</v>
      </c>
      <c r="H15" s="1326">
        <v>22143.74</v>
      </c>
      <c r="I15" s="1333">
        <f>I12-$I$14</f>
        <v>-83011.408038606431</v>
      </c>
      <c r="J15" s="1328">
        <f t="shared" si="0"/>
        <v>-3.7487528321144676</v>
      </c>
      <c r="K15" s="1329">
        <f>I15/K9</f>
        <v>-3.4521919670051746</v>
      </c>
      <c r="L15" s="1334"/>
      <c r="N15" s="1335"/>
    </row>
    <row r="16" spans="4:14" s="1345" customFormat="1" ht="15" x14ac:dyDescent="0.25">
      <c r="D16" s="1336"/>
      <c r="E16" s="1337" t="s">
        <v>1</v>
      </c>
      <c r="F16" s="1338"/>
      <c r="G16" s="1339" t="s">
        <v>19</v>
      </c>
      <c r="H16" s="1340">
        <v>26051.47</v>
      </c>
      <c r="I16" s="1341">
        <f>$I$12</f>
        <v>26890.591961393569</v>
      </c>
      <c r="J16" s="1342">
        <f t="shared" si="0"/>
        <v>1.0322101578680039</v>
      </c>
      <c r="K16" s="1343">
        <f>SUM(K14+K15)</f>
        <v>1.1182979273639511</v>
      </c>
      <c r="L16" s="1344"/>
    </row>
    <row r="17" spans="4:14" s="1345" customFormat="1" ht="15" x14ac:dyDescent="0.25">
      <c r="D17" s="1346" t="s">
        <v>755</v>
      </c>
      <c r="E17" s="1347" t="s">
        <v>18</v>
      </c>
      <c r="F17" s="1348"/>
      <c r="G17" s="1346"/>
      <c r="H17" s="1349"/>
      <c r="I17" s="1349"/>
      <c r="J17" s="1350"/>
      <c r="K17" s="1351"/>
      <c r="L17" s="1352"/>
    </row>
    <row r="18" spans="4:14" s="1345" customFormat="1" ht="15" x14ac:dyDescent="0.25">
      <c r="D18" s="1353"/>
      <c r="E18" s="1354" t="s">
        <v>4</v>
      </c>
      <c r="F18" s="1355"/>
      <c r="G18" s="1356" t="s">
        <v>14</v>
      </c>
      <c r="H18" s="1357">
        <v>11424000</v>
      </c>
      <c r="I18" s="1357">
        <f>'Januari 2026 PMG 2'!$AM$253</f>
        <v>5602499.5</v>
      </c>
      <c r="J18" s="1328">
        <f t="shared" si="0"/>
        <v>0.49041487219887953</v>
      </c>
      <c r="K18" s="1358">
        <f t="shared" ref="K18:K23" si="1">I18/$K$9</f>
        <v>232.99091324960492</v>
      </c>
      <c r="L18" s="1359"/>
      <c r="N18" s="1323"/>
    </row>
    <row r="19" spans="4:14" s="1345" customFormat="1" ht="15" x14ac:dyDescent="0.25">
      <c r="D19" s="1353"/>
      <c r="E19" s="1360" t="s">
        <v>17</v>
      </c>
      <c r="F19" s="1361"/>
      <c r="G19" s="1353"/>
      <c r="H19" s="1362"/>
      <c r="I19" s="1362"/>
      <c r="J19" s="1328"/>
      <c r="K19" s="1329">
        <f t="shared" si="1"/>
        <v>0</v>
      </c>
      <c r="L19" s="1359"/>
    </row>
    <row r="20" spans="4:14" s="1345" customFormat="1" ht="15" x14ac:dyDescent="0.25">
      <c r="D20" s="1353"/>
      <c r="E20" s="1354" t="s">
        <v>16</v>
      </c>
      <c r="F20" s="1355" t="s">
        <v>786</v>
      </c>
      <c r="G20" s="1356" t="s">
        <v>14</v>
      </c>
      <c r="H20" s="1357">
        <v>3420000</v>
      </c>
      <c r="I20" s="1357">
        <f>'Januari 2026 PMG 2'!$AM$255</f>
        <v>1730660</v>
      </c>
      <c r="J20" s="1328">
        <f t="shared" si="0"/>
        <v>0.50604093567251462</v>
      </c>
      <c r="K20" s="1329">
        <f t="shared" si="1"/>
        <v>71.972885303168923</v>
      </c>
      <c r="L20" s="1312"/>
    </row>
    <row r="21" spans="4:14" s="1345" customFormat="1" ht="15" x14ac:dyDescent="0.25">
      <c r="D21" s="1353"/>
      <c r="E21" s="1354" t="s">
        <v>15</v>
      </c>
      <c r="F21" s="1355" t="s">
        <v>787</v>
      </c>
      <c r="G21" s="1356" t="s">
        <v>14</v>
      </c>
      <c r="H21" s="1357">
        <v>2318000</v>
      </c>
      <c r="I21" s="1357">
        <f>'Januari 2026 PMG 2'!$AM$257</f>
        <v>1097314</v>
      </c>
      <c r="J21" s="1328">
        <f t="shared" si="0"/>
        <v>0.47338826574633303</v>
      </c>
      <c r="K21" s="1329">
        <f t="shared" si="1"/>
        <v>45.633951592780505</v>
      </c>
      <c r="L21" s="1312"/>
    </row>
    <row r="22" spans="4:14" s="1345" customFormat="1" ht="15" x14ac:dyDescent="0.25">
      <c r="D22" s="1353"/>
      <c r="E22" s="1354" t="s">
        <v>7</v>
      </c>
      <c r="F22" s="1363">
        <v>106000</v>
      </c>
      <c r="G22" s="1356" t="s">
        <v>14</v>
      </c>
      <c r="H22" s="1364">
        <v>5686000</v>
      </c>
      <c r="I22" s="1308">
        <f>'Januari 2026 PMG 2'!$AM$259</f>
        <v>2774525.5</v>
      </c>
      <c r="J22" s="1328">
        <f>I22/H22</f>
        <v>0.4879573513893774</v>
      </c>
      <c r="K22" s="1329">
        <f t="shared" si="1"/>
        <v>115.38407635365549</v>
      </c>
      <c r="L22" s="1312"/>
    </row>
    <row r="23" spans="4:14" s="1345" customFormat="1" ht="15" x14ac:dyDescent="0.25">
      <c r="D23" s="1304"/>
      <c r="E23" s="1365" t="s">
        <v>1</v>
      </c>
      <c r="F23" s="1366"/>
      <c r="G23" s="1367" t="s">
        <v>14</v>
      </c>
      <c r="H23" s="1368">
        <v>11424000</v>
      </c>
      <c r="I23" s="1368">
        <f>SUM(I20:I22)</f>
        <v>5602499.5</v>
      </c>
      <c r="J23" s="1342">
        <f t="shared" si="0"/>
        <v>0.49041487219887953</v>
      </c>
      <c r="K23" s="1358">
        <f t="shared" si="1"/>
        <v>232.99091324960492</v>
      </c>
      <c r="L23" s="1359"/>
    </row>
    <row r="24" spans="4:14" ht="15" x14ac:dyDescent="0.25">
      <c r="D24" s="1297" t="s">
        <v>757</v>
      </c>
      <c r="E24" s="1298" t="s">
        <v>13</v>
      </c>
      <c r="F24" s="1299"/>
      <c r="G24" s="1300"/>
      <c r="H24" s="1301"/>
      <c r="I24" s="1301"/>
      <c r="J24" s="1350"/>
      <c r="K24" s="1369"/>
      <c r="L24" s="1370"/>
    </row>
    <row r="25" spans="4:14" ht="15" x14ac:dyDescent="0.25">
      <c r="D25" s="1313"/>
      <c r="E25" s="1305" t="s">
        <v>788</v>
      </c>
      <c r="F25" s="1306"/>
      <c r="G25" s="1307" t="s">
        <v>123</v>
      </c>
      <c r="H25" s="1371">
        <v>19123.689999999999</v>
      </c>
      <c r="I25" s="1372">
        <f>SUM(I26:$I$27)</f>
        <v>16697</v>
      </c>
      <c r="J25" s="1319">
        <f t="shared" si="0"/>
        <v>0.87310555651132193</v>
      </c>
      <c r="K25" s="1320">
        <f t="shared" ref="K25:K32" si="2">I25/$K$9</f>
        <v>0.69437744323380191</v>
      </c>
      <c r="L25" s="1373"/>
      <c r="N25" s="1323"/>
    </row>
    <row r="26" spans="4:14" ht="15" x14ac:dyDescent="0.25">
      <c r="D26" s="1313"/>
      <c r="E26" s="1305" t="s">
        <v>789</v>
      </c>
      <c r="F26" s="1306"/>
      <c r="G26" s="1307"/>
      <c r="H26" s="1374"/>
      <c r="I26" s="1375">
        <f>'Januari 2026 PMG 2'!$AM$277</f>
        <v>4814.8999999999996</v>
      </c>
      <c r="J26" s="1328"/>
      <c r="K26" s="1375">
        <f t="shared" si="2"/>
        <v>0.20023704566248024</v>
      </c>
      <c r="L26" s="1376"/>
      <c r="N26" s="1323"/>
    </row>
    <row r="27" spans="4:14" ht="15" x14ac:dyDescent="0.25">
      <c r="D27" s="1313"/>
      <c r="E27" s="1305" t="s">
        <v>790</v>
      </c>
      <c r="F27" s="1306"/>
      <c r="G27" s="1307"/>
      <c r="H27" s="1374"/>
      <c r="I27" s="1375">
        <f>SUM(I29:$I$31)</f>
        <v>11882.1</v>
      </c>
      <c r="J27" s="1328"/>
      <c r="K27" s="1375">
        <f t="shared" si="2"/>
        <v>0.49414039757132167</v>
      </c>
      <c r="L27" s="1376"/>
      <c r="N27" s="1323"/>
    </row>
    <row r="28" spans="4:14" x14ac:dyDescent="0.2">
      <c r="D28" s="1313"/>
      <c r="E28" s="1324" t="s">
        <v>791</v>
      </c>
      <c r="F28" s="1325"/>
      <c r="G28" s="1313"/>
      <c r="H28" s="1327"/>
      <c r="I28" s="1327"/>
      <c r="J28" s="1328"/>
      <c r="K28" s="1375">
        <f t="shared" si="2"/>
        <v>0</v>
      </c>
      <c r="L28" s="1377"/>
    </row>
    <row r="29" spans="4:14" x14ac:dyDescent="0.2">
      <c r="D29" s="1313"/>
      <c r="E29" s="1314" t="s">
        <v>10</v>
      </c>
      <c r="F29" s="1315" t="s">
        <v>792</v>
      </c>
      <c r="G29" s="1316" t="s">
        <v>123</v>
      </c>
      <c r="H29" s="1327">
        <v>1521.33</v>
      </c>
      <c r="I29" s="1327">
        <f>'Januari 2026 PMG 2'!$AM$273</f>
        <v>4267</v>
      </c>
      <c r="J29" s="1328">
        <f t="shared" si="0"/>
        <v>2.8047826572801431</v>
      </c>
      <c r="K29" s="1375">
        <f t="shared" si="2"/>
        <v>0.17745155119354569</v>
      </c>
      <c r="L29" s="1377"/>
    </row>
    <row r="30" spans="4:14" x14ac:dyDescent="0.2">
      <c r="D30" s="1313"/>
      <c r="E30" s="1314" t="s">
        <v>9</v>
      </c>
      <c r="F30" s="1315" t="s">
        <v>793</v>
      </c>
      <c r="G30" s="1316" t="s">
        <v>123</v>
      </c>
      <c r="H30" s="1327">
        <v>2622</v>
      </c>
      <c r="I30" s="1327">
        <f>'Januari 2026 PMG 2'!$AM$275</f>
        <v>2436</v>
      </c>
      <c r="J30" s="1328">
        <f t="shared" si="0"/>
        <v>0.92906178489702518</v>
      </c>
      <c r="K30" s="1375">
        <f t="shared" si="2"/>
        <v>0.10130583049155785</v>
      </c>
      <c r="L30" s="1377"/>
    </row>
    <row r="31" spans="4:14" x14ac:dyDescent="0.2">
      <c r="D31" s="1313"/>
      <c r="E31" s="1314" t="s">
        <v>7</v>
      </c>
      <c r="F31" s="1315"/>
      <c r="G31" s="1316" t="s">
        <v>123</v>
      </c>
      <c r="H31" s="1378">
        <v>2730.2999999999997</v>
      </c>
      <c r="I31" s="1327">
        <f>'Januari 2026 PMG 2'!$AM$278</f>
        <v>5179.1000000000004</v>
      </c>
      <c r="J31" s="1328">
        <f t="shared" si="0"/>
        <v>1.8968977768010844</v>
      </c>
      <c r="K31" s="1375">
        <f t="shared" si="2"/>
        <v>0.21538301588621811</v>
      </c>
      <c r="L31" s="1377"/>
    </row>
    <row r="32" spans="4:14" s="1345" customFormat="1" ht="15" x14ac:dyDescent="0.25">
      <c r="D32" s="1304"/>
      <c r="E32" s="1365" t="s">
        <v>1</v>
      </c>
      <c r="F32" s="1366"/>
      <c r="G32" s="1379" t="s">
        <v>123</v>
      </c>
      <c r="H32" s="1380">
        <v>6873.6299999999992</v>
      </c>
      <c r="I32" s="1380">
        <f>SUM(I26:I27)</f>
        <v>16697</v>
      </c>
      <c r="J32" s="1342">
        <f t="shared" si="0"/>
        <v>2.4291386065295923</v>
      </c>
      <c r="K32" s="1381">
        <f t="shared" si="2"/>
        <v>0.69437744323380191</v>
      </c>
      <c r="L32" s="1376"/>
    </row>
    <row r="33" spans="4:15" ht="15" x14ac:dyDescent="0.25">
      <c r="D33" s="1297">
        <v>4</v>
      </c>
      <c r="E33" s="1298" t="s">
        <v>5</v>
      </c>
      <c r="F33" s="1299"/>
      <c r="G33" s="1300"/>
      <c r="H33" s="1301"/>
      <c r="I33" s="1301"/>
      <c r="J33" s="1350"/>
      <c r="K33" s="1302"/>
      <c r="L33" s="1303"/>
    </row>
    <row r="34" spans="4:15" ht="15" x14ac:dyDescent="0.25">
      <c r="D34" s="1304"/>
      <c r="E34" s="1365" t="s">
        <v>4</v>
      </c>
      <c r="F34" s="1366"/>
      <c r="G34" s="1382"/>
      <c r="H34" s="1308"/>
      <c r="I34" s="1308"/>
      <c r="J34" s="1328"/>
      <c r="K34" s="1311"/>
      <c r="L34" s="1312"/>
    </row>
    <row r="35" spans="4:15" ht="15" x14ac:dyDescent="0.25">
      <c r="D35" s="1383"/>
      <c r="E35" s="1314" t="s">
        <v>794</v>
      </c>
      <c r="F35" s="1315"/>
      <c r="G35" s="1316" t="s">
        <v>2</v>
      </c>
      <c r="H35" s="1371">
        <v>568099</v>
      </c>
      <c r="I35" s="1372">
        <f>'Januari 2026 PMG 2'!$AM$292</f>
        <v>49.894999999999996</v>
      </c>
      <c r="J35" s="1319">
        <f t="shared" si="0"/>
        <v>8.7828001809543753E-5</v>
      </c>
      <c r="K35" s="1320">
        <f>I35/$K$9</f>
        <v>2.0749812858687515E-3</v>
      </c>
      <c r="L35" s="1384"/>
      <c r="N35" s="1385"/>
    </row>
    <row r="36" spans="4:15" x14ac:dyDescent="0.2">
      <c r="D36" s="1313"/>
      <c r="E36" s="1386" t="s">
        <v>11</v>
      </c>
      <c r="F36" s="1387"/>
      <c r="G36" s="1313"/>
      <c r="H36" s="1327"/>
      <c r="I36" s="1327"/>
      <c r="J36" s="1328"/>
      <c r="K36" s="1375">
        <f>I36/$K$9</f>
        <v>0</v>
      </c>
      <c r="L36" s="1388"/>
    </row>
    <row r="37" spans="4:15" ht="15" x14ac:dyDescent="0.25">
      <c r="D37" s="1389"/>
      <c r="E37" s="1390" t="s">
        <v>795</v>
      </c>
      <c r="F37" s="1306">
        <v>5404.17</v>
      </c>
      <c r="G37" s="1316" t="s">
        <v>2</v>
      </c>
      <c r="H37" s="1327">
        <v>102679</v>
      </c>
      <c r="I37" s="1327">
        <f>'Januari 2026 PMG 2'!$AM$298</f>
        <v>196017</v>
      </c>
      <c r="J37" s="1328">
        <f t="shared" si="0"/>
        <v>1.9090271623214095</v>
      </c>
      <c r="K37" s="1375">
        <f t="shared" ref="K37:K42" si="3">I37/$K$9*1000</f>
        <v>8151.7508109456876</v>
      </c>
      <c r="L37" s="1391"/>
      <c r="N37" s="1392"/>
      <c r="O37" s="1393"/>
    </row>
    <row r="38" spans="4:15" ht="15" x14ac:dyDescent="0.25">
      <c r="D38" s="1389"/>
      <c r="E38" s="1390" t="s">
        <v>796</v>
      </c>
      <c r="F38" s="1306">
        <v>3850.42</v>
      </c>
      <c r="G38" s="1316" t="s">
        <v>2</v>
      </c>
      <c r="H38" s="1327">
        <v>73158</v>
      </c>
      <c r="I38" s="1327">
        <f>'Januari 2026 PMG 2'!$AM$296</f>
        <v>258557</v>
      </c>
      <c r="J38" s="1328">
        <f t="shared" si="0"/>
        <v>3.5342272888815986</v>
      </c>
      <c r="K38" s="1375">
        <f t="shared" si="3"/>
        <v>10752.599184895616</v>
      </c>
      <c r="L38" s="1391"/>
      <c r="N38" s="1392"/>
      <c r="O38" s="1393"/>
    </row>
    <row r="39" spans="4:15" ht="15" x14ac:dyDescent="0.25">
      <c r="D39" s="1389"/>
      <c r="E39" s="1390" t="s">
        <v>797</v>
      </c>
      <c r="F39" s="1306">
        <v>11.81</v>
      </c>
      <c r="G39" s="1316" t="s">
        <v>2</v>
      </c>
      <c r="H39" s="1327">
        <v>212</v>
      </c>
      <c r="I39" s="1327">
        <f>'Januari 2026 PMG 2'!$AM$321</f>
        <v>0</v>
      </c>
      <c r="J39" s="1328">
        <f t="shared" si="0"/>
        <v>0</v>
      </c>
      <c r="K39" s="1375">
        <f t="shared" si="3"/>
        <v>0</v>
      </c>
      <c r="L39" s="1391"/>
      <c r="N39" s="1392"/>
      <c r="O39" s="1393"/>
    </row>
    <row r="40" spans="4:15" ht="15" x14ac:dyDescent="0.25">
      <c r="D40" s="1389"/>
      <c r="E40" s="1390" t="s">
        <v>798</v>
      </c>
      <c r="F40" s="1306">
        <v>5759.67</v>
      </c>
      <c r="G40" s="1316" t="s">
        <v>2</v>
      </c>
      <c r="H40" s="1327">
        <v>109440</v>
      </c>
      <c r="I40" s="1327">
        <f>'Januari 2026 PMG 2'!$AM$303</f>
        <v>170048.2</v>
      </c>
      <c r="J40" s="1328">
        <f t="shared" si="0"/>
        <v>1.5538029970760234</v>
      </c>
      <c r="K40" s="1375">
        <f t="shared" si="3"/>
        <v>7071.787407469018</v>
      </c>
      <c r="L40" s="1391"/>
      <c r="N40" s="1392"/>
      <c r="O40" s="1393"/>
    </row>
    <row r="41" spans="4:15" ht="15" x14ac:dyDescent="0.25">
      <c r="D41" s="1389"/>
      <c r="E41" s="1390" t="s">
        <v>799</v>
      </c>
      <c r="F41" s="1306">
        <v>1308.96</v>
      </c>
      <c r="G41" s="1316" t="s">
        <v>2</v>
      </c>
      <c r="H41" s="1327">
        <v>28747</v>
      </c>
      <c r="I41" s="1327">
        <f>'Januari 2026 PMG 2'!$AM$301</f>
        <v>225360</v>
      </c>
      <c r="J41" s="1328">
        <f t="shared" si="0"/>
        <v>7.8394267227884651</v>
      </c>
      <c r="K41" s="1375">
        <f t="shared" si="3"/>
        <v>9372.0369292189971</v>
      </c>
      <c r="L41" s="1391"/>
      <c r="N41" s="1392"/>
      <c r="O41" s="1393"/>
    </row>
    <row r="42" spans="4:15" ht="15" x14ac:dyDescent="0.25">
      <c r="D42" s="1394"/>
      <c r="E42" s="1395" t="s">
        <v>800</v>
      </c>
      <c r="F42" s="1396">
        <v>241.12</v>
      </c>
      <c r="G42" s="1397" t="s">
        <v>2</v>
      </c>
      <c r="H42" s="1398">
        <v>4581</v>
      </c>
      <c r="I42" s="1398">
        <f>'Januari 2026 PMG 2'!$AM$322</f>
        <v>0</v>
      </c>
      <c r="J42" s="1342">
        <f t="shared" si="0"/>
        <v>0</v>
      </c>
      <c r="K42" s="1399">
        <f t="shared" si="3"/>
        <v>0</v>
      </c>
      <c r="L42" s="1400"/>
      <c r="N42" s="1392"/>
      <c r="O42" s="1393"/>
    </row>
    <row r="43" spans="4:15" ht="15" x14ac:dyDescent="0.25">
      <c r="D43" s="1401"/>
      <c r="E43" s="1402"/>
      <c r="F43" s="1403"/>
      <c r="G43" s="1404"/>
      <c r="H43" s="1405"/>
      <c r="I43" s="1405"/>
      <c r="J43" s="1406"/>
      <c r="K43" s="1407"/>
      <c r="L43" s="1408"/>
      <c r="N43" s="1392"/>
      <c r="O43" s="1393"/>
    </row>
    <row r="44" spans="4:15" s="1289" customFormat="1" x14ac:dyDescent="0.2">
      <c r="D44" s="1409" t="s">
        <v>801</v>
      </c>
      <c r="F44" s="1280"/>
    </row>
    <row r="45" spans="4:15" s="1289" customFormat="1" x14ac:dyDescent="0.2">
      <c r="D45" s="1289" t="s">
        <v>802</v>
      </c>
      <c r="F45" s="1280"/>
      <c r="H45" s="1410"/>
      <c r="J45" s="1410"/>
      <c r="K45" s="1410"/>
      <c r="L45" s="1410"/>
    </row>
    <row r="46" spans="4:15" s="1289" customFormat="1" hidden="1" x14ac:dyDescent="0.2">
      <c r="D46" s="1411"/>
      <c r="F46" s="1280"/>
      <c r="H46" s="1407"/>
      <c r="J46" s="1407"/>
      <c r="K46" s="1407"/>
      <c r="L46" s="1407"/>
    </row>
    <row r="47" spans="4:15" s="1289" customFormat="1" x14ac:dyDescent="0.2">
      <c r="D47" s="2356" t="s">
        <v>803</v>
      </c>
      <c r="E47" s="2356"/>
      <c r="F47" s="2356"/>
      <c r="G47" s="2356"/>
      <c r="H47" s="2356"/>
      <c r="I47" s="2356"/>
      <c r="J47" s="2356"/>
      <c r="K47" s="2356"/>
      <c r="L47" s="2356"/>
    </row>
    <row r="48" spans="4:15" ht="15" x14ac:dyDescent="0.2">
      <c r="D48" s="2335"/>
      <c r="E48" s="2335"/>
      <c r="F48" s="1412"/>
      <c r="G48" s="1413"/>
      <c r="J48" s="1407"/>
      <c r="K48" s="1407"/>
      <c r="L48" s="1407"/>
    </row>
    <row r="49" spans="4:12" ht="15" x14ac:dyDescent="0.2">
      <c r="D49" s="2335"/>
      <c r="E49" s="2335"/>
      <c r="F49" s="1412"/>
      <c r="G49" s="1413"/>
      <c r="H49" s="1414"/>
      <c r="J49" s="1407"/>
      <c r="K49" s="1407"/>
      <c r="L49" s="1407"/>
    </row>
    <row r="50" spans="4:12" ht="15" x14ac:dyDescent="0.2">
      <c r="D50" s="1287"/>
      <c r="E50" s="1278" t="s">
        <v>768</v>
      </c>
      <c r="F50" s="2320" t="s">
        <v>769</v>
      </c>
      <c r="G50" s="2320"/>
      <c r="H50" s="2320"/>
      <c r="I50" s="2320"/>
      <c r="K50" s="2320" t="s">
        <v>770</v>
      </c>
      <c r="L50" s="2320"/>
    </row>
    <row r="51" spans="4:12" ht="15" x14ac:dyDescent="0.25">
      <c r="D51" s="1287"/>
      <c r="E51" s="1157"/>
      <c r="F51" s="1280"/>
      <c r="G51" s="1280"/>
      <c r="H51" s="1157"/>
      <c r="I51" s="1280"/>
      <c r="L51" s="1280"/>
    </row>
    <row r="52" spans="4:12" ht="15" x14ac:dyDescent="0.25">
      <c r="D52" s="1287"/>
      <c r="E52" s="1157"/>
      <c r="F52" s="1157"/>
      <c r="G52" s="1157"/>
      <c r="H52" s="1157"/>
      <c r="I52" s="1157"/>
      <c r="L52" s="1157"/>
    </row>
    <row r="53" spans="4:12" ht="15" x14ac:dyDescent="0.25">
      <c r="D53" s="1287"/>
      <c r="E53" s="1157"/>
      <c r="F53" s="1157"/>
      <c r="G53" s="1157"/>
      <c r="H53" s="1157"/>
      <c r="I53" s="1157"/>
      <c r="L53" s="1157"/>
    </row>
    <row r="54" spans="4:12" ht="15" x14ac:dyDescent="0.2">
      <c r="D54" s="1287"/>
      <c r="E54" s="1283" t="s">
        <v>771</v>
      </c>
      <c r="F54" s="2331" t="s">
        <v>772</v>
      </c>
      <c r="G54" s="2331"/>
      <c r="I54" s="1282" t="s">
        <v>773</v>
      </c>
      <c r="K54" s="2331" t="s">
        <v>774</v>
      </c>
      <c r="L54" s="2331"/>
    </row>
    <row r="55" spans="4:12" ht="19.5" customHeight="1" x14ac:dyDescent="0.2">
      <c r="E55" s="1285" t="s">
        <v>775</v>
      </c>
      <c r="F55" s="2332" t="s">
        <v>776</v>
      </c>
      <c r="G55" s="2332"/>
      <c r="I55" s="1280" t="s">
        <v>777</v>
      </c>
      <c r="K55" s="2332" t="s">
        <v>778</v>
      </c>
      <c r="L55" s="2332"/>
    </row>
  </sheetData>
  <mergeCells count="22">
    <mergeCell ref="F50:I50"/>
    <mergeCell ref="K50:L50"/>
    <mergeCell ref="F54:G54"/>
    <mergeCell ref="K54:L54"/>
    <mergeCell ref="F55:G55"/>
    <mergeCell ref="K55:L55"/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4" zoomScale="90" zoomScaleNormal="90" workbookViewId="0">
      <selection activeCell="D2" sqref="D2:L2"/>
    </sheetView>
  </sheetViews>
  <sheetFormatPr defaultColWidth="9.42578125" defaultRowHeight="15" x14ac:dyDescent="0.25"/>
  <cols>
    <col min="1" max="3" width="9.42578125" style="1415"/>
    <col min="4" max="4" width="33.5703125" style="1415" customWidth="1"/>
    <col min="5" max="5" width="12.42578125" style="1415" customWidth="1"/>
    <col min="6" max="8" width="14.42578125" style="1415" customWidth="1"/>
    <col min="9" max="9" width="55.5703125" style="1415" customWidth="1"/>
    <col min="10" max="10" width="9.42578125" style="1415"/>
    <col min="11" max="11" width="10.42578125" style="1415" bestFit="1" customWidth="1"/>
    <col min="12" max="16384" width="9.42578125" style="1415"/>
  </cols>
  <sheetData>
    <row r="2" spans="4:11" ht="18" x14ac:dyDescent="0.25">
      <c r="D2" s="2358" t="s">
        <v>804</v>
      </c>
      <c r="E2" s="2358"/>
      <c r="F2" s="2358"/>
      <c r="G2" s="2358"/>
      <c r="H2" s="2358"/>
      <c r="I2" s="2358"/>
    </row>
    <row r="3" spans="4:11" ht="18" x14ac:dyDescent="0.25">
      <c r="D3" s="2359" t="s">
        <v>805</v>
      </c>
      <c r="E3" s="2359"/>
      <c r="F3" s="2359"/>
      <c r="G3" s="2359"/>
      <c r="H3" s="2359"/>
      <c r="I3" s="2359"/>
    </row>
    <row r="4" spans="4:11" ht="15.75" thickBot="1" x14ac:dyDescent="0.3">
      <c r="D4" s="2321" t="s">
        <v>1094</v>
      </c>
      <c r="E4" s="2321"/>
      <c r="F4" s="1416"/>
      <c r="G4" s="1417"/>
      <c r="H4" s="1418"/>
      <c r="I4" s="1418"/>
    </row>
    <row r="5" spans="4:11" ht="26.25" thickBot="1" x14ac:dyDescent="0.3">
      <c r="D5" s="1419" t="s">
        <v>806</v>
      </c>
      <c r="E5" s="1420" t="s">
        <v>101</v>
      </c>
      <c r="F5" s="1421" t="s">
        <v>807</v>
      </c>
      <c r="G5" s="1421" t="s">
        <v>736</v>
      </c>
      <c r="H5" s="1422" t="s">
        <v>808</v>
      </c>
      <c r="I5" s="1423" t="s">
        <v>809</v>
      </c>
    </row>
    <row r="6" spans="4:11" ht="17.25" customHeight="1" x14ac:dyDescent="0.25">
      <c r="D6" s="1424" t="s">
        <v>71</v>
      </c>
      <c r="E6" s="1425" t="s">
        <v>14</v>
      </c>
      <c r="F6" s="1426">
        <f>'Januari 2026 PMG 2'!E9</f>
        <v>58900000</v>
      </c>
      <c r="G6" s="1427">
        <f>'Januari 2026 PMG 2'!$AM$9</f>
        <v>40125380</v>
      </c>
      <c r="H6" s="1428">
        <f>G6/F6</f>
        <v>0.68124584040747027</v>
      </c>
      <c r="I6" s="1429"/>
      <c r="J6" s="1430"/>
      <c r="K6" s="1431"/>
    </row>
    <row r="7" spans="4:11" ht="17.25" customHeight="1" x14ac:dyDescent="0.25">
      <c r="D7" s="1432" t="s">
        <v>810</v>
      </c>
      <c r="E7" s="1433" t="s">
        <v>14</v>
      </c>
      <c r="F7" s="1434">
        <f>'Januari 2026 PMG 2'!E20</f>
        <v>55661000</v>
      </c>
      <c r="G7" s="1435">
        <f>'Januari 2026 PMG 2'!$AM$25</f>
        <v>0</v>
      </c>
      <c r="H7" s="1436">
        <f>G7/F7</f>
        <v>0</v>
      </c>
      <c r="I7" s="1437"/>
      <c r="J7" s="1430"/>
      <c r="K7" s="1431"/>
    </row>
    <row r="8" spans="4:11" x14ac:dyDescent="0.25">
      <c r="D8" s="2360" t="s">
        <v>811</v>
      </c>
      <c r="E8" s="2361"/>
      <c r="F8" s="2361"/>
      <c r="G8" s="2361"/>
      <c r="H8" s="2361"/>
      <c r="I8" s="2362"/>
    </row>
    <row r="9" spans="4:11" x14ac:dyDescent="0.25">
      <c r="D9" s="1438" t="s">
        <v>16</v>
      </c>
      <c r="E9" s="1439"/>
      <c r="F9" s="1440"/>
      <c r="G9" s="1441"/>
      <c r="H9" s="1442"/>
      <c r="I9" s="1443"/>
    </row>
    <row r="10" spans="4:11" x14ac:dyDescent="0.25">
      <c r="D10" s="1444" t="s">
        <v>758</v>
      </c>
      <c r="E10" s="1445" t="s">
        <v>14</v>
      </c>
      <c r="F10" s="1446">
        <v>232362</v>
      </c>
      <c r="G10" s="1447">
        <f>'Januari 2026 PMG 2'!$AM$75</f>
        <v>270687</v>
      </c>
      <c r="H10" s="1448">
        <f>F10-G10</f>
        <v>-38325</v>
      </c>
      <c r="I10" s="1449"/>
    </row>
    <row r="11" spans="4:11" x14ac:dyDescent="0.25">
      <c r="D11" s="1444" t="s">
        <v>759</v>
      </c>
      <c r="E11" s="1445" t="s">
        <v>14</v>
      </c>
      <c r="F11" s="1446">
        <v>106326</v>
      </c>
      <c r="G11" s="1447">
        <f>'Januari 2026 PMG 2'!$AM$81</f>
        <v>0</v>
      </c>
      <c r="H11" s="1448">
        <f t="shared" ref="H11:H23" si="0">F11-G11</f>
        <v>106326</v>
      </c>
      <c r="I11" s="1450"/>
    </row>
    <row r="12" spans="4:11" x14ac:dyDescent="0.25">
      <c r="D12" s="1444" t="s">
        <v>760</v>
      </c>
      <c r="E12" s="1445" t="s">
        <v>14</v>
      </c>
      <c r="F12" s="1446">
        <v>20971</v>
      </c>
      <c r="G12" s="1447">
        <f>'Januari 2026 PMG 2'!$AM$86</f>
        <v>24463.56</v>
      </c>
      <c r="H12" s="1448">
        <f t="shared" si="0"/>
        <v>-3492.5600000000013</v>
      </c>
      <c r="I12" s="1450"/>
    </row>
    <row r="13" spans="4:11" x14ac:dyDescent="0.25">
      <c r="D13" s="1444" t="s">
        <v>833</v>
      </c>
      <c r="E13" s="1445" t="s">
        <v>19</v>
      </c>
      <c r="F13" s="1446">
        <v>22143.74</v>
      </c>
      <c r="G13" s="1447">
        <f>'Januari 2026 PMG 2'!$AM$250+'Januari 2026 PMG 2'!$AM$249</f>
        <v>16712.073616061061</v>
      </c>
      <c r="H13" s="1448">
        <f t="shared" si="0"/>
        <v>5431.6663839389403</v>
      </c>
      <c r="I13" s="1449"/>
    </row>
    <row r="14" spans="4:11" x14ac:dyDescent="0.25">
      <c r="D14" s="1444" t="s">
        <v>812</v>
      </c>
      <c r="E14" s="1445" t="s">
        <v>19</v>
      </c>
      <c r="F14" s="1446">
        <v>3907.73</v>
      </c>
      <c r="G14" s="1447">
        <f>'Januari 2026 PMG 2'!$AM$246</f>
        <v>109902</v>
      </c>
      <c r="H14" s="1448">
        <f t="shared" si="0"/>
        <v>-105994.27</v>
      </c>
      <c r="I14" s="1450"/>
    </row>
    <row r="15" spans="4:11" x14ac:dyDescent="0.25">
      <c r="D15" s="1451" t="s">
        <v>813</v>
      </c>
      <c r="E15" s="1452" t="s">
        <v>123</v>
      </c>
      <c r="F15" s="1446">
        <v>1521.33</v>
      </c>
      <c r="G15" s="1447">
        <f>'Januari 2026 PMG 2'!$AM$273</f>
        <v>4267</v>
      </c>
      <c r="H15" s="1448">
        <f t="shared" si="0"/>
        <v>-2745.67</v>
      </c>
      <c r="I15" s="1450"/>
    </row>
    <row r="16" spans="4:11" x14ac:dyDescent="0.25">
      <c r="D16" s="1444" t="s">
        <v>132</v>
      </c>
      <c r="E16" s="1445" t="s">
        <v>14</v>
      </c>
      <c r="F16" s="1446">
        <v>11424000</v>
      </c>
      <c r="G16" s="1447">
        <f>'Januari 2026 PMG 2'!$AM$255</f>
        <v>1730660</v>
      </c>
      <c r="H16" s="1448">
        <f t="shared" si="0"/>
        <v>9693340</v>
      </c>
      <c r="I16" s="1450"/>
    </row>
    <row r="17" spans="4:10" x14ac:dyDescent="0.25">
      <c r="D17" s="1444" t="s">
        <v>814</v>
      </c>
      <c r="E17" s="1445" t="s">
        <v>2</v>
      </c>
      <c r="F17" s="1446">
        <v>102679</v>
      </c>
      <c r="G17" s="1447">
        <f>'Januari 2026 PMG 2'!$AM$298</f>
        <v>196017</v>
      </c>
      <c r="H17" s="1448">
        <f t="shared" si="0"/>
        <v>-93338</v>
      </c>
      <c r="I17" s="1450"/>
    </row>
    <row r="18" spans="4:10" x14ac:dyDescent="0.25">
      <c r="D18" s="1444" t="s">
        <v>815</v>
      </c>
      <c r="E18" s="1445" t="s">
        <v>2</v>
      </c>
      <c r="F18" s="1446">
        <v>73158</v>
      </c>
      <c r="G18" s="1447">
        <f>'Januari 2026 PMG 2'!$AM$296</f>
        <v>258557</v>
      </c>
      <c r="H18" s="1448">
        <f t="shared" si="0"/>
        <v>-185399</v>
      </c>
      <c r="I18" s="1450"/>
    </row>
    <row r="19" spans="4:10" x14ac:dyDescent="0.25">
      <c r="D19" s="1453" t="s">
        <v>15</v>
      </c>
      <c r="E19" s="1454"/>
      <c r="F19" s="1455"/>
      <c r="G19" s="1456"/>
      <c r="H19" s="1457"/>
      <c r="I19" s="1458"/>
    </row>
    <row r="20" spans="4:10" x14ac:dyDescent="0.25">
      <c r="D20" s="1451" t="s">
        <v>813</v>
      </c>
      <c r="E20" s="1452" t="s">
        <v>123</v>
      </c>
      <c r="F20" s="1459">
        <v>2622</v>
      </c>
      <c r="G20" s="1460">
        <f>'Januari 2026 PMG 2'!$AM$275</f>
        <v>2436</v>
      </c>
      <c r="H20" s="1448">
        <f t="shared" si="0"/>
        <v>186</v>
      </c>
      <c r="I20" s="1461"/>
    </row>
    <row r="21" spans="4:10" x14ac:dyDescent="0.25">
      <c r="D21" s="1451" t="s">
        <v>132</v>
      </c>
      <c r="E21" s="1452" t="s">
        <v>14</v>
      </c>
      <c r="F21" s="1459">
        <v>2318000</v>
      </c>
      <c r="G21" s="1460">
        <f>'Januari 2026 PMG 2'!$AM$257</f>
        <v>1097314</v>
      </c>
      <c r="H21" s="1448">
        <f t="shared" si="0"/>
        <v>1220686</v>
      </c>
      <c r="I21" s="1461"/>
    </row>
    <row r="22" spans="4:10" x14ac:dyDescent="0.25">
      <c r="D22" s="1451" t="s">
        <v>814</v>
      </c>
      <c r="E22" s="1452" t="s">
        <v>2</v>
      </c>
      <c r="F22" s="1459">
        <v>109440</v>
      </c>
      <c r="G22" s="1460">
        <f>'Januari 2026 PMG 2'!$AM$303</f>
        <v>170048.2</v>
      </c>
      <c r="H22" s="1448">
        <f t="shared" si="0"/>
        <v>-60608.200000000012</v>
      </c>
      <c r="I22" s="1461"/>
    </row>
    <row r="23" spans="4:10" x14ac:dyDescent="0.25">
      <c r="D23" s="1432" t="s">
        <v>815</v>
      </c>
      <c r="E23" s="1433" t="s">
        <v>2</v>
      </c>
      <c r="F23" s="1462">
        <v>28747</v>
      </c>
      <c r="G23" s="1463">
        <f>'Januari 2026 PMG 2'!$AM$301</f>
        <v>225360</v>
      </c>
      <c r="H23" s="1448">
        <f t="shared" si="0"/>
        <v>-196613</v>
      </c>
      <c r="I23" s="1464"/>
    </row>
    <row r="24" spans="4:10" x14ac:dyDescent="0.25">
      <c r="D24" s="2360" t="s">
        <v>816</v>
      </c>
      <c r="E24" s="2361"/>
      <c r="F24" s="2361"/>
      <c r="G24" s="2361"/>
      <c r="H24" s="2361"/>
      <c r="I24" s="2362"/>
    </row>
    <row r="25" spans="4:10" x14ac:dyDescent="0.25">
      <c r="D25" s="1438" t="s">
        <v>16</v>
      </c>
      <c r="E25" s="1465"/>
      <c r="F25" s="1466"/>
      <c r="G25" s="1467"/>
      <c r="H25" s="1468"/>
      <c r="I25" s="1469"/>
    </row>
    <row r="26" spans="4:10" x14ac:dyDescent="0.25">
      <c r="D26" s="1451" t="s">
        <v>758</v>
      </c>
      <c r="E26" s="1452" t="s">
        <v>321</v>
      </c>
      <c r="F26" s="1470">
        <v>9</v>
      </c>
      <c r="G26" s="1471">
        <f>(G10/$G$6)*1000</f>
        <v>6.7460295703118573</v>
      </c>
      <c r="H26" s="1472">
        <f>F26-G26</f>
        <v>2.2539704296881427</v>
      </c>
      <c r="I26" s="1473"/>
    </row>
    <row r="27" spans="4:10" x14ac:dyDescent="0.25">
      <c r="D27" s="1451" t="s">
        <v>759</v>
      </c>
      <c r="E27" s="1452" t="s">
        <v>321</v>
      </c>
      <c r="F27" s="1470">
        <v>18</v>
      </c>
      <c r="G27" s="1471">
        <f t="shared" ref="G27:G39" si="1">(G11/$G$6)*1000</f>
        <v>0</v>
      </c>
      <c r="H27" s="1472">
        <f t="shared" ref="H27:H39" si="2">F27-G27</f>
        <v>18</v>
      </c>
      <c r="I27" s="1474"/>
      <c r="J27" s="1415" t="s">
        <v>215</v>
      </c>
    </row>
    <row r="28" spans="4:10" x14ac:dyDescent="0.25">
      <c r="D28" s="1451" t="s">
        <v>760</v>
      </c>
      <c r="E28" s="1452" t="s">
        <v>321</v>
      </c>
      <c r="F28" s="1470">
        <v>0.6</v>
      </c>
      <c r="G28" s="1471">
        <f t="shared" si="1"/>
        <v>0.60967796442052391</v>
      </c>
      <c r="H28" s="1472">
        <f t="shared" si="2"/>
        <v>-9.6779644205239324E-3</v>
      </c>
      <c r="I28" s="1475"/>
    </row>
    <row r="29" spans="4:10" x14ac:dyDescent="0.25">
      <c r="D29" s="1451" t="s">
        <v>812</v>
      </c>
      <c r="E29" s="1452" t="s">
        <v>817</v>
      </c>
      <c r="F29" s="1476">
        <v>4.2</v>
      </c>
      <c r="G29" s="1471">
        <f t="shared" si="1"/>
        <v>0.41649633264684499</v>
      </c>
      <c r="H29" s="1472">
        <f t="shared" si="2"/>
        <v>3.783503667353155</v>
      </c>
      <c r="I29" s="2363" t="s">
        <v>818</v>
      </c>
    </row>
    <row r="30" spans="4:10" x14ac:dyDescent="0.25">
      <c r="D30" s="1451" t="s">
        <v>819</v>
      </c>
      <c r="E30" s="1452" t="s">
        <v>820</v>
      </c>
      <c r="F30" s="1476">
        <v>0.2</v>
      </c>
      <c r="G30" s="1471">
        <f t="shared" si="1"/>
        <v>2.7389647151005172</v>
      </c>
      <c r="H30" s="1472">
        <f t="shared" si="2"/>
        <v>-2.538964715100517</v>
      </c>
      <c r="I30" s="2364"/>
    </row>
    <row r="31" spans="4:10" x14ac:dyDescent="0.25">
      <c r="D31" s="1451" t="s">
        <v>813</v>
      </c>
      <c r="E31" s="1452" t="s">
        <v>821</v>
      </c>
      <c r="F31" s="1476">
        <v>0.04</v>
      </c>
      <c r="G31" s="1471">
        <f t="shared" si="1"/>
        <v>0.10634167202902502</v>
      </c>
      <c r="H31" s="1472">
        <f t="shared" si="2"/>
        <v>-6.6341672029025023E-2</v>
      </c>
      <c r="I31" s="1478"/>
    </row>
    <row r="32" spans="4:10" x14ac:dyDescent="0.25">
      <c r="D32" s="1451" t="s">
        <v>822</v>
      </c>
      <c r="E32" s="1452" t="s">
        <v>321</v>
      </c>
      <c r="F32" s="1476">
        <v>28</v>
      </c>
      <c r="G32" s="1471">
        <f t="shared" si="1"/>
        <v>43.13130492471349</v>
      </c>
      <c r="H32" s="1472">
        <f t="shared" si="2"/>
        <v>-15.13130492471349</v>
      </c>
      <c r="I32" s="1477" t="s">
        <v>823</v>
      </c>
    </row>
    <row r="33" spans="3:10" x14ac:dyDescent="0.25">
      <c r="D33" s="1451" t="s">
        <v>814</v>
      </c>
      <c r="E33" s="1452" t="s">
        <v>824</v>
      </c>
      <c r="F33" s="1476">
        <v>4.4000000000000004</v>
      </c>
      <c r="G33" s="1471">
        <f t="shared" si="1"/>
        <v>4.8851126145098194</v>
      </c>
      <c r="H33" s="1472">
        <f t="shared" si="2"/>
        <v>-0.48511261450981902</v>
      </c>
      <c r="I33" s="2365" t="s">
        <v>825</v>
      </c>
    </row>
    <row r="34" spans="3:10" x14ac:dyDescent="0.25">
      <c r="D34" s="1451" t="s">
        <v>1096</v>
      </c>
      <c r="E34" s="1452" t="s">
        <v>824</v>
      </c>
      <c r="F34" s="1476">
        <v>7.3</v>
      </c>
      <c r="G34" s="1471">
        <f t="shared" si="1"/>
        <v>6.4437271372881701</v>
      </c>
      <c r="H34" s="1472">
        <f t="shared" si="2"/>
        <v>0.85627286271182967</v>
      </c>
      <c r="I34" s="2366"/>
    </row>
    <row r="35" spans="3:10" x14ac:dyDescent="0.25">
      <c r="D35" s="1479" t="s">
        <v>15</v>
      </c>
      <c r="E35" s="1480"/>
      <c r="F35" s="1481"/>
      <c r="G35" s="1482"/>
      <c r="H35" s="1483"/>
      <c r="I35" s="1484"/>
    </row>
    <row r="36" spans="3:10" x14ac:dyDescent="0.25">
      <c r="D36" s="1451" t="s">
        <v>813</v>
      </c>
      <c r="E36" s="1452" t="s">
        <v>821</v>
      </c>
      <c r="F36" s="1476">
        <v>0.13</v>
      </c>
      <c r="G36" s="1471">
        <f t="shared" si="1"/>
        <v>6.0709705428334884E-2</v>
      </c>
      <c r="H36" s="1472">
        <f t="shared" si="2"/>
        <v>6.929029457166512E-2</v>
      </c>
      <c r="I36" s="1478"/>
    </row>
    <row r="37" spans="3:10" x14ac:dyDescent="0.25">
      <c r="D37" s="1451" t="s">
        <v>822</v>
      </c>
      <c r="E37" s="1452" t="s">
        <v>321</v>
      </c>
      <c r="F37" s="1485">
        <v>45</v>
      </c>
      <c r="G37" s="1471">
        <f t="shared" si="1"/>
        <v>27.347130419699454</v>
      </c>
      <c r="H37" s="1472">
        <f t="shared" si="2"/>
        <v>17.652869580300546</v>
      </c>
      <c r="I37" s="1477" t="s">
        <v>826</v>
      </c>
    </row>
    <row r="38" spans="3:10" x14ac:dyDescent="0.25">
      <c r="D38" s="1451" t="s">
        <v>814</v>
      </c>
      <c r="E38" s="1452" t="s">
        <v>824</v>
      </c>
      <c r="F38" s="1476">
        <v>4.0999999999999996</v>
      </c>
      <c r="G38" s="1471">
        <f t="shared" si="1"/>
        <v>4.2379212358861151</v>
      </c>
      <c r="H38" s="1472">
        <f t="shared" si="2"/>
        <v>-0.13792123588611549</v>
      </c>
      <c r="I38" s="2365" t="s">
        <v>825</v>
      </c>
    </row>
    <row r="39" spans="3:10" x14ac:dyDescent="0.25">
      <c r="D39" s="1451" t="s">
        <v>1096</v>
      </c>
      <c r="E39" s="1452" t="s">
        <v>824</v>
      </c>
      <c r="F39" s="1476">
        <v>4.5</v>
      </c>
      <c r="G39" s="1471">
        <f t="shared" si="1"/>
        <v>5.6163954085917691</v>
      </c>
      <c r="H39" s="1472">
        <f t="shared" si="2"/>
        <v>-1.1163954085917691</v>
      </c>
      <c r="I39" s="2366"/>
    </row>
    <row r="40" spans="3:10" ht="15.75" thickBot="1" x14ac:dyDescent="0.3">
      <c r="D40" s="1486"/>
      <c r="E40" s="1487"/>
      <c r="F40" s="1488"/>
      <c r="G40" s="1489"/>
      <c r="H40" s="1490"/>
      <c r="I40" s="1491"/>
    </row>
    <row r="41" spans="3:10" x14ac:dyDescent="0.25">
      <c r="E41" s="1492"/>
      <c r="F41" s="1492"/>
      <c r="H41" s="1493"/>
      <c r="I41" s="1493"/>
    </row>
    <row r="42" spans="3:10" x14ac:dyDescent="0.25">
      <c r="D42" s="2367" t="s">
        <v>764</v>
      </c>
      <c r="E42" s="2367"/>
      <c r="F42" s="2367"/>
      <c r="G42" s="2367"/>
    </row>
    <row r="43" spans="3:10" x14ac:dyDescent="0.25">
      <c r="D43" s="2357" t="s">
        <v>827</v>
      </c>
      <c r="E43" s="2357"/>
      <c r="F43" s="2357"/>
    </row>
    <row r="44" spans="3:10" x14ac:dyDescent="0.25">
      <c r="D44" s="2357" t="s">
        <v>828</v>
      </c>
      <c r="E44" s="2357"/>
      <c r="F44" s="2357"/>
      <c r="H44" s="1493"/>
      <c r="I44" s="1493"/>
    </row>
    <row r="45" spans="3:10" x14ac:dyDescent="0.25">
      <c r="D45" s="2357" t="s">
        <v>829</v>
      </c>
      <c r="E45" s="2357"/>
      <c r="F45" s="2357"/>
      <c r="H45" s="1493"/>
      <c r="I45" s="1493"/>
    </row>
    <row r="46" spans="3:10" x14ac:dyDescent="0.25">
      <c r="H46" s="1493"/>
      <c r="I46" s="1493"/>
    </row>
    <row r="47" spans="3:10" s="1287" customFormat="1" x14ac:dyDescent="0.2">
      <c r="D47" s="1160" t="s">
        <v>768</v>
      </c>
      <c r="E47" s="1160"/>
      <c r="F47" s="1160"/>
      <c r="G47" s="1160" t="s">
        <v>769</v>
      </c>
      <c r="H47" s="1289"/>
      <c r="I47" s="1160" t="s">
        <v>830</v>
      </c>
      <c r="J47" s="1278"/>
    </row>
    <row r="48" spans="3:10" s="1287" customFormat="1" x14ac:dyDescent="0.25">
      <c r="C48" s="1157"/>
      <c r="D48" s="1280"/>
      <c r="E48" s="1280"/>
      <c r="F48" s="1157"/>
      <c r="G48" s="1280"/>
      <c r="H48" s="1289"/>
      <c r="I48" s="1289"/>
      <c r="J48" s="1280"/>
    </row>
    <row r="49" spans="3:10" s="1287" customFormat="1" x14ac:dyDescent="0.25">
      <c r="C49" s="1157"/>
      <c r="D49" s="1157"/>
      <c r="E49" s="1157"/>
      <c r="F49" s="1157"/>
      <c r="G49" s="1157"/>
      <c r="H49" s="1289"/>
      <c r="I49" s="1289"/>
      <c r="J49" s="1157"/>
    </row>
    <row r="50" spans="3:10" s="1287" customFormat="1" x14ac:dyDescent="0.25">
      <c r="C50" s="1157"/>
      <c r="D50" s="1157"/>
      <c r="E50" s="1157"/>
      <c r="F50" s="1157"/>
      <c r="G50" s="1157"/>
      <c r="H50" s="1289"/>
      <c r="I50" s="1289"/>
      <c r="J50" s="1157"/>
    </row>
    <row r="51" spans="3:10" s="1287" customFormat="1" x14ac:dyDescent="0.2">
      <c r="D51" s="1282" t="s">
        <v>771</v>
      </c>
      <c r="E51" s="1282"/>
      <c r="F51" s="1282" t="s">
        <v>772</v>
      </c>
      <c r="H51" s="1282" t="s">
        <v>773</v>
      </c>
      <c r="I51" s="1282" t="s">
        <v>831</v>
      </c>
      <c r="J51" s="1283"/>
    </row>
    <row r="52" spans="3:10" s="1287" customFormat="1" ht="15" customHeight="1" x14ac:dyDescent="0.2">
      <c r="D52" s="1280" t="s">
        <v>775</v>
      </c>
      <c r="E52" s="1280"/>
      <c r="F52" s="1280" t="s">
        <v>776</v>
      </c>
      <c r="H52" s="1280" t="s">
        <v>777</v>
      </c>
      <c r="I52" s="1280" t="s">
        <v>832</v>
      </c>
      <c r="J52" s="1285"/>
    </row>
  </sheetData>
  <mergeCells count="12"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D2" sqref="D2:L2"/>
    </sheetView>
  </sheetViews>
  <sheetFormatPr defaultColWidth="8.5703125" defaultRowHeight="15" x14ac:dyDescent="0.25"/>
  <cols>
    <col min="1" max="1" width="4.42578125" style="883" customWidth="1"/>
    <col min="2" max="2" width="38.42578125" style="883" customWidth="1"/>
    <col min="3" max="3" width="17.42578125" style="883" bestFit="1" customWidth="1"/>
    <col min="4" max="4" width="13.5703125" style="883" customWidth="1"/>
    <col min="5" max="5" width="22" style="883" customWidth="1"/>
    <col min="6" max="6" width="10" style="883" customWidth="1"/>
    <col min="7" max="7" width="16.42578125" style="883" customWidth="1"/>
    <col min="8" max="8" width="17.42578125" style="883" customWidth="1"/>
    <col min="9" max="9" width="16.42578125" style="883" bestFit="1" customWidth="1"/>
    <col min="10" max="10" width="12.42578125" style="883" customWidth="1"/>
    <col min="11" max="11" width="17.42578125" style="883" bestFit="1" customWidth="1"/>
    <col min="12" max="12" width="12.42578125" style="883" customWidth="1"/>
    <col min="13" max="13" width="10.5703125" style="883" bestFit="1" customWidth="1"/>
    <col min="14" max="14" width="20.42578125" style="883" bestFit="1" customWidth="1"/>
    <col min="15" max="15" width="14.42578125" style="883" customWidth="1"/>
    <col min="16" max="28" width="7.5703125" style="883" customWidth="1"/>
    <col min="29" max="29" width="11" style="883" customWidth="1"/>
    <col min="30" max="41" width="13.42578125" style="883" hidden="1" customWidth="1"/>
    <col min="42" max="42" width="15.5703125" style="883" customWidth="1"/>
    <col min="43" max="16384" width="8.5703125" style="883"/>
  </cols>
  <sheetData>
    <row r="2" spans="2:13" ht="20.85" customHeight="1" x14ac:dyDescent="0.25">
      <c r="B2" s="1043" t="s">
        <v>557</v>
      </c>
      <c r="C2" s="1044"/>
      <c r="E2" s="1044"/>
      <c r="F2" s="1044"/>
      <c r="G2" s="883" t="s">
        <v>558</v>
      </c>
      <c r="H2" s="1150">
        <v>16000</v>
      </c>
    </row>
    <row r="3" spans="2:13" ht="23.85" customHeight="1" x14ac:dyDescent="0.25">
      <c r="B3" s="1045" t="s">
        <v>380</v>
      </c>
      <c r="C3" s="2368" t="s">
        <v>218</v>
      </c>
      <c r="D3" s="2369"/>
      <c r="E3" s="1046" t="s">
        <v>559</v>
      </c>
      <c r="F3" s="2370" t="s">
        <v>560</v>
      </c>
      <c r="G3" s="2371"/>
      <c r="H3" s="1047" t="s">
        <v>561</v>
      </c>
    </row>
    <row r="4" spans="2:13" ht="21" customHeight="1" x14ac:dyDescent="0.25">
      <c r="B4" s="1048" t="s">
        <v>562</v>
      </c>
      <c r="C4" s="1049">
        <f>408/24</f>
        <v>17</v>
      </c>
      <c r="D4" s="1050" t="s">
        <v>563</v>
      </c>
      <c r="E4" s="1155">
        <f>'Januari 2026 PMG 2'!AM253</f>
        <v>5602499.5</v>
      </c>
      <c r="F4" s="2372"/>
      <c r="G4" s="2373"/>
      <c r="H4" s="1051" t="s">
        <v>270</v>
      </c>
    </row>
    <row r="5" spans="2:13" x14ac:dyDescent="0.25">
      <c r="B5" s="1052" t="s">
        <v>564</v>
      </c>
      <c r="C5" s="1053">
        <v>1000</v>
      </c>
      <c r="D5" s="1054" t="s">
        <v>240</v>
      </c>
      <c r="E5" s="1055">
        <f>'Januari 2026 PMG 2'!$AM$243</f>
        <v>1344.5295980696785</v>
      </c>
      <c r="F5" s="1056">
        <v>11.5</v>
      </c>
      <c r="G5" s="1054" t="s">
        <v>565</v>
      </c>
      <c r="H5" s="1057">
        <f>E5*H2*F5</f>
        <v>247393446.04482085</v>
      </c>
      <c r="I5" s="1058" t="s">
        <v>566</v>
      </c>
      <c r="J5" s="1058"/>
    </row>
    <row r="6" spans="2:13" x14ac:dyDescent="0.25">
      <c r="B6" s="1059" t="s">
        <v>567</v>
      </c>
      <c r="C6" s="1060"/>
      <c r="D6" s="1061"/>
      <c r="E6" s="1062"/>
      <c r="F6" s="1060"/>
      <c r="G6" s="1061"/>
      <c r="H6" s="1063"/>
    </row>
    <row r="7" spans="2:13" x14ac:dyDescent="0.25">
      <c r="B7" s="1064" t="s">
        <v>568</v>
      </c>
      <c r="C7" s="1065">
        <v>7.3</v>
      </c>
      <c r="D7" s="1061" t="s">
        <v>569</v>
      </c>
      <c r="E7" s="1066">
        <f t="shared" ref="E7:E12" si="0">C7</f>
        <v>7.3</v>
      </c>
      <c r="F7" s="1060">
        <v>25340</v>
      </c>
      <c r="G7" s="1061" t="s">
        <v>570</v>
      </c>
      <c r="H7" s="1063">
        <f t="shared" ref="H7:H12" si="1">E7*F7</f>
        <v>184982</v>
      </c>
      <c r="K7" s="1067"/>
    </row>
    <row r="8" spans="2:13" x14ac:dyDescent="0.25">
      <c r="B8" s="1064" t="s">
        <v>571</v>
      </c>
      <c r="C8" s="1065">
        <v>2.4</v>
      </c>
      <c r="D8" s="1061" t="s">
        <v>569</v>
      </c>
      <c r="E8" s="1066">
        <f t="shared" si="0"/>
        <v>2.4</v>
      </c>
      <c r="F8" s="1060">
        <v>110000</v>
      </c>
      <c r="G8" s="1061" t="s">
        <v>570</v>
      </c>
      <c r="H8" s="1063">
        <f t="shared" si="1"/>
        <v>264000</v>
      </c>
      <c r="K8" s="1067"/>
    </row>
    <row r="9" spans="2:13" x14ac:dyDescent="0.25">
      <c r="B9" s="1064" t="s">
        <v>572</v>
      </c>
      <c r="C9" s="1065">
        <v>2.4</v>
      </c>
      <c r="D9" s="1061" t="s">
        <v>569</v>
      </c>
      <c r="E9" s="1066">
        <f t="shared" si="0"/>
        <v>2.4</v>
      </c>
      <c r="F9" s="1060">
        <v>20160</v>
      </c>
      <c r="G9" s="1061" t="s">
        <v>570</v>
      </c>
      <c r="H9" s="1063">
        <f t="shared" si="1"/>
        <v>48384</v>
      </c>
      <c r="K9" s="1067"/>
    </row>
    <row r="10" spans="2:13" x14ac:dyDescent="0.25">
      <c r="B10" s="1064" t="s">
        <v>573</v>
      </c>
      <c r="C10" s="1065">
        <v>5.8</v>
      </c>
      <c r="D10" s="1061" t="s">
        <v>569</v>
      </c>
      <c r="E10" s="1066">
        <f t="shared" si="0"/>
        <v>5.8</v>
      </c>
      <c r="F10" s="1060">
        <v>31800</v>
      </c>
      <c r="G10" s="1061" t="s">
        <v>570</v>
      </c>
      <c r="H10" s="1063">
        <f t="shared" si="1"/>
        <v>184440</v>
      </c>
      <c r="K10" s="1067"/>
    </row>
    <row r="11" spans="2:13" x14ac:dyDescent="0.25">
      <c r="B11" s="1064" t="s">
        <v>574</v>
      </c>
      <c r="C11" s="1065">
        <v>1.4</v>
      </c>
      <c r="D11" s="1061" t="s">
        <v>569</v>
      </c>
      <c r="E11" s="1066">
        <f t="shared" si="0"/>
        <v>1.4</v>
      </c>
      <c r="F11" s="1060">
        <v>39320</v>
      </c>
      <c r="G11" s="1061" t="s">
        <v>570</v>
      </c>
      <c r="H11" s="1063">
        <f>E11*F11</f>
        <v>55048</v>
      </c>
      <c r="K11" s="1067"/>
    </row>
    <row r="12" spans="2:13" x14ac:dyDescent="0.25">
      <c r="B12" s="1059" t="s">
        <v>575</v>
      </c>
      <c r="C12" s="1068">
        <f>[2]L.Water!C12*83%</f>
        <v>408.01969999999994</v>
      </c>
      <c r="D12" s="1061" t="s">
        <v>253</v>
      </c>
      <c r="E12" s="1062">
        <f t="shared" si="0"/>
        <v>408.01969999999994</v>
      </c>
      <c r="F12" s="1060">
        <f>[2]L.Water!F12</f>
        <v>10162</v>
      </c>
      <c r="G12" s="1061" t="s">
        <v>576</v>
      </c>
      <c r="H12" s="1063">
        <f t="shared" si="1"/>
        <v>4146296.1913999994</v>
      </c>
      <c r="K12" s="1067"/>
    </row>
    <row r="13" spans="2:13" x14ac:dyDescent="0.25">
      <c r="B13" s="1059" t="s">
        <v>577</v>
      </c>
      <c r="C13" s="1060"/>
      <c r="D13" s="1061" t="s">
        <v>270</v>
      </c>
      <c r="E13" s="1062"/>
      <c r="F13" s="1060"/>
      <c r="G13" s="1061"/>
      <c r="H13" s="1063">
        <f>C13</f>
        <v>0</v>
      </c>
      <c r="J13" s="1058"/>
    </row>
    <row r="14" spans="2:13" x14ac:dyDescent="0.25">
      <c r="B14" s="1069" t="s">
        <v>578</v>
      </c>
      <c r="C14" s="1070"/>
      <c r="D14" s="1071"/>
      <c r="E14" s="1070"/>
      <c r="F14" s="1070"/>
      <c r="G14" s="1071"/>
      <c r="H14" s="1072">
        <f>SUM(H5:H13)</f>
        <v>252276596.23622084</v>
      </c>
    </row>
    <row r="15" spans="2:13" ht="21" customHeight="1" x14ac:dyDescent="0.25">
      <c r="C15" s="1044"/>
      <c r="E15" s="1044"/>
      <c r="F15" s="2374" t="s">
        <v>579</v>
      </c>
      <c r="G15" s="2375"/>
      <c r="H15" s="1073">
        <f>H14/E4</f>
        <v>45.029293842189695</v>
      </c>
    </row>
    <row r="16" spans="2:13" x14ac:dyDescent="0.25">
      <c r="M16" s="1067"/>
    </row>
    <row r="17" spans="2:41" x14ac:dyDescent="0.25">
      <c r="B17" s="883" t="s">
        <v>580</v>
      </c>
      <c r="M17" s="1067"/>
      <c r="O17" s="1067"/>
      <c r="P17" s="1067"/>
      <c r="Q17" s="1067"/>
      <c r="R17" s="1067"/>
      <c r="S17" s="1067"/>
      <c r="T17" s="1067"/>
      <c r="U17" s="1067"/>
      <c r="V17" s="1067"/>
      <c r="W17" s="1067"/>
      <c r="X17" s="1067"/>
      <c r="Y17" s="1067"/>
      <c r="Z17" s="1067"/>
      <c r="AA17" s="1067"/>
      <c r="AB17" s="1067"/>
      <c r="AC17" s="1067"/>
      <c r="AD17" s="1067"/>
      <c r="AE17" s="1067"/>
      <c r="AF17" s="1067"/>
      <c r="AG17" s="1067"/>
      <c r="AH17" s="1067"/>
      <c r="AI17" s="1067"/>
      <c r="AJ17" s="1067"/>
      <c r="AK17" s="1067"/>
      <c r="AL17" s="1067"/>
      <c r="AM17" s="1067"/>
      <c r="AN17" s="1067"/>
      <c r="AO17" s="1067"/>
    </row>
    <row r="18" spans="2:41" x14ac:dyDescent="0.25">
      <c r="B18" s="883" t="s">
        <v>581</v>
      </c>
      <c r="M18" s="1067"/>
      <c r="O18" s="1067"/>
      <c r="P18" s="1067"/>
      <c r="Q18" s="1067"/>
      <c r="R18" s="1067"/>
      <c r="S18" s="1067"/>
      <c r="T18" s="1067"/>
      <c r="U18" s="1067"/>
      <c r="V18" s="1067"/>
      <c r="W18" s="1067"/>
      <c r="X18" s="1067"/>
      <c r="Y18" s="1067"/>
      <c r="Z18" s="1067"/>
      <c r="AA18" s="1067"/>
      <c r="AB18" s="1067"/>
      <c r="AC18" s="1067"/>
      <c r="AD18" s="1067"/>
      <c r="AE18" s="1067"/>
      <c r="AF18" s="1067"/>
      <c r="AG18" s="1067"/>
      <c r="AH18" s="1067"/>
      <c r="AI18" s="1067"/>
      <c r="AJ18" s="1067"/>
      <c r="AK18" s="1067"/>
      <c r="AL18" s="1067"/>
      <c r="AM18" s="1067"/>
      <c r="AN18" s="1067"/>
      <c r="AO18" s="1067"/>
    </row>
    <row r="19" spans="2:41" x14ac:dyDescent="0.25">
      <c r="M19" s="1067"/>
      <c r="N19" s="1067"/>
    </row>
    <row r="20" spans="2:41" x14ac:dyDescent="0.25">
      <c r="M20" s="1067"/>
      <c r="N20" s="1067"/>
    </row>
    <row r="21" spans="2:41" x14ac:dyDescent="0.25">
      <c r="M21" s="1067"/>
    </row>
    <row r="22" spans="2:41" x14ac:dyDescent="0.25">
      <c r="M22" s="1067"/>
    </row>
    <row r="26" spans="2:41" x14ac:dyDescent="0.25">
      <c r="C26" s="883" t="s">
        <v>582</v>
      </c>
    </row>
    <row r="29" spans="2:41" x14ac:dyDescent="0.25">
      <c r="AB29" s="1067"/>
      <c r="AC29" s="1067"/>
      <c r="AD29" s="1067"/>
      <c r="AE29" s="1067"/>
      <c r="AF29" s="1067"/>
      <c r="AG29" s="1067"/>
      <c r="AH29" s="1067"/>
      <c r="AI29" s="1067"/>
      <c r="AJ29" s="1067"/>
      <c r="AK29" s="1067"/>
      <c r="AL29" s="1067"/>
      <c r="AM29" s="1067"/>
      <c r="AN29" s="1067"/>
      <c r="AO29" s="1074"/>
    </row>
    <row r="30" spans="2:41" x14ac:dyDescent="0.25">
      <c r="AB30" s="1067"/>
      <c r="AC30" s="1067"/>
      <c r="AD30" s="1067"/>
      <c r="AE30" s="1067"/>
      <c r="AF30" s="1067"/>
      <c r="AG30" s="1067"/>
      <c r="AH30" s="1067"/>
      <c r="AI30" s="1067"/>
      <c r="AJ30" s="1067"/>
      <c r="AK30" s="1067"/>
      <c r="AL30" s="1067"/>
      <c r="AM30" s="1067"/>
      <c r="AN30" s="1067"/>
      <c r="AO30" s="1074"/>
    </row>
    <row r="31" spans="2:41" x14ac:dyDescent="0.25">
      <c r="AB31" s="1067"/>
      <c r="AC31" s="1067"/>
      <c r="AD31" s="1067"/>
      <c r="AE31" s="1067"/>
      <c r="AF31" s="1067"/>
      <c r="AG31" s="1067"/>
      <c r="AH31" s="1067"/>
      <c r="AI31" s="1067"/>
      <c r="AJ31" s="1067"/>
      <c r="AK31" s="1067"/>
      <c r="AL31" s="1067"/>
      <c r="AM31" s="1067"/>
      <c r="AN31" s="1067"/>
      <c r="AO31" s="1074"/>
    </row>
    <row r="32" spans="2:41" x14ac:dyDescent="0.25">
      <c r="AB32" s="1067"/>
      <c r="AC32" s="1067"/>
      <c r="AD32" s="1067"/>
      <c r="AE32" s="1067"/>
      <c r="AF32" s="1067"/>
      <c r="AG32" s="1067"/>
      <c r="AH32" s="1067"/>
      <c r="AI32" s="1067"/>
      <c r="AJ32" s="1067"/>
      <c r="AK32" s="1067"/>
      <c r="AL32" s="1067"/>
      <c r="AM32" s="1067"/>
      <c r="AN32" s="1067"/>
      <c r="AO32" s="1074"/>
    </row>
    <row r="33" spans="28:41" x14ac:dyDescent="0.25">
      <c r="AB33" s="1067"/>
      <c r="AC33" s="1067"/>
      <c r="AD33" s="1067"/>
      <c r="AE33" s="1067"/>
      <c r="AF33" s="1067"/>
      <c r="AG33" s="1067"/>
      <c r="AH33" s="1067"/>
      <c r="AI33" s="1067"/>
      <c r="AJ33" s="1067"/>
      <c r="AK33" s="1067"/>
      <c r="AL33" s="1067"/>
      <c r="AM33" s="1067"/>
      <c r="AN33" s="1067"/>
      <c r="AO33" s="1074"/>
    </row>
    <row r="34" spans="28:41" x14ac:dyDescent="0.25">
      <c r="AB34" s="1067"/>
      <c r="AC34" s="1067"/>
      <c r="AD34" s="1067"/>
      <c r="AE34" s="1067"/>
      <c r="AF34" s="1067"/>
      <c r="AG34" s="1067"/>
      <c r="AH34" s="1067"/>
      <c r="AI34" s="1067"/>
      <c r="AJ34" s="1067"/>
      <c r="AK34" s="1067"/>
      <c r="AL34" s="1067"/>
      <c r="AM34" s="1067"/>
      <c r="AN34" s="1067"/>
      <c r="AO34" s="1074"/>
    </row>
    <row r="35" spans="28:41" x14ac:dyDescent="0.25">
      <c r="AB35" s="1067"/>
      <c r="AC35" s="1067"/>
      <c r="AD35" s="1067"/>
      <c r="AE35" s="1067"/>
      <c r="AF35" s="1067"/>
      <c r="AG35" s="1067"/>
      <c r="AH35" s="1067"/>
      <c r="AI35" s="1067"/>
      <c r="AJ35" s="1067"/>
      <c r="AK35" s="1067"/>
      <c r="AL35" s="1067"/>
      <c r="AM35" s="1067"/>
      <c r="AN35" s="1067"/>
      <c r="AO35" s="1074"/>
    </row>
    <row r="36" spans="28:41" x14ac:dyDescent="0.25">
      <c r="AB36" s="1067"/>
      <c r="AC36" s="1067"/>
      <c r="AD36" s="1067"/>
      <c r="AE36" s="1067"/>
      <c r="AF36" s="1067"/>
      <c r="AG36" s="1067"/>
      <c r="AH36" s="1067"/>
      <c r="AI36" s="1067"/>
      <c r="AJ36" s="1067"/>
      <c r="AK36" s="1067"/>
      <c r="AL36" s="1067"/>
      <c r="AM36" s="1067"/>
      <c r="AN36" s="1067"/>
      <c r="AO36" s="1074"/>
    </row>
    <row r="37" spans="28:41" x14ac:dyDescent="0.25">
      <c r="AB37" s="1067"/>
      <c r="AC37" s="1067"/>
      <c r="AD37" s="1067"/>
      <c r="AE37" s="1067"/>
      <c r="AF37" s="1067"/>
      <c r="AG37" s="1067"/>
      <c r="AH37" s="1067"/>
      <c r="AI37" s="1067"/>
      <c r="AJ37" s="1067"/>
      <c r="AK37" s="1067"/>
      <c r="AL37" s="1067"/>
      <c r="AM37" s="1067"/>
      <c r="AN37" s="1067"/>
      <c r="AO37" s="1074"/>
    </row>
    <row r="38" spans="28:41" x14ac:dyDescent="0.25">
      <c r="AB38" s="1067"/>
      <c r="AC38" s="1067"/>
      <c r="AD38" s="1067"/>
      <c r="AE38" s="1067"/>
      <c r="AF38" s="1067"/>
      <c r="AG38" s="1067"/>
      <c r="AH38" s="1067"/>
      <c r="AI38" s="1067"/>
      <c r="AJ38" s="1067"/>
      <c r="AK38" s="1067"/>
      <c r="AL38" s="1067"/>
      <c r="AM38" s="1067"/>
      <c r="AN38" s="1067"/>
      <c r="AO38" s="1074"/>
    </row>
    <row r="39" spans="28:41" x14ac:dyDescent="0.25">
      <c r="AB39" s="1067"/>
      <c r="AC39" s="1067"/>
      <c r="AD39" s="1067"/>
      <c r="AE39" s="1067"/>
      <c r="AF39" s="1067"/>
      <c r="AG39" s="1067"/>
      <c r="AH39" s="1067"/>
      <c r="AI39" s="1067"/>
      <c r="AJ39" s="1067"/>
      <c r="AK39" s="1067"/>
      <c r="AL39" s="1067"/>
      <c r="AM39" s="1067"/>
      <c r="AN39" s="1067"/>
      <c r="AO39" s="1074"/>
    </row>
    <row r="40" spans="28:41" x14ac:dyDescent="0.25">
      <c r="AB40" s="1067"/>
      <c r="AC40" s="1067"/>
      <c r="AD40" s="1067"/>
      <c r="AE40" s="1067"/>
      <c r="AF40" s="1067"/>
      <c r="AG40" s="1067"/>
      <c r="AH40" s="1067"/>
      <c r="AI40" s="1067"/>
      <c r="AJ40" s="1067"/>
      <c r="AK40" s="1067"/>
      <c r="AL40" s="1067"/>
      <c r="AM40" s="1067"/>
      <c r="AN40" s="1067"/>
      <c r="AO40" s="1074"/>
    </row>
    <row r="41" spans="28:41" x14ac:dyDescent="0.25">
      <c r="AB41" s="1067"/>
      <c r="AC41" s="1067"/>
      <c r="AD41" s="1067"/>
      <c r="AE41" s="1067"/>
      <c r="AF41" s="1067"/>
      <c r="AG41" s="1067"/>
      <c r="AH41" s="1067"/>
      <c r="AI41" s="1067"/>
      <c r="AJ41" s="1067"/>
      <c r="AK41" s="1067"/>
      <c r="AL41" s="1067"/>
      <c r="AM41" s="1067"/>
      <c r="AN41" s="1067"/>
      <c r="AO41" s="1074"/>
    </row>
    <row r="119" spans="29:42" x14ac:dyDescent="0.25">
      <c r="AC119" s="1067"/>
      <c r="AD119" s="1067"/>
      <c r="AE119" s="1067"/>
      <c r="AF119" s="1067"/>
      <c r="AG119" s="1067"/>
      <c r="AH119" s="1067"/>
      <c r="AI119" s="1067"/>
      <c r="AJ119" s="1067"/>
      <c r="AK119" s="1067"/>
      <c r="AL119" s="1067"/>
      <c r="AM119" s="1067"/>
      <c r="AN119" s="1067"/>
      <c r="AO119" s="1067"/>
      <c r="AP119" s="1074"/>
    </row>
    <row r="120" spans="29:42" x14ac:dyDescent="0.25">
      <c r="AC120" s="1067"/>
      <c r="AD120" s="1067"/>
      <c r="AE120" s="1067"/>
      <c r="AF120" s="1067"/>
      <c r="AG120" s="1067"/>
      <c r="AH120" s="1067"/>
      <c r="AI120" s="1067"/>
      <c r="AJ120" s="1067"/>
      <c r="AK120" s="1067"/>
      <c r="AL120" s="1067"/>
      <c r="AM120" s="1067"/>
      <c r="AN120" s="1067"/>
      <c r="AO120" s="1067"/>
      <c r="AP120" s="1074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F7" sqref="F7:I7"/>
    </sheetView>
  </sheetViews>
  <sheetFormatPr defaultColWidth="8.5703125" defaultRowHeight="15" x14ac:dyDescent="0.25"/>
  <cols>
    <col min="1" max="1" width="4.42578125" style="883" customWidth="1"/>
    <col min="2" max="2" width="38.42578125" style="883" customWidth="1"/>
    <col min="3" max="4" width="13.5703125" style="883" customWidth="1"/>
    <col min="5" max="5" width="21" style="883" customWidth="1"/>
    <col min="6" max="6" width="10" style="883" customWidth="1"/>
    <col min="7" max="7" width="16.42578125" style="883" customWidth="1"/>
    <col min="8" max="8" width="19.42578125" style="883" customWidth="1"/>
    <col min="9" max="9" width="16.42578125" style="883" bestFit="1" customWidth="1"/>
    <col min="10" max="10" width="12.42578125" style="883" customWidth="1"/>
    <col min="11" max="11" width="17.42578125" style="883" bestFit="1" customWidth="1"/>
    <col min="12" max="12" width="12.42578125" style="883" customWidth="1"/>
    <col min="13" max="13" width="10.5703125" style="883" bestFit="1" customWidth="1"/>
    <col min="14" max="14" width="20.42578125" style="883" bestFit="1" customWidth="1"/>
    <col min="15" max="15" width="14.42578125" style="883" customWidth="1"/>
    <col min="16" max="28" width="7.5703125" style="883" customWidth="1"/>
    <col min="29" max="29" width="11" style="883" customWidth="1"/>
    <col min="30" max="41" width="13.42578125" style="883" hidden="1" customWidth="1"/>
    <col min="42" max="42" width="15.5703125" style="883" customWidth="1"/>
    <col min="43" max="16384" width="8.5703125" style="883"/>
  </cols>
  <sheetData>
    <row r="2" spans="2:10" ht="20.85" customHeight="1" x14ac:dyDescent="0.25">
      <c r="B2" s="1075" t="s">
        <v>583</v>
      </c>
      <c r="C2" s="1044"/>
      <c r="E2" s="1044"/>
      <c r="F2" s="1044"/>
      <c r="G2" s="883" t="s">
        <v>558</v>
      </c>
      <c r="H2" s="1150">
        <f>'SUMMARY HPP '!I9</f>
        <v>16000</v>
      </c>
    </row>
    <row r="3" spans="2:10" x14ac:dyDescent="0.25">
      <c r="B3" s="1045" t="s">
        <v>380</v>
      </c>
      <c r="C3" s="2368" t="s">
        <v>218</v>
      </c>
      <c r="D3" s="2369"/>
      <c r="E3" s="1046" t="s">
        <v>584</v>
      </c>
      <c r="F3" s="2370" t="s">
        <v>560</v>
      </c>
      <c r="G3" s="2371"/>
      <c r="H3" s="1047" t="s">
        <v>561</v>
      </c>
    </row>
    <row r="4" spans="2:10" x14ac:dyDescent="0.25">
      <c r="B4" s="1048" t="s">
        <v>585</v>
      </c>
      <c r="C4" s="1049">
        <f>200/24</f>
        <v>8.3333333333333339</v>
      </c>
      <c r="D4" s="1050" t="s">
        <v>586</v>
      </c>
      <c r="E4" s="1155">
        <f>'Januari 2026 PMG 2'!AM279</f>
        <v>4349</v>
      </c>
      <c r="F4" s="2376"/>
      <c r="G4" s="2377"/>
      <c r="H4" s="1047" t="s">
        <v>270</v>
      </c>
    </row>
    <row r="5" spans="2:10" s="1082" customFormat="1" x14ac:dyDescent="0.25">
      <c r="B5" s="1077" t="s">
        <v>587</v>
      </c>
      <c r="C5" s="1078"/>
      <c r="D5" s="1079"/>
      <c r="E5" s="1080"/>
      <c r="F5" s="1060">
        <v>0</v>
      </c>
      <c r="G5" s="1081" t="s">
        <v>576</v>
      </c>
      <c r="H5" s="1063">
        <v>8700</v>
      </c>
    </row>
    <row r="6" spans="2:10" x14ac:dyDescent="0.25">
      <c r="B6" s="1059" t="s">
        <v>567</v>
      </c>
      <c r="C6" s="1060"/>
      <c r="D6" s="1061"/>
      <c r="E6" s="1062"/>
      <c r="F6" s="1060"/>
      <c r="G6" s="1061"/>
      <c r="H6" s="1063"/>
    </row>
    <row r="7" spans="2:10" x14ac:dyDescent="0.25">
      <c r="B7" s="1064" t="s">
        <v>588</v>
      </c>
      <c r="C7" s="1065">
        <v>0</v>
      </c>
      <c r="D7" s="1061" t="s">
        <v>236</v>
      </c>
      <c r="E7" s="1066">
        <f>C7</f>
        <v>0</v>
      </c>
      <c r="F7" s="1060">
        <v>24890</v>
      </c>
      <c r="G7" s="1061" t="s">
        <v>589</v>
      </c>
      <c r="H7" s="1063">
        <f t="shared" ref="H7:H15" si="0">E7*F7</f>
        <v>0</v>
      </c>
    </row>
    <row r="8" spans="2:10" x14ac:dyDescent="0.25">
      <c r="B8" s="1064" t="s">
        <v>590</v>
      </c>
      <c r="C8" s="1065">
        <f>E8*C4</f>
        <v>0.62305295950155759</v>
      </c>
      <c r="D8" s="1061" t="s">
        <v>236</v>
      </c>
      <c r="E8" s="1066">
        <v>7.476635514018691E-2</v>
      </c>
      <c r="F8" s="1060">
        <v>65340</v>
      </c>
      <c r="G8" s="1061" t="s">
        <v>589</v>
      </c>
      <c r="H8" s="1063">
        <f>E8*F8</f>
        <v>4885.2336448598126</v>
      </c>
    </row>
    <row r="9" spans="2:10" x14ac:dyDescent="0.25">
      <c r="B9" s="1064" t="s">
        <v>591</v>
      </c>
      <c r="C9" s="1065">
        <f>E9*C4</f>
        <v>46.728971962616825</v>
      </c>
      <c r="D9" s="1061" t="s">
        <v>236</v>
      </c>
      <c r="E9" s="1066">
        <v>5.6074766355140184</v>
      </c>
      <c r="F9" s="1060">
        <v>7702</v>
      </c>
      <c r="G9" s="1061" t="s">
        <v>589</v>
      </c>
      <c r="H9" s="1063">
        <f>E9*F9</f>
        <v>43188.785046728968</v>
      </c>
    </row>
    <row r="10" spans="2:10" x14ac:dyDescent="0.25">
      <c r="B10" s="1064" t="s">
        <v>592</v>
      </c>
      <c r="C10" s="1065">
        <f>E10*C4</f>
        <v>6.230529595015577</v>
      </c>
      <c r="D10" s="1061" t="s">
        <v>236</v>
      </c>
      <c r="E10" s="1066">
        <v>0.74766355140186924</v>
      </c>
      <c r="F10" s="1060">
        <v>18634</v>
      </c>
      <c r="G10" s="1061" t="s">
        <v>589</v>
      </c>
      <c r="H10" s="1063">
        <f>E10*F10</f>
        <v>13931.962616822431</v>
      </c>
    </row>
    <row r="11" spans="2:10" x14ac:dyDescent="0.25">
      <c r="B11" s="1064" t="s">
        <v>593</v>
      </c>
      <c r="C11" s="1065">
        <f>E11*C4</f>
        <v>1.2461059190031152</v>
      </c>
      <c r="D11" s="1061" t="s">
        <v>236</v>
      </c>
      <c r="E11" s="1066">
        <v>0.14953271028037382</v>
      </c>
      <c r="F11" s="1060">
        <v>44722</v>
      </c>
      <c r="G11" s="1061" t="s">
        <v>589</v>
      </c>
      <c r="H11" s="1063">
        <f>E11*F11</f>
        <v>6687.4018691588781</v>
      </c>
    </row>
    <row r="12" spans="2:10" x14ac:dyDescent="0.25">
      <c r="B12" s="1064" t="s">
        <v>594</v>
      </c>
      <c r="C12" s="1065">
        <v>0</v>
      </c>
      <c r="D12" s="1061" t="s">
        <v>236</v>
      </c>
      <c r="E12" s="1066">
        <f>C12</f>
        <v>0</v>
      </c>
      <c r="F12" s="1060">
        <v>5700</v>
      </c>
      <c r="G12" s="1061" t="s">
        <v>589</v>
      </c>
      <c r="H12" s="1063">
        <f t="shared" si="0"/>
        <v>0</v>
      </c>
    </row>
    <row r="13" spans="2:10" x14ac:dyDescent="0.25">
      <c r="B13" s="1064" t="s">
        <v>595</v>
      </c>
      <c r="C13" s="1065">
        <v>0</v>
      </c>
      <c r="D13" s="1061" t="s">
        <v>236</v>
      </c>
      <c r="E13" s="1066">
        <f>C13</f>
        <v>0</v>
      </c>
      <c r="F13" s="1060">
        <v>15700</v>
      </c>
      <c r="G13" s="1061" t="s">
        <v>589</v>
      </c>
      <c r="H13" s="1063">
        <f t="shared" si="0"/>
        <v>0</v>
      </c>
    </row>
    <row r="14" spans="2:10" x14ac:dyDescent="0.25">
      <c r="B14" s="1059" t="s">
        <v>134</v>
      </c>
      <c r="C14" s="1083">
        <v>2675</v>
      </c>
      <c r="D14" s="1061" t="s">
        <v>248</v>
      </c>
      <c r="E14" s="1066">
        <f>C14</f>
        <v>2675</v>
      </c>
      <c r="F14" s="1060">
        <f>[3]UP.E!C28</f>
        <v>1550</v>
      </c>
      <c r="G14" s="1061" t="s">
        <v>596</v>
      </c>
      <c r="H14" s="1063">
        <f>E14*F14</f>
        <v>4146250</v>
      </c>
    </row>
    <row r="15" spans="2:10" x14ac:dyDescent="0.25">
      <c r="B15" s="1059" t="s">
        <v>577</v>
      </c>
      <c r="C15" s="1060"/>
      <c r="D15" s="1061" t="s">
        <v>270</v>
      </c>
      <c r="E15" s="1062"/>
      <c r="F15" s="1060"/>
      <c r="G15" s="1061"/>
      <c r="H15" s="1063">
        <f t="shared" si="0"/>
        <v>0</v>
      </c>
      <c r="I15" s="1084"/>
      <c r="J15" s="1058"/>
    </row>
    <row r="16" spans="2:10" x14ac:dyDescent="0.25">
      <c r="B16" s="1069"/>
      <c r="C16" s="1070"/>
      <c r="D16" s="1071"/>
      <c r="E16" s="1070"/>
      <c r="F16" s="1070"/>
      <c r="G16" s="1071"/>
      <c r="H16" s="1085">
        <f>IFERROR(SUM(H5:H15),"")</f>
        <v>4223643.3831775701</v>
      </c>
      <c r="I16" s="1086"/>
      <c r="J16" s="1067"/>
    </row>
    <row r="17" spans="3:41" x14ac:dyDescent="0.25">
      <c r="C17" s="1044"/>
      <c r="E17" s="1044"/>
      <c r="F17" s="2374" t="s">
        <v>597</v>
      </c>
      <c r="G17" s="2375"/>
      <c r="H17" s="1073">
        <f>H16/E4</f>
        <v>971.17576067545872</v>
      </c>
    </row>
    <row r="18" spans="3:41" x14ac:dyDescent="0.25">
      <c r="M18" s="1067"/>
    </row>
    <row r="19" spans="3:41" x14ac:dyDescent="0.25">
      <c r="M19" s="1067"/>
      <c r="O19" s="1067"/>
      <c r="P19" s="1067"/>
      <c r="Q19" s="1067"/>
      <c r="R19" s="1067"/>
      <c r="S19" s="1067"/>
      <c r="T19" s="1067"/>
      <c r="U19" s="1067"/>
      <c r="V19" s="1067"/>
      <c r="W19" s="1067"/>
      <c r="X19" s="1067"/>
      <c r="Y19" s="1067"/>
      <c r="Z19" s="1067"/>
      <c r="AA19" s="1067"/>
      <c r="AB19" s="1067"/>
      <c r="AC19" s="1067"/>
      <c r="AD19" s="1067"/>
      <c r="AE19" s="1067"/>
      <c r="AF19" s="1067"/>
      <c r="AG19" s="1067"/>
      <c r="AH19" s="1067"/>
      <c r="AI19" s="1067"/>
      <c r="AJ19" s="1067"/>
      <c r="AK19" s="1067"/>
      <c r="AL19" s="1067"/>
      <c r="AM19" s="1067"/>
      <c r="AN19" s="1067"/>
      <c r="AO19" s="1067"/>
    </row>
    <row r="20" spans="3:41" x14ac:dyDescent="0.25">
      <c r="M20" s="1067"/>
      <c r="O20" s="1067"/>
      <c r="P20" s="1067"/>
      <c r="Q20" s="1067"/>
      <c r="R20" s="1067"/>
      <c r="S20" s="1067"/>
      <c r="T20" s="1067"/>
      <c r="U20" s="1067"/>
      <c r="V20" s="1067"/>
      <c r="W20" s="1067"/>
      <c r="X20" s="1067"/>
      <c r="Y20" s="1067"/>
      <c r="Z20" s="1067"/>
      <c r="AA20" s="1067"/>
      <c r="AB20" s="1067"/>
      <c r="AC20" s="1067"/>
      <c r="AD20" s="1067"/>
      <c r="AE20" s="1067"/>
      <c r="AF20" s="1067"/>
      <c r="AG20" s="1067"/>
      <c r="AH20" s="1067"/>
      <c r="AI20" s="1067"/>
      <c r="AJ20" s="1067"/>
      <c r="AK20" s="1067"/>
      <c r="AL20" s="1067"/>
      <c r="AM20" s="1067"/>
      <c r="AN20" s="1067"/>
      <c r="AO20" s="1067"/>
    </row>
    <row r="21" spans="3:41" x14ac:dyDescent="0.25">
      <c r="M21" s="1067"/>
    </row>
    <row r="22" spans="3:41" x14ac:dyDescent="0.25">
      <c r="M22" s="1067"/>
      <c r="N22" s="1067"/>
    </row>
    <row r="23" spans="3:41" x14ac:dyDescent="0.25">
      <c r="M23" s="1067"/>
      <c r="N23" s="1067"/>
    </row>
    <row r="24" spans="3:41" x14ac:dyDescent="0.25">
      <c r="M24" s="1067"/>
    </row>
    <row r="25" spans="3:41" x14ac:dyDescent="0.25">
      <c r="M25" s="1067"/>
    </row>
    <row r="29" spans="3:41" x14ac:dyDescent="0.25">
      <c r="C29" s="883" t="s">
        <v>582</v>
      </c>
    </row>
    <row r="32" spans="3:41" x14ac:dyDescent="0.25">
      <c r="AB32" s="1067"/>
      <c r="AC32" s="1067"/>
      <c r="AD32" s="1067"/>
      <c r="AE32" s="1067"/>
      <c r="AF32" s="1067"/>
      <c r="AG32" s="1067"/>
      <c r="AH32" s="1067"/>
      <c r="AI32" s="1067"/>
      <c r="AJ32" s="1067"/>
      <c r="AK32" s="1067"/>
      <c r="AL32" s="1067"/>
      <c r="AM32" s="1067"/>
      <c r="AN32" s="1067"/>
      <c r="AO32" s="1074"/>
    </row>
    <row r="33" spans="28:41" x14ac:dyDescent="0.25">
      <c r="AB33" s="1067"/>
      <c r="AC33" s="1067"/>
      <c r="AD33" s="1067"/>
      <c r="AE33" s="1067"/>
      <c r="AF33" s="1067"/>
      <c r="AG33" s="1067"/>
      <c r="AH33" s="1067"/>
      <c r="AI33" s="1067"/>
      <c r="AJ33" s="1067"/>
      <c r="AK33" s="1067"/>
      <c r="AL33" s="1067"/>
      <c r="AM33" s="1067"/>
      <c r="AN33" s="1067"/>
      <c r="AO33" s="1074"/>
    </row>
    <row r="34" spans="28:41" x14ac:dyDescent="0.25">
      <c r="AB34" s="1067"/>
      <c r="AC34" s="1067"/>
      <c r="AD34" s="1067"/>
      <c r="AE34" s="1067"/>
      <c r="AF34" s="1067"/>
      <c r="AG34" s="1067"/>
      <c r="AH34" s="1067"/>
      <c r="AI34" s="1067"/>
      <c r="AJ34" s="1067"/>
      <c r="AK34" s="1067"/>
      <c r="AL34" s="1067"/>
      <c r="AM34" s="1067"/>
      <c r="AN34" s="1067"/>
      <c r="AO34" s="1074"/>
    </row>
    <row r="35" spans="28:41" x14ac:dyDescent="0.25">
      <c r="AB35" s="1067"/>
      <c r="AC35" s="1067"/>
      <c r="AD35" s="1067"/>
      <c r="AE35" s="1067"/>
      <c r="AF35" s="1067"/>
      <c r="AG35" s="1067"/>
      <c r="AH35" s="1067"/>
      <c r="AI35" s="1067"/>
      <c r="AJ35" s="1067"/>
      <c r="AK35" s="1067"/>
      <c r="AL35" s="1067"/>
      <c r="AM35" s="1067"/>
      <c r="AN35" s="1067"/>
      <c r="AO35" s="1074"/>
    </row>
    <row r="36" spans="28:41" x14ac:dyDescent="0.25">
      <c r="AB36" s="1067"/>
      <c r="AC36" s="1067"/>
      <c r="AD36" s="1067"/>
      <c r="AE36" s="1067"/>
      <c r="AF36" s="1067"/>
      <c r="AG36" s="1067"/>
      <c r="AH36" s="1067"/>
      <c r="AI36" s="1067"/>
      <c r="AJ36" s="1067"/>
      <c r="AK36" s="1067"/>
      <c r="AL36" s="1067"/>
      <c r="AM36" s="1067"/>
      <c r="AN36" s="1067"/>
      <c r="AO36" s="1074"/>
    </row>
    <row r="37" spans="28:41" x14ac:dyDescent="0.25">
      <c r="AB37" s="1067"/>
      <c r="AC37" s="1067"/>
      <c r="AD37" s="1067"/>
      <c r="AE37" s="1067"/>
      <c r="AF37" s="1067"/>
      <c r="AG37" s="1067"/>
      <c r="AH37" s="1067"/>
      <c r="AI37" s="1067"/>
      <c r="AJ37" s="1067"/>
      <c r="AK37" s="1067"/>
      <c r="AL37" s="1067"/>
      <c r="AM37" s="1067"/>
      <c r="AN37" s="1067"/>
      <c r="AO37" s="1074"/>
    </row>
    <row r="38" spans="28:41" x14ac:dyDescent="0.25">
      <c r="AB38" s="1067"/>
      <c r="AC38" s="1067"/>
      <c r="AD38" s="1067"/>
      <c r="AE38" s="1067"/>
      <c r="AF38" s="1067"/>
      <c r="AG38" s="1067"/>
      <c r="AH38" s="1067"/>
      <c r="AI38" s="1067"/>
      <c r="AJ38" s="1067"/>
      <c r="AK38" s="1067"/>
      <c r="AL38" s="1067"/>
      <c r="AM38" s="1067"/>
      <c r="AN38" s="1067"/>
      <c r="AO38" s="1074"/>
    </row>
    <row r="39" spans="28:41" x14ac:dyDescent="0.25">
      <c r="AB39" s="1067"/>
      <c r="AC39" s="1067"/>
      <c r="AD39" s="1067"/>
      <c r="AE39" s="1067"/>
      <c r="AF39" s="1067"/>
      <c r="AG39" s="1067"/>
      <c r="AH39" s="1067"/>
      <c r="AI39" s="1067"/>
      <c r="AJ39" s="1067"/>
      <c r="AK39" s="1067"/>
      <c r="AL39" s="1067"/>
      <c r="AM39" s="1067"/>
      <c r="AN39" s="1067"/>
      <c r="AO39" s="1074"/>
    </row>
    <row r="40" spans="28:41" x14ac:dyDescent="0.25">
      <c r="AB40" s="1067"/>
      <c r="AC40" s="1067"/>
      <c r="AD40" s="1067"/>
      <c r="AE40" s="1067"/>
      <c r="AF40" s="1067"/>
      <c r="AG40" s="1067"/>
      <c r="AH40" s="1067"/>
      <c r="AI40" s="1067"/>
      <c r="AJ40" s="1067"/>
      <c r="AK40" s="1067"/>
      <c r="AL40" s="1067"/>
      <c r="AM40" s="1067"/>
      <c r="AN40" s="1067"/>
      <c r="AO40" s="1074"/>
    </row>
    <row r="41" spans="28:41" x14ac:dyDescent="0.25">
      <c r="AB41" s="1067"/>
      <c r="AC41" s="1067"/>
      <c r="AD41" s="1067"/>
      <c r="AE41" s="1067"/>
      <c r="AF41" s="1067"/>
      <c r="AG41" s="1067"/>
      <c r="AH41" s="1067"/>
      <c r="AI41" s="1067"/>
      <c r="AJ41" s="1067"/>
      <c r="AK41" s="1067"/>
      <c r="AL41" s="1067"/>
      <c r="AM41" s="1067"/>
      <c r="AN41" s="1067"/>
      <c r="AO41" s="1074"/>
    </row>
    <row r="42" spans="28:41" x14ac:dyDescent="0.25">
      <c r="AB42" s="1067"/>
      <c r="AC42" s="1067"/>
      <c r="AD42" s="1067"/>
      <c r="AE42" s="1067"/>
      <c r="AF42" s="1067"/>
      <c r="AG42" s="1067"/>
      <c r="AH42" s="1067"/>
      <c r="AI42" s="1067"/>
      <c r="AJ42" s="1067"/>
      <c r="AK42" s="1067"/>
      <c r="AL42" s="1067"/>
      <c r="AM42" s="1067"/>
      <c r="AN42" s="1067"/>
      <c r="AO42" s="1074"/>
    </row>
    <row r="43" spans="28:41" x14ac:dyDescent="0.25">
      <c r="AB43" s="1067"/>
      <c r="AC43" s="1067"/>
      <c r="AD43" s="1067"/>
      <c r="AE43" s="1067"/>
      <c r="AF43" s="1067"/>
      <c r="AG43" s="1067"/>
      <c r="AH43" s="1067"/>
      <c r="AI43" s="1067"/>
      <c r="AJ43" s="1067"/>
      <c r="AK43" s="1067"/>
      <c r="AL43" s="1067"/>
      <c r="AM43" s="1067"/>
      <c r="AN43" s="1067"/>
      <c r="AO43" s="1074"/>
    </row>
    <row r="44" spans="28:41" x14ac:dyDescent="0.25"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  <c r="AM44" s="1067"/>
      <c r="AN44" s="1067"/>
      <c r="AO44" s="1074"/>
    </row>
    <row r="122" spans="29:42" x14ac:dyDescent="0.25">
      <c r="AC122" s="1067"/>
      <c r="AD122" s="1067"/>
      <c r="AE122" s="1067"/>
      <c r="AF122" s="1067"/>
      <c r="AG122" s="1067"/>
      <c r="AH122" s="1067"/>
      <c r="AI122" s="1067"/>
      <c r="AJ122" s="1067"/>
      <c r="AK122" s="1067"/>
      <c r="AL122" s="1067"/>
      <c r="AM122" s="1067"/>
      <c r="AN122" s="1067"/>
      <c r="AO122" s="1067"/>
      <c r="AP122" s="1074"/>
    </row>
    <row r="123" spans="29:42" x14ac:dyDescent="0.25">
      <c r="AC123" s="1067"/>
      <c r="AD123" s="1067"/>
      <c r="AE123" s="1067"/>
      <c r="AF123" s="1067"/>
      <c r="AG123" s="1067"/>
      <c r="AH123" s="1067"/>
      <c r="AI123" s="1067"/>
      <c r="AJ123" s="1067"/>
      <c r="AK123" s="1067"/>
      <c r="AL123" s="1067"/>
      <c r="AM123" s="1067"/>
      <c r="AN123" s="1067"/>
      <c r="AO123" s="1067"/>
      <c r="AP123" s="1074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topLeftCell="A4" workbookViewId="0">
      <selection activeCell="F7" sqref="F7:I7"/>
    </sheetView>
  </sheetViews>
  <sheetFormatPr defaultColWidth="8.5703125" defaultRowHeight="15" x14ac:dyDescent="0.25"/>
  <cols>
    <col min="1" max="1" width="4.42578125" style="883" customWidth="1"/>
    <col min="2" max="2" width="38.42578125" style="883" customWidth="1"/>
    <col min="3" max="4" width="13.5703125" style="883" customWidth="1"/>
    <col min="5" max="5" width="21" style="883" customWidth="1"/>
    <col min="6" max="6" width="10" style="883" customWidth="1"/>
    <col min="7" max="7" width="16.42578125" style="883" customWidth="1"/>
    <col min="8" max="8" width="19.42578125" style="883" customWidth="1"/>
    <col min="9" max="9" width="16.42578125" style="883" bestFit="1" customWidth="1"/>
    <col min="10" max="10" width="12.42578125" style="883" customWidth="1"/>
    <col min="11" max="11" width="17.42578125" style="883" bestFit="1" customWidth="1"/>
    <col min="12" max="12" width="12.42578125" style="883" customWidth="1"/>
    <col min="13" max="13" width="10.5703125" style="883" bestFit="1" customWidth="1"/>
    <col min="14" max="14" width="20.42578125" style="883" bestFit="1" customWidth="1"/>
    <col min="15" max="15" width="14.42578125" style="883" customWidth="1"/>
    <col min="16" max="28" width="7.5703125" style="883" customWidth="1"/>
    <col min="29" max="29" width="11" style="883" customWidth="1"/>
    <col min="30" max="41" width="13.42578125" style="883" hidden="1" customWidth="1"/>
    <col min="42" max="42" width="15.5703125" style="883" customWidth="1"/>
    <col min="43" max="16384" width="8.5703125" style="883"/>
  </cols>
  <sheetData>
    <row r="2" spans="2:41" ht="20.85" customHeight="1" x14ac:dyDescent="0.25">
      <c r="B2" s="1075" t="s">
        <v>598</v>
      </c>
      <c r="C2" s="1044"/>
      <c r="E2" s="1044"/>
      <c r="F2" s="1044"/>
      <c r="G2" s="883" t="s">
        <v>558</v>
      </c>
      <c r="H2" s="1150">
        <v>16000</v>
      </c>
    </row>
    <row r="3" spans="2:41" x14ac:dyDescent="0.25">
      <c r="B3" s="1045" t="s">
        <v>380</v>
      </c>
      <c r="C3" s="2368" t="s">
        <v>218</v>
      </c>
      <c r="D3" s="2369"/>
      <c r="E3" s="1046" t="s">
        <v>584</v>
      </c>
      <c r="F3" s="2370" t="s">
        <v>560</v>
      </c>
      <c r="G3" s="2371"/>
      <c r="H3" s="1047" t="s">
        <v>561</v>
      </c>
    </row>
    <row r="4" spans="2:41" x14ac:dyDescent="0.25">
      <c r="B4" s="1048" t="s">
        <v>598</v>
      </c>
      <c r="C4" s="1049">
        <f>1000/24</f>
        <v>41.666666666666664</v>
      </c>
      <c r="D4" s="1050" t="s">
        <v>586</v>
      </c>
      <c r="E4" s="1155">
        <f>'Januari 2026 PMG 2'!AM271</f>
        <v>834.85</v>
      </c>
      <c r="F4" s="2376"/>
      <c r="G4" s="2377"/>
      <c r="H4" s="1047" t="s">
        <v>270</v>
      </c>
    </row>
    <row r="5" spans="2:41" x14ac:dyDescent="0.25">
      <c r="B5" s="1059" t="s">
        <v>599</v>
      </c>
      <c r="C5" s="1060"/>
      <c r="D5" s="1061"/>
      <c r="E5" s="1062"/>
      <c r="F5" s="1060">
        <v>8700</v>
      </c>
      <c r="G5" s="1061" t="s">
        <v>576</v>
      </c>
      <c r="H5" s="1063">
        <f>F5*E4</f>
        <v>7263195</v>
      </c>
    </row>
    <row r="6" spans="2:41" x14ac:dyDescent="0.25">
      <c r="B6" s="1064" t="s">
        <v>600</v>
      </c>
      <c r="C6" s="1065">
        <v>0.1</v>
      </c>
      <c r="D6" s="1061" t="s">
        <v>236</v>
      </c>
      <c r="E6" s="1066">
        <f>C6</f>
        <v>0.1</v>
      </c>
      <c r="F6" s="1060">
        <v>44500</v>
      </c>
      <c r="G6" s="1061" t="s">
        <v>589</v>
      </c>
      <c r="H6" s="1063">
        <f t="shared" ref="H6:H11" si="0">E6*F6</f>
        <v>4450</v>
      </c>
    </row>
    <row r="7" spans="2:41" x14ac:dyDescent="0.25">
      <c r="B7" s="1064" t="s">
        <v>601</v>
      </c>
      <c r="C7" s="1065">
        <v>0.1</v>
      </c>
      <c r="D7" s="1061" t="s">
        <v>236</v>
      </c>
      <c r="E7" s="1066">
        <f>C7</f>
        <v>0.1</v>
      </c>
      <c r="F7" s="1060">
        <v>65340</v>
      </c>
      <c r="G7" s="1061" t="s">
        <v>589</v>
      </c>
      <c r="H7" s="1063">
        <f t="shared" si="0"/>
        <v>6534</v>
      </c>
    </row>
    <row r="8" spans="2:41" x14ac:dyDescent="0.25">
      <c r="B8" s="1064" t="s">
        <v>602</v>
      </c>
      <c r="C8" s="1065">
        <v>0.1</v>
      </c>
      <c r="D8" s="1061" t="s">
        <v>236</v>
      </c>
      <c r="E8" s="1066">
        <f>C8</f>
        <v>0.1</v>
      </c>
      <c r="F8" s="1060">
        <v>33275</v>
      </c>
      <c r="G8" s="1061" t="s">
        <v>589</v>
      </c>
      <c r="H8" s="1063">
        <f t="shared" si="0"/>
        <v>3327.5</v>
      </c>
    </row>
    <row r="9" spans="2:41" x14ac:dyDescent="0.25">
      <c r="B9" s="1064" t="s">
        <v>603</v>
      </c>
      <c r="C9" s="1065">
        <v>0.1</v>
      </c>
      <c r="D9" s="1061" t="s">
        <v>236</v>
      </c>
      <c r="E9" s="1066">
        <f>C9</f>
        <v>0.1</v>
      </c>
      <c r="F9" s="1060">
        <v>47450</v>
      </c>
      <c r="G9" s="1061" t="s">
        <v>589</v>
      </c>
      <c r="H9" s="1063">
        <f t="shared" si="0"/>
        <v>4745</v>
      </c>
    </row>
    <row r="10" spans="2:41" x14ac:dyDescent="0.25">
      <c r="B10" s="1059" t="s">
        <v>134</v>
      </c>
      <c r="C10" s="1083">
        <v>8896</v>
      </c>
      <c r="D10" s="1061" t="s">
        <v>248</v>
      </c>
      <c r="E10" s="1066">
        <f>C10</f>
        <v>8896</v>
      </c>
      <c r="F10" s="1060">
        <f>[3]UP.E!C28</f>
        <v>1550</v>
      </c>
      <c r="G10" s="1061" t="s">
        <v>596</v>
      </c>
      <c r="H10" s="1063">
        <f t="shared" si="0"/>
        <v>13788800</v>
      </c>
    </row>
    <row r="11" spans="2:41" x14ac:dyDescent="0.25">
      <c r="B11" s="1059" t="s">
        <v>577</v>
      </c>
      <c r="C11" s="1060"/>
      <c r="D11" s="1061" t="s">
        <v>270</v>
      </c>
      <c r="E11" s="1062"/>
      <c r="F11" s="1060"/>
      <c r="G11" s="1061"/>
      <c r="H11" s="1087">
        <f t="shared" si="0"/>
        <v>0</v>
      </c>
      <c r="I11" s="1084"/>
      <c r="J11" s="1058"/>
    </row>
    <row r="12" spans="2:41" x14ac:dyDescent="0.25">
      <c r="B12" s="1069"/>
      <c r="C12" s="1070"/>
      <c r="D12" s="1071"/>
      <c r="E12" s="1070"/>
      <c r="F12" s="1070"/>
      <c r="G12" s="1071"/>
      <c r="H12" s="1085">
        <f>IFERROR(SUM(H5:H11),"")</f>
        <v>21071051.5</v>
      </c>
      <c r="I12" s="1086"/>
      <c r="J12" s="1067"/>
    </row>
    <row r="13" spans="2:41" x14ac:dyDescent="0.25">
      <c r="C13" s="1044"/>
      <c r="E13" s="1044"/>
      <c r="F13" s="2374" t="s">
        <v>597</v>
      </c>
      <c r="G13" s="2375"/>
      <c r="H13" s="1073">
        <f>H12/E4</f>
        <v>25239.326226268193</v>
      </c>
    </row>
    <row r="14" spans="2:41" x14ac:dyDescent="0.25">
      <c r="M14" s="1067"/>
    </row>
    <row r="15" spans="2:41" x14ac:dyDescent="0.25">
      <c r="M15" s="1067"/>
      <c r="O15" s="1067"/>
      <c r="P15" s="1067"/>
      <c r="Q15" s="1067"/>
      <c r="R15" s="1067"/>
      <c r="S15" s="1067"/>
      <c r="T15" s="1067"/>
      <c r="U15" s="1067"/>
      <c r="V15" s="1067"/>
      <c r="W15" s="1067"/>
      <c r="X15" s="1067"/>
      <c r="Y15" s="1067"/>
      <c r="Z15" s="1067"/>
      <c r="AA15" s="1067"/>
      <c r="AB15" s="1067"/>
      <c r="AC15" s="1067"/>
      <c r="AD15" s="1067"/>
      <c r="AE15" s="1067"/>
      <c r="AF15" s="1067"/>
      <c r="AG15" s="1067"/>
      <c r="AH15" s="1067"/>
      <c r="AI15" s="1067"/>
      <c r="AJ15" s="1067"/>
      <c r="AK15" s="1067"/>
      <c r="AL15" s="1067"/>
      <c r="AM15" s="1067"/>
      <c r="AN15" s="1067"/>
      <c r="AO15" s="1067"/>
    </row>
    <row r="16" spans="2:41" x14ac:dyDescent="0.25">
      <c r="M16" s="1067"/>
      <c r="O16" s="1067"/>
      <c r="P16" s="1067"/>
      <c r="Q16" s="1067"/>
      <c r="R16" s="1067"/>
      <c r="S16" s="1067"/>
      <c r="T16" s="1067"/>
      <c r="U16" s="1067"/>
      <c r="V16" s="1067"/>
      <c r="W16" s="1067"/>
      <c r="X16" s="1067"/>
      <c r="Y16" s="1067"/>
      <c r="Z16" s="1067"/>
      <c r="AA16" s="1067"/>
      <c r="AB16" s="1067"/>
      <c r="AC16" s="1067"/>
      <c r="AD16" s="1067"/>
      <c r="AE16" s="1067"/>
      <c r="AF16" s="1067"/>
      <c r="AG16" s="1067"/>
      <c r="AH16" s="1067"/>
      <c r="AI16" s="1067"/>
      <c r="AJ16" s="1067"/>
      <c r="AK16" s="1067"/>
      <c r="AL16" s="1067"/>
      <c r="AM16" s="1067"/>
      <c r="AN16" s="1067"/>
      <c r="AO16" s="1067"/>
    </row>
    <row r="17" spans="3:41" x14ac:dyDescent="0.25">
      <c r="M17" s="1067"/>
    </row>
    <row r="18" spans="3:41" x14ac:dyDescent="0.25">
      <c r="M18" s="1067"/>
      <c r="N18" s="1067"/>
    </row>
    <row r="19" spans="3:41" x14ac:dyDescent="0.25">
      <c r="M19" s="1067"/>
      <c r="N19" s="1067"/>
    </row>
    <row r="20" spans="3:41" x14ac:dyDescent="0.25">
      <c r="M20" s="1067"/>
    </row>
    <row r="21" spans="3:41" x14ac:dyDescent="0.25">
      <c r="M21" s="1067"/>
    </row>
    <row r="25" spans="3:41" x14ac:dyDescent="0.25">
      <c r="C25" s="883" t="s">
        <v>582</v>
      </c>
    </row>
    <row r="28" spans="3:41" x14ac:dyDescent="0.25">
      <c r="AB28" s="1067"/>
      <c r="AC28" s="1067"/>
      <c r="AD28" s="1067"/>
      <c r="AE28" s="1067"/>
      <c r="AF28" s="1067"/>
      <c r="AG28" s="1067"/>
      <c r="AH28" s="1067"/>
      <c r="AI28" s="1067"/>
      <c r="AJ28" s="1067"/>
      <c r="AK28" s="1067"/>
      <c r="AL28" s="1067"/>
      <c r="AM28" s="1067"/>
      <c r="AN28" s="1067"/>
      <c r="AO28" s="1074"/>
    </row>
    <row r="29" spans="3:41" x14ac:dyDescent="0.25">
      <c r="AB29" s="1067"/>
      <c r="AC29" s="1067"/>
      <c r="AD29" s="1067"/>
      <c r="AE29" s="1067"/>
      <c r="AF29" s="1067"/>
      <c r="AG29" s="1067"/>
      <c r="AH29" s="1067"/>
      <c r="AI29" s="1067"/>
      <c r="AJ29" s="1067"/>
      <c r="AK29" s="1067"/>
      <c r="AL29" s="1067"/>
      <c r="AM29" s="1067"/>
      <c r="AN29" s="1067"/>
      <c r="AO29" s="1074"/>
    </row>
    <row r="30" spans="3:41" x14ac:dyDescent="0.25">
      <c r="AB30" s="1067"/>
      <c r="AC30" s="1067"/>
      <c r="AD30" s="1067"/>
      <c r="AE30" s="1067"/>
      <c r="AF30" s="1067"/>
      <c r="AG30" s="1067"/>
      <c r="AH30" s="1067"/>
      <c r="AI30" s="1067"/>
      <c r="AJ30" s="1067"/>
      <c r="AK30" s="1067"/>
      <c r="AL30" s="1067"/>
      <c r="AM30" s="1067"/>
      <c r="AN30" s="1067"/>
      <c r="AO30" s="1074"/>
    </row>
    <row r="31" spans="3:41" x14ac:dyDescent="0.25">
      <c r="AB31" s="1067"/>
      <c r="AC31" s="1067"/>
      <c r="AD31" s="1067"/>
      <c r="AE31" s="1067"/>
      <c r="AF31" s="1067"/>
      <c r="AG31" s="1067"/>
      <c r="AH31" s="1067"/>
      <c r="AI31" s="1067"/>
      <c r="AJ31" s="1067"/>
      <c r="AK31" s="1067"/>
      <c r="AL31" s="1067"/>
      <c r="AM31" s="1067"/>
      <c r="AN31" s="1067"/>
      <c r="AO31" s="1074"/>
    </row>
    <row r="32" spans="3:41" x14ac:dyDescent="0.25">
      <c r="AB32" s="1067"/>
      <c r="AC32" s="1067"/>
      <c r="AD32" s="1067"/>
      <c r="AE32" s="1067"/>
      <c r="AF32" s="1067"/>
      <c r="AG32" s="1067"/>
      <c r="AH32" s="1067"/>
      <c r="AI32" s="1067"/>
      <c r="AJ32" s="1067"/>
      <c r="AK32" s="1067"/>
      <c r="AL32" s="1067"/>
      <c r="AM32" s="1067"/>
      <c r="AN32" s="1067"/>
      <c r="AO32" s="1074"/>
    </row>
    <row r="33" spans="28:41" x14ac:dyDescent="0.25">
      <c r="AB33" s="1067"/>
      <c r="AC33" s="1067"/>
      <c r="AD33" s="1067"/>
      <c r="AE33" s="1067"/>
      <c r="AF33" s="1067"/>
      <c r="AG33" s="1067"/>
      <c r="AH33" s="1067"/>
      <c r="AI33" s="1067"/>
      <c r="AJ33" s="1067"/>
      <c r="AK33" s="1067"/>
      <c r="AL33" s="1067"/>
      <c r="AM33" s="1067"/>
      <c r="AN33" s="1067"/>
      <c r="AO33" s="1074"/>
    </row>
    <row r="34" spans="28:41" x14ac:dyDescent="0.25">
      <c r="AB34" s="1067"/>
      <c r="AC34" s="1067"/>
      <c r="AD34" s="1067"/>
      <c r="AE34" s="1067"/>
      <c r="AF34" s="1067"/>
      <c r="AG34" s="1067"/>
      <c r="AH34" s="1067"/>
      <c r="AI34" s="1067"/>
      <c r="AJ34" s="1067"/>
      <c r="AK34" s="1067"/>
      <c r="AL34" s="1067"/>
      <c r="AM34" s="1067"/>
      <c r="AN34" s="1067"/>
      <c r="AO34" s="1074"/>
    </row>
    <row r="35" spans="28:41" x14ac:dyDescent="0.25">
      <c r="AB35" s="1067"/>
      <c r="AC35" s="1067"/>
      <c r="AD35" s="1067"/>
      <c r="AE35" s="1067"/>
      <c r="AF35" s="1067"/>
      <c r="AG35" s="1067"/>
      <c r="AH35" s="1067"/>
      <c r="AI35" s="1067"/>
      <c r="AJ35" s="1067"/>
      <c r="AK35" s="1067"/>
      <c r="AL35" s="1067"/>
      <c r="AM35" s="1067"/>
      <c r="AN35" s="1067"/>
      <c r="AO35" s="1074"/>
    </row>
    <row r="36" spans="28:41" x14ac:dyDescent="0.25">
      <c r="AB36" s="1067"/>
      <c r="AC36" s="1067"/>
      <c r="AD36" s="1067"/>
      <c r="AE36" s="1067"/>
      <c r="AF36" s="1067"/>
      <c r="AG36" s="1067"/>
      <c r="AH36" s="1067"/>
      <c r="AI36" s="1067"/>
      <c r="AJ36" s="1067"/>
      <c r="AK36" s="1067"/>
      <c r="AL36" s="1067"/>
      <c r="AM36" s="1067"/>
      <c r="AN36" s="1067"/>
      <c r="AO36" s="1074"/>
    </row>
    <row r="37" spans="28:41" x14ac:dyDescent="0.25">
      <c r="AB37" s="1067"/>
      <c r="AC37" s="1067"/>
      <c r="AD37" s="1067"/>
      <c r="AE37" s="1067"/>
      <c r="AF37" s="1067"/>
      <c r="AG37" s="1067"/>
      <c r="AH37" s="1067"/>
      <c r="AI37" s="1067"/>
      <c r="AJ37" s="1067"/>
      <c r="AK37" s="1067"/>
      <c r="AL37" s="1067"/>
      <c r="AM37" s="1067"/>
      <c r="AN37" s="1067"/>
      <c r="AO37" s="1074"/>
    </row>
    <row r="38" spans="28:41" x14ac:dyDescent="0.25">
      <c r="AB38" s="1067"/>
      <c r="AC38" s="1067"/>
      <c r="AD38" s="1067"/>
      <c r="AE38" s="1067"/>
      <c r="AF38" s="1067"/>
      <c r="AG38" s="1067"/>
      <c r="AH38" s="1067"/>
      <c r="AI38" s="1067"/>
      <c r="AJ38" s="1067"/>
      <c r="AK38" s="1067"/>
      <c r="AL38" s="1067"/>
      <c r="AM38" s="1067"/>
      <c r="AN38" s="1067"/>
      <c r="AO38" s="1074"/>
    </row>
    <row r="39" spans="28:41" x14ac:dyDescent="0.25">
      <c r="AB39" s="1067"/>
      <c r="AC39" s="1067"/>
      <c r="AD39" s="1067"/>
      <c r="AE39" s="1067"/>
      <c r="AF39" s="1067"/>
      <c r="AG39" s="1067"/>
      <c r="AH39" s="1067"/>
      <c r="AI39" s="1067"/>
      <c r="AJ39" s="1067"/>
      <c r="AK39" s="1067"/>
      <c r="AL39" s="1067"/>
      <c r="AM39" s="1067"/>
      <c r="AN39" s="1067"/>
      <c r="AO39" s="1074"/>
    </row>
    <row r="40" spans="28:41" x14ac:dyDescent="0.25">
      <c r="AB40" s="1067"/>
      <c r="AC40" s="1067"/>
      <c r="AD40" s="1067"/>
      <c r="AE40" s="1067"/>
      <c r="AF40" s="1067"/>
      <c r="AG40" s="1067"/>
      <c r="AH40" s="1067"/>
      <c r="AI40" s="1067"/>
      <c r="AJ40" s="1067"/>
      <c r="AK40" s="1067"/>
      <c r="AL40" s="1067"/>
      <c r="AM40" s="1067"/>
      <c r="AN40" s="1067"/>
      <c r="AO40" s="1074"/>
    </row>
    <row r="118" spans="29:42" x14ac:dyDescent="0.25">
      <c r="AC118" s="1067"/>
      <c r="AD118" s="1067"/>
      <c r="AE118" s="1067"/>
      <c r="AF118" s="1067"/>
      <c r="AG118" s="1067"/>
      <c r="AH118" s="1067"/>
      <c r="AI118" s="1067"/>
      <c r="AJ118" s="1067"/>
      <c r="AK118" s="1067"/>
      <c r="AL118" s="1067"/>
      <c r="AM118" s="1067"/>
      <c r="AN118" s="1067"/>
      <c r="AO118" s="1067"/>
      <c r="AP118" s="1074"/>
    </row>
    <row r="119" spans="29:42" x14ac:dyDescent="0.25">
      <c r="AC119" s="1067"/>
      <c r="AD119" s="1067"/>
      <c r="AE119" s="1067"/>
      <c r="AF119" s="1067"/>
      <c r="AG119" s="1067"/>
      <c r="AH119" s="1067"/>
      <c r="AI119" s="1067"/>
      <c r="AJ119" s="1067"/>
      <c r="AK119" s="1067"/>
      <c r="AL119" s="1067"/>
      <c r="AM119" s="1067"/>
      <c r="AN119" s="1067"/>
      <c r="AO119" s="1067"/>
      <c r="AP119" s="1074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F7" sqref="F7:I7"/>
    </sheetView>
  </sheetViews>
  <sheetFormatPr defaultColWidth="8.5703125" defaultRowHeight="15" x14ac:dyDescent="0.25"/>
  <cols>
    <col min="1" max="1" width="11" style="883" customWidth="1"/>
    <col min="2" max="2" width="63.5703125" style="883" customWidth="1"/>
    <col min="3" max="3" width="13.5703125" style="1044" customWidth="1"/>
    <col min="4" max="4" width="7.42578125" style="883" customWidth="1"/>
    <col min="5" max="5" width="18.42578125" style="883" customWidth="1"/>
    <col min="6" max="6" width="14.5703125" style="883" customWidth="1"/>
    <col min="7" max="7" width="11.42578125" style="883" customWidth="1"/>
    <col min="8" max="8" width="15.5703125" style="883" customWidth="1"/>
    <col min="9" max="9" width="13.5703125" style="883" customWidth="1"/>
    <col min="10" max="10" width="24.42578125" style="883" customWidth="1"/>
    <col min="11" max="11" width="12.42578125" style="883" customWidth="1"/>
    <col min="12" max="12" width="22.42578125" style="883" customWidth="1"/>
    <col min="13" max="16384" width="8.5703125" style="883"/>
  </cols>
  <sheetData>
    <row r="2" spans="2:12" ht="21.6" customHeight="1" x14ac:dyDescent="0.25">
      <c r="B2" s="1088" t="s">
        <v>604</v>
      </c>
      <c r="J2" s="1089"/>
      <c r="K2" s="1089"/>
    </row>
    <row r="3" spans="2:12" ht="18.600000000000001" customHeight="1" x14ac:dyDescent="0.25">
      <c r="B3" s="2386" t="s">
        <v>380</v>
      </c>
      <c r="C3" s="2386" t="s">
        <v>218</v>
      </c>
      <c r="D3" s="2386"/>
      <c r="E3" s="2388" t="s">
        <v>605</v>
      </c>
      <c r="F3" s="2386" t="s">
        <v>560</v>
      </c>
      <c r="G3" s="2386"/>
      <c r="H3" s="1090" t="s">
        <v>223</v>
      </c>
      <c r="K3" s="1067"/>
      <c r="L3" s="1091"/>
    </row>
    <row r="4" spans="2:12" ht="18.600000000000001" customHeight="1" x14ac:dyDescent="0.25">
      <c r="B4" s="2387"/>
      <c r="C4" s="2387"/>
      <c r="D4" s="2387"/>
      <c r="E4" s="2389"/>
      <c r="F4" s="2387"/>
      <c r="G4" s="2387"/>
      <c r="H4" s="1090" t="s">
        <v>606</v>
      </c>
      <c r="K4" s="1067"/>
    </row>
    <row r="5" spans="2:12" ht="18.600000000000001" customHeight="1" x14ac:dyDescent="0.25">
      <c r="B5" s="1092" t="s">
        <v>607</v>
      </c>
      <c r="C5" s="1093"/>
      <c r="D5" s="1093"/>
      <c r="E5" s="1094"/>
      <c r="F5" s="1095"/>
      <c r="G5" s="1093"/>
      <c r="H5" s="1095"/>
      <c r="K5" s="1067"/>
    </row>
    <row r="6" spans="2:12" x14ac:dyDescent="0.25">
      <c r="B6" s="1059" t="s">
        <v>608</v>
      </c>
      <c r="C6" s="404">
        <v>50</v>
      </c>
      <c r="D6" s="1096" t="s">
        <v>609</v>
      </c>
      <c r="E6" s="404">
        <f>C6</f>
        <v>50</v>
      </c>
      <c r="F6" s="1060">
        <v>374</v>
      </c>
      <c r="G6" s="1060" t="s">
        <v>609</v>
      </c>
      <c r="H6" s="1097">
        <f>E6*F6</f>
        <v>18700</v>
      </c>
      <c r="I6" s="1098"/>
      <c r="K6" s="1067"/>
    </row>
    <row r="7" spans="2:12" x14ac:dyDescent="0.25">
      <c r="B7" s="1059" t="s">
        <v>610</v>
      </c>
      <c r="C7" s="404">
        <v>2</v>
      </c>
      <c r="D7" s="1096" t="s">
        <v>611</v>
      </c>
      <c r="E7" s="404">
        <f>C7</f>
        <v>2</v>
      </c>
      <c r="F7" s="1060">
        <v>7250</v>
      </c>
      <c r="G7" s="1060" t="s">
        <v>611</v>
      </c>
      <c r="H7" s="1097">
        <f t="shared" ref="H7:H32" si="0">E7*F7</f>
        <v>14500</v>
      </c>
    </row>
    <row r="8" spans="2:12" x14ac:dyDescent="0.25">
      <c r="B8" s="1059" t="s">
        <v>612</v>
      </c>
      <c r="C8" s="404">
        <v>0.5</v>
      </c>
      <c r="D8" s="1096" t="s">
        <v>609</v>
      </c>
      <c r="E8" s="404">
        <f t="shared" ref="E8:E32" si="1">C8</f>
        <v>0.5</v>
      </c>
      <c r="F8" s="1060">
        <v>500</v>
      </c>
      <c r="G8" s="1060" t="s">
        <v>609</v>
      </c>
      <c r="H8" s="1097">
        <f t="shared" si="0"/>
        <v>250</v>
      </c>
    </row>
    <row r="9" spans="2:12" x14ac:dyDescent="0.25">
      <c r="B9" s="1059" t="s">
        <v>613</v>
      </c>
      <c r="C9" s="404">
        <v>70</v>
      </c>
      <c r="D9" s="1096" t="s">
        <v>609</v>
      </c>
      <c r="E9" s="404">
        <f t="shared" si="1"/>
        <v>70</v>
      </c>
      <c r="F9" s="1060">
        <v>388</v>
      </c>
      <c r="G9" s="1060" t="s">
        <v>609</v>
      </c>
      <c r="H9" s="1097">
        <f t="shared" si="0"/>
        <v>27160</v>
      </c>
    </row>
    <row r="10" spans="2:12" x14ac:dyDescent="0.25">
      <c r="B10" s="1059" t="s">
        <v>614</v>
      </c>
      <c r="C10" s="404">
        <v>70</v>
      </c>
      <c r="D10" s="1096" t="s">
        <v>609</v>
      </c>
      <c r="E10" s="404">
        <f t="shared" si="1"/>
        <v>70</v>
      </c>
      <c r="F10" s="1060">
        <v>612</v>
      </c>
      <c r="G10" s="1060" t="s">
        <v>609</v>
      </c>
      <c r="H10" s="1097">
        <f t="shared" si="0"/>
        <v>42840</v>
      </c>
    </row>
    <row r="11" spans="2:12" x14ac:dyDescent="0.25">
      <c r="B11" s="1059" t="s">
        <v>615</v>
      </c>
      <c r="C11" s="404">
        <v>0.05</v>
      </c>
      <c r="D11" s="1096" t="s">
        <v>616</v>
      </c>
      <c r="E11" s="404">
        <f t="shared" si="1"/>
        <v>0.05</v>
      </c>
      <c r="F11" s="1060">
        <v>21000</v>
      </c>
      <c r="G11" s="1060" t="s">
        <v>616</v>
      </c>
      <c r="H11" s="1097">
        <f t="shared" si="0"/>
        <v>1050</v>
      </c>
    </row>
    <row r="12" spans="2:12" x14ac:dyDescent="0.25">
      <c r="B12" s="1059" t="s">
        <v>617</v>
      </c>
      <c r="C12" s="404">
        <v>2.6</v>
      </c>
      <c r="D12" s="1096" t="s">
        <v>609</v>
      </c>
      <c r="E12" s="404">
        <f t="shared" si="1"/>
        <v>2.6</v>
      </c>
      <c r="F12" s="1060">
        <v>236</v>
      </c>
      <c r="G12" s="1060" t="s">
        <v>609</v>
      </c>
      <c r="H12" s="1097">
        <f t="shared" si="0"/>
        <v>613.6</v>
      </c>
    </row>
    <row r="13" spans="2:12" x14ac:dyDescent="0.25">
      <c r="B13" s="1059" t="s">
        <v>618</v>
      </c>
      <c r="C13" s="404">
        <v>5.5</v>
      </c>
      <c r="D13" s="1096" t="s">
        <v>611</v>
      </c>
      <c r="E13" s="404">
        <f t="shared" si="1"/>
        <v>5.5</v>
      </c>
      <c r="F13" s="1060">
        <v>35000</v>
      </c>
      <c r="G13" s="1060" t="s">
        <v>611</v>
      </c>
      <c r="H13" s="1097">
        <f t="shared" si="0"/>
        <v>192500</v>
      </c>
    </row>
    <row r="14" spans="2:12" x14ac:dyDescent="0.25">
      <c r="B14" s="1059" t="s">
        <v>619</v>
      </c>
      <c r="C14" s="404">
        <v>150</v>
      </c>
      <c r="D14" s="1096" t="s">
        <v>609</v>
      </c>
      <c r="E14" s="404">
        <f t="shared" si="1"/>
        <v>150</v>
      </c>
      <c r="F14" s="1060">
        <v>480</v>
      </c>
      <c r="G14" s="1060" t="s">
        <v>609</v>
      </c>
      <c r="H14" s="1097">
        <f t="shared" si="0"/>
        <v>72000</v>
      </c>
    </row>
    <row r="15" spans="2:12" x14ac:dyDescent="0.25">
      <c r="B15" s="1059" t="s">
        <v>620</v>
      </c>
      <c r="C15" s="404">
        <v>0.3</v>
      </c>
      <c r="D15" s="1096" t="s">
        <v>616</v>
      </c>
      <c r="E15" s="404">
        <f t="shared" si="1"/>
        <v>0.3</v>
      </c>
      <c r="F15" s="1060">
        <v>6750</v>
      </c>
      <c r="G15" s="1060" t="s">
        <v>616</v>
      </c>
      <c r="H15" s="1097">
        <f t="shared" si="0"/>
        <v>2025</v>
      </c>
    </row>
    <row r="16" spans="2:12" x14ac:dyDescent="0.25">
      <c r="B16" s="1059" t="s">
        <v>621</v>
      </c>
      <c r="C16" s="404">
        <f>36/357</f>
        <v>0.10084033613445378</v>
      </c>
      <c r="D16" s="1096" t="s">
        <v>616</v>
      </c>
      <c r="E16" s="404">
        <f t="shared" si="1"/>
        <v>0.10084033613445378</v>
      </c>
      <c r="F16" s="1060">
        <v>90000</v>
      </c>
      <c r="G16" s="1060" t="s">
        <v>616</v>
      </c>
      <c r="H16" s="1097">
        <f t="shared" si="0"/>
        <v>9075.6302521008402</v>
      </c>
    </row>
    <row r="17" spans="2:8" x14ac:dyDescent="0.25">
      <c r="B17" s="1059" t="s">
        <v>622</v>
      </c>
      <c r="C17" s="404">
        <f>107/357</f>
        <v>0.29971988795518206</v>
      </c>
      <c r="D17" s="1096" t="s">
        <v>616</v>
      </c>
      <c r="E17" s="404">
        <f t="shared" si="1"/>
        <v>0.29971988795518206</v>
      </c>
      <c r="F17" s="1060">
        <v>3000</v>
      </c>
      <c r="G17" s="1060" t="s">
        <v>616</v>
      </c>
      <c r="H17" s="1097">
        <f t="shared" si="0"/>
        <v>899.15966386554624</v>
      </c>
    </row>
    <row r="18" spans="2:8" x14ac:dyDescent="0.25">
      <c r="B18" s="1059" t="s">
        <v>623</v>
      </c>
      <c r="C18" s="404">
        <v>0.1</v>
      </c>
      <c r="D18" s="1096" t="s">
        <v>609</v>
      </c>
      <c r="E18" s="404">
        <f t="shared" si="1"/>
        <v>0.1</v>
      </c>
      <c r="F18" s="1060">
        <v>70000</v>
      </c>
      <c r="G18" s="1060" t="s">
        <v>609</v>
      </c>
      <c r="H18" s="1097">
        <f t="shared" si="0"/>
        <v>7000</v>
      </c>
    </row>
    <row r="19" spans="2:8" x14ac:dyDescent="0.25">
      <c r="B19" s="1059" t="s">
        <v>624</v>
      </c>
      <c r="C19" s="404">
        <v>0.1</v>
      </c>
      <c r="D19" s="1096" t="s">
        <v>609</v>
      </c>
      <c r="E19" s="404">
        <f t="shared" si="1"/>
        <v>0.1</v>
      </c>
      <c r="F19" s="1060">
        <v>70000</v>
      </c>
      <c r="G19" s="1060" t="s">
        <v>609</v>
      </c>
      <c r="H19" s="1097">
        <f t="shared" si="0"/>
        <v>7000</v>
      </c>
    </row>
    <row r="20" spans="2:8" x14ac:dyDescent="0.25">
      <c r="B20" s="1059" t="s">
        <v>625</v>
      </c>
      <c r="C20" s="404">
        <v>0.5</v>
      </c>
      <c r="D20" s="1096" t="s">
        <v>611</v>
      </c>
      <c r="E20" s="404">
        <f t="shared" si="1"/>
        <v>0.5</v>
      </c>
      <c r="F20" s="1060">
        <v>19300</v>
      </c>
      <c r="G20" s="1060" t="s">
        <v>611</v>
      </c>
      <c r="H20" s="1097">
        <f t="shared" si="0"/>
        <v>9650</v>
      </c>
    </row>
    <row r="21" spans="2:8" x14ac:dyDescent="0.25">
      <c r="B21" s="1059" t="s">
        <v>626</v>
      </c>
      <c r="C21" s="404">
        <f>48/357</f>
        <v>0.13445378151260504</v>
      </c>
      <c r="D21" s="1096" t="s">
        <v>616</v>
      </c>
      <c r="E21" s="404">
        <f t="shared" si="1"/>
        <v>0.13445378151260504</v>
      </c>
      <c r="F21" s="1060">
        <v>7600</v>
      </c>
      <c r="G21" s="1060" t="s">
        <v>616</v>
      </c>
      <c r="H21" s="1097">
        <f t="shared" si="0"/>
        <v>1021.8487394957983</v>
      </c>
    </row>
    <row r="22" spans="2:8" x14ac:dyDescent="0.25">
      <c r="B22" s="1059" t="s">
        <v>627</v>
      </c>
      <c r="C22" s="404">
        <v>120</v>
      </c>
      <c r="D22" s="1096" t="s">
        <v>609</v>
      </c>
      <c r="E22" s="404">
        <f t="shared" si="1"/>
        <v>120</v>
      </c>
      <c r="F22" s="1060">
        <v>502</v>
      </c>
      <c r="G22" s="1060" t="s">
        <v>609</v>
      </c>
      <c r="H22" s="1097">
        <f t="shared" si="0"/>
        <v>60240</v>
      </c>
    </row>
    <row r="23" spans="2:8" x14ac:dyDescent="0.25">
      <c r="B23" s="1059" t="s">
        <v>628</v>
      </c>
      <c r="C23" s="1099">
        <v>0.02</v>
      </c>
      <c r="D23" s="1096" t="s">
        <v>629</v>
      </c>
      <c r="E23" s="1099">
        <f t="shared" si="1"/>
        <v>0.02</v>
      </c>
      <c r="F23" s="1060">
        <v>5000000</v>
      </c>
      <c r="G23" s="1060" t="s">
        <v>629</v>
      </c>
      <c r="H23" s="1097">
        <f t="shared" si="0"/>
        <v>100000</v>
      </c>
    </row>
    <row r="24" spans="2:8" x14ac:dyDescent="0.25">
      <c r="B24" s="1059" t="s">
        <v>630</v>
      </c>
      <c r="C24" s="1099">
        <v>0.03</v>
      </c>
      <c r="D24" s="1096" t="s">
        <v>629</v>
      </c>
      <c r="E24" s="1099">
        <f t="shared" si="1"/>
        <v>0.03</v>
      </c>
      <c r="F24" s="1060">
        <v>2500000</v>
      </c>
      <c r="G24" s="1060" t="s">
        <v>629</v>
      </c>
      <c r="H24" s="1097">
        <f t="shared" si="0"/>
        <v>75000</v>
      </c>
    </row>
    <row r="25" spans="2:8" x14ac:dyDescent="0.25">
      <c r="B25" s="1059" t="s">
        <v>631</v>
      </c>
      <c r="C25" s="1099">
        <v>0.03</v>
      </c>
      <c r="D25" s="1096" t="s">
        <v>629</v>
      </c>
      <c r="E25" s="1099">
        <f t="shared" si="1"/>
        <v>0.03</v>
      </c>
      <c r="F25" s="1060">
        <v>1250000</v>
      </c>
      <c r="G25" s="1060" t="s">
        <v>629</v>
      </c>
      <c r="H25" s="1097">
        <f t="shared" si="0"/>
        <v>37500</v>
      </c>
    </row>
    <row r="26" spans="2:8" x14ac:dyDescent="0.25">
      <c r="B26" s="1059" t="s">
        <v>632</v>
      </c>
      <c r="C26" s="404">
        <f>179/357</f>
        <v>0.50140056022408963</v>
      </c>
      <c r="D26" s="1096" t="s">
        <v>616</v>
      </c>
      <c r="E26" s="404">
        <f t="shared" si="1"/>
        <v>0.50140056022408963</v>
      </c>
      <c r="F26" s="1060">
        <v>2000</v>
      </c>
      <c r="G26" s="1060" t="s">
        <v>616</v>
      </c>
      <c r="H26" s="1097">
        <f t="shared" si="0"/>
        <v>1002.8011204481793</v>
      </c>
    </row>
    <row r="27" spans="2:8" x14ac:dyDescent="0.25">
      <c r="B27" s="1059" t="s">
        <v>633</v>
      </c>
      <c r="C27" s="404">
        <f>250/357</f>
        <v>0.70028011204481788</v>
      </c>
      <c r="D27" s="1096" t="s">
        <v>616</v>
      </c>
      <c r="E27" s="404">
        <f t="shared" si="1"/>
        <v>0.70028011204481788</v>
      </c>
      <c r="F27" s="1060">
        <v>765</v>
      </c>
      <c r="G27" s="1060" t="s">
        <v>616</v>
      </c>
      <c r="H27" s="1097">
        <f t="shared" si="0"/>
        <v>535.71428571428567</v>
      </c>
    </row>
    <row r="28" spans="2:8" x14ac:dyDescent="0.25">
      <c r="B28" s="1059" t="s">
        <v>634</v>
      </c>
      <c r="C28" s="404">
        <f>250/357</f>
        <v>0.70028011204481788</v>
      </c>
      <c r="D28" s="1096" t="s">
        <v>616</v>
      </c>
      <c r="E28" s="404">
        <f t="shared" si="1"/>
        <v>0.70028011204481788</v>
      </c>
      <c r="F28" s="1060">
        <v>5200</v>
      </c>
      <c r="G28" s="1060" t="s">
        <v>616</v>
      </c>
      <c r="H28" s="1097">
        <f t="shared" si="0"/>
        <v>3641.4565826330531</v>
      </c>
    </row>
    <row r="29" spans="2:8" x14ac:dyDescent="0.25">
      <c r="B29" s="1059" t="s">
        <v>635</v>
      </c>
      <c r="C29" s="404">
        <f>6069/357</f>
        <v>17</v>
      </c>
      <c r="D29" s="1096" t="s">
        <v>616</v>
      </c>
      <c r="E29" s="404">
        <f t="shared" si="1"/>
        <v>17</v>
      </c>
      <c r="F29" s="1060">
        <v>950</v>
      </c>
      <c r="G29" s="1060" t="s">
        <v>616</v>
      </c>
      <c r="H29" s="1097">
        <f t="shared" si="0"/>
        <v>16150</v>
      </c>
    </row>
    <row r="30" spans="2:8" x14ac:dyDescent="0.25">
      <c r="B30" s="1059" t="s">
        <v>636</v>
      </c>
      <c r="C30" s="404">
        <v>12</v>
      </c>
      <c r="D30" s="1096" t="s">
        <v>616</v>
      </c>
      <c r="E30" s="404">
        <f t="shared" si="1"/>
        <v>12</v>
      </c>
      <c r="F30" s="1060">
        <v>2400</v>
      </c>
      <c r="G30" s="1060" t="s">
        <v>616</v>
      </c>
      <c r="H30" s="1097">
        <f t="shared" si="0"/>
        <v>28800</v>
      </c>
    </row>
    <row r="31" spans="2:8" x14ac:dyDescent="0.25">
      <c r="B31" s="1059" t="s">
        <v>637</v>
      </c>
      <c r="C31" s="404">
        <f>357/357</f>
        <v>1</v>
      </c>
      <c r="D31" s="1096" t="s">
        <v>616</v>
      </c>
      <c r="E31" s="404">
        <f t="shared" si="1"/>
        <v>1</v>
      </c>
      <c r="F31" s="1060">
        <v>4200</v>
      </c>
      <c r="G31" s="1060" t="s">
        <v>616</v>
      </c>
      <c r="H31" s="1097">
        <f t="shared" si="0"/>
        <v>4200</v>
      </c>
    </row>
    <row r="32" spans="2:8" ht="15.75" thickBot="1" x14ac:dyDescent="0.3">
      <c r="B32" s="1059" t="s">
        <v>638</v>
      </c>
      <c r="C32" s="404">
        <f>6069/357</f>
        <v>17</v>
      </c>
      <c r="D32" s="1096" t="s">
        <v>616</v>
      </c>
      <c r="E32" s="404">
        <f t="shared" si="1"/>
        <v>17</v>
      </c>
      <c r="F32" s="1060">
        <v>700</v>
      </c>
      <c r="G32" s="1060" t="s">
        <v>616</v>
      </c>
      <c r="H32" s="1097">
        <f t="shared" si="0"/>
        <v>11900</v>
      </c>
    </row>
    <row r="33" spans="2:12" ht="21" customHeight="1" thickTop="1" thickBot="1" x14ac:dyDescent="0.3">
      <c r="B33" s="2390" t="s">
        <v>639</v>
      </c>
      <c r="C33" s="2391"/>
      <c r="D33" s="2391"/>
      <c r="E33" s="2391"/>
      <c r="F33" s="2391"/>
      <c r="G33" s="2392"/>
      <c r="H33" s="1100">
        <f>SUM(H6:H32)</f>
        <v>745255.21064425772</v>
      </c>
    </row>
    <row r="34" spans="2:12" x14ac:dyDescent="0.25">
      <c r="B34" s="339"/>
      <c r="C34" s="339"/>
      <c r="D34" s="339"/>
      <c r="E34" s="339"/>
      <c r="F34" s="339"/>
      <c r="G34" s="339"/>
      <c r="H34" s="339"/>
    </row>
    <row r="35" spans="2:12" ht="18.600000000000001" customHeight="1" x14ac:dyDescent="0.25">
      <c r="B35" s="2386" t="s">
        <v>380</v>
      </c>
      <c r="C35" s="2386" t="s">
        <v>218</v>
      </c>
      <c r="D35" s="2386"/>
      <c r="E35" s="2388" t="s">
        <v>640</v>
      </c>
      <c r="F35" s="2386" t="s">
        <v>560</v>
      </c>
      <c r="G35" s="2386"/>
      <c r="H35" s="1090" t="s">
        <v>381</v>
      </c>
      <c r="K35" s="1067"/>
      <c r="L35" s="1091"/>
    </row>
    <row r="36" spans="2:12" ht="18.600000000000001" customHeight="1" x14ac:dyDescent="0.25">
      <c r="B36" s="2387"/>
      <c r="C36" s="2387"/>
      <c r="D36" s="2387"/>
      <c r="E36" s="2389"/>
      <c r="F36" s="2387"/>
      <c r="G36" s="2387"/>
      <c r="H36" s="1090" t="s">
        <v>382</v>
      </c>
      <c r="K36" s="1067"/>
    </row>
    <row r="37" spans="2:12" ht="18.600000000000001" customHeight="1" x14ac:dyDescent="0.25">
      <c r="B37" s="1092" t="s">
        <v>641</v>
      </c>
      <c r="C37" s="1093"/>
      <c r="D37" s="1093"/>
      <c r="E37" s="1094"/>
      <c r="F37" s="1093"/>
      <c r="G37" s="1093"/>
      <c r="H37" s="1093"/>
      <c r="K37" s="1067"/>
    </row>
    <row r="38" spans="2:12" x14ac:dyDescent="0.25">
      <c r="B38" s="1059" t="s">
        <v>642</v>
      </c>
      <c r="C38" s="404">
        <f>286/357</f>
        <v>0.80112044817927175</v>
      </c>
      <c r="D38" s="1096" t="s">
        <v>616</v>
      </c>
      <c r="E38" s="404">
        <f t="shared" ref="E38:E53" si="2">C38</f>
        <v>0.80112044817927175</v>
      </c>
      <c r="F38" s="1060">
        <v>4000</v>
      </c>
      <c r="G38" s="1060" t="s">
        <v>616</v>
      </c>
      <c r="H38" s="1101">
        <f t="shared" ref="H38:H53" si="3">E38*F38</f>
        <v>3204.481792717087</v>
      </c>
    </row>
    <row r="39" spans="2:12" x14ac:dyDescent="0.25">
      <c r="B39" s="1059" t="s">
        <v>643</v>
      </c>
      <c r="C39" s="404">
        <f>1785/357</f>
        <v>5</v>
      </c>
      <c r="D39" s="1096" t="s">
        <v>644</v>
      </c>
      <c r="E39" s="404">
        <f t="shared" si="2"/>
        <v>5</v>
      </c>
      <c r="F39" s="1060">
        <v>10100</v>
      </c>
      <c r="G39" s="1060" t="s">
        <v>644</v>
      </c>
      <c r="H39" s="1101">
        <f t="shared" si="3"/>
        <v>50500</v>
      </c>
    </row>
    <row r="40" spans="2:12" x14ac:dyDescent="0.25">
      <c r="B40" s="1059" t="s">
        <v>645</v>
      </c>
      <c r="C40" s="404">
        <f>714/357</f>
        <v>2</v>
      </c>
      <c r="D40" s="1096" t="s">
        <v>646</v>
      </c>
      <c r="E40" s="404">
        <f t="shared" si="2"/>
        <v>2</v>
      </c>
      <c r="F40" s="1060">
        <v>8160</v>
      </c>
      <c r="G40" s="1060" t="s">
        <v>646</v>
      </c>
      <c r="H40" s="1101">
        <f t="shared" si="3"/>
        <v>16320</v>
      </c>
    </row>
    <row r="41" spans="2:12" x14ac:dyDescent="0.25">
      <c r="B41" s="1059" t="s">
        <v>647</v>
      </c>
      <c r="C41" s="404">
        <f>360/357</f>
        <v>1.0084033613445378</v>
      </c>
      <c r="D41" s="1096" t="s">
        <v>648</v>
      </c>
      <c r="E41" s="404">
        <f t="shared" si="2"/>
        <v>1.0084033613445378</v>
      </c>
      <c r="F41" s="1060">
        <v>26550</v>
      </c>
      <c r="G41" s="1060" t="s">
        <v>648</v>
      </c>
      <c r="H41" s="1101">
        <f t="shared" si="3"/>
        <v>26773.10924369748</v>
      </c>
    </row>
    <row r="42" spans="2:12" x14ac:dyDescent="0.25">
      <c r="B42" s="1059" t="s">
        <v>649</v>
      </c>
      <c r="C42" s="404">
        <f>714/357</f>
        <v>2</v>
      </c>
      <c r="D42" s="1096" t="s">
        <v>646</v>
      </c>
      <c r="E42" s="404">
        <f t="shared" si="2"/>
        <v>2</v>
      </c>
      <c r="F42" s="1060">
        <v>31700</v>
      </c>
      <c r="G42" s="1060" t="s">
        <v>646</v>
      </c>
      <c r="H42" s="1101">
        <f t="shared" si="3"/>
        <v>63400</v>
      </c>
    </row>
    <row r="43" spans="2:12" x14ac:dyDescent="0.25">
      <c r="B43" s="1059" t="s">
        <v>650</v>
      </c>
      <c r="C43" s="404">
        <v>2.5</v>
      </c>
      <c r="D43" s="1096" t="s">
        <v>646</v>
      </c>
      <c r="E43" s="404">
        <f t="shared" si="2"/>
        <v>2.5</v>
      </c>
      <c r="F43" s="1060">
        <v>31006</v>
      </c>
      <c r="G43" s="1060" t="s">
        <v>646</v>
      </c>
      <c r="H43" s="1101">
        <f t="shared" si="3"/>
        <v>77515</v>
      </c>
    </row>
    <row r="44" spans="2:12" x14ac:dyDescent="0.25">
      <c r="B44" s="1059" t="s">
        <v>651</v>
      </c>
      <c r="C44" s="404">
        <f>179/357</f>
        <v>0.50140056022408963</v>
      </c>
      <c r="D44" s="1096" t="s">
        <v>616</v>
      </c>
      <c r="E44" s="404">
        <f t="shared" si="2"/>
        <v>0.50140056022408963</v>
      </c>
      <c r="F44" s="1060">
        <v>11950</v>
      </c>
      <c r="G44" s="1060" t="s">
        <v>616</v>
      </c>
      <c r="H44" s="1101">
        <f t="shared" si="3"/>
        <v>5991.7366946778711</v>
      </c>
    </row>
    <row r="45" spans="2:12" x14ac:dyDescent="0.25">
      <c r="B45" s="1059" t="s">
        <v>652</v>
      </c>
      <c r="C45" s="404">
        <f>214/357</f>
        <v>0.59943977591036413</v>
      </c>
      <c r="D45" s="1096" t="s">
        <v>616</v>
      </c>
      <c r="E45" s="404">
        <f t="shared" si="2"/>
        <v>0.59943977591036413</v>
      </c>
      <c r="F45" s="1060">
        <v>2545</v>
      </c>
      <c r="G45" s="1060" t="s">
        <v>616</v>
      </c>
      <c r="H45" s="1101">
        <f t="shared" si="3"/>
        <v>1525.5742296918768</v>
      </c>
    </row>
    <row r="46" spans="2:12" x14ac:dyDescent="0.25">
      <c r="B46" s="1059" t="s">
        <v>653</v>
      </c>
      <c r="C46" s="404">
        <f>1714/357</f>
        <v>4.8011204481792715</v>
      </c>
      <c r="D46" s="1096" t="s">
        <v>654</v>
      </c>
      <c r="E46" s="404">
        <f t="shared" si="2"/>
        <v>4.8011204481792715</v>
      </c>
      <c r="F46" s="1060">
        <v>930</v>
      </c>
      <c r="G46" s="1060" t="s">
        <v>654</v>
      </c>
      <c r="H46" s="1101">
        <f t="shared" si="3"/>
        <v>4465.0420168067221</v>
      </c>
    </row>
    <row r="47" spans="2:12" x14ac:dyDescent="0.25">
      <c r="B47" s="1059" t="s">
        <v>655</v>
      </c>
      <c r="C47" s="404">
        <f>71/357</f>
        <v>0.19887955182072828</v>
      </c>
      <c r="D47" s="1096" t="s">
        <v>616</v>
      </c>
      <c r="E47" s="404">
        <f t="shared" si="2"/>
        <v>0.19887955182072828</v>
      </c>
      <c r="F47" s="1060">
        <v>21050</v>
      </c>
      <c r="G47" s="1060" t="s">
        <v>616</v>
      </c>
      <c r="H47" s="1101">
        <f t="shared" si="3"/>
        <v>4186.4145658263305</v>
      </c>
    </row>
    <row r="48" spans="2:12" x14ac:dyDescent="0.25">
      <c r="B48" s="1059" t="s">
        <v>656</v>
      </c>
      <c r="C48" s="404">
        <f>12/357</f>
        <v>3.3613445378151259E-2</v>
      </c>
      <c r="D48" s="1096" t="s">
        <v>616</v>
      </c>
      <c r="E48" s="404">
        <f t="shared" si="2"/>
        <v>3.3613445378151259E-2</v>
      </c>
      <c r="F48" s="1060">
        <v>12500</v>
      </c>
      <c r="G48" s="1060" t="s">
        <v>616</v>
      </c>
      <c r="H48" s="1101">
        <f t="shared" si="3"/>
        <v>420.16806722689074</v>
      </c>
    </row>
    <row r="49" spans="1:12" x14ac:dyDescent="0.25">
      <c r="B49" s="1059" t="s">
        <v>657</v>
      </c>
      <c r="C49" s="404">
        <v>0.08</v>
      </c>
      <c r="D49" s="1096" t="s">
        <v>654</v>
      </c>
      <c r="E49" s="404">
        <f t="shared" si="2"/>
        <v>0.08</v>
      </c>
      <c r="F49" s="1060">
        <v>8160</v>
      </c>
      <c r="G49" s="1060" t="s">
        <v>654</v>
      </c>
      <c r="H49" s="1101">
        <f t="shared" si="3"/>
        <v>652.80000000000007</v>
      </c>
    </row>
    <row r="50" spans="1:12" x14ac:dyDescent="0.25">
      <c r="B50" s="1059" t="s">
        <v>658</v>
      </c>
      <c r="C50" s="404">
        <f>12/357</f>
        <v>3.3613445378151259E-2</v>
      </c>
      <c r="D50" s="1096" t="s">
        <v>616</v>
      </c>
      <c r="E50" s="404">
        <f t="shared" si="2"/>
        <v>3.3613445378151259E-2</v>
      </c>
      <c r="F50" s="1060">
        <v>23400</v>
      </c>
      <c r="G50" s="1060" t="s">
        <v>616</v>
      </c>
      <c r="H50" s="1101">
        <f t="shared" si="3"/>
        <v>786.55462184873943</v>
      </c>
    </row>
    <row r="51" spans="1:12" x14ac:dyDescent="0.25">
      <c r="B51" s="1059" t="s">
        <v>659</v>
      </c>
      <c r="C51" s="404">
        <f>12/357</f>
        <v>3.3613445378151259E-2</v>
      </c>
      <c r="D51" s="1096" t="s">
        <v>616</v>
      </c>
      <c r="E51" s="404">
        <f t="shared" si="2"/>
        <v>3.3613445378151259E-2</v>
      </c>
      <c r="F51" s="1060">
        <v>50800</v>
      </c>
      <c r="G51" s="1060" t="s">
        <v>616</v>
      </c>
      <c r="H51" s="1101">
        <f t="shared" si="3"/>
        <v>1707.5630252100839</v>
      </c>
    </row>
    <row r="52" spans="1:12" x14ac:dyDescent="0.25">
      <c r="B52" s="1059" t="s">
        <v>660</v>
      </c>
      <c r="C52" s="404">
        <v>0.08</v>
      </c>
      <c r="D52" s="1096" t="s">
        <v>616</v>
      </c>
      <c r="E52" s="404">
        <f t="shared" si="2"/>
        <v>0.08</v>
      </c>
      <c r="F52" s="1060">
        <v>6250</v>
      </c>
      <c r="G52" s="1060" t="s">
        <v>616</v>
      </c>
      <c r="H52" s="1101">
        <f t="shared" si="3"/>
        <v>500</v>
      </c>
    </row>
    <row r="53" spans="1:12" ht="15.75" thickBot="1" x14ac:dyDescent="0.3">
      <c r="B53" s="1059" t="s">
        <v>661</v>
      </c>
      <c r="C53" s="404">
        <v>0.05</v>
      </c>
      <c r="D53" s="1096" t="s">
        <v>616</v>
      </c>
      <c r="E53" s="404">
        <f t="shared" si="2"/>
        <v>0.05</v>
      </c>
      <c r="F53" s="1060">
        <v>24260</v>
      </c>
      <c r="G53" s="1060" t="s">
        <v>616</v>
      </c>
      <c r="H53" s="1101">
        <f t="shared" si="3"/>
        <v>1213</v>
      </c>
    </row>
    <row r="54" spans="1:12" ht="16.5" thickTop="1" thickBot="1" x14ac:dyDescent="0.3">
      <c r="B54" s="2390" t="s">
        <v>639</v>
      </c>
      <c r="C54" s="2391"/>
      <c r="D54" s="2391"/>
      <c r="E54" s="2391"/>
      <c r="F54" s="2391"/>
      <c r="G54" s="2392"/>
      <c r="H54" s="1100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386" t="s">
        <v>380</v>
      </c>
      <c r="C56" s="2386" t="s">
        <v>218</v>
      </c>
      <c r="D56" s="2386"/>
      <c r="E56" s="2388" t="s">
        <v>640</v>
      </c>
      <c r="F56" s="2386" t="s">
        <v>560</v>
      </c>
      <c r="G56" s="2386"/>
      <c r="H56" s="1090" t="s">
        <v>381</v>
      </c>
      <c r="K56" s="1067"/>
      <c r="L56" s="1091"/>
    </row>
    <row r="57" spans="1:12" ht="18.600000000000001" customHeight="1" x14ac:dyDescent="0.25">
      <c r="B57" s="2387"/>
      <c r="C57" s="2387"/>
      <c r="D57" s="2387"/>
      <c r="E57" s="2389"/>
      <c r="F57" s="2387"/>
      <c r="G57" s="2387"/>
      <c r="H57" s="1090" t="s">
        <v>382</v>
      </c>
      <c r="K57" s="1067"/>
    </row>
    <row r="58" spans="1:12" ht="18.600000000000001" customHeight="1" x14ac:dyDescent="0.25">
      <c r="B58" s="1092" t="s">
        <v>363</v>
      </c>
      <c r="C58" s="1093"/>
      <c r="D58" s="1093"/>
      <c r="E58" s="1094"/>
      <c r="F58" s="1093"/>
      <c r="G58" s="1093"/>
      <c r="H58" s="1102"/>
      <c r="K58" s="1067"/>
    </row>
    <row r="59" spans="1:12" x14ac:dyDescent="0.25">
      <c r="B59" s="1059" t="s">
        <v>662</v>
      </c>
      <c r="C59" s="404">
        <f>59/357</f>
        <v>0.16526610644257703</v>
      </c>
      <c r="D59" s="1096" t="s">
        <v>646</v>
      </c>
      <c r="E59" s="404">
        <f>C59</f>
        <v>0.16526610644257703</v>
      </c>
      <c r="F59" s="1060">
        <v>82000</v>
      </c>
      <c r="G59" s="1060" t="s">
        <v>646</v>
      </c>
      <c r="H59" s="1101">
        <f>E59*F59</f>
        <v>13551.820728291315</v>
      </c>
    </row>
    <row r="60" spans="1:12" ht="15.75" thickBot="1" x14ac:dyDescent="0.3">
      <c r="B60" s="1059" t="s">
        <v>663</v>
      </c>
      <c r="C60" s="404">
        <f>59/357</f>
        <v>0.16526610644257703</v>
      </c>
      <c r="D60" s="1096" t="s">
        <v>646</v>
      </c>
      <c r="E60" s="404">
        <f>C60</f>
        <v>0.16526610644257703</v>
      </c>
      <c r="F60" s="1060">
        <v>82000</v>
      </c>
      <c r="G60" s="1060" t="s">
        <v>646</v>
      </c>
      <c r="H60" s="1101">
        <f>E60*F60</f>
        <v>13551.820728291315</v>
      </c>
    </row>
    <row r="61" spans="1:12" ht="16.5" thickTop="1" thickBot="1" x14ac:dyDescent="0.3">
      <c r="B61" s="2390" t="s">
        <v>639</v>
      </c>
      <c r="C61" s="2391"/>
      <c r="D61" s="2391"/>
      <c r="E61" s="2391"/>
      <c r="F61" s="2391"/>
      <c r="G61" s="2392"/>
      <c r="H61" s="1100">
        <f>SUM(H59:H60)</f>
        <v>27103.641456582631</v>
      </c>
    </row>
    <row r="62" spans="1:12" ht="16.5" thickTop="1" thickBot="1" x14ac:dyDescent="0.3">
      <c r="B62" s="1103"/>
      <c r="C62" s="1103"/>
      <c r="D62" s="1103"/>
      <c r="E62" s="1103"/>
      <c r="F62" s="1103"/>
      <c r="G62" s="1103"/>
      <c r="H62" s="1104"/>
    </row>
    <row r="63" spans="1:12" ht="15.75" thickTop="1" x14ac:dyDescent="0.25">
      <c r="B63" s="2380" t="s">
        <v>664</v>
      </c>
      <c r="C63" s="2381"/>
      <c r="D63" s="2381"/>
      <c r="E63" s="2381"/>
      <c r="F63" s="2381"/>
      <c r="G63" s="2381"/>
      <c r="H63" s="2384">
        <f>H61+H54+H33</f>
        <v>1031520.2963585434</v>
      </c>
    </row>
    <row r="64" spans="1:12" ht="6.6" customHeight="1" thickBot="1" x14ac:dyDescent="0.3">
      <c r="B64" s="2382"/>
      <c r="C64" s="2383"/>
      <c r="D64" s="2383"/>
      <c r="E64" s="2383"/>
      <c r="F64" s="2383"/>
      <c r="G64" s="2383"/>
      <c r="H64" s="2385"/>
    </row>
    <row r="65" spans="2:9" ht="15.75" thickTop="1" x14ac:dyDescent="0.25"/>
    <row r="67" spans="2:9" ht="21" x14ac:dyDescent="0.25">
      <c r="B67" s="939"/>
      <c r="C67" s="1088" t="s">
        <v>665</v>
      </c>
      <c r="D67" s="939"/>
      <c r="E67" s="939"/>
      <c r="F67" s="339"/>
      <c r="G67" s="939"/>
      <c r="H67" s="939"/>
      <c r="I67" s="939"/>
    </row>
    <row r="68" spans="2:9" x14ac:dyDescent="0.25">
      <c r="B68" s="2386" t="s">
        <v>98</v>
      </c>
      <c r="C68" s="2386" t="s">
        <v>380</v>
      </c>
      <c r="D68" s="2386" t="s">
        <v>218</v>
      </c>
      <c r="E68" s="2386"/>
      <c r="F68" s="2388" t="s">
        <v>640</v>
      </c>
      <c r="G68" s="2386" t="s">
        <v>560</v>
      </c>
      <c r="H68" s="2386"/>
      <c r="I68" s="1105" t="s">
        <v>381</v>
      </c>
    </row>
    <row r="69" spans="2:9" ht="15.75" thickBot="1" x14ac:dyDescent="0.3">
      <c r="B69" s="2387"/>
      <c r="C69" s="2387"/>
      <c r="D69" s="2387"/>
      <c r="E69" s="2387"/>
      <c r="F69" s="2389"/>
      <c r="G69" s="2387"/>
      <c r="H69" s="2387"/>
      <c r="I69" s="1105" t="s">
        <v>382</v>
      </c>
    </row>
    <row r="70" spans="2:9" ht="15.75" thickTop="1" x14ac:dyDescent="0.25">
      <c r="B70" s="1106">
        <v>1</v>
      </c>
      <c r="C70" s="1107" t="s">
        <v>666</v>
      </c>
      <c r="D70" s="1108">
        <v>12</v>
      </c>
      <c r="E70" s="1108" t="s">
        <v>667</v>
      </c>
      <c r="F70" s="1109">
        <f>D70/357</f>
        <v>3.3613445378151259E-2</v>
      </c>
      <c r="G70" s="1110">
        <v>35000</v>
      </c>
      <c r="H70" s="1110" t="s">
        <v>668</v>
      </c>
      <c r="I70" s="1111">
        <f>F70*G70</f>
        <v>1176.4705882352941</v>
      </c>
    </row>
    <row r="71" spans="2:9" x14ac:dyDescent="0.25">
      <c r="B71" s="1112">
        <f>B70+1</f>
        <v>2</v>
      </c>
      <c r="C71" s="1113" t="s">
        <v>669</v>
      </c>
      <c r="D71" s="1114">
        <v>72</v>
      </c>
      <c r="E71" s="1114" t="s">
        <v>667</v>
      </c>
      <c r="F71" s="1115">
        <f t="shared" ref="F71:F110" si="4">D71/357</f>
        <v>0.20168067226890757</v>
      </c>
      <c r="G71" s="1116">
        <v>48000</v>
      </c>
      <c r="H71" s="1116" t="s">
        <v>668</v>
      </c>
      <c r="I71" s="1117">
        <f t="shared" ref="I71:I110" si="5">F71*G71</f>
        <v>9680.6722689075632</v>
      </c>
    </row>
    <row r="72" spans="2:9" x14ac:dyDescent="0.25">
      <c r="B72" s="1112">
        <f t="shared" ref="B72:B110" si="6">B71+1</f>
        <v>3</v>
      </c>
      <c r="C72" s="1113" t="s">
        <v>670</v>
      </c>
      <c r="D72" s="1114">
        <v>12</v>
      </c>
      <c r="E72" s="1114" t="s">
        <v>667</v>
      </c>
      <c r="F72" s="1115">
        <f t="shared" si="4"/>
        <v>3.3613445378151259E-2</v>
      </c>
      <c r="G72" s="1116">
        <v>100000</v>
      </c>
      <c r="H72" s="1116" t="s">
        <v>668</v>
      </c>
      <c r="I72" s="1117">
        <f t="shared" si="5"/>
        <v>3361.3445378151259</v>
      </c>
    </row>
    <row r="73" spans="2:9" x14ac:dyDescent="0.25">
      <c r="B73" s="1112">
        <f t="shared" si="6"/>
        <v>4</v>
      </c>
      <c r="C73" s="1113" t="s">
        <v>671</v>
      </c>
      <c r="D73" s="1114">
        <v>6</v>
      </c>
      <c r="E73" s="1114" t="s">
        <v>667</v>
      </c>
      <c r="F73" s="1115">
        <f t="shared" si="4"/>
        <v>1.680672268907563E-2</v>
      </c>
      <c r="G73" s="1116">
        <v>120000</v>
      </c>
      <c r="H73" s="1116" t="s">
        <v>668</v>
      </c>
      <c r="I73" s="1117">
        <f t="shared" si="5"/>
        <v>2016.8067226890755</v>
      </c>
    </row>
    <row r="74" spans="2:9" x14ac:dyDescent="0.25">
      <c r="B74" s="1112">
        <f t="shared" si="6"/>
        <v>5</v>
      </c>
      <c r="C74" s="1113" t="s">
        <v>672</v>
      </c>
      <c r="D74" s="1114">
        <v>6</v>
      </c>
      <c r="E74" s="1114" t="s">
        <v>667</v>
      </c>
      <c r="F74" s="1115">
        <f t="shared" si="4"/>
        <v>1.680672268907563E-2</v>
      </c>
      <c r="G74" s="1116">
        <v>142000</v>
      </c>
      <c r="H74" s="1116" t="s">
        <v>668</v>
      </c>
      <c r="I74" s="1117">
        <f t="shared" si="5"/>
        <v>2386.5546218487393</v>
      </c>
    </row>
    <row r="75" spans="2:9" x14ac:dyDescent="0.25">
      <c r="B75" s="1112">
        <f t="shared" si="6"/>
        <v>6</v>
      </c>
      <c r="C75" s="1113" t="s">
        <v>673</v>
      </c>
      <c r="D75" s="1114">
        <v>6</v>
      </c>
      <c r="E75" s="1114" t="s">
        <v>667</v>
      </c>
      <c r="F75" s="1115">
        <f t="shared" si="4"/>
        <v>1.680672268907563E-2</v>
      </c>
      <c r="G75" s="1116">
        <v>70000</v>
      </c>
      <c r="H75" s="1116" t="s">
        <v>668</v>
      </c>
      <c r="I75" s="1117">
        <f t="shared" si="5"/>
        <v>1176.4705882352941</v>
      </c>
    </row>
    <row r="76" spans="2:9" x14ac:dyDescent="0.25">
      <c r="B76" s="1112">
        <f t="shared" si="6"/>
        <v>7</v>
      </c>
      <c r="C76" s="1113" t="s">
        <v>674</v>
      </c>
      <c r="D76" s="1114">
        <v>6</v>
      </c>
      <c r="E76" s="1114" t="s">
        <v>667</v>
      </c>
      <c r="F76" s="1115">
        <f t="shared" si="4"/>
        <v>1.680672268907563E-2</v>
      </c>
      <c r="G76" s="1116">
        <v>180000</v>
      </c>
      <c r="H76" s="1116" t="s">
        <v>668</v>
      </c>
      <c r="I76" s="1117">
        <f t="shared" si="5"/>
        <v>3025.2100840336134</v>
      </c>
    </row>
    <row r="77" spans="2:9" x14ac:dyDescent="0.25">
      <c r="B77" s="1112">
        <f t="shared" si="6"/>
        <v>8</v>
      </c>
      <c r="C77" s="1113" t="s">
        <v>675</v>
      </c>
      <c r="D77" s="1114">
        <v>2</v>
      </c>
      <c r="E77" s="1114" t="s">
        <v>667</v>
      </c>
      <c r="F77" s="1115">
        <f t="shared" si="4"/>
        <v>5.6022408963585435E-3</v>
      </c>
      <c r="G77" s="1116">
        <v>350000</v>
      </c>
      <c r="H77" s="1116" t="s">
        <v>668</v>
      </c>
      <c r="I77" s="1117">
        <f t="shared" si="5"/>
        <v>1960.7843137254902</v>
      </c>
    </row>
    <row r="78" spans="2:9" x14ac:dyDescent="0.25">
      <c r="B78" s="1112">
        <f t="shared" si="6"/>
        <v>9</v>
      </c>
      <c r="C78" s="1113" t="s">
        <v>676</v>
      </c>
      <c r="D78" s="1114">
        <v>2</v>
      </c>
      <c r="E78" s="1114" t="s">
        <v>667</v>
      </c>
      <c r="F78" s="1115">
        <f t="shared" si="4"/>
        <v>5.6022408963585435E-3</v>
      </c>
      <c r="G78" s="1116">
        <v>350000</v>
      </c>
      <c r="H78" s="1116" t="s">
        <v>668</v>
      </c>
      <c r="I78" s="1117">
        <f t="shared" si="5"/>
        <v>1960.7843137254902</v>
      </c>
    </row>
    <row r="79" spans="2:9" x14ac:dyDescent="0.25">
      <c r="B79" s="1112">
        <f t="shared" si="6"/>
        <v>10</v>
      </c>
      <c r="C79" s="1113" t="s">
        <v>677</v>
      </c>
      <c r="D79" s="1114">
        <v>6</v>
      </c>
      <c r="E79" s="1114" t="s">
        <v>667</v>
      </c>
      <c r="F79" s="1115">
        <f t="shared" si="4"/>
        <v>1.680672268907563E-2</v>
      </c>
      <c r="G79" s="1116">
        <v>75000</v>
      </c>
      <c r="H79" s="1116" t="s">
        <v>668</v>
      </c>
      <c r="I79" s="1117">
        <f t="shared" si="5"/>
        <v>1260.5042016806722</v>
      </c>
    </row>
    <row r="80" spans="2:9" x14ac:dyDescent="0.25">
      <c r="B80" s="1112">
        <f t="shared" si="6"/>
        <v>11</v>
      </c>
      <c r="C80" s="1113" t="s">
        <v>678</v>
      </c>
      <c r="D80" s="1114">
        <v>72</v>
      </c>
      <c r="E80" s="1114" t="s">
        <v>667</v>
      </c>
      <c r="F80" s="1115">
        <f t="shared" si="4"/>
        <v>0.20168067226890757</v>
      </c>
      <c r="G80" s="1116">
        <v>90000</v>
      </c>
      <c r="H80" s="1116" t="s">
        <v>668</v>
      </c>
      <c r="I80" s="1117">
        <f t="shared" si="5"/>
        <v>18151.26050420168</v>
      </c>
    </row>
    <row r="81" spans="2:9" x14ac:dyDescent="0.25">
      <c r="B81" s="1112">
        <f t="shared" si="6"/>
        <v>12</v>
      </c>
      <c r="C81" s="1113" t="s">
        <v>679</v>
      </c>
      <c r="D81" s="1114">
        <v>2</v>
      </c>
      <c r="E81" s="1114" t="s">
        <v>667</v>
      </c>
      <c r="F81" s="1115">
        <f t="shared" si="4"/>
        <v>5.6022408963585435E-3</v>
      </c>
      <c r="G81" s="1116">
        <v>400000</v>
      </c>
      <c r="H81" s="1116" t="s">
        <v>668</v>
      </c>
      <c r="I81" s="1117">
        <f t="shared" si="5"/>
        <v>2240.8963585434176</v>
      </c>
    </row>
    <row r="82" spans="2:9" x14ac:dyDescent="0.25">
      <c r="B82" s="1112">
        <f t="shared" si="6"/>
        <v>13</v>
      </c>
      <c r="C82" s="1113" t="s">
        <v>680</v>
      </c>
      <c r="D82" s="1114">
        <v>2</v>
      </c>
      <c r="E82" s="1114" t="s">
        <v>667</v>
      </c>
      <c r="F82" s="1115">
        <f t="shared" si="4"/>
        <v>5.6022408963585435E-3</v>
      </c>
      <c r="G82" s="1116">
        <v>85000</v>
      </c>
      <c r="H82" s="1116" t="s">
        <v>668</v>
      </c>
      <c r="I82" s="1117">
        <f t="shared" si="5"/>
        <v>476.1904761904762</v>
      </c>
    </row>
    <row r="83" spans="2:9" x14ac:dyDescent="0.25">
      <c r="B83" s="1112">
        <f t="shared" si="6"/>
        <v>14</v>
      </c>
      <c r="C83" s="1113" t="s">
        <v>681</v>
      </c>
      <c r="D83" s="1114">
        <v>2</v>
      </c>
      <c r="E83" s="1114" t="s">
        <v>667</v>
      </c>
      <c r="F83" s="1115">
        <f t="shared" si="4"/>
        <v>5.6022408963585435E-3</v>
      </c>
      <c r="G83" s="1116">
        <v>550000</v>
      </c>
      <c r="H83" s="1116" t="s">
        <v>668</v>
      </c>
      <c r="I83" s="1117">
        <f t="shared" si="5"/>
        <v>3081.2324929971987</v>
      </c>
    </row>
    <row r="84" spans="2:9" x14ac:dyDescent="0.25">
      <c r="B84" s="1112">
        <f t="shared" si="6"/>
        <v>15</v>
      </c>
      <c r="C84" s="1113" t="s">
        <v>682</v>
      </c>
      <c r="D84" s="1114">
        <v>2</v>
      </c>
      <c r="E84" s="1114" t="s">
        <v>667</v>
      </c>
      <c r="F84" s="1115">
        <f t="shared" si="4"/>
        <v>5.6022408963585435E-3</v>
      </c>
      <c r="G84" s="1116">
        <v>600000</v>
      </c>
      <c r="H84" s="1116" t="s">
        <v>668</v>
      </c>
      <c r="I84" s="1117">
        <f t="shared" si="5"/>
        <v>3361.3445378151259</v>
      </c>
    </row>
    <row r="85" spans="2:9" x14ac:dyDescent="0.25">
      <c r="B85" s="1112">
        <f t="shared" si="6"/>
        <v>16</v>
      </c>
      <c r="C85" s="1113" t="s">
        <v>683</v>
      </c>
      <c r="D85" s="1114">
        <v>48</v>
      </c>
      <c r="E85" s="1114" t="s">
        <v>667</v>
      </c>
      <c r="F85" s="1115">
        <f t="shared" si="4"/>
        <v>0.13445378151260504</v>
      </c>
      <c r="G85" s="1116">
        <v>60000</v>
      </c>
      <c r="H85" s="1116" t="s">
        <v>668</v>
      </c>
      <c r="I85" s="1117">
        <f t="shared" si="5"/>
        <v>8067.2268907563021</v>
      </c>
    </row>
    <row r="86" spans="2:9" x14ac:dyDescent="0.25">
      <c r="B86" s="1112">
        <f t="shared" si="6"/>
        <v>17</v>
      </c>
      <c r="C86" s="1113" t="s">
        <v>684</v>
      </c>
      <c r="D86" s="1114">
        <v>2</v>
      </c>
      <c r="E86" s="1114" t="s">
        <v>667</v>
      </c>
      <c r="F86" s="1115">
        <f t="shared" si="4"/>
        <v>5.6022408963585435E-3</v>
      </c>
      <c r="G86" s="1116">
        <v>710000</v>
      </c>
      <c r="H86" s="1116" t="s">
        <v>668</v>
      </c>
      <c r="I86" s="1117">
        <f t="shared" si="5"/>
        <v>3977.5910364145657</v>
      </c>
    </row>
    <row r="87" spans="2:9" x14ac:dyDescent="0.25">
      <c r="B87" s="1112">
        <f t="shared" si="6"/>
        <v>18</v>
      </c>
      <c r="C87" s="1113" t="s">
        <v>685</v>
      </c>
      <c r="D87" s="1114">
        <v>2</v>
      </c>
      <c r="E87" s="1114" t="s">
        <v>667</v>
      </c>
      <c r="F87" s="1115">
        <f t="shared" si="4"/>
        <v>5.6022408963585435E-3</v>
      </c>
      <c r="G87" s="1116">
        <v>135000</v>
      </c>
      <c r="H87" s="1116" t="s">
        <v>668</v>
      </c>
      <c r="I87" s="1117">
        <f t="shared" si="5"/>
        <v>756.30252100840335</v>
      </c>
    </row>
    <row r="88" spans="2:9" x14ac:dyDescent="0.25">
      <c r="B88" s="1112">
        <f t="shared" si="6"/>
        <v>19</v>
      </c>
      <c r="C88" s="1113" t="s">
        <v>686</v>
      </c>
      <c r="D88" s="1114">
        <v>2</v>
      </c>
      <c r="E88" s="1114" t="s">
        <v>667</v>
      </c>
      <c r="F88" s="1115">
        <f t="shared" si="4"/>
        <v>5.6022408963585435E-3</v>
      </c>
      <c r="G88" s="1116">
        <v>520000</v>
      </c>
      <c r="H88" s="1116" t="s">
        <v>668</v>
      </c>
      <c r="I88" s="1117">
        <f t="shared" si="5"/>
        <v>2913.1652661064427</v>
      </c>
    </row>
    <row r="89" spans="2:9" x14ac:dyDescent="0.25">
      <c r="B89" s="1112">
        <f t="shared" si="6"/>
        <v>20</v>
      </c>
      <c r="C89" s="1113" t="s">
        <v>687</v>
      </c>
      <c r="D89" s="1114">
        <v>6</v>
      </c>
      <c r="E89" s="1114" t="s">
        <v>667</v>
      </c>
      <c r="F89" s="1115">
        <f t="shared" si="4"/>
        <v>1.680672268907563E-2</v>
      </c>
      <c r="G89" s="1116">
        <v>60000</v>
      </c>
      <c r="H89" s="1116" t="s">
        <v>668</v>
      </c>
      <c r="I89" s="1117">
        <f t="shared" si="5"/>
        <v>1008.4033613445378</v>
      </c>
    </row>
    <row r="90" spans="2:9" x14ac:dyDescent="0.25">
      <c r="B90" s="1112">
        <f t="shared" si="6"/>
        <v>21</v>
      </c>
      <c r="C90" s="1113" t="s">
        <v>688</v>
      </c>
      <c r="D90" s="1114">
        <v>6</v>
      </c>
      <c r="E90" s="1114" t="s">
        <v>667</v>
      </c>
      <c r="F90" s="1115">
        <f t="shared" si="4"/>
        <v>1.680672268907563E-2</v>
      </c>
      <c r="G90" s="1116">
        <v>65000</v>
      </c>
      <c r="H90" s="1116" t="s">
        <v>668</v>
      </c>
      <c r="I90" s="1117">
        <f t="shared" si="5"/>
        <v>1092.4369747899159</v>
      </c>
    </row>
    <row r="91" spans="2:9" x14ac:dyDescent="0.25">
      <c r="B91" s="1112">
        <f t="shared" si="6"/>
        <v>22</v>
      </c>
      <c r="C91" s="1113" t="s">
        <v>689</v>
      </c>
      <c r="D91" s="1114">
        <v>6</v>
      </c>
      <c r="E91" s="1114" t="s">
        <v>667</v>
      </c>
      <c r="F91" s="1115">
        <f t="shared" si="4"/>
        <v>1.680672268907563E-2</v>
      </c>
      <c r="G91" s="1116">
        <v>80000</v>
      </c>
      <c r="H91" s="1116" t="s">
        <v>668</v>
      </c>
      <c r="I91" s="1117">
        <f t="shared" si="5"/>
        <v>1344.5378151260504</v>
      </c>
    </row>
    <row r="92" spans="2:9" x14ac:dyDescent="0.25">
      <c r="B92" s="1112">
        <f t="shared" si="6"/>
        <v>23</v>
      </c>
      <c r="C92" s="1113" t="s">
        <v>690</v>
      </c>
      <c r="D92" s="1114">
        <v>6</v>
      </c>
      <c r="E92" s="1114" t="s">
        <v>667</v>
      </c>
      <c r="F92" s="1115">
        <f t="shared" si="4"/>
        <v>1.680672268907563E-2</v>
      </c>
      <c r="G92" s="1116">
        <v>130000</v>
      </c>
      <c r="H92" s="1116" t="s">
        <v>668</v>
      </c>
      <c r="I92" s="1117">
        <f t="shared" si="5"/>
        <v>2184.8739495798318</v>
      </c>
    </row>
    <row r="93" spans="2:9" x14ac:dyDescent="0.25">
      <c r="B93" s="1112">
        <f t="shared" si="6"/>
        <v>24</v>
      </c>
      <c r="C93" s="1113" t="s">
        <v>691</v>
      </c>
      <c r="D93" s="1114">
        <v>24</v>
      </c>
      <c r="E93" s="1114" t="s">
        <v>667</v>
      </c>
      <c r="F93" s="1115">
        <f t="shared" si="4"/>
        <v>6.7226890756302518E-2</v>
      </c>
      <c r="G93" s="1116">
        <v>130000</v>
      </c>
      <c r="H93" s="1116" t="s">
        <v>668</v>
      </c>
      <c r="I93" s="1117">
        <f t="shared" si="5"/>
        <v>8739.4957983193272</v>
      </c>
    </row>
    <row r="94" spans="2:9" x14ac:dyDescent="0.25">
      <c r="B94" s="1112">
        <f t="shared" si="6"/>
        <v>25</v>
      </c>
      <c r="C94" s="1113" t="s">
        <v>692</v>
      </c>
      <c r="D94" s="1114">
        <v>6</v>
      </c>
      <c r="E94" s="1114" t="s">
        <v>667</v>
      </c>
      <c r="F94" s="1115">
        <f t="shared" si="4"/>
        <v>1.680672268907563E-2</v>
      </c>
      <c r="G94" s="1116">
        <v>150000</v>
      </c>
      <c r="H94" s="1116" t="s">
        <v>668</v>
      </c>
      <c r="I94" s="1117">
        <f t="shared" si="5"/>
        <v>2521.0084033613443</v>
      </c>
    </row>
    <row r="95" spans="2:9" x14ac:dyDescent="0.25">
      <c r="B95" s="1112">
        <f t="shared" si="6"/>
        <v>26</v>
      </c>
      <c r="C95" s="1113" t="s">
        <v>693</v>
      </c>
      <c r="D95" s="1114">
        <v>6</v>
      </c>
      <c r="E95" s="1114" t="s">
        <v>667</v>
      </c>
      <c r="F95" s="1115">
        <f t="shared" si="4"/>
        <v>1.680672268907563E-2</v>
      </c>
      <c r="G95" s="1116">
        <v>180000</v>
      </c>
      <c r="H95" s="1116" t="s">
        <v>668</v>
      </c>
      <c r="I95" s="1117">
        <f t="shared" si="5"/>
        <v>3025.2100840336134</v>
      </c>
    </row>
    <row r="96" spans="2:9" x14ac:dyDescent="0.25">
      <c r="B96" s="1112">
        <f t="shared" si="6"/>
        <v>27</v>
      </c>
      <c r="C96" s="1113" t="s">
        <v>694</v>
      </c>
      <c r="D96" s="1114">
        <v>3</v>
      </c>
      <c r="E96" s="1114" t="s">
        <v>667</v>
      </c>
      <c r="F96" s="1115">
        <f t="shared" si="4"/>
        <v>8.4033613445378148E-3</v>
      </c>
      <c r="G96" s="1116">
        <v>210000</v>
      </c>
      <c r="H96" s="1116" t="s">
        <v>668</v>
      </c>
      <c r="I96" s="1117">
        <f t="shared" si="5"/>
        <v>1764.705882352941</v>
      </c>
    </row>
    <row r="97" spans="2:9" x14ac:dyDescent="0.25">
      <c r="B97" s="1112">
        <f t="shared" si="6"/>
        <v>28</v>
      </c>
      <c r="C97" s="1113" t="s">
        <v>695</v>
      </c>
      <c r="D97" s="1114">
        <v>3</v>
      </c>
      <c r="E97" s="1114" t="s">
        <v>667</v>
      </c>
      <c r="F97" s="1115">
        <f t="shared" si="4"/>
        <v>8.4033613445378148E-3</v>
      </c>
      <c r="G97" s="1116">
        <v>580000</v>
      </c>
      <c r="H97" s="1116" t="s">
        <v>668</v>
      </c>
      <c r="I97" s="1117">
        <f t="shared" si="5"/>
        <v>4873.9495798319322</v>
      </c>
    </row>
    <row r="98" spans="2:9" x14ac:dyDescent="0.25">
      <c r="B98" s="1112">
        <f t="shared" si="6"/>
        <v>29</v>
      </c>
      <c r="C98" s="1113" t="s">
        <v>696</v>
      </c>
      <c r="D98" s="1114">
        <v>3</v>
      </c>
      <c r="E98" s="1114" t="s">
        <v>667</v>
      </c>
      <c r="F98" s="1115">
        <f t="shared" si="4"/>
        <v>8.4033613445378148E-3</v>
      </c>
      <c r="G98" s="1116">
        <v>580000</v>
      </c>
      <c r="H98" s="1116" t="s">
        <v>668</v>
      </c>
      <c r="I98" s="1117">
        <f t="shared" si="5"/>
        <v>4873.9495798319322</v>
      </c>
    </row>
    <row r="99" spans="2:9" x14ac:dyDescent="0.25">
      <c r="B99" s="1112">
        <f t="shared" si="6"/>
        <v>30</v>
      </c>
      <c r="C99" s="1113" t="s">
        <v>697</v>
      </c>
      <c r="D99" s="1114">
        <v>500</v>
      </c>
      <c r="E99" s="1114" t="s">
        <v>667</v>
      </c>
      <c r="F99" s="1115">
        <f t="shared" si="4"/>
        <v>1.4005602240896358</v>
      </c>
      <c r="G99" s="1116">
        <v>10000</v>
      </c>
      <c r="H99" s="1116" t="s">
        <v>668</v>
      </c>
      <c r="I99" s="1117">
        <f t="shared" si="5"/>
        <v>14005.602240896358</v>
      </c>
    </row>
    <row r="100" spans="2:9" x14ac:dyDescent="0.25">
      <c r="B100" s="1112">
        <f t="shared" si="6"/>
        <v>31</v>
      </c>
      <c r="C100" s="1113" t="s">
        <v>698</v>
      </c>
      <c r="D100" s="1114">
        <v>12</v>
      </c>
      <c r="E100" s="1114" t="s">
        <v>667</v>
      </c>
      <c r="F100" s="1115">
        <f t="shared" si="4"/>
        <v>3.3613445378151259E-2</v>
      </c>
      <c r="G100" s="1116">
        <v>75000</v>
      </c>
      <c r="H100" s="1116" t="s">
        <v>668</v>
      </c>
      <c r="I100" s="1117">
        <f t="shared" si="5"/>
        <v>2521.0084033613443</v>
      </c>
    </row>
    <row r="101" spans="2:9" x14ac:dyDescent="0.25">
      <c r="B101" s="1112">
        <f t="shared" si="6"/>
        <v>32</v>
      </c>
      <c r="C101" s="1113" t="s">
        <v>699</v>
      </c>
      <c r="D101" s="1114">
        <v>4</v>
      </c>
      <c r="E101" s="1114" t="s">
        <v>667</v>
      </c>
      <c r="F101" s="1115">
        <f t="shared" si="4"/>
        <v>1.1204481792717087E-2</v>
      </c>
      <c r="G101" s="1116">
        <v>138000</v>
      </c>
      <c r="H101" s="1116" t="s">
        <v>668</v>
      </c>
      <c r="I101" s="1117">
        <f t="shared" si="5"/>
        <v>1546.2184873949579</v>
      </c>
    </row>
    <row r="102" spans="2:9" x14ac:dyDescent="0.25">
      <c r="B102" s="1112">
        <f t="shared" si="6"/>
        <v>33</v>
      </c>
      <c r="C102" s="1113" t="s">
        <v>700</v>
      </c>
      <c r="D102" s="1114">
        <v>2</v>
      </c>
      <c r="E102" s="1114" t="s">
        <v>667</v>
      </c>
      <c r="F102" s="1115">
        <f t="shared" si="4"/>
        <v>5.6022408963585435E-3</v>
      </c>
      <c r="G102" s="1116">
        <v>110000</v>
      </c>
      <c r="H102" s="1116" t="s">
        <v>668</v>
      </c>
      <c r="I102" s="1117">
        <f t="shared" si="5"/>
        <v>616.24649859943975</v>
      </c>
    </row>
    <row r="103" spans="2:9" x14ac:dyDescent="0.25">
      <c r="B103" s="1112">
        <f t="shared" si="6"/>
        <v>34</v>
      </c>
      <c r="C103" s="1113" t="s">
        <v>701</v>
      </c>
      <c r="D103" s="1114">
        <v>2</v>
      </c>
      <c r="E103" s="1114" t="s">
        <v>667</v>
      </c>
      <c r="F103" s="1115">
        <f t="shared" si="4"/>
        <v>5.6022408963585435E-3</v>
      </c>
      <c r="G103" s="1116">
        <v>125000</v>
      </c>
      <c r="H103" s="1116" t="s">
        <v>668</v>
      </c>
      <c r="I103" s="1117">
        <f t="shared" si="5"/>
        <v>700.28011204481788</v>
      </c>
    </row>
    <row r="104" spans="2:9" x14ac:dyDescent="0.25">
      <c r="B104" s="1112">
        <f t="shared" si="6"/>
        <v>35</v>
      </c>
      <c r="C104" s="1113" t="s">
        <v>702</v>
      </c>
      <c r="D104" s="1114">
        <v>2</v>
      </c>
      <c r="E104" s="1114" t="s">
        <v>667</v>
      </c>
      <c r="F104" s="1115">
        <f t="shared" si="4"/>
        <v>5.6022408963585435E-3</v>
      </c>
      <c r="G104" s="1116">
        <v>70000</v>
      </c>
      <c r="H104" s="1116" t="s">
        <v>668</v>
      </c>
      <c r="I104" s="1117">
        <f t="shared" si="5"/>
        <v>392.15686274509807</v>
      </c>
    </row>
    <row r="105" spans="2:9" x14ac:dyDescent="0.25">
      <c r="B105" s="1112">
        <f t="shared" si="6"/>
        <v>36</v>
      </c>
      <c r="C105" s="1113" t="s">
        <v>703</v>
      </c>
      <c r="D105" s="1114">
        <v>2</v>
      </c>
      <c r="E105" s="1114" t="s">
        <v>667</v>
      </c>
      <c r="F105" s="1115">
        <f t="shared" si="4"/>
        <v>5.6022408963585435E-3</v>
      </c>
      <c r="G105" s="1116">
        <v>210000</v>
      </c>
      <c r="H105" s="1116" t="s">
        <v>668</v>
      </c>
      <c r="I105" s="1117">
        <f t="shared" si="5"/>
        <v>1176.4705882352941</v>
      </c>
    </row>
    <row r="106" spans="2:9" x14ac:dyDescent="0.25">
      <c r="B106" s="1112">
        <f t="shared" si="6"/>
        <v>37</v>
      </c>
      <c r="C106" s="1113" t="s">
        <v>704</v>
      </c>
      <c r="D106" s="1114">
        <v>2</v>
      </c>
      <c r="E106" s="1114" t="s">
        <v>667</v>
      </c>
      <c r="F106" s="1115">
        <f t="shared" si="4"/>
        <v>5.6022408963585435E-3</v>
      </c>
      <c r="G106" s="1116">
        <v>325000</v>
      </c>
      <c r="H106" s="1116" t="s">
        <v>668</v>
      </c>
      <c r="I106" s="1117">
        <f t="shared" si="5"/>
        <v>1820.7282913165266</v>
      </c>
    </row>
    <row r="107" spans="2:9" x14ac:dyDescent="0.25">
      <c r="B107" s="1112">
        <f t="shared" si="6"/>
        <v>38</v>
      </c>
      <c r="C107" s="1113" t="s">
        <v>705</v>
      </c>
      <c r="D107" s="1114">
        <v>2</v>
      </c>
      <c r="E107" s="1114" t="s">
        <v>667</v>
      </c>
      <c r="F107" s="1115">
        <f t="shared" si="4"/>
        <v>5.6022408963585435E-3</v>
      </c>
      <c r="G107" s="1116">
        <v>400000</v>
      </c>
      <c r="H107" s="1116" t="s">
        <v>668</v>
      </c>
      <c r="I107" s="1117">
        <f t="shared" si="5"/>
        <v>2240.8963585434176</v>
      </c>
    </row>
    <row r="108" spans="2:9" x14ac:dyDescent="0.25">
      <c r="B108" s="1112">
        <f t="shared" si="6"/>
        <v>39</v>
      </c>
      <c r="C108" s="1113" t="s">
        <v>706</v>
      </c>
      <c r="D108" s="1114">
        <v>2</v>
      </c>
      <c r="E108" s="1114" t="s">
        <v>667</v>
      </c>
      <c r="F108" s="1115">
        <f t="shared" si="4"/>
        <v>5.6022408963585435E-3</v>
      </c>
      <c r="G108" s="1116">
        <v>520000</v>
      </c>
      <c r="H108" s="1116" t="s">
        <v>668</v>
      </c>
      <c r="I108" s="1117">
        <f t="shared" si="5"/>
        <v>2913.1652661064427</v>
      </c>
    </row>
    <row r="109" spans="2:9" x14ac:dyDescent="0.25">
      <c r="B109" s="1112">
        <f t="shared" si="6"/>
        <v>40</v>
      </c>
      <c r="C109" s="1113" t="s">
        <v>707</v>
      </c>
      <c r="D109" s="1114">
        <v>12</v>
      </c>
      <c r="E109" s="1114" t="s">
        <v>667</v>
      </c>
      <c r="F109" s="1115">
        <f t="shared" si="4"/>
        <v>3.3613445378151259E-2</v>
      </c>
      <c r="G109" s="1116">
        <v>75000</v>
      </c>
      <c r="H109" s="1116" t="s">
        <v>668</v>
      </c>
      <c r="I109" s="1117">
        <f t="shared" si="5"/>
        <v>2521.0084033613443</v>
      </c>
    </row>
    <row r="110" spans="2:9" ht="15.75" thickBot="1" x14ac:dyDescent="0.3">
      <c r="B110" s="1118">
        <f t="shared" si="6"/>
        <v>41</v>
      </c>
      <c r="C110" s="1119" t="s">
        <v>708</v>
      </c>
      <c r="D110" s="1120">
        <v>12</v>
      </c>
      <c r="E110" s="1120" t="s">
        <v>667</v>
      </c>
      <c r="F110" s="1121">
        <f t="shared" si="4"/>
        <v>3.3613445378151259E-2</v>
      </c>
      <c r="G110" s="1122">
        <v>85000</v>
      </c>
      <c r="H110" s="1122" t="s">
        <v>668</v>
      </c>
      <c r="I110" s="1123">
        <f t="shared" si="5"/>
        <v>2857.1428571428569</v>
      </c>
    </row>
    <row r="111" spans="2:9" ht="15.75" x14ac:dyDescent="0.25">
      <c r="B111" s="939"/>
      <c r="C111" s="883"/>
      <c r="D111" s="1044"/>
      <c r="E111" s="1044"/>
      <c r="G111" s="2378" t="s">
        <v>709</v>
      </c>
      <c r="H111" s="2379"/>
      <c r="I111" s="1124">
        <f>SUM(I70:I110)</f>
        <v>135770.30812324933</v>
      </c>
    </row>
  </sheetData>
  <mergeCells count="23"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  <mergeCell ref="G111:H111"/>
    <mergeCell ref="B63:G64"/>
    <mergeCell ref="H63:H64"/>
    <mergeCell ref="B68:B69"/>
    <mergeCell ref="C68:C69"/>
    <mergeCell ref="D68:E69"/>
    <mergeCell ref="F68:F69"/>
    <mergeCell ref="G68:H6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F7" sqref="F7:I7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43" t="s">
        <v>710</v>
      </c>
    </row>
    <row r="3" spans="2:13" x14ac:dyDescent="0.25">
      <c r="B3" s="1045" t="s">
        <v>380</v>
      </c>
      <c r="C3" s="2368" t="s">
        <v>218</v>
      </c>
      <c r="D3" s="2369"/>
      <c r="E3" s="1125" t="s">
        <v>640</v>
      </c>
      <c r="F3" s="2370" t="s">
        <v>560</v>
      </c>
      <c r="G3" s="2371"/>
      <c r="H3" s="1051" t="s">
        <v>561</v>
      </c>
      <c r="K3" s="1091" t="s">
        <v>711</v>
      </c>
    </row>
    <row r="4" spans="2:13" ht="21.6" customHeight="1" x14ac:dyDescent="0.25">
      <c r="B4" s="1126" t="s">
        <v>712</v>
      </c>
      <c r="C4" s="1127"/>
      <c r="D4" s="1076" t="s">
        <v>713</v>
      </c>
      <c r="E4" s="1128">
        <v>0</v>
      </c>
      <c r="F4" s="2376"/>
      <c r="G4" s="2377"/>
      <c r="H4" s="1047" t="s">
        <v>270</v>
      </c>
      <c r="K4" s="1129" t="s">
        <v>380</v>
      </c>
      <c r="L4" s="2368" t="s">
        <v>560</v>
      </c>
      <c r="M4" s="2369"/>
    </row>
    <row r="5" spans="2:13" ht="17.850000000000001" customHeight="1" x14ac:dyDescent="0.25">
      <c r="B5" s="1052" t="s">
        <v>273</v>
      </c>
      <c r="C5" s="1056"/>
      <c r="D5" s="1130"/>
      <c r="E5" s="1131"/>
      <c r="F5" s="1053"/>
      <c r="G5" s="1130"/>
      <c r="H5" s="1132">
        <v>0</v>
      </c>
      <c r="K5" s="1133" t="s">
        <v>714</v>
      </c>
      <c r="L5" s="1134">
        <v>1550</v>
      </c>
      <c r="M5" s="1135" t="s">
        <v>715</v>
      </c>
    </row>
    <row r="6" spans="2:13" x14ac:dyDescent="0.25">
      <c r="B6" s="1059" t="s">
        <v>716</v>
      </c>
      <c r="C6" s="1060">
        <v>100</v>
      </c>
      <c r="D6" s="1096" t="s">
        <v>717</v>
      </c>
      <c r="E6" s="404">
        <f>(C6*25%*4)/30</f>
        <v>3.3333333333333335</v>
      </c>
      <c r="F6" s="1060">
        <v>14500</v>
      </c>
      <c r="G6" s="1096" t="s">
        <v>718</v>
      </c>
      <c r="H6" s="1136">
        <f>F6*E6</f>
        <v>48333.333333333336</v>
      </c>
    </row>
    <row r="7" spans="2:13" x14ac:dyDescent="0.25">
      <c r="B7" s="1059" t="s">
        <v>719</v>
      </c>
      <c r="C7" s="1060">
        <v>100</v>
      </c>
      <c r="D7" s="1096" t="s">
        <v>717</v>
      </c>
      <c r="E7" s="404">
        <f>(C7*25%*4)/30</f>
        <v>3.3333333333333335</v>
      </c>
      <c r="F7" s="1060">
        <v>14500</v>
      </c>
      <c r="G7" s="1096" t="s">
        <v>718</v>
      </c>
      <c r="H7" s="1136">
        <f>F7*E7</f>
        <v>48333.333333333336</v>
      </c>
    </row>
    <row r="8" spans="2:13" x14ac:dyDescent="0.25">
      <c r="B8" s="1059" t="s">
        <v>720</v>
      </c>
      <c r="C8" s="1060">
        <v>100</v>
      </c>
      <c r="D8" s="1096" t="s">
        <v>717</v>
      </c>
      <c r="E8" s="404">
        <f>(C8*25%*4)/30</f>
        <v>3.3333333333333335</v>
      </c>
      <c r="F8" s="1060">
        <v>14500</v>
      </c>
      <c r="G8" s="1096" t="s">
        <v>718</v>
      </c>
      <c r="H8" s="1136">
        <f>F8*E8</f>
        <v>48333.333333333336</v>
      </c>
    </row>
    <row r="9" spans="2:13" x14ac:dyDescent="0.25">
      <c r="B9" s="1059" t="s">
        <v>577</v>
      </c>
      <c r="C9" s="1060"/>
      <c r="D9" s="1096" t="s">
        <v>270</v>
      </c>
      <c r="E9" s="1060"/>
      <c r="F9" s="1060"/>
      <c r="G9" s="1096"/>
      <c r="H9" s="1136">
        <v>0</v>
      </c>
      <c r="I9" s="1137"/>
    </row>
    <row r="10" spans="2:13" x14ac:dyDescent="0.25">
      <c r="B10" s="1069" t="s">
        <v>721</v>
      </c>
      <c r="C10" s="1070"/>
      <c r="D10" s="1071"/>
      <c r="E10" s="1070"/>
      <c r="F10" s="1070"/>
      <c r="G10" s="1071"/>
      <c r="H10" s="1138">
        <f>SUM(H5:H9)</f>
        <v>145000</v>
      </c>
    </row>
    <row r="11" spans="2:13" x14ac:dyDescent="0.25">
      <c r="H11" s="1139" t="s">
        <v>722</v>
      </c>
    </row>
    <row r="12" spans="2:13" x14ac:dyDescent="0.25">
      <c r="B12" s="1091" t="s">
        <v>723</v>
      </c>
    </row>
    <row r="13" spans="2:13" ht="23.1" customHeight="1" x14ac:dyDescent="0.25">
      <c r="B13" s="1045" t="s">
        <v>380</v>
      </c>
      <c r="C13" s="2368" t="s">
        <v>218</v>
      </c>
      <c r="D13" s="2369"/>
      <c r="E13" s="1047" t="s">
        <v>724</v>
      </c>
      <c r="F13" s="2370" t="s">
        <v>560</v>
      </c>
      <c r="G13" s="2371"/>
      <c r="H13" s="1051" t="s">
        <v>561</v>
      </c>
    </row>
    <row r="14" spans="2:13" ht="21" customHeight="1" x14ac:dyDescent="0.25">
      <c r="B14" s="1126" t="s">
        <v>725</v>
      </c>
      <c r="C14" s="1127">
        <v>2088</v>
      </c>
      <c r="D14" s="1047" t="s">
        <v>713</v>
      </c>
      <c r="E14" s="1128">
        <f>C14*24</f>
        <v>50112</v>
      </c>
      <c r="F14" s="2376"/>
      <c r="G14" s="2377"/>
      <c r="H14" s="1047" t="s">
        <v>270</v>
      </c>
    </row>
    <row r="15" spans="2:13" x14ac:dyDescent="0.25">
      <c r="B15" s="1052" t="s">
        <v>273</v>
      </c>
      <c r="C15" s="1140"/>
      <c r="D15" s="1054"/>
      <c r="E15" s="1131"/>
      <c r="F15" s="1141"/>
      <c r="G15" s="1054"/>
      <c r="H15" s="1142">
        <v>0</v>
      </c>
    </row>
    <row r="16" spans="2:13" x14ac:dyDescent="0.25">
      <c r="B16" s="1059" t="s">
        <v>716</v>
      </c>
      <c r="C16" s="1060">
        <v>800</v>
      </c>
      <c r="D16" s="1096" t="s">
        <v>717</v>
      </c>
      <c r="E16" s="404">
        <f>C16*24</f>
        <v>19200</v>
      </c>
      <c r="F16" s="1060">
        <v>14500</v>
      </c>
      <c r="G16" s="1096" t="s">
        <v>718</v>
      </c>
      <c r="H16" s="1136">
        <f>F16*E16</f>
        <v>278400000</v>
      </c>
    </row>
    <row r="17" spans="2:9" x14ac:dyDescent="0.25">
      <c r="B17" s="1059" t="s">
        <v>719</v>
      </c>
      <c r="C17" s="1060">
        <v>800</v>
      </c>
      <c r="D17" s="1096" t="s">
        <v>717</v>
      </c>
      <c r="E17" s="404">
        <f>C17*24</f>
        <v>19200</v>
      </c>
      <c r="F17" s="1060">
        <v>14500</v>
      </c>
      <c r="G17" s="1096" t="s">
        <v>718</v>
      </c>
      <c r="H17" s="1136">
        <f>F17*E17</f>
        <v>278400000</v>
      </c>
    </row>
    <row r="18" spans="2:9" x14ac:dyDescent="0.25">
      <c r="B18" s="1059" t="s">
        <v>720</v>
      </c>
      <c r="C18" s="1060"/>
      <c r="D18" s="1096" t="s">
        <v>717</v>
      </c>
      <c r="E18" s="404">
        <v>0</v>
      </c>
      <c r="F18" s="1060">
        <v>14500</v>
      </c>
      <c r="G18" s="1096" t="s">
        <v>718</v>
      </c>
      <c r="H18" s="1136">
        <f>F18*E18</f>
        <v>0</v>
      </c>
    </row>
    <row r="19" spans="2:9" x14ac:dyDescent="0.25">
      <c r="B19" s="1059" t="s">
        <v>577</v>
      </c>
      <c r="C19" s="1060"/>
      <c r="D19" s="1096" t="s">
        <v>270</v>
      </c>
      <c r="E19" s="1060"/>
      <c r="F19" s="1060"/>
      <c r="G19" s="1096"/>
      <c r="H19" s="1143">
        <v>0</v>
      </c>
      <c r="I19" s="1137"/>
    </row>
    <row r="20" spans="2:9" x14ac:dyDescent="0.25">
      <c r="B20" s="1069" t="s">
        <v>721</v>
      </c>
      <c r="C20" s="1070"/>
      <c r="D20" s="1071"/>
      <c r="E20" s="1070"/>
      <c r="F20" s="1070"/>
      <c r="G20" s="1071"/>
      <c r="H20" s="1138">
        <f>SUM(H15:H19)</f>
        <v>556800000</v>
      </c>
    </row>
    <row r="21" spans="2:9" x14ac:dyDescent="0.25">
      <c r="B21" s="1144"/>
      <c r="C21" s="1044"/>
      <c r="E21" s="1044"/>
      <c r="F21" s="2393" t="s">
        <v>726</v>
      </c>
      <c r="G21" s="2394"/>
      <c r="H21" s="1145">
        <f>H20/E14</f>
        <v>11111.111111111111</v>
      </c>
      <c r="I21" s="1091" t="s">
        <v>727</v>
      </c>
    </row>
    <row r="22" spans="2:9" x14ac:dyDescent="0.25">
      <c r="H22" s="1146"/>
    </row>
    <row r="23" spans="2:9" x14ac:dyDescent="0.25">
      <c r="B23" s="883" t="s">
        <v>580</v>
      </c>
      <c r="E23" s="1089"/>
    </row>
    <row r="24" spans="2:9" x14ac:dyDescent="0.25">
      <c r="B24" s="883" t="s">
        <v>728</v>
      </c>
      <c r="E24" s="1147"/>
    </row>
    <row r="25" spans="2:9" x14ac:dyDescent="0.25">
      <c r="E25" s="883"/>
      <c r="G25" s="1148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56"/>
    <col min="2" max="2" width="5.5703125" style="955" customWidth="1"/>
    <col min="3" max="3" width="63.5703125" style="956" customWidth="1"/>
    <col min="4" max="4" width="15.5703125" style="956" customWidth="1"/>
    <col min="5" max="5" width="15" style="956" customWidth="1"/>
    <col min="6" max="6" width="15.42578125" style="956" customWidth="1"/>
    <col min="7" max="7" width="14.5703125" style="956" customWidth="1"/>
    <col min="8" max="8" width="11.42578125" style="956" customWidth="1"/>
    <col min="9" max="9" width="12.42578125" style="956" customWidth="1"/>
    <col min="10" max="10" width="11" style="956" bestFit="1" customWidth="1"/>
    <col min="11" max="16384" width="8.5703125" style="956"/>
  </cols>
  <sheetData>
    <row r="2" spans="2:10" ht="19.5" thickBot="1" x14ac:dyDescent="0.3">
      <c r="B2" s="957" t="s">
        <v>539</v>
      </c>
    </row>
    <row r="3" spans="2:10" x14ac:dyDescent="0.25">
      <c r="B3" s="2399" t="s">
        <v>356</v>
      </c>
      <c r="C3" s="2400"/>
      <c r="D3" s="958"/>
      <c r="E3" s="958"/>
      <c r="F3" s="958"/>
      <c r="G3" s="958"/>
      <c r="H3" s="960" t="s">
        <v>376</v>
      </c>
      <c r="I3" s="961">
        <f>'HPP REF '!N3</f>
        <v>2006.269</v>
      </c>
    </row>
    <row r="4" spans="2:10" x14ac:dyDescent="0.25">
      <c r="B4" s="2401" t="s">
        <v>408</v>
      </c>
      <c r="C4" s="2402"/>
      <c r="H4" s="962" t="s">
        <v>82</v>
      </c>
      <c r="I4" s="963">
        <f>'HPP REF '!N4</f>
        <v>20</v>
      </c>
    </row>
    <row r="5" spans="2:10" x14ac:dyDescent="0.25">
      <c r="B5" s="2401" t="s">
        <v>409</v>
      </c>
      <c r="C5" s="2402"/>
      <c r="H5" s="962" t="s">
        <v>410</v>
      </c>
      <c r="I5" s="963">
        <f>I4*I3</f>
        <v>40125.379999999997</v>
      </c>
    </row>
    <row r="6" spans="2:10" ht="13.5" thickBot="1" x14ac:dyDescent="0.3">
      <c r="B6" s="934" t="s">
        <v>411</v>
      </c>
      <c r="C6" s="935"/>
      <c r="D6" s="964"/>
      <c r="E6" s="964"/>
      <c r="F6" s="964"/>
      <c r="G6" s="964"/>
      <c r="H6" s="966"/>
      <c r="I6" s="1152">
        <v>16000</v>
      </c>
    </row>
    <row r="7" spans="2:10" ht="15" x14ac:dyDescent="0.25">
      <c r="B7" s="2403" t="s">
        <v>98</v>
      </c>
      <c r="C7" s="2405" t="s">
        <v>284</v>
      </c>
      <c r="D7" s="2395" t="s">
        <v>540</v>
      </c>
      <c r="E7" s="2407"/>
      <c r="F7" s="2395" t="s">
        <v>436</v>
      </c>
      <c r="G7" s="2395"/>
      <c r="H7" s="2395"/>
      <c r="I7" s="2396"/>
    </row>
    <row r="8" spans="2:10" ht="15.75" thickBot="1" x14ac:dyDescent="0.3">
      <c r="B8" s="2404"/>
      <c r="C8" s="2406"/>
      <c r="D8" s="1010" t="s">
        <v>437</v>
      </c>
      <c r="E8" s="1010" t="s">
        <v>438</v>
      </c>
      <c r="F8" s="1010" t="s">
        <v>437</v>
      </c>
      <c r="G8" s="1010" t="s">
        <v>438</v>
      </c>
      <c r="H8" s="1011" t="s">
        <v>413</v>
      </c>
      <c r="I8" s="1022" t="s">
        <v>225</v>
      </c>
    </row>
    <row r="9" spans="2:10" ht="13.5" thickTop="1" x14ac:dyDescent="0.25">
      <c r="B9" s="1012">
        <v>1</v>
      </c>
      <c r="C9" s="1032" t="s">
        <v>541</v>
      </c>
      <c r="D9" s="1028">
        <v>962709313.75999999</v>
      </c>
      <c r="E9" s="1028">
        <f t="shared" ref="E9:E15" si="0">D9/12</f>
        <v>80225776.146666661</v>
      </c>
      <c r="F9" s="1028">
        <f>G9*12</f>
        <v>531927347.99999374</v>
      </c>
      <c r="G9" s="1028">
        <v>44327278.999999478</v>
      </c>
      <c r="H9" s="1029">
        <f>$G$9/($I$5*1000)</f>
        <v>1.1047192325655104</v>
      </c>
      <c r="I9" s="1029">
        <f>($G$9/$I$6)/$I$5</f>
        <v>6.9044952035344401E-2</v>
      </c>
      <c r="J9" s="956">
        <f>D9/12</f>
        <v>80225776.146666661</v>
      </c>
    </row>
    <row r="10" spans="2:10" x14ac:dyDescent="0.25">
      <c r="B10" s="977">
        <f t="shared" ref="B10:B15" si="1">B9+1</f>
        <v>2</v>
      </c>
      <c r="C10" s="1032" t="s">
        <v>542</v>
      </c>
      <c r="D10" s="982">
        <v>269614444.44</v>
      </c>
      <c r="E10" s="982">
        <f t="shared" si="0"/>
        <v>22467870.370000001</v>
      </c>
      <c r="F10" s="982">
        <v>0</v>
      </c>
      <c r="G10" s="982">
        <v>0</v>
      </c>
      <c r="H10" s="983">
        <f>$G$10/($I$5*1000)</f>
        <v>0</v>
      </c>
      <c r="I10" s="983">
        <f>($G$10/$I$6)/$I$5</f>
        <v>0</v>
      </c>
    </row>
    <row r="11" spans="2:10" x14ac:dyDescent="0.25">
      <c r="B11" s="977">
        <f t="shared" si="1"/>
        <v>3</v>
      </c>
      <c r="C11" s="1032" t="s">
        <v>543</v>
      </c>
      <c r="D11" s="982">
        <v>0</v>
      </c>
      <c r="E11" s="982">
        <f t="shared" si="0"/>
        <v>0</v>
      </c>
      <c r="F11" s="982">
        <v>0</v>
      </c>
      <c r="G11" s="982">
        <v>0</v>
      </c>
      <c r="H11" s="983">
        <f>$G$11/($I$5*1000)</f>
        <v>0</v>
      </c>
      <c r="I11" s="983">
        <f>($G$11/$I$6)/$I$5</f>
        <v>0</v>
      </c>
    </row>
    <row r="12" spans="2:10" x14ac:dyDescent="0.25">
      <c r="B12" s="977">
        <f t="shared" si="1"/>
        <v>4</v>
      </c>
      <c r="C12" s="1032" t="s">
        <v>544</v>
      </c>
      <c r="D12" s="982">
        <v>0</v>
      </c>
      <c r="E12" s="982">
        <f t="shared" si="0"/>
        <v>0</v>
      </c>
      <c r="F12" s="982">
        <v>0</v>
      </c>
      <c r="G12" s="982">
        <v>0</v>
      </c>
      <c r="H12" s="983">
        <f>$G$12/($I$5*1000)</f>
        <v>0</v>
      </c>
      <c r="I12" s="983">
        <f>($G$12/$I$6)/$I$5</f>
        <v>0</v>
      </c>
    </row>
    <row r="13" spans="2:10" x14ac:dyDescent="0.25">
      <c r="B13" s="977">
        <f t="shared" si="1"/>
        <v>5</v>
      </c>
      <c r="C13" s="1032" t="s">
        <v>545</v>
      </c>
      <c r="D13" s="982">
        <v>0</v>
      </c>
      <c r="E13" s="982">
        <f t="shared" si="0"/>
        <v>0</v>
      </c>
      <c r="F13" s="982">
        <v>0</v>
      </c>
      <c r="G13" s="982">
        <v>0</v>
      </c>
      <c r="H13" s="983">
        <f>$G$13/($I$5*1000)</f>
        <v>0</v>
      </c>
      <c r="I13" s="983">
        <f>($G$13/$I$6)/$I$5</f>
        <v>0</v>
      </c>
    </row>
    <row r="14" spans="2:10" x14ac:dyDescent="0.25">
      <c r="B14" s="977">
        <f t="shared" si="1"/>
        <v>6</v>
      </c>
      <c r="C14" s="1032" t="s">
        <v>546</v>
      </c>
      <c r="D14" s="982">
        <v>0</v>
      </c>
      <c r="E14" s="982">
        <f t="shared" si="0"/>
        <v>0</v>
      </c>
      <c r="F14" s="1033">
        <v>0</v>
      </c>
      <c r="G14" s="982">
        <v>0</v>
      </c>
      <c r="H14" s="983">
        <f>$G$14/($I$5*1000)</f>
        <v>0</v>
      </c>
      <c r="I14" s="983">
        <f>($G$14/$I$6)/$I$5</f>
        <v>0</v>
      </c>
    </row>
    <row r="15" spans="2:10" x14ac:dyDescent="0.25">
      <c r="B15" s="977">
        <f t="shared" si="1"/>
        <v>7</v>
      </c>
      <c r="C15" s="1032" t="s">
        <v>547</v>
      </c>
      <c r="D15" s="982">
        <v>12576902836.549999</v>
      </c>
      <c r="E15" s="982">
        <f t="shared" si="0"/>
        <v>1048075236.3791666</v>
      </c>
      <c r="F15" s="974">
        <f>G15*12</f>
        <v>12048990312</v>
      </c>
      <c r="G15" s="982">
        <v>1004082526</v>
      </c>
      <c r="H15" s="983">
        <f>$G$15/($I$5*1000)</f>
        <v>25.023626592445979</v>
      </c>
      <c r="I15" s="983">
        <f>($G$15/$I$6)/$I$5</f>
        <v>1.5639766620278737</v>
      </c>
    </row>
    <row r="16" spans="2:10" x14ac:dyDescent="0.25">
      <c r="B16" s="977"/>
      <c r="C16" s="984"/>
      <c r="D16" s="982"/>
      <c r="E16" s="982"/>
      <c r="F16" s="982"/>
      <c r="G16" s="982"/>
      <c r="H16" s="983"/>
      <c r="I16" s="983"/>
    </row>
    <row r="17" spans="2:9" x14ac:dyDescent="0.25">
      <c r="B17" s="977"/>
      <c r="C17" s="984"/>
      <c r="D17" s="982"/>
      <c r="E17" s="982"/>
      <c r="F17" s="982"/>
      <c r="G17" s="982"/>
      <c r="H17" s="983"/>
      <c r="I17" s="983"/>
    </row>
    <row r="18" spans="2:9" x14ac:dyDescent="0.25">
      <c r="B18" s="977"/>
      <c r="C18" s="984"/>
      <c r="D18" s="982"/>
      <c r="E18" s="982"/>
      <c r="F18" s="982"/>
      <c r="G18" s="982"/>
      <c r="H18" s="983"/>
      <c r="I18" s="983"/>
    </row>
    <row r="19" spans="2:9" ht="13.5" thickBot="1" x14ac:dyDescent="0.3">
      <c r="B19" s="1015"/>
      <c r="C19" s="1016"/>
      <c r="D19" s="1017"/>
      <c r="E19" s="1017"/>
      <c r="F19" s="1017"/>
      <c r="G19" s="1017"/>
      <c r="H19" s="1031"/>
      <c r="I19" s="1031"/>
    </row>
    <row r="20" spans="2:9" ht="16.5" thickTop="1" thickBot="1" x14ac:dyDescent="0.3">
      <c r="B20" s="2397" t="s">
        <v>483</v>
      </c>
      <c r="C20" s="2398"/>
      <c r="D20" s="1023">
        <f t="shared" ref="D20:I20" si="2">SUM(D9:D19)</f>
        <v>13809226594.75</v>
      </c>
      <c r="E20" s="1023">
        <f t="shared" si="2"/>
        <v>1150768882.8958333</v>
      </c>
      <c r="F20" s="1024">
        <f t="shared" si="2"/>
        <v>12580917659.999994</v>
      </c>
      <c r="G20" s="1024">
        <f t="shared" si="2"/>
        <v>1048409804.9999995</v>
      </c>
      <c r="H20" s="1025">
        <f t="shared" si="2"/>
        <v>26.12834582501149</v>
      </c>
      <c r="I20" s="1025">
        <f t="shared" si="2"/>
        <v>1.6330216140632181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C7" sqref="C7:I7"/>
      <selection pane="bottomLeft" activeCell="C7" sqref="C7:I7"/>
    </sheetView>
  </sheetViews>
  <sheetFormatPr defaultColWidth="8.5703125" defaultRowHeight="12.75" x14ac:dyDescent="0.25"/>
  <cols>
    <col min="1" max="1" width="8.5703125" style="956"/>
    <col min="2" max="2" width="5.5703125" style="955" customWidth="1"/>
    <col min="3" max="3" width="49.42578125" style="956" customWidth="1"/>
    <col min="4" max="4" width="16.5703125" style="956" customWidth="1"/>
    <col min="5" max="5" width="15.5703125" style="956" customWidth="1"/>
    <col min="6" max="7" width="15" style="956" customWidth="1"/>
    <col min="8" max="8" width="15.42578125" style="956" customWidth="1"/>
    <col min="9" max="9" width="14.5703125" style="956" customWidth="1"/>
    <col min="10" max="10" width="11.42578125" style="956" customWidth="1"/>
    <col min="11" max="11" width="12.42578125" style="956" customWidth="1"/>
    <col min="12" max="12" width="17.5703125" style="956" customWidth="1"/>
    <col min="13" max="16384" width="8.5703125" style="956"/>
  </cols>
  <sheetData>
    <row r="1" spans="2:11" ht="5.0999999999999996" customHeight="1" x14ac:dyDescent="0.25"/>
    <row r="2" spans="2:11" ht="23.85" customHeight="1" thickBot="1" x14ac:dyDescent="0.3">
      <c r="B2" s="957" t="s">
        <v>481</v>
      </c>
    </row>
    <row r="3" spans="2:11" ht="14.85" customHeight="1" x14ac:dyDescent="0.25">
      <c r="B3" s="2399" t="s">
        <v>356</v>
      </c>
      <c r="C3" s="2400"/>
      <c r="D3" s="857"/>
      <c r="E3" s="958"/>
      <c r="F3" s="958"/>
      <c r="G3" s="958"/>
      <c r="H3" s="958"/>
      <c r="I3" s="958"/>
      <c r="J3" s="960" t="s">
        <v>376</v>
      </c>
      <c r="K3" s="961">
        <f>'HPP REF '!N3</f>
        <v>2006.269</v>
      </c>
    </row>
    <row r="4" spans="2:11" ht="14.85" customHeight="1" x14ac:dyDescent="0.25">
      <c r="B4" s="2401" t="s">
        <v>408</v>
      </c>
      <c r="C4" s="2402"/>
      <c r="D4" s="862"/>
      <c r="J4" s="962" t="s">
        <v>82</v>
      </c>
      <c r="K4" s="963">
        <f>'HPP REF '!N4</f>
        <v>20</v>
      </c>
    </row>
    <row r="5" spans="2:11" ht="14.85" customHeight="1" x14ac:dyDescent="0.25">
      <c r="B5" s="2401" t="s">
        <v>409</v>
      </c>
      <c r="C5" s="2402"/>
      <c r="D5" s="862"/>
      <c r="J5" s="962" t="s">
        <v>410</v>
      </c>
      <c r="K5" s="963">
        <f>K4*K3</f>
        <v>40125.379999999997</v>
      </c>
    </row>
    <row r="6" spans="2:11" ht="14.85" customHeight="1" thickBot="1" x14ac:dyDescent="0.3">
      <c r="B6" s="934" t="s">
        <v>411</v>
      </c>
      <c r="C6" s="935"/>
      <c r="D6" s="935"/>
      <c r="E6" s="964"/>
      <c r="F6" s="964"/>
      <c r="G6" s="964"/>
      <c r="H6" s="964"/>
      <c r="I6" s="964"/>
      <c r="J6" s="966"/>
      <c r="K6" s="1152">
        <v>16000</v>
      </c>
    </row>
    <row r="7" spans="2:11" ht="15.6" customHeight="1" x14ac:dyDescent="0.25">
      <c r="B7" s="2403" t="s">
        <v>98</v>
      </c>
      <c r="C7" s="2405" t="s">
        <v>284</v>
      </c>
      <c r="D7" s="2408" t="s">
        <v>435</v>
      </c>
      <c r="E7" s="2395"/>
      <c r="F7" s="2407"/>
      <c r="G7" s="2408" t="s">
        <v>436</v>
      </c>
      <c r="H7" s="2395"/>
      <c r="I7" s="2395"/>
      <c r="J7" s="2395"/>
      <c r="K7" s="2396"/>
    </row>
    <row r="8" spans="2:11" ht="15" customHeight="1" thickBot="1" x14ac:dyDescent="0.3">
      <c r="B8" s="2404"/>
      <c r="C8" s="2406"/>
      <c r="D8" s="1009" t="s">
        <v>482</v>
      </c>
      <c r="E8" s="1010" t="s">
        <v>437</v>
      </c>
      <c r="F8" s="1010" t="s">
        <v>438</v>
      </c>
      <c r="G8" s="1009" t="s">
        <v>482</v>
      </c>
      <c r="H8" s="1010" t="s">
        <v>437</v>
      </c>
      <c r="I8" s="1010" t="s">
        <v>438</v>
      </c>
      <c r="J8" s="1011" t="s">
        <v>413</v>
      </c>
      <c r="K8" s="1022" t="s">
        <v>225</v>
      </c>
    </row>
    <row r="9" spans="2:11" ht="23.85" customHeight="1" thickTop="1" thickBot="1" x14ac:dyDescent="0.3">
      <c r="B9" s="2397" t="s">
        <v>483</v>
      </c>
      <c r="C9" s="2398"/>
      <c r="D9" s="1023">
        <f t="shared" ref="D9:K9" si="0">SUM(D10:D75)</f>
        <v>679712126808.7334</v>
      </c>
      <c r="E9" s="1023">
        <f t="shared" si="0"/>
        <v>41807174181.37001</v>
      </c>
      <c r="F9" s="1023">
        <f t="shared" si="0"/>
        <v>3483931181.7808337</v>
      </c>
      <c r="G9" s="1024">
        <f t="shared" si="0"/>
        <v>775031394297.89551</v>
      </c>
      <c r="H9" s="1024">
        <f t="shared" si="0"/>
        <v>50174217449.730003</v>
      </c>
      <c r="I9" s="1024">
        <f t="shared" si="0"/>
        <v>4181184787.4775009</v>
      </c>
      <c r="J9" s="1025">
        <f t="shared" si="0"/>
        <v>104.20299539786292</v>
      </c>
      <c r="K9" s="1025">
        <f t="shared" si="0"/>
        <v>6.5126872123664334</v>
      </c>
    </row>
    <row r="10" spans="2:11" ht="13.5" thickTop="1" x14ac:dyDescent="0.25">
      <c r="B10" s="1012">
        <v>1</v>
      </c>
      <c r="C10" s="1026" t="s">
        <v>484</v>
      </c>
      <c r="D10" s="1027">
        <v>3844320790</v>
      </c>
      <c r="E10" s="1028">
        <v>192216039.49999997</v>
      </c>
      <c r="F10" s="1028">
        <v>16018003.291666664</v>
      </c>
      <c r="G10" s="1028">
        <v>3844320789.5999999</v>
      </c>
      <c r="H10" s="1028">
        <f>I10*12</f>
        <v>192216039.48000002</v>
      </c>
      <c r="I10" s="1028">
        <v>16018003.290000001</v>
      </c>
      <c r="J10" s="1029">
        <f>$I$10/($K$5*1000)</f>
        <v>0.39919879363136251</v>
      </c>
      <c r="K10" s="1029">
        <f>($I$10/$K$6)/$K$5</f>
        <v>2.4949924601960157E-2</v>
      </c>
    </row>
    <row r="11" spans="2:11" x14ac:dyDescent="0.25">
      <c r="B11" s="977">
        <f>B10+1</f>
        <v>2</v>
      </c>
      <c r="C11" s="1030" t="s">
        <v>485</v>
      </c>
      <c r="D11" s="980">
        <v>247144032</v>
      </c>
      <c r="E11" s="982">
        <v>12357201.600000001</v>
      </c>
      <c r="F11" s="982">
        <v>1029766.8000000002</v>
      </c>
      <c r="G11" s="982">
        <v>247144031.75</v>
      </c>
      <c r="H11" s="982">
        <f>I11*12</f>
        <v>12357201.5875</v>
      </c>
      <c r="I11" s="982">
        <v>1029766.7989583333</v>
      </c>
      <c r="J11" s="983">
        <f>$I$11/($K$5*1000)</f>
        <v>2.5663727021609101E-2</v>
      </c>
      <c r="K11" s="983">
        <f>($I$11/$K$6)/$K$5</f>
        <v>1.6039829388505688E-3</v>
      </c>
    </row>
    <row r="12" spans="2:11" x14ac:dyDescent="0.25">
      <c r="B12" s="977">
        <f t="shared" ref="B12:B71" si="1">B11+1</f>
        <v>3</v>
      </c>
      <c r="C12" s="1030" t="s">
        <v>486</v>
      </c>
      <c r="D12" s="980">
        <v>199088248</v>
      </c>
      <c r="E12" s="982">
        <v>12429395.071824417</v>
      </c>
      <c r="F12" s="982">
        <v>1035782.9226520347</v>
      </c>
      <c r="G12" s="982">
        <v>397086862.12595332</v>
      </c>
      <c r="H12" s="982">
        <f t="shared" ref="H12:H71" si="2">I12*12</f>
        <v>19854343.106297664</v>
      </c>
      <c r="I12" s="982">
        <v>1654528.5921914722</v>
      </c>
      <c r="J12" s="983">
        <f>$I$12/($K$5*1000)</f>
        <v>4.1233966935427704E-2</v>
      </c>
      <c r="K12" s="983">
        <f>($I$12/$K$6)/$K$5</f>
        <v>2.577122933464232E-3</v>
      </c>
    </row>
    <row r="13" spans="2:11" x14ac:dyDescent="0.25">
      <c r="B13" s="977">
        <f t="shared" si="1"/>
        <v>4</v>
      </c>
      <c r="C13" s="1030" t="s">
        <v>487</v>
      </c>
      <c r="D13" s="980">
        <v>53111657402</v>
      </c>
      <c r="E13" s="982">
        <v>2655582870.099999</v>
      </c>
      <c r="F13" s="982">
        <v>221298572.50833324</v>
      </c>
      <c r="G13" s="982">
        <v>53111657403.529999</v>
      </c>
      <c r="H13" s="982">
        <f t="shared" si="2"/>
        <v>2655582870.1764994</v>
      </c>
      <c r="I13" s="982">
        <v>221298572.51470828</v>
      </c>
      <c r="J13" s="983">
        <f>$I$13/($K$5*1000)</f>
        <v>5.5151769905907004</v>
      </c>
      <c r="K13" s="983">
        <f>($I$13/$K$6)/$K$5</f>
        <v>0.34469856191191878</v>
      </c>
    </row>
    <row r="14" spans="2:11" x14ac:dyDescent="0.25">
      <c r="B14" s="977">
        <f t="shared" si="1"/>
        <v>5</v>
      </c>
      <c r="C14" s="1030" t="s">
        <v>488</v>
      </c>
      <c r="D14" s="980">
        <v>1392076443.1299996</v>
      </c>
      <c r="E14" s="982">
        <v>70956821.50959149</v>
      </c>
      <c r="F14" s="982">
        <v>5913068.4591326239</v>
      </c>
      <c r="G14" s="982">
        <v>1500316391.3773193</v>
      </c>
      <c r="H14" s="982">
        <f t="shared" si="2"/>
        <v>75015819.56886597</v>
      </c>
      <c r="I14" s="982">
        <v>6251318.2974054972</v>
      </c>
      <c r="J14" s="983">
        <f>$I$14/($K$5*1000)</f>
        <v>0.15579461920125109</v>
      </c>
      <c r="K14" s="983">
        <f>($I$14/$K$6)/$K$5</f>
        <v>9.7371637000781951E-3</v>
      </c>
    </row>
    <row r="15" spans="2:11" x14ac:dyDescent="0.25">
      <c r="B15" s="977">
        <f t="shared" si="1"/>
        <v>6</v>
      </c>
      <c r="C15" s="1030" t="s">
        <v>489</v>
      </c>
      <c r="D15" s="980">
        <v>22378266872</v>
      </c>
      <c r="E15" s="982">
        <v>1118913343.5999999</v>
      </c>
      <c r="F15" s="982">
        <v>93242778.633333325</v>
      </c>
      <c r="G15" s="982">
        <v>22378266872.27499</v>
      </c>
      <c r="H15" s="982">
        <f t="shared" si="2"/>
        <v>1118913343.6137495</v>
      </c>
      <c r="I15" s="982">
        <v>93242778.63447912</v>
      </c>
      <c r="J15" s="983">
        <f>$I$15/($K$5*1000)</f>
        <v>2.3237855600240827</v>
      </c>
      <c r="K15" s="983">
        <f>($I$15/$K$6)/$K$5</f>
        <v>0.14523659750150517</v>
      </c>
    </row>
    <row r="16" spans="2:11" x14ac:dyDescent="0.25">
      <c r="B16" s="977">
        <f t="shared" si="1"/>
        <v>7</v>
      </c>
      <c r="C16" s="1030" t="s">
        <v>490</v>
      </c>
      <c r="D16" s="980">
        <v>22378266872</v>
      </c>
      <c r="E16" s="982">
        <v>1118913343.5999999</v>
      </c>
      <c r="F16" s="982">
        <v>93242778.633333325</v>
      </c>
      <c r="G16" s="982">
        <v>22378266872.274998</v>
      </c>
      <c r="H16" s="982">
        <f t="shared" si="2"/>
        <v>1118913343.61375</v>
      </c>
      <c r="I16" s="982">
        <v>93242778.634479165</v>
      </c>
      <c r="J16" s="983">
        <f>$I$16/($K$5*1000)</f>
        <v>2.3237855600240835</v>
      </c>
      <c r="K16" s="983">
        <f>($I$16/$K$6)/$K$5</f>
        <v>0.14523659750150525</v>
      </c>
    </row>
    <row r="17" spans="2:11" x14ac:dyDescent="0.25">
      <c r="B17" s="977">
        <f t="shared" si="1"/>
        <v>8</v>
      </c>
      <c r="C17" s="1030" t="s">
        <v>491</v>
      </c>
      <c r="D17" s="980">
        <v>22548996820</v>
      </c>
      <c r="E17" s="982">
        <v>1127449840.9999998</v>
      </c>
      <c r="F17" s="982">
        <v>93954153.416666642</v>
      </c>
      <c r="G17" s="982">
        <v>22548996819.889999</v>
      </c>
      <c r="H17" s="982">
        <f t="shared" si="2"/>
        <v>1127449840.9944999</v>
      </c>
      <c r="I17" s="982">
        <v>93954153.416208327</v>
      </c>
      <c r="J17" s="983">
        <f>$I$17/($K$5*1000)</f>
        <v>2.341514358648026</v>
      </c>
      <c r="K17" s="983">
        <f>($I$17/$K$6)/$K$5</f>
        <v>0.14634464741550163</v>
      </c>
    </row>
    <row r="18" spans="2:11" x14ac:dyDescent="0.25">
      <c r="B18" s="977">
        <f t="shared" si="1"/>
        <v>9</v>
      </c>
      <c r="C18" s="1030" t="s">
        <v>492</v>
      </c>
      <c r="D18" s="980">
        <v>3242778116</v>
      </c>
      <c r="E18" s="982">
        <v>166633458.44554368</v>
      </c>
      <c r="F18" s="982">
        <v>13886121.53712864</v>
      </c>
      <c r="G18" s="982">
        <v>3602342327.2934937</v>
      </c>
      <c r="H18" s="982">
        <f t="shared" si="2"/>
        <v>180117116.36467469</v>
      </c>
      <c r="I18" s="982">
        <v>15009759.697056225</v>
      </c>
      <c r="J18" s="983">
        <f>$I$18/($K$5*1000)</f>
        <v>0.37407146541805275</v>
      </c>
      <c r="K18" s="983">
        <f>($I$18/$K$6)/$K$5</f>
        <v>2.3379466588628297E-2</v>
      </c>
    </row>
    <row r="19" spans="2:11" x14ac:dyDescent="0.25">
      <c r="B19" s="977">
        <f t="shared" si="1"/>
        <v>10</v>
      </c>
      <c r="C19" s="1030" t="s">
        <v>493</v>
      </c>
      <c r="D19" s="980">
        <v>3088358215.0299997</v>
      </c>
      <c r="E19" s="982">
        <v>167987620.50608689</v>
      </c>
      <c r="F19" s="982">
        <v>13998968.375507241</v>
      </c>
      <c r="G19" s="982">
        <v>4173934995.3969541</v>
      </c>
      <c r="H19" s="982">
        <f t="shared" si="2"/>
        <v>208696749.76984769</v>
      </c>
      <c r="I19" s="982">
        <v>17391395.814153973</v>
      </c>
      <c r="J19" s="983">
        <f>$I$19/($K$5*1000)</f>
        <v>0.43342632055207886</v>
      </c>
      <c r="K19" s="983">
        <f>($I$19/$K$6)/$K$5</f>
        <v>2.7089145034504929E-2</v>
      </c>
    </row>
    <row r="20" spans="2:11" x14ac:dyDescent="0.25">
      <c r="B20" s="977">
        <f t="shared" si="1"/>
        <v>11</v>
      </c>
      <c r="C20" s="1030" t="s">
        <v>494</v>
      </c>
      <c r="D20" s="980">
        <v>1306714556.04</v>
      </c>
      <c r="E20" s="982">
        <v>65335727.801999979</v>
      </c>
      <c r="F20" s="982">
        <v>5444643.9834999982</v>
      </c>
      <c r="G20" s="982">
        <v>1306714556.04</v>
      </c>
      <c r="H20" s="982">
        <f t="shared" si="2"/>
        <v>65335727.801999986</v>
      </c>
      <c r="I20" s="982">
        <v>5444643.9834999992</v>
      </c>
      <c r="J20" s="983">
        <f>$I$20/($K$5*1000)</f>
        <v>0.13569077684747158</v>
      </c>
      <c r="K20" s="983">
        <f>($I$20/$K$6)/$K$5</f>
        <v>8.4806735529669736E-3</v>
      </c>
    </row>
    <row r="21" spans="2:11" x14ac:dyDescent="0.25">
      <c r="B21" s="977">
        <f t="shared" si="1"/>
        <v>12</v>
      </c>
      <c r="C21" s="1030" t="s">
        <v>487</v>
      </c>
      <c r="D21" s="980">
        <v>0</v>
      </c>
      <c r="E21" s="982">
        <v>0</v>
      </c>
      <c r="F21" s="982">
        <v>0</v>
      </c>
      <c r="G21" s="982">
        <v>0</v>
      </c>
      <c r="H21" s="982">
        <f t="shared" si="2"/>
        <v>0</v>
      </c>
      <c r="I21" s="982">
        <v>0</v>
      </c>
      <c r="J21" s="983">
        <f>$I$21/($K$5*1000)</f>
        <v>0</v>
      </c>
      <c r="K21" s="983">
        <f>($I$21/$K$6)/$K$5</f>
        <v>0</v>
      </c>
    </row>
    <row r="22" spans="2:11" x14ac:dyDescent="0.25">
      <c r="B22" s="977">
        <f t="shared" si="1"/>
        <v>13</v>
      </c>
      <c r="C22" s="1030" t="s">
        <v>495</v>
      </c>
      <c r="D22" s="980">
        <v>26865966199</v>
      </c>
      <c r="E22" s="982">
        <v>1343298309.95</v>
      </c>
      <c r="F22" s="982">
        <v>111941525.82916667</v>
      </c>
      <c r="G22" s="982">
        <v>26865966198.669998</v>
      </c>
      <c r="H22" s="982">
        <f t="shared" si="2"/>
        <v>1895783032.6504397</v>
      </c>
      <c r="I22" s="982">
        <v>157981919.38753664</v>
      </c>
      <c r="J22" s="983">
        <f>$I$22/($K$5*1000)</f>
        <v>3.9372068099426509</v>
      </c>
      <c r="K22" s="983">
        <f>($I$22/$K$6)/$K$5</f>
        <v>0.24607542562141571</v>
      </c>
    </row>
    <row r="23" spans="2:11" x14ac:dyDescent="0.25">
      <c r="B23" s="977">
        <f t="shared" si="1"/>
        <v>14</v>
      </c>
      <c r="C23" s="1030" t="s">
        <v>496</v>
      </c>
      <c r="D23" s="980">
        <v>808088751</v>
      </c>
      <c r="E23" s="982">
        <v>52164852.670642003</v>
      </c>
      <c r="F23" s="982">
        <v>4347071.0558868339</v>
      </c>
      <c r="G23" s="982">
        <v>1748921960.5313604</v>
      </c>
      <c r="H23" s="982">
        <f t="shared" si="2"/>
        <v>87446098.026568025</v>
      </c>
      <c r="I23" s="982">
        <v>7287174.8355473354</v>
      </c>
      <c r="J23" s="983">
        <f>$I$23/($K$5*1000)</f>
        <v>0.18161011398639304</v>
      </c>
      <c r="K23" s="983">
        <f>($I$23/$K$6)/$K$5</f>
        <v>1.1350632124149565E-2</v>
      </c>
    </row>
    <row r="24" spans="2:11" x14ac:dyDescent="0.25">
      <c r="B24" s="977">
        <f t="shared" si="1"/>
        <v>15</v>
      </c>
      <c r="C24" s="1030" t="s">
        <v>497</v>
      </c>
      <c r="D24" s="980">
        <v>669445527</v>
      </c>
      <c r="E24" s="982">
        <v>33472276.350000005</v>
      </c>
      <c r="F24" s="982">
        <v>2789356.3625000003</v>
      </c>
      <c r="G24" s="982">
        <v>669445526.98000002</v>
      </c>
      <c r="H24" s="982">
        <f t="shared" si="2"/>
        <v>33472276.348999999</v>
      </c>
      <c r="I24" s="982">
        <v>2789356.3624166665</v>
      </c>
      <c r="J24" s="983">
        <f>$I$24/($K$5*1000)</f>
        <v>6.9516011123549895E-2</v>
      </c>
      <c r="K24" s="983">
        <f>($I$24/$K$6)/$K$5</f>
        <v>4.3447506952218684E-3</v>
      </c>
    </row>
    <row r="25" spans="2:11" x14ac:dyDescent="0.25">
      <c r="B25" s="977">
        <f t="shared" si="1"/>
        <v>16</v>
      </c>
      <c r="C25" s="1030" t="s">
        <v>487</v>
      </c>
      <c r="D25" s="980">
        <v>0</v>
      </c>
      <c r="E25" s="982">
        <v>0</v>
      </c>
      <c r="F25" s="982">
        <v>0</v>
      </c>
      <c r="G25" s="982">
        <v>0</v>
      </c>
      <c r="H25" s="982">
        <f t="shared" si="2"/>
        <v>0</v>
      </c>
      <c r="I25" s="982">
        <v>0</v>
      </c>
      <c r="J25" s="983">
        <f>$I$25/($K$5*1000)</f>
        <v>0</v>
      </c>
      <c r="K25" s="983">
        <f>($I$25/$K$6)/$K$5</f>
        <v>0</v>
      </c>
    </row>
    <row r="26" spans="2:11" x14ac:dyDescent="0.25">
      <c r="B26" s="977">
        <f t="shared" si="1"/>
        <v>17</v>
      </c>
      <c r="C26" s="1030" t="s">
        <v>498</v>
      </c>
      <c r="D26" s="980">
        <v>35739000</v>
      </c>
      <c r="E26" s="982">
        <v>3573900</v>
      </c>
      <c r="F26" s="982">
        <v>297825</v>
      </c>
      <c r="G26" s="982">
        <v>35739000</v>
      </c>
      <c r="H26" s="982">
        <f t="shared" si="2"/>
        <v>3573900</v>
      </c>
      <c r="I26" s="982">
        <v>297825</v>
      </c>
      <c r="J26" s="983">
        <f>$I$26/($K$5*1000)</f>
        <v>7.4223596137905738E-3</v>
      </c>
      <c r="K26" s="983">
        <f>($I$26/$K$6)/$K$5</f>
        <v>4.6389747586191086E-4</v>
      </c>
    </row>
    <row r="27" spans="2:11" x14ac:dyDescent="0.25">
      <c r="B27" s="977">
        <f t="shared" si="1"/>
        <v>18</v>
      </c>
      <c r="C27" s="1030" t="s">
        <v>499</v>
      </c>
      <c r="D27" s="980">
        <v>537402145</v>
      </c>
      <c r="E27" s="982">
        <v>26870107.250000004</v>
      </c>
      <c r="F27" s="982">
        <v>2239175.604166667</v>
      </c>
      <c r="G27" s="982">
        <v>537402145</v>
      </c>
      <c r="H27" s="982">
        <f t="shared" si="2"/>
        <v>26870107.25</v>
      </c>
      <c r="I27" s="982">
        <v>2239175.6041666665</v>
      </c>
      <c r="J27" s="983">
        <f>$I$27/($K$5*1000)</f>
        <v>5.5804470989848982E-2</v>
      </c>
      <c r="K27" s="983">
        <f>($I$27/$K$6)/$K$5</f>
        <v>3.4877794368655614E-3</v>
      </c>
    </row>
    <row r="28" spans="2:11" x14ac:dyDescent="0.25">
      <c r="B28" s="977">
        <f t="shared" si="1"/>
        <v>19</v>
      </c>
      <c r="C28" s="1030" t="s">
        <v>500</v>
      </c>
      <c r="D28" s="980">
        <v>1071796228</v>
      </c>
      <c r="E28" s="982">
        <v>26794905.699999999</v>
      </c>
      <c r="F28" s="982">
        <v>2232908.8083333331</v>
      </c>
      <c r="G28" s="982">
        <v>1071796228</v>
      </c>
      <c r="H28" s="982">
        <f t="shared" si="2"/>
        <v>53589811.399999991</v>
      </c>
      <c r="I28" s="982">
        <v>4465817.6166666662</v>
      </c>
      <c r="J28" s="983">
        <f>$I$28/($K$5*1000)</f>
        <v>0.11129658128263624</v>
      </c>
      <c r="K28" s="983">
        <f>($I$28/$K$6)/$K$5</f>
        <v>6.956036330164765E-3</v>
      </c>
    </row>
    <row r="29" spans="2:11" x14ac:dyDescent="0.25">
      <c r="B29" s="977">
        <f t="shared" si="1"/>
        <v>20</v>
      </c>
      <c r="C29" s="1030" t="s">
        <v>501</v>
      </c>
      <c r="D29" s="980">
        <v>236594750</v>
      </c>
      <c r="E29" s="982">
        <v>67601093.483989701</v>
      </c>
      <c r="F29" s="982">
        <v>5633424.4569991417</v>
      </c>
      <c r="G29" s="982">
        <v>3751924228.7191768</v>
      </c>
      <c r="H29" s="982">
        <f t="shared" si="2"/>
        <v>199425948.93595883</v>
      </c>
      <c r="I29" s="982">
        <v>16618829.077996569</v>
      </c>
      <c r="J29" s="983">
        <f>$I$29/($K$5*1000)</f>
        <v>0.41417250323851312</v>
      </c>
      <c r="K29" s="983">
        <f>($I$29/$K$6)/$K$5</f>
        <v>2.588578145240707E-2</v>
      </c>
    </row>
    <row r="30" spans="2:11" x14ac:dyDescent="0.25">
      <c r="B30" s="977">
        <f t="shared" si="1"/>
        <v>21</v>
      </c>
      <c r="C30" s="1030" t="s">
        <v>502</v>
      </c>
      <c r="D30" s="980">
        <v>30414179484</v>
      </c>
      <c r="E30" s="982">
        <v>1612030479.5500002</v>
      </c>
      <c r="F30" s="982">
        <v>134335873.29583335</v>
      </c>
      <c r="G30" s="982">
        <v>30414179484.479996</v>
      </c>
      <c r="H30" s="982">
        <f t="shared" si="2"/>
        <v>1710615892.4508348</v>
      </c>
      <c r="I30" s="982">
        <v>142551324.3709029</v>
      </c>
      <c r="J30" s="983">
        <f>$I$30/($K$5*1000)</f>
        <v>3.5526473361972619</v>
      </c>
      <c r="K30" s="983">
        <f>($I$30/$K$6)/$K$5</f>
        <v>0.2220404585123289</v>
      </c>
    </row>
    <row r="31" spans="2:11" x14ac:dyDescent="0.25">
      <c r="B31" s="977">
        <f t="shared" si="1"/>
        <v>22</v>
      </c>
      <c r="C31" s="1030" t="s">
        <v>503</v>
      </c>
      <c r="D31" s="980">
        <v>15714477178</v>
      </c>
      <c r="E31" s="982">
        <v>1590698081.0625</v>
      </c>
      <c r="F31" s="982">
        <v>132558173.421875</v>
      </c>
      <c r="G31" s="982">
        <v>15714477178.919996</v>
      </c>
      <c r="H31" s="982">
        <f t="shared" si="2"/>
        <v>1689283494.0092032</v>
      </c>
      <c r="I31" s="982">
        <v>140773624.50076693</v>
      </c>
      <c r="J31" s="983">
        <f>$I$31/($K$5*1000)</f>
        <v>3.5083437091628027</v>
      </c>
      <c r="K31" s="983">
        <f>($I$31/$K$6)/$K$5</f>
        <v>0.21927148182267514</v>
      </c>
    </row>
    <row r="32" spans="2:11" x14ac:dyDescent="0.25">
      <c r="B32" s="977">
        <f t="shared" si="1"/>
        <v>23</v>
      </c>
      <c r="C32" s="1030" t="s">
        <v>504</v>
      </c>
      <c r="D32" s="980">
        <v>39160256164.880692</v>
      </c>
      <c r="E32" s="982">
        <v>1815696823.0725431</v>
      </c>
      <c r="F32" s="982">
        <v>151308068.5893786</v>
      </c>
      <c r="G32" s="982">
        <v>39160256163.939995</v>
      </c>
      <c r="H32" s="982">
        <f t="shared" si="2"/>
        <v>1914282235.9513264</v>
      </c>
      <c r="I32" s="982">
        <v>159523519.66261053</v>
      </c>
      <c r="J32" s="983">
        <f>$I$32/($K$5*1000)</f>
        <v>3.9756263906437903</v>
      </c>
      <c r="K32" s="983">
        <f>($I$32/$K$6)/$K$5</f>
        <v>0.24847664941523689</v>
      </c>
    </row>
    <row r="33" spans="2:12" x14ac:dyDescent="0.25">
      <c r="B33" s="977">
        <f t="shared" si="1"/>
        <v>24</v>
      </c>
      <c r="C33" s="1030" t="s">
        <v>505</v>
      </c>
      <c r="D33" s="980">
        <v>26158484525</v>
      </c>
      <c r="E33" s="982">
        <v>1546139031.6360409</v>
      </c>
      <c r="F33" s="982">
        <v>128844919.30300342</v>
      </c>
      <c r="G33" s="982">
        <v>26158484522.87001</v>
      </c>
      <c r="H33" s="982">
        <f t="shared" si="2"/>
        <v>2104335894.8711185</v>
      </c>
      <c r="I33" s="982">
        <v>175361324.57259321</v>
      </c>
      <c r="J33" s="983">
        <f>$I$33/($K$5*1000)</f>
        <v>4.3703343014469445</v>
      </c>
      <c r="K33" s="983">
        <f>($I$33/$K$6)/$K$5</f>
        <v>0.27314589384043408</v>
      </c>
    </row>
    <row r="34" spans="2:12" x14ac:dyDescent="0.25">
      <c r="B34" s="977">
        <f t="shared" si="1"/>
        <v>25</v>
      </c>
      <c r="C34" s="1030" t="s">
        <v>506</v>
      </c>
      <c r="D34" s="980">
        <v>44700543389</v>
      </c>
      <c r="E34" s="982">
        <v>2525781268.3374996</v>
      </c>
      <c r="F34" s="982">
        <v>210481772.3614583</v>
      </c>
      <c r="G34" s="982">
        <v>44700543388.480034</v>
      </c>
      <c r="H34" s="982">
        <f t="shared" si="2"/>
        <v>2624366681.1205378</v>
      </c>
      <c r="I34" s="982">
        <v>218697223.4267115</v>
      </c>
      <c r="J34" s="983">
        <f>$I$34/($K$5*1000)</f>
        <v>5.4503464746430188</v>
      </c>
      <c r="K34" s="983">
        <f>($I$34/$K$6)/$K$5</f>
        <v>0.34064665466518873</v>
      </c>
    </row>
    <row r="35" spans="2:12" x14ac:dyDescent="0.25">
      <c r="B35" s="977">
        <f t="shared" si="1"/>
        <v>26</v>
      </c>
      <c r="C35" s="1030" t="s">
        <v>507</v>
      </c>
      <c r="D35" s="980">
        <v>12406716786</v>
      </c>
      <c r="E35" s="982">
        <v>697263539.22500026</v>
      </c>
      <c r="F35" s="982">
        <v>58105294.935416691</v>
      </c>
      <c r="G35" s="982">
        <v>12406716785.500004</v>
      </c>
      <c r="H35" s="982">
        <f t="shared" si="2"/>
        <v>697263539.18067789</v>
      </c>
      <c r="I35" s="982">
        <v>58105294.931723163</v>
      </c>
      <c r="J35" s="983">
        <f>$I$35/($K$5*1000)</f>
        <v>1.4480933247665981</v>
      </c>
      <c r="K35" s="983">
        <f>($I$35/$K$6)/$K$5</f>
        <v>9.0505832797912383E-2</v>
      </c>
    </row>
    <row r="36" spans="2:12" x14ac:dyDescent="0.25">
      <c r="B36" s="977">
        <f t="shared" si="1"/>
        <v>27</v>
      </c>
      <c r="C36" s="1030" t="s">
        <v>508</v>
      </c>
      <c r="D36" s="980">
        <v>2279256408</v>
      </c>
      <c r="E36" s="982">
        <v>168443707.171875</v>
      </c>
      <c r="F36" s="982">
        <v>14036975.59765625</v>
      </c>
      <c r="G36" s="982">
        <v>2279256406.4351387</v>
      </c>
      <c r="H36" s="982">
        <f t="shared" si="2"/>
        <v>203668384.116157</v>
      </c>
      <c r="I36" s="982">
        <v>16972365.343013082</v>
      </c>
      <c r="J36" s="983">
        <f>$I$36/($K$5*1000)</f>
        <v>0.4229832924451577</v>
      </c>
      <c r="K36" s="983">
        <f>($I$36/$K$6)/$K$5</f>
        <v>2.643645577782236E-2</v>
      </c>
    </row>
    <row r="37" spans="2:12" x14ac:dyDescent="0.25">
      <c r="B37" s="977">
        <f t="shared" si="1"/>
        <v>28</v>
      </c>
      <c r="C37" s="1030" t="s">
        <v>509</v>
      </c>
      <c r="D37" s="980">
        <v>8173671310</v>
      </c>
      <c r="E37" s="982">
        <v>501654825.27499992</v>
      </c>
      <c r="F37" s="982">
        <v>41804568.77291666</v>
      </c>
      <c r="G37" s="982">
        <v>8173671308.9999981</v>
      </c>
      <c r="H37" s="982">
        <f t="shared" si="2"/>
        <v>518407225.14050961</v>
      </c>
      <c r="I37" s="982">
        <v>43200602.095042467</v>
      </c>
      <c r="J37" s="983">
        <f>$I$37/($K$5*1000)</f>
        <v>1.076640323282732</v>
      </c>
      <c r="K37" s="983">
        <f>($I$37/$K$6)/$K$5</f>
        <v>6.7290020205170747E-2</v>
      </c>
    </row>
    <row r="38" spans="2:12" x14ac:dyDescent="0.25">
      <c r="B38" s="977">
        <f t="shared" si="1"/>
        <v>29</v>
      </c>
      <c r="C38" s="1030" t="s">
        <v>510</v>
      </c>
      <c r="D38" s="980">
        <v>8136945794.652689</v>
      </c>
      <c r="E38" s="982">
        <v>469788395.43263459</v>
      </c>
      <c r="F38" s="982">
        <v>39149032.952719547</v>
      </c>
      <c r="G38" s="982">
        <v>8136945802.1199989</v>
      </c>
      <c r="H38" s="982">
        <f t="shared" si="2"/>
        <v>469788395.77994156</v>
      </c>
      <c r="I38" s="982">
        <v>39149032.981661797</v>
      </c>
      <c r="J38" s="983">
        <f>$I$38/($K$5*1000)</f>
        <v>0.97566759446668905</v>
      </c>
      <c r="K38" s="983">
        <f>($I$38/$K$6)/$K$5</f>
        <v>6.0979224654168072E-2</v>
      </c>
    </row>
    <row r="39" spans="2:12" x14ac:dyDescent="0.25">
      <c r="B39" s="977">
        <f t="shared" si="1"/>
        <v>30</v>
      </c>
      <c r="C39" s="1030" t="s">
        <v>511</v>
      </c>
      <c r="D39" s="980">
        <v>5554219736</v>
      </c>
      <c r="E39" s="982">
        <v>370213728.22500008</v>
      </c>
      <c r="F39" s="982">
        <v>30851144.018750008</v>
      </c>
      <c r="G39" s="982">
        <v>5554219736.7600012</v>
      </c>
      <c r="H39" s="982">
        <f t="shared" si="2"/>
        <v>370213728.37244105</v>
      </c>
      <c r="I39" s="982">
        <v>30851144.031036757</v>
      </c>
      <c r="J39" s="983">
        <f>$I$39/($K$5*1000)</f>
        <v>0.76886858220499732</v>
      </c>
      <c r="K39" s="983">
        <f>($I$39/$K$6)/$K$5</f>
        <v>4.8054286387812339E-2</v>
      </c>
    </row>
    <row r="40" spans="2:12" x14ac:dyDescent="0.25">
      <c r="B40" s="977">
        <f t="shared" si="1"/>
        <v>31</v>
      </c>
      <c r="C40" s="1030" t="s">
        <v>512</v>
      </c>
      <c r="D40" s="980">
        <v>28411905935</v>
      </c>
      <c r="E40" s="982">
        <v>1600990284.1625001</v>
      </c>
      <c r="F40" s="982">
        <v>133415857.01354168</v>
      </c>
      <c r="G40" s="982">
        <v>28411905934.010002</v>
      </c>
      <c r="H40" s="982">
        <f t="shared" si="2"/>
        <v>1600990284.0066733</v>
      </c>
      <c r="I40" s="982">
        <v>133415857.00055611</v>
      </c>
      <c r="J40" s="983">
        <f>$I$40/($K$5*1000)</f>
        <v>3.3249742930922053</v>
      </c>
      <c r="K40" s="983">
        <f>($I$40/$K$6)/$K$5</f>
        <v>0.20781089331826283</v>
      </c>
      <c r="L40" s="956">
        <f>H40/12</f>
        <v>133415857.00055611</v>
      </c>
    </row>
    <row r="41" spans="2:12" x14ac:dyDescent="0.25">
      <c r="B41" s="977">
        <f t="shared" si="1"/>
        <v>32</v>
      </c>
      <c r="C41" s="1030" t="s">
        <v>513</v>
      </c>
      <c r="D41" s="980">
        <v>8813632097</v>
      </c>
      <c r="E41" s="982">
        <v>557196884.82499993</v>
      </c>
      <c r="F41" s="982">
        <v>46433073.735416658</v>
      </c>
      <c r="G41" s="982">
        <v>8813632095.9899998</v>
      </c>
      <c r="H41" s="982">
        <f t="shared" si="2"/>
        <v>557196884.7227875</v>
      </c>
      <c r="I41" s="982">
        <v>46433073.726898961</v>
      </c>
      <c r="J41" s="983">
        <f>$I$41/($K$5*1000)</f>
        <v>1.1571996010230672</v>
      </c>
      <c r="K41" s="983">
        <f>($I$41/$K$6)/$K$5</f>
        <v>7.2324975063941713E-2</v>
      </c>
    </row>
    <row r="42" spans="2:12" x14ac:dyDescent="0.25">
      <c r="B42" s="977">
        <f t="shared" si="1"/>
        <v>33</v>
      </c>
      <c r="C42" s="1030" t="s">
        <v>514</v>
      </c>
      <c r="D42" s="980">
        <v>4990631887</v>
      </c>
      <c r="E42" s="982">
        <v>359915737.76250005</v>
      </c>
      <c r="F42" s="982">
        <v>29992978.146875005</v>
      </c>
      <c r="G42" s="982">
        <v>4990631885.8800001</v>
      </c>
      <c r="H42" s="982">
        <f t="shared" si="2"/>
        <v>359915737.56721592</v>
      </c>
      <c r="I42" s="982">
        <v>29992978.130601324</v>
      </c>
      <c r="J42" s="983">
        <f>$I$42/($K$5*1000)</f>
        <v>0.74748147258920228</v>
      </c>
      <c r="K42" s="983">
        <f>($I$42/$K$6)/$K$5</f>
        <v>4.6717592036825142E-2</v>
      </c>
    </row>
    <row r="43" spans="2:12" x14ac:dyDescent="0.25">
      <c r="B43" s="977">
        <f t="shared" si="1"/>
        <v>34</v>
      </c>
      <c r="C43" s="1030" t="s">
        <v>515</v>
      </c>
      <c r="D43" s="980">
        <v>11752092639</v>
      </c>
      <c r="E43" s="982">
        <v>611861933.47500002</v>
      </c>
      <c r="F43" s="982">
        <v>50988494.456250004</v>
      </c>
      <c r="G43" s="982">
        <v>11752092638.839998</v>
      </c>
      <c r="H43" s="982">
        <f t="shared" si="2"/>
        <v>611861933.53528774</v>
      </c>
      <c r="I43" s="982">
        <v>50988494.461273976</v>
      </c>
      <c r="J43" s="983">
        <f>$I$43/($K$5*1000)</f>
        <v>1.2707292606642973</v>
      </c>
      <c r="K43" s="983">
        <f>($I$43/$K$6)/$K$5</f>
        <v>7.9420578791518578E-2</v>
      </c>
    </row>
    <row r="44" spans="2:12" x14ac:dyDescent="0.25">
      <c r="B44" s="977">
        <f t="shared" si="1"/>
        <v>35</v>
      </c>
      <c r="C44" s="1030" t="s">
        <v>516</v>
      </c>
      <c r="D44" s="980">
        <v>9891619567</v>
      </c>
      <c r="E44" s="982">
        <v>899876594.18749964</v>
      </c>
      <c r="F44" s="982">
        <v>74989716.182291642</v>
      </c>
      <c r="G44" s="982">
        <v>9891619567.5300026</v>
      </c>
      <c r="H44" s="982">
        <f t="shared" si="2"/>
        <v>899876594.12820303</v>
      </c>
      <c r="I44" s="982">
        <v>74989716.177350253</v>
      </c>
      <c r="J44" s="983">
        <f>$I$44/($K$5*1000)</f>
        <v>1.8688848847624684</v>
      </c>
      <c r="K44" s="983">
        <f>($I$44/$K$6)/$K$5</f>
        <v>0.11680530529765429</v>
      </c>
    </row>
    <row r="45" spans="2:12" x14ac:dyDescent="0.25">
      <c r="B45" s="977">
        <f t="shared" si="1"/>
        <v>36</v>
      </c>
      <c r="C45" s="1030" t="s">
        <v>517</v>
      </c>
      <c r="D45" s="980">
        <v>4518985787</v>
      </c>
      <c r="E45" s="982">
        <v>244637940.60000005</v>
      </c>
      <c r="F45" s="982">
        <v>20386495.050000004</v>
      </c>
      <c r="G45" s="982">
        <v>4518985787.3899994</v>
      </c>
      <c r="H45" s="982">
        <f t="shared" si="2"/>
        <v>244637940.5848676</v>
      </c>
      <c r="I45" s="982">
        <v>20386495.048738968</v>
      </c>
      <c r="J45" s="983">
        <f>$I$45/($K$5*1000)</f>
        <v>0.50806983133216355</v>
      </c>
      <c r="K45" s="983">
        <f>($I$45/$K$6)/$K$5</f>
        <v>3.1754364458260222E-2</v>
      </c>
    </row>
    <row r="46" spans="2:12" x14ac:dyDescent="0.25">
      <c r="B46" s="977">
        <f t="shared" si="1"/>
        <v>37</v>
      </c>
      <c r="C46" s="1030" t="s">
        <v>518</v>
      </c>
      <c r="D46" s="980">
        <v>34206697993</v>
      </c>
      <c r="E46" s="982">
        <v>3139434562.2500439</v>
      </c>
      <c r="F46" s="982">
        <v>261619546.85417032</v>
      </c>
      <c r="G46" s="982">
        <v>121634364373.43024</v>
      </c>
      <c r="H46" s="982">
        <f t="shared" si="2"/>
        <v>7874623587.8125553</v>
      </c>
      <c r="I46" s="982">
        <v>656218632.3177129</v>
      </c>
      <c r="J46" s="983">
        <f>$I$46/($K$5*1000)</f>
        <v>16.35420355689374</v>
      </c>
      <c r="K46" s="983">
        <f>($I$46/$K$6)/$K$5</f>
        <v>1.0221377223058588</v>
      </c>
    </row>
    <row r="47" spans="2:12" x14ac:dyDescent="0.25">
      <c r="B47" s="977">
        <f t="shared" si="1"/>
        <v>38</v>
      </c>
      <c r="C47" s="1030" t="s">
        <v>519</v>
      </c>
      <c r="D47" s="980">
        <v>93804025615</v>
      </c>
      <c r="E47" s="982">
        <v>6310838834.0541668</v>
      </c>
      <c r="F47" s="982">
        <v>525903236.17118055</v>
      </c>
      <c r="G47" s="982">
        <v>93804025613.289978</v>
      </c>
      <c r="H47" s="982">
        <f t="shared" si="2"/>
        <v>6332772167.2313156</v>
      </c>
      <c r="I47" s="982">
        <v>527731013.93594301</v>
      </c>
      <c r="J47" s="983">
        <f>$I$47/($K$5*1000)</f>
        <v>13.152050246899668</v>
      </c>
      <c r="K47" s="983">
        <f>($I$47/$K$6)/$K$5</f>
        <v>0.82200314043122935</v>
      </c>
    </row>
    <row r="48" spans="2:12" x14ac:dyDescent="0.25">
      <c r="B48" s="977">
        <f t="shared" si="1"/>
        <v>39</v>
      </c>
      <c r="C48" s="1030" t="s">
        <v>520</v>
      </c>
      <c r="D48" s="980">
        <v>69305898501</v>
      </c>
      <c r="E48" s="982">
        <v>4714142216.8125</v>
      </c>
      <c r="F48" s="982">
        <v>392845184.734375</v>
      </c>
      <c r="G48" s="982">
        <v>69305898500.289993</v>
      </c>
      <c r="H48" s="982">
        <f t="shared" si="2"/>
        <v>4714142216.7859001</v>
      </c>
      <c r="I48" s="982">
        <v>392845184.7321583</v>
      </c>
      <c r="J48" s="983">
        <f>$I$48/($K$5*1000)</f>
        <v>9.7904414794865069</v>
      </c>
      <c r="K48" s="983">
        <f>($I$48/$K$6)/$K$5</f>
        <v>0.61190259246790679</v>
      </c>
    </row>
    <row r="49" spans="2:11" x14ac:dyDescent="0.25">
      <c r="B49" s="977">
        <f t="shared" si="1"/>
        <v>40</v>
      </c>
      <c r="C49" s="1030" t="s">
        <v>521</v>
      </c>
      <c r="D49" s="980">
        <v>1222833568</v>
      </c>
      <c r="E49" s="982">
        <v>76427098</v>
      </c>
      <c r="F49" s="982">
        <v>6368924.833333333</v>
      </c>
      <c r="G49" s="982">
        <v>1222833567.6900001</v>
      </c>
      <c r="H49" s="982">
        <f t="shared" si="2"/>
        <v>76427097.980625004</v>
      </c>
      <c r="I49" s="982">
        <v>6368924.8317187503</v>
      </c>
      <c r="J49" s="983">
        <f>$I$49/($K$5*1000)</f>
        <v>0.15872559541414313</v>
      </c>
      <c r="K49" s="983">
        <f>($I$49/$K$6)/$K$5</f>
        <v>9.9203497133839458E-3</v>
      </c>
    </row>
    <row r="50" spans="2:11" x14ac:dyDescent="0.25">
      <c r="B50" s="977">
        <f t="shared" si="1"/>
        <v>41</v>
      </c>
      <c r="C50" s="1030" t="s">
        <v>522</v>
      </c>
      <c r="D50" s="980">
        <v>2557397646</v>
      </c>
      <c r="E50" s="982">
        <v>127869882.30000001</v>
      </c>
      <c r="F50" s="982">
        <v>10655823.525</v>
      </c>
      <c r="G50" s="982">
        <v>2557397645.6100001</v>
      </c>
      <c r="H50" s="982">
        <f t="shared" si="2"/>
        <v>127869882.28050001</v>
      </c>
      <c r="I50" s="982">
        <v>10655823.523375001</v>
      </c>
      <c r="J50" s="983">
        <f>$I$50/($K$5*1000)</f>
        <v>0.26556318029573805</v>
      </c>
      <c r="K50" s="983">
        <f>($I$50/$K$6)/$K$5</f>
        <v>1.6597698768483628E-2</v>
      </c>
    </row>
    <row r="51" spans="2:11" x14ac:dyDescent="0.25">
      <c r="B51" s="977">
        <f t="shared" si="1"/>
        <v>42</v>
      </c>
      <c r="C51" s="1030" t="s">
        <v>523</v>
      </c>
      <c r="D51" s="980">
        <v>30580769059</v>
      </c>
      <c r="E51" s="982">
        <v>1658149317.4009175</v>
      </c>
      <c r="F51" s="982">
        <v>138179109.7834098</v>
      </c>
      <c r="G51" s="982">
        <v>30797884415.073391</v>
      </c>
      <c r="H51" s="982">
        <f t="shared" si="2"/>
        <v>2888992764.2857904</v>
      </c>
      <c r="I51" s="982">
        <v>240749397.02381587</v>
      </c>
      <c r="J51" s="983">
        <f>$I$51/($K$5*1000)</f>
        <v>5.9999281508066931</v>
      </c>
      <c r="K51" s="983">
        <f>($I$51/$K$6)/$K$5</f>
        <v>0.37499550942541832</v>
      </c>
    </row>
    <row r="52" spans="2:11" x14ac:dyDescent="0.25">
      <c r="B52" s="977">
        <f t="shared" si="1"/>
        <v>43</v>
      </c>
      <c r="C52" s="1030" t="s">
        <v>524</v>
      </c>
      <c r="D52" s="980">
        <v>2460303143</v>
      </c>
      <c r="E52" s="982">
        <v>153768946.4375</v>
      </c>
      <c r="F52" s="982">
        <v>12814078.869791666</v>
      </c>
      <c r="G52" s="982">
        <v>2460303143</v>
      </c>
      <c r="H52" s="982">
        <f t="shared" si="2"/>
        <v>153768946.4375</v>
      </c>
      <c r="I52" s="982">
        <v>12814078.869791666</v>
      </c>
      <c r="J52" s="983">
        <f>$I$52/($K$5*1000)</f>
        <v>0.31935096614142139</v>
      </c>
      <c r="K52" s="983">
        <f>($I$52/$K$6)/$K$5</f>
        <v>1.9959435383838837E-2</v>
      </c>
    </row>
    <row r="53" spans="2:11" x14ac:dyDescent="0.25">
      <c r="B53" s="977">
        <f t="shared" si="1"/>
        <v>44</v>
      </c>
      <c r="C53" s="1030" t="s">
        <v>523</v>
      </c>
      <c r="D53" s="980">
        <v>0</v>
      </c>
      <c r="E53" s="982">
        <v>0</v>
      </c>
      <c r="F53" s="982">
        <v>0</v>
      </c>
      <c r="G53" s="982">
        <v>0</v>
      </c>
      <c r="H53" s="982">
        <f t="shared" si="2"/>
        <v>0</v>
      </c>
      <c r="I53" s="982">
        <v>0</v>
      </c>
      <c r="J53" s="983">
        <f>$I$53/($K$5*1000)</f>
        <v>0</v>
      </c>
      <c r="K53" s="983">
        <f>($I$53/$K$6)/$K$5</f>
        <v>0</v>
      </c>
    </row>
    <row r="54" spans="2:11" x14ac:dyDescent="0.25">
      <c r="B54" s="977">
        <f t="shared" si="1"/>
        <v>45</v>
      </c>
      <c r="C54" s="1030" t="s">
        <v>523</v>
      </c>
      <c r="D54" s="980">
        <v>0</v>
      </c>
      <c r="E54" s="982">
        <v>0</v>
      </c>
      <c r="F54" s="982">
        <v>0</v>
      </c>
      <c r="G54" s="982">
        <v>0</v>
      </c>
      <c r="H54" s="982">
        <f t="shared" si="2"/>
        <v>0</v>
      </c>
      <c r="I54" s="982">
        <v>0</v>
      </c>
      <c r="J54" s="983">
        <f>$I$54/($K$5*1000)</f>
        <v>0</v>
      </c>
      <c r="K54" s="983">
        <f>($I$54/$K$6)/$K$5</f>
        <v>0</v>
      </c>
    </row>
    <row r="55" spans="2:11" x14ac:dyDescent="0.25">
      <c r="B55" s="977">
        <f t="shared" si="1"/>
        <v>46</v>
      </c>
      <c r="C55" s="1030" t="s">
        <v>505</v>
      </c>
      <c r="D55" s="980">
        <v>0</v>
      </c>
      <c r="E55" s="982">
        <v>0</v>
      </c>
      <c r="F55" s="982">
        <v>0</v>
      </c>
      <c r="G55" s="982">
        <v>0</v>
      </c>
      <c r="H55" s="982">
        <f t="shared" si="2"/>
        <v>0</v>
      </c>
      <c r="I55" s="982">
        <v>0</v>
      </c>
      <c r="J55" s="983">
        <f>$I$55/($K$5*1000)</f>
        <v>0</v>
      </c>
      <c r="K55" s="983">
        <f>($I$55/$K$6)/$K$5</f>
        <v>0</v>
      </c>
    </row>
    <row r="56" spans="2:11" x14ac:dyDescent="0.25">
      <c r="B56" s="977">
        <f t="shared" si="1"/>
        <v>47</v>
      </c>
      <c r="C56" s="1030" t="s">
        <v>525</v>
      </c>
      <c r="D56" s="980">
        <v>814629325</v>
      </c>
      <c r="E56" s="982">
        <v>138420459.72499999</v>
      </c>
      <c r="F56" s="982">
        <v>11535038.310416667</v>
      </c>
      <c r="G56" s="982">
        <v>814629325</v>
      </c>
      <c r="H56" s="982">
        <f t="shared" si="2"/>
        <v>138420459.72499999</v>
      </c>
      <c r="I56" s="982">
        <v>11535038.310416667</v>
      </c>
      <c r="J56" s="983">
        <f>$I$56/($K$5*1000)</f>
        <v>0.28747486778733727</v>
      </c>
      <c r="K56" s="983">
        <f>($I$56/$K$6)/$K$5</f>
        <v>1.796717923670858E-2</v>
      </c>
    </row>
    <row r="57" spans="2:11" x14ac:dyDescent="0.25">
      <c r="B57" s="977">
        <f t="shared" si="1"/>
        <v>48</v>
      </c>
      <c r="C57" s="1030" t="s">
        <v>487</v>
      </c>
      <c r="D57" s="980">
        <v>0</v>
      </c>
      <c r="E57" s="982">
        <v>0</v>
      </c>
      <c r="F57" s="982">
        <v>0</v>
      </c>
      <c r="G57" s="982">
        <v>0</v>
      </c>
      <c r="H57" s="982">
        <f t="shared" si="2"/>
        <v>0</v>
      </c>
      <c r="I57" s="982">
        <v>0</v>
      </c>
      <c r="J57" s="983">
        <f>$I$57/($K$5*1000)</f>
        <v>0</v>
      </c>
      <c r="K57" s="983">
        <f>($I$57/$K$6)/$K$5</f>
        <v>0</v>
      </c>
    </row>
    <row r="58" spans="2:11" x14ac:dyDescent="0.25">
      <c r="B58" s="977">
        <f t="shared" si="1"/>
        <v>49</v>
      </c>
      <c r="C58" s="1030" t="s">
        <v>526</v>
      </c>
      <c r="D58" s="980">
        <v>3324550757</v>
      </c>
      <c r="E58" s="982">
        <v>166227537.84999993</v>
      </c>
      <c r="F58" s="982">
        <v>13852294.820833327</v>
      </c>
      <c r="G58" s="982">
        <v>3324550757.3499999</v>
      </c>
      <c r="H58" s="982">
        <f t="shared" si="2"/>
        <v>166227537.86750001</v>
      </c>
      <c r="I58" s="982">
        <v>13852294.822291667</v>
      </c>
      <c r="J58" s="983">
        <f>$I$58/($K$5*1000)</f>
        <v>0.34522526197363529</v>
      </c>
      <c r="K58" s="983">
        <f>($I$58/$K$6)/$K$5</f>
        <v>2.1576578873352209E-2</v>
      </c>
    </row>
    <row r="59" spans="2:11" x14ac:dyDescent="0.25">
      <c r="B59" s="977">
        <f t="shared" si="1"/>
        <v>50</v>
      </c>
      <c r="C59" s="1030" t="s">
        <v>527</v>
      </c>
      <c r="D59" s="980">
        <v>1457273906</v>
      </c>
      <c r="E59" s="982">
        <v>72863695.299999997</v>
      </c>
      <c r="F59" s="982">
        <v>6071974.6083333334</v>
      </c>
      <c r="G59" s="982">
        <v>1457273906</v>
      </c>
      <c r="H59" s="982">
        <f t="shared" si="2"/>
        <v>72863695.299999997</v>
      </c>
      <c r="I59" s="982">
        <v>6071974.6083333334</v>
      </c>
      <c r="J59" s="983">
        <f>$I$59/($K$5*1000)</f>
        <v>0.15132503688023224</v>
      </c>
      <c r="K59" s="983">
        <f>($I$59/$K$6)/$K$5</f>
        <v>9.4578148050145153E-3</v>
      </c>
    </row>
    <row r="60" spans="2:11" x14ac:dyDescent="0.25">
      <c r="B60" s="977">
        <f t="shared" si="1"/>
        <v>51</v>
      </c>
      <c r="C60" s="1030" t="s">
        <v>487</v>
      </c>
      <c r="D60" s="980">
        <v>0</v>
      </c>
      <c r="E60" s="982">
        <v>0</v>
      </c>
      <c r="F60" s="982">
        <v>0</v>
      </c>
      <c r="G60" s="982">
        <v>0</v>
      </c>
      <c r="H60" s="982">
        <f t="shared" si="2"/>
        <v>0</v>
      </c>
      <c r="I60" s="982">
        <v>0</v>
      </c>
      <c r="J60" s="983">
        <f>$I$60/($K$5*1000)</f>
        <v>0</v>
      </c>
      <c r="K60" s="983">
        <f>($I$60/$K$6)/$K$5</f>
        <v>0</v>
      </c>
    </row>
    <row r="61" spans="2:11" x14ac:dyDescent="0.25">
      <c r="B61" s="977">
        <f t="shared" si="1"/>
        <v>52</v>
      </c>
      <c r="C61" s="1030" t="s">
        <v>528</v>
      </c>
      <c r="D61" s="980">
        <v>702420000</v>
      </c>
      <c r="E61" s="982">
        <v>58515250</v>
      </c>
      <c r="F61" s="982">
        <v>4876270.833333333</v>
      </c>
      <c r="G61" s="982">
        <v>702420000</v>
      </c>
      <c r="H61" s="982">
        <f t="shared" si="2"/>
        <v>92109000</v>
      </c>
      <c r="I61" s="982">
        <v>7675750</v>
      </c>
      <c r="J61" s="983">
        <f>$I$61/($K$5*1000)</f>
        <v>0.19129413852280028</v>
      </c>
      <c r="K61" s="983">
        <f>($I$61/$K$6)/$K$5</f>
        <v>1.1955883657675019E-2</v>
      </c>
    </row>
    <row r="62" spans="2:11" x14ac:dyDescent="0.25">
      <c r="B62" s="977">
        <f t="shared" si="1"/>
        <v>53</v>
      </c>
      <c r="C62" s="1030" t="s">
        <v>529</v>
      </c>
      <c r="D62" s="980">
        <v>2093240354</v>
      </c>
      <c r="E62" s="982">
        <v>287495712.54999989</v>
      </c>
      <c r="F62" s="982">
        <v>23957976.045833323</v>
      </c>
      <c r="G62" s="982">
        <v>2093240354</v>
      </c>
      <c r="H62" s="982">
        <f t="shared" si="2"/>
        <v>287495712.54999995</v>
      </c>
      <c r="I62" s="982">
        <v>23957976.045833331</v>
      </c>
      <c r="J62" s="983">
        <f>$I$62/($K$5*1000)</f>
        <v>0.59707786059180823</v>
      </c>
      <c r="K62" s="983">
        <f>($I$62/$K$6)/$K$5</f>
        <v>3.7317366286988014E-2</v>
      </c>
    </row>
    <row r="63" spans="2:11" x14ac:dyDescent="0.25">
      <c r="B63" s="977">
        <f t="shared" si="1"/>
        <v>54</v>
      </c>
      <c r="C63" s="1030" t="s">
        <v>530</v>
      </c>
      <c r="D63" s="980">
        <v>0</v>
      </c>
      <c r="E63" s="982">
        <v>0</v>
      </c>
      <c r="F63" s="982">
        <v>0</v>
      </c>
      <c r="G63" s="982">
        <v>0</v>
      </c>
      <c r="H63" s="982">
        <f t="shared" si="2"/>
        <v>0</v>
      </c>
      <c r="I63" s="982">
        <v>0</v>
      </c>
      <c r="J63" s="983">
        <f>$I$63/($K$5*1000)</f>
        <v>0</v>
      </c>
      <c r="K63" s="983">
        <f>($I$63/$K$6)/$K$5</f>
        <v>0</v>
      </c>
    </row>
    <row r="64" spans="2:11" x14ac:dyDescent="0.25">
      <c r="B64" s="977">
        <f t="shared" si="1"/>
        <v>55</v>
      </c>
      <c r="C64" s="1030" t="s">
        <v>531</v>
      </c>
      <c r="D64" s="980">
        <v>68073000</v>
      </c>
      <c r="E64" s="982">
        <v>13614600</v>
      </c>
      <c r="F64" s="982">
        <v>1134550</v>
      </c>
      <c r="G64" s="982">
        <v>68073000</v>
      </c>
      <c r="H64" s="982">
        <f t="shared" si="2"/>
        <v>13614600</v>
      </c>
      <c r="I64" s="982">
        <v>1134550</v>
      </c>
      <c r="J64" s="983">
        <f>$I$64/($K$5*1000)</f>
        <v>2.8275121631246857E-2</v>
      </c>
      <c r="K64" s="983">
        <f>($I$64/$K$6)/$K$5</f>
        <v>1.7671951019529286E-3</v>
      </c>
    </row>
    <row r="65" spans="2:11" x14ac:dyDescent="0.25">
      <c r="B65" s="977">
        <f t="shared" si="1"/>
        <v>56</v>
      </c>
      <c r="C65" s="1030" t="s">
        <v>532</v>
      </c>
      <c r="D65" s="980">
        <v>140550000</v>
      </c>
      <c r="E65" s="982">
        <v>28110000</v>
      </c>
      <c r="F65" s="982">
        <v>2342500</v>
      </c>
      <c r="G65" s="982">
        <v>140550000</v>
      </c>
      <c r="H65" s="982">
        <f t="shared" si="2"/>
        <v>28110000</v>
      </c>
      <c r="I65" s="982">
        <v>2342500</v>
      </c>
      <c r="J65" s="983">
        <f>$I$65/($K$5*1000)</f>
        <v>5.8379509427698879E-2</v>
      </c>
      <c r="K65" s="983">
        <f>($I$65/$K$6)/$K$5</f>
        <v>3.64871933923118E-3</v>
      </c>
    </row>
    <row r="66" spans="2:11" x14ac:dyDescent="0.25">
      <c r="B66" s="977">
        <f t="shared" si="1"/>
        <v>57</v>
      </c>
      <c r="C66" s="1030" t="s">
        <v>533</v>
      </c>
      <c r="D66" s="980">
        <v>3453064640</v>
      </c>
      <c r="E66" s="982">
        <v>373988923.72499996</v>
      </c>
      <c r="F66" s="982">
        <v>31165743.643749997</v>
      </c>
      <c r="G66" s="982">
        <v>4405170868</v>
      </c>
      <c r="H66" s="982">
        <f t="shared" si="2"/>
        <v>896034173.60000002</v>
      </c>
      <c r="I66" s="982">
        <v>74669514.466666669</v>
      </c>
      <c r="J66" s="983">
        <f>$I$66/($K$5*1000)</f>
        <v>1.8609048553974235</v>
      </c>
      <c r="K66" s="983">
        <f>($I$66/$K$6)/$K$5</f>
        <v>0.11630655346233898</v>
      </c>
    </row>
    <row r="67" spans="2:11" x14ac:dyDescent="0.25">
      <c r="B67" s="977">
        <f t="shared" si="1"/>
        <v>58</v>
      </c>
      <c r="C67" s="1030" t="s">
        <v>534</v>
      </c>
      <c r="D67" s="980">
        <v>1542535419</v>
      </c>
      <c r="E67" s="982">
        <v>294442763.82414317</v>
      </c>
      <c r="F67" s="982">
        <v>24536896.985345263</v>
      </c>
      <c r="G67" s="982">
        <v>1976060354.2647929</v>
      </c>
      <c r="H67" s="982">
        <f t="shared" si="2"/>
        <v>298253959.59197366</v>
      </c>
      <c r="I67" s="982">
        <v>24854496.632664472</v>
      </c>
      <c r="J67" s="983">
        <f>$I$67/($K$5*1000)</f>
        <v>0.61942084118990204</v>
      </c>
      <c r="K67" s="983">
        <f>($I$67/$K$6)/$K$5</f>
        <v>3.8713802574368877E-2</v>
      </c>
    </row>
    <row r="68" spans="2:11" x14ac:dyDescent="0.25">
      <c r="B68" s="977">
        <f t="shared" si="1"/>
        <v>59</v>
      </c>
      <c r="C68" s="1030" t="s">
        <v>535</v>
      </c>
      <c r="D68" s="980">
        <v>11270000</v>
      </c>
      <c r="E68" s="982">
        <v>2253999.9999999995</v>
      </c>
      <c r="F68" s="982">
        <v>187833.33333333328</v>
      </c>
      <c r="G68" s="982">
        <v>11270000</v>
      </c>
      <c r="H68" s="982">
        <f t="shared" si="2"/>
        <v>2254000</v>
      </c>
      <c r="I68" s="982">
        <v>187833.33333333334</v>
      </c>
      <c r="J68" s="983">
        <f>$I$68/($K$5*1000)</f>
        <v>4.6811602365717997E-3</v>
      </c>
      <c r="K68" s="983">
        <f>($I$68/$K$6)/$K$5</f>
        <v>2.9257251478573748E-4</v>
      </c>
    </row>
    <row r="69" spans="2:11" x14ac:dyDescent="0.25">
      <c r="B69" s="977">
        <f t="shared" si="1"/>
        <v>60</v>
      </c>
      <c r="C69" s="1030" t="s">
        <v>536</v>
      </c>
      <c r="D69" s="980">
        <v>26932688</v>
      </c>
      <c r="E69" s="982">
        <v>5386537.5999999996</v>
      </c>
      <c r="F69" s="982">
        <v>448878.1333333333</v>
      </c>
      <c r="G69" s="982">
        <v>26932688</v>
      </c>
      <c r="H69" s="982">
        <f t="shared" si="2"/>
        <v>5386537.5380002018</v>
      </c>
      <c r="I69" s="982">
        <v>448878.12816668348</v>
      </c>
      <c r="J69" s="983">
        <f>$I$69/($K$5*1000)</f>
        <v>1.1186887904031899E-2</v>
      </c>
      <c r="K69" s="983">
        <f>($I$69/$K$6)/$K$5</f>
        <v>6.9918049400199381E-4</v>
      </c>
    </row>
    <row r="70" spans="2:11" x14ac:dyDescent="0.25">
      <c r="B70" s="977">
        <f t="shared" si="1"/>
        <v>61</v>
      </c>
      <c r="C70" s="1030" t="s">
        <v>537</v>
      </c>
      <c r="D70" s="980">
        <v>30000000</v>
      </c>
      <c r="E70" s="982">
        <v>6000000</v>
      </c>
      <c r="F70" s="982">
        <v>500000</v>
      </c>
      <c r="G70" s="982">
        <v>30000000.340209961</v>
      </c>
      <c r="H70" s="982">
        <f t="shared" si="2"/>
        <v>6000000.0680419924</v>
      </c>
      <c r="I70" s="982">
        <v>500000.00567016605</v>
      </c>
      <c r="J70" s="983">
        <f>$I$70/($K$5*1000)</f>
        <v>1.2460941321182903E-2</v>
      </c>
      <c r="K70" s="983">
        <f>($I$70/$K$6)/$K$5</f>
        <v>7.7880883257393154E-4</v>
      </c>
    </row>
    <row r="71" spans="2:11" x14ac:dyDescent="0.25">
      <c r="B71" s="977">
        <f t="shared" si="1"/>
        <v>62</v>
      </c>
      <c r="C71" s="1030" t="s">
        <v>538</v>
      </c>
      <c r="D71" s="980">
        <v>6869341541</v>
      </c>
      <c r="E71" s="982">
        <v>344483481.40046716</v>
      </c>
      <c r="F71" s="982">
        <v>28706956.783372264</v>
      </c>
      <c r="G71" s="982">
        <v>6950653888.9573593</v>
      </c>
      <c r="H71" s="982">
        <f t="shared" si="2"/>
        <v>347532694.44786799</v>
      </c>
      <c r="I71" s="982">
        <v>28961057.870655663</v>
      </c>
      <c r="J71" s="983">
        <f>$I$71/($K$5*1000)</f>
        <v>0.72176407726620073</v>
      </c>
      <c r="K71" s="983">
        <f>($I$71/$K$6)/$K$5</f>
        <v>4.5110254829137546E-2</v>
      </c>
    </row>
    <row r="72" spans="2:11" x14ac:dyDescent="0.25">
      <c r="B72" s="977"/>
      <c r="C72" s="984"/>
      <c r="D72" s="984"/>
      <c r="E72" s="982"/>
      <c r="F72" s="982"/>
      <c r="G72" s="982"/>
      <c r="H72" s="982"/>
      <c r="I72" s="982"/>
      <c r="J72" s="983"/>
      <c r="K72" s="983"/>
    </row>
    <row r="73" spans="2:11" x14ac:dyDescent="0.25">
      <c r="B73" s="977"/>
      <c r="C73" s="984"/>
      <c r="D73" s="984"/>
      <c r="E73" s="982"/>
      <c r="F73" s="982"/>
      <c r="G73" s="982"/>
      <c r="H73" s="982"/>
      <c r="I73" s="982"/>
      <c r="J73" s="983"/>
      <c r="K73" s="983"/>
    </row>
    <row r="74" spans="2:11" x14ac:dyDescent="0.25">
      <c r="B74" s="977"/>
      <c r="C74" s="984"/>
      <c r="D74" s="984"/>
      <c r="E74" s="982"/>
      <c r="F74" s="982"/>
      <c r="G74" s="982"/>
      <c r="H74" s="982"/>
      <c r="I74" s="982"/>
      <c r="J74" s="983"/>
      <c r="K74" s="983"/>
    </row>
    <row r="75" spans="2:11" ht="13.5" thickBot="1" x14ac:dyDescent="0.3">
      <c r="B75" s="1015"/>
      <c r="C75" s="1016"/>
      <c r="D75" s="1016"/>
      <c r="E75" s="1017"/>
      <c r="F75" s="1017"/>
      <c r="G75" s="1017"/>
      <c r="H75" s="1017"/>
      <c r="I75" s="1017"/>
      <c r="J75" s="1031"/>
      <c r="K75" s="1031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C7" sqref="C7:I7"/>
    </sheetView>
  </sheetViews>
  <sheetFormatPr defaultColWidth="8.5703125" defaultRowHeight="15" x14ac:dyDescent="0.25"/>
  <cols>
    <col min="1" max="1" width="8.5703125" style="339"/>
    <col min="2" max="2" width="52.5703125" style="339" customWidth="1"/>
    <col min="3" max="4" width="17.5703125" style="939" customWidth="1"/>
    <col min="5" max="5" width="55.42578125" style="339" customWidth="1"/>
    <col min="6" max="6" width="17.5703125" style="939" customWidth="1"/>
    <col min="7" max="16384" width="8.5703125" style="339"/>
  </cols>
  <sheetData>
    <row r="1" spans="2:6" x14ac:dyDescent="0.25">
      <c r="C1" s="939" t="s">
        <v>404</v>
      </c>
      <c r="F1" s="939" t="s">
        <v>404</v>
      </c>
    </row>
    <row r="2" spans="2:6" ht="19.5" thickBot="1" x14ac:dyDescent="0.3">
      <c r="B2" s="938" t="s">
        <v>378</v>
      </c>
      <c r="C2" s="1008">
        <f>'Januari 2026 PMG 2'!AM6</f>
        <v>20</v>
      </c>
      <c r="E2" s="938" t="s">
        <v>379</v>
      </c>
      <c r="F2" s="1008">
        <f>'Januari 2026 PMG 2'!AM6</f>
        <v>20</v>
      </c>
    </row>
    <row r="3" spans="2:6" x14ac:dyDescent="0.25">
      <c r="B3" s="2409" t="s">
        <v>380</v>
      </c>
      <c r="C3" s="940" t="s">
        <v>381</v>
      </c>
      <c r="E3" s="2409" t="s">
        <v>380</v>
      </c>
      <c r="F3" s="940" t="s">
        <v>381</v>
      </c>
    </row>
    <row r="4" spans="2:6" ht="15.75" thickBot="1" x14ac:dyDescent="0.3">
      <c r="B4" s="2410"/>
      <c r="C4" s="941" t="s">
        <v>382</v>
      </c>
      <c r="E4" s="2410"/>
      <c r="F4" s="941" t="s">
        <v>382</v>
      </c>
    </row>
    <row r="5" spans="2:6" ht="15.75" thickTop="1" x14ac:dyDescent="0.25">
      <c r="B5" s="942" t="s">
        <v>383</v>
      </c>
      <c r="C5" s="943">
        <v>1648879.5518207287</v>
      </c>
      <c r="E5" s="944" t="s">
        <v>384</v>
      </c>
      <c r="F5" s="945">
        <v>4911824.2689075638</v>
      </c>
    </row>
    <row r="6" spans="2:6" x14ac:dyDescent="0.25">
      <c r="B6" s="942" t="s">
        <v>147</v>
      </c>
      <c r="C6" s="943">
        <v>2678431.3725490198</v>
      </c>
      <c r="E6" s="942" t="s">
        <v>385</v>
      </c>
      <c r="F6" s="943">
        <v>1230672.2689075631</v>
      </c>
    </row>
    <row r="7" spans="2:6" x14ac:dyDescent="0.25">
      <c r="B7" s="942" t="s">
        <v>386</v>
      </c>
      <c r="C7" s="943">
        <v>288459.3837535014</v>
      </c>
      <c r="E7" s="942" t="s">
        <v>387</v>
      </c>
      <c r="F7" s="943">
        <v>1084733.893557423</v>
      </c>
    </row>
    <row r="8" spans="2:6" x14ac:dyDescent="0.25">
      <c r="B8" s="942" t="s">
        <v>388</v>
      </c>
      <c r="C8" s="943">
        <v>404271.70868347352</v>
      </c>
      <c r="E8" s="942" t="s">
        <v>389</v>
      </c>
      <c r="F8" s="943">
        <v>833815.51820728299</v>
      </c>
    </row>
    <row r="9" spans="2:6" x14ac:dyDescent="0.25">
      <c r="B9" s="942" t="s">
        <v>390</v>
      </c>
      <c r="C9" s="943">
        <v>150891.40056022411</v>
      </c>
      <c r="E9" s="942" t="s">
        <v>391</v>
      </c>
      <c r="F9" s="943">
        <v>949299.71988795535</v>
      </c>
    </row>
    <row r="10" spans="2:6" x14ac:dyDescent="0.25">
      <c r="B10" s="942" t="s">
        <v>392</v>
      </c>
      <c r="C10" s="943">
        <v>58543.417366946771</v>
      </c>
      <c r="E10" s="942" t="s">
        <v>393</v>
      </c>
      <c r="F10" s="943">
        <v>1106022.4089635855</v>
      </c>
    </row>
    <row r="11" spans="2:6" x14ac:dyDescent="0.25">
      <c r="B11" s="942" t="s">
        <v>394</v>
      </c>
      <c r="C11" s="943">
        <v>87425.770308123247</v>
      </c>
      <c r="E11" s="942" t="s">
        <v>395</v>
      </c>
      <c r="F11" s="943">
        <v>5634698.8795518195</v>
      </c>
    </row>
    <row r="12" spans="2:6" ht="15.75" thickBot="1" x14ac:dyDescent="0.3">
      <c r="B12" s="942" t="s">
        <v>396</v>
      </c>
      <c r="C12" s="943">
        <v>254341.73669467788</v>
      </c>
      <c r="E12" s="946"/>
      <c r="F12" s="947"/>
    </row>
    <row r="13" spans="2:6" x14ac:dyDescent="0.25">
      <c r="B13" s="942" t="s">
        <v>397</v>
      </c>
      <c r="C13" s="943">
        <v>114733.89355742298</v>
      </c>
      <c r="E13" s="948" t="s">
        <v>1</v>
      </c>
      <c r="F13" s="949">
        <f>SUM(F5:F12)</f>
        <v>15751066.957983192</v>
      </c>
    </row>
    <row r="14" spans="2:6" x14ac:dyDescent="0.25">
      <c r="B14" s="942" t="s">
        <v>398</v>
      </c>
      <c r="C14" s="943">
        <v>203159.6638655462</v>
      </c>
      <c r="E14" s="950" t="s">
        <v>399</v>
      </c>
      <c r="F14" s="951">
        <f>F13*F2</f>
        <v>315021339.15966386</v>
      </c>
    </row>
    <row r="15" spans="2:6" ht="15.75" thickBot="1" x14ac:dyDescent="0.3">
      <c r="B15" s="942" t="s">
        <v>400</v>
      </c>
      <c r="C15" s="943">
        <v>580672.26890756306</v>
      </c>
      <c r="E15" s="952" t="s">
        <v>401</v>
      </c>
      <c r="F15" s="953">
        <f>F14*12</f>
        <v>3780256069.915966</v>
      </c>
    </row>
    <row r="16" spans="2:6" ht="15.75" thickBot="1" x14ac:dyDescent="0.3">
      <c r="B16" s="946" t="s">
        <v>402</v>
      </c>
      <c r="C16" s="947">
        <v>4089635.8543417375</v>
      </c>
    </row>
    <row r="17" spans="2:6" x14ac:dyDescent="0.25">
      <c r="B17" s="948" t="s">
        <v>403</v>
      </c>
      <c r="C17" s="949">
        <f>SUM(C5:C16)</f>
        <v>10559446.022408964</v>
      </c>
      <c r="E17" s="339" t="s">
        <v>406</v>
      </c>
    </row>
    <row r="18" spans="2:6" x14ac:dyDescent="0.25">
      <c r="B18" s="950" t="s">
        <v>399</v>
      </c>
      <c r="C18" s="951">
        <f>C17*C2</f>
        <v>211188920.44817927</v>
      </c>
      <c r="E18" s="339" t="s">
        <v>405</v>
      </c>
      <c r="F18" s="954">
        <f>F14+C18</f>
        <v>526210259.60784316</v>
      </c>
    </row>
    <row r="19" spans="2:6" ht="15.75" thickBot="1" x14ac:dyDescent="0.3">
      <c r="B19" s="952" t="s">
        <v>401</v>
      </c>
      <c r="C19" s="953">
        <f>C18*12</f>
        <v>2534267045.3781514</v>
      </c>
      <c r="E19" s="339" t="s">
        <v>187</v>
      </c>
      <c r="F19" s="954">
        <f>F18*12</f>
        <v>6314523115.2941179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56"/>
    <col min="2" max="2" width="6.42578125" style="955" customWidth="1"/>
    <col min="3" max="3" width="48.42578125" style="956" customWidth="1"/>
    <col min="4" max="4" width="4.5703125" style="955" customWidth="1"/>
    <col min="5" max="5" width="23.5703125" style="956" customWidth="1"/>
    <col min="6" max="6" width="9.5703125" style="955" customWidth="1"/>
    <col min="7" max="7" width="9.42578125" style="956" customWidth="1"/>
    <col min="8" max="8" width="9.5703125" style="955" customWidth="1"/>
    <col min="9" max="9" width="16.5703125" style="956" customWidth="1"/>
    <col min="10" max="10" width="16.42578125" style="955" customWidth="1"/>
    <col min="11" max="11" width="13.5703125" style="955" customWidth="1"/>
    <col min="12" max="12" width="18.5703125" style="955" customWidth="1"/>
    <col min="13" max="16384" width="8.5703125" style="956"/>
  </cols>
  <sheetData>
    <row r="2" spans="2:12" ht="19.5" thickBot="1" x14ac:dyDescent="0.3">
      <c r="B2" s="957" t="s">
        <v>407</v>
      </c>
    </row>
    <row r="3" spans="2:12" x14ac:dyDescent="0.25">
      <c r="B3" s="2399" t="s">
        <v>356</v>
      </c>
      <c r="C3" s="2400"/>
      <c r="D3" s="859"/>
      <c r="E3" s="958"/>
      <c r="F3" s="959"/>
      <c r="G3" s="958"/>
      <c r="H3" s="959"/>
      <c r="I3" s="958"/>
      <c r="J3" s="960" t="s">
        <v>376</v>
      </c>
      <c r="K3" s="961">
        <f>'HPP REF '!N3</f>
        <v>2006.269</v>
      </c>
    </row>
    <row r="4" spans="2:12" x14ac:dyDescent="0.25">
      <c r="B4" s="2401" t="s">
        <v>408</v>
      </c>
      <c r="C4" s="2402"/>
      <c r="D4" s="863"/>
      <c r="J4" s="962" t="s">
        <v>82</v>
      </c>
      <c r="K4" s="963">
        <f>'HPP REF '!N4</f>
        <v>20</v>
      </c>
    </row>
    <row r="5" spans="2:12" x14ac:dyDescent="0.25">
      <c r="B5" s="2401" t="s">
        <v>409</v>
      </c>
      <c r="C5" s="2402"/>
      <c r="D5" s="863"/>
      <c r="J5" s="962" t="s">
        <v>410</v>
      </c>
      <c r="K5" s="963">
        <f>K4*K3</f>
        <v>40125.379999999997</v>
      </c>
    </row>
    <row r="6" spans="2:12" ht="13.5" thickBot="1" x14ac:dyDescent="0.3">
      <c r="B6" s="934" t="s">
        <v>411</v>
      </c>
      <c r="C6" s="935"/>
      <c r="D6" s="936"/>
      <c r="E6" s="964"/>
      <c r="F6" s="965"/>
      <c r="G6" s="964"/>
      <c r="H6" s="965"/>
      <c r="I6" s="964"/>
      <c r="J6" s="966"/>
      <c r="K6" s="1152">
        <v>16000</v>
      </c>
    </row>
    <row r="7" spans="2:12" ht="13.5" thickBot="1" x14ac:dyDescent="0.3">
      <c r="B7" s="967" t="s">
        <v>98</v>
      </c>
      <c r="C7" s="2412" t="s">
        <v>284</v>
      </c>
      <c r="D7" s="2412"/>
      <c r="E7" s="2412"/>
      <c r="F7" s="2412"/>
      <c r="G7" s="2413" t="s">
        <v>218</v>
      </c>
      <c r="H7" s="2414"/>
      <c r="I7" s="967" t="s">
        <v>412</v>
      </c>
      <c r="J7" s="967" t="s">
        <v>413</v>
      </c>
      <c r="K7" s="967" t="s">
        <v>225</v>
      </c>
    </row>
    <row r="8" spans="2:12" ht="13.5" thickTop="1" x14ac:dyDescent="0.25">
      <c r="B8" s="968">
        <v>1</v>
      </c>
      <c r="C8" s="969" t="s">
        <v>368</v>
      </c>
      <c r="D8" s="970"/>
      <c r="E8" s="971" t="s">
        <v>414</v>
      </c>
      <c r="F8" s="972">
        <f>(100%-0.8%-1.1*5%)*80%*K5</f>
        <v>30077.984848</v>
      </c>
      <c r="G8" s="973" t="s">
        <v>285</v>
      </c>
      <c r="H8" s="973">
        <v>90</v>
      </c>
      <c r="I8" s="974">
        <f>H8*F8*1000</f>
        <v>2707018636.3200002</v>
      </c>
      <c r="J8" s="975">
        <f>I8/($K$5*1000)</f>
        <v>67.463999999999999</v>
      </c>
      <c r="K8" s="975">
        <f t="shared" ref="K8:K21" si="0">(I8/$K$6)/$K$5</f>
        <v>4.2164999999999999</v>
      </c>
      <c r="L8" s="976"/>
    </row>
    <row r="9" spans="2:12" x14ac:dyDescent="0.25">
      <c r="B9" s="977"/>
      <c r="C9" s="978"/>
      <c r="D9" s="401"/>
      <c r="E9" s="979" t="s">
        <v>415</v>
      </c>
      <c r="F9" s="980">
        <f>(100%-0.8%-1.1*5%)*20%*K5</f>
        <v>7519.496212</v>
      </c>
      <c r="G9" s="981" t="s">
        <v>285</v>
      </c>
      <c r="H9" s="981">
        <v>150</v>
      </c>
      <c r="I9" s="982">
        <f>H9*F9*1000</f>
        <v>1127924431.8</v>
      </c>
      <c r="J9" s="983">
        <f t="shared" ref="J9:J21" si="1">I9/($K$5*1000)</f>
        <v>28.11</v>
      </c>
      <c r="K9" s="983">
        <f t="shared" si="0"/>
        <v>1.756875</v>
      </c>
      <c r="L9" s="976"/>
    </row>
    <row r="10" spans="2:12" x14ac:dyDescent="0.25">
      <c r="B10" s="984"/>
      <c r="C10" s="985"/>
      <c r="D10" s="986"/>
      <c r="E10" s="987" t="s">
        <v>416</v>
      </c>
      <c r="F10" s="988">
        <f>1.1*5%*K5</f>
        <v>2206.8959</v>
      </c>
      <c r="G10" s="981" t="s">
        <v>285</v>
      </c>
      <c r="H10" s="977">
        <v>150</v>
      </c>
      <c r="I10" s="982">
        <f>H10*F10*1000</f>
        <v>331034385</v>
      </c>
      <c r="J10" s="983">
        <f t="shared" si="1"/>
        <v>8.25</v>
      </c>
      <c r="K10" s="983">
        <f t="shared" si="0"/>
        <v>0.515625</v>
      </c>
      <c r="L10" s="976"/>
    </row>
    <row r="11" spans="2:12" x14ac:dyDescent="0.25">
      <c r="B11" s="977">
        <v>2</v>
      </c>
      <c r="C11" s="989" t="s">
        <v>369</v>
      </c>
      <c r="D11" s="990"/>
      <c r="E11" s="987" t="s">
        <v>417</v>
      </c>
      <c r="F11" s="988">
        <v>1</v>
      </c>
      <c r="G11" s="988" t="s">
        <v>285</v>
      </c>
      <c r="H11" s="977">
        <v>77</v>
      </c>
      <c r="I11" s="982">
        <f>H11*8000*F11*1000</f>
        <v>616000000</v>
      </c>
      <c r="J11" s="983">
        <f t="shared" si="1"/>
        <v>15.351879533601926</v>
      </c>
      <c r="K11" s="983">
        <f t="shared" si="0"/>
        <v>0.95949247085012035</v>
      </c>
      <c r="L11" s="976"/>
    </row>
    <row r="12" spans="2:12" x14ac:dyDescent="0.25">
      <c r="B12" s="977"/>
      <c r="C12" s="985"/>
      <c r="D12" s="986"/>
      <c r="E12" s="987" t="s">
        <v>418</v>
      </c>
      <c r="F12" s="977">
        <v>2</v>
      </c>
      <c r="G12" s="988" t="s">
        <v>285</v>
      </c>
      <c r="H12" s="977">
        <v>79</v>
      </c>
      <c r="I12" s="982">
        <f>H12*5000*F12*1000</f>
        <v>790000000</v>
      </c>
      <c r="J12" s="983">
        <f t="shared" si="1"/>
        <v>19.688287064197272</v>
      </c>
      <c r="K12" s="983">
        <f t="shared" si="0"/>
        <v>1.2305179415123297</v>
      </c>
      <c r="L12" s="976"/>
    </row>
    <row r="13" spans="2:12" x14ac:dyDescent="0.25">
      <c r="B13" s="977"/>
      <c r="C13" s="985"/>
      <c r="D13" s="986"/>
      <c r="E13" s="987" t="s">
        <v>419</v>
      </c>
      <c r="F13" s="977">
        <v>1</v>
      </c>
      <c r="G13" s="988" t="s">
        <v>285</v>
      </c>
      <c r="H13" s="977">
        <v>77</v>
      </c>
      <c r="I13" s="982">
        <f>H13*3000*F13*1000</f>
        <v>231000000</v>
      </c>
      <c r="J13" s="983">
        <f t="shared" si="1"/>
        <v>5.7569548251007214</v>
      </c>
      <c r="K13" s="983">
        <f t="shared" si="0"/>
        <v>0.35980967656879514</v>
      </c>
      <c r="L13" s="976"/>
    </row>
    <row r="14" spans="2:12" x14ac:dyDescent="0.25">
      <c r="B14" s="977"/>
      <c r="C14" s="985"/>
      <c r="D14" s="986"/>
      <c r="E14" s="987" t="s">
        <v>420</v>
      </c>
      <c r="F14" s="977">
        <v>1</v>
      </c>
      <c r="G14" s="988" t="s">
        <v>285</v>
      </c>
      <c r="H14" s="977">
        <v>83</v>
      </c>
      <c r="I14" s="982">
        <f>H14*3000*F14*1000</f>
        <v>249000000</v>
      </c>
      <c r="J14" s="983">
        <f t="shared" si="1"/>
        <v>6.2055487075761029</v>
      </c>
      <c r="K14" s="983">
        <f t="shared" si="0"/>
        <v>0.38784679422350643</v>
      </c>
      <c r="L14" s="976"/>
    </row>
    <row r="15" spans="2:12" x14ac:dyDescent="0.25">
      <c r="B15" s="977">
        <v>3</v>
      </c>
      <c r="C15" s="985" t="s">
        <v>421</v>
      </c>
      <c r="D15" s="986">
        <v>0</v>
      </c>
      <c r="E15" s="987" t="s">
        <v>422</v>
      </c>
      <c r="F15" s="982">
        <f>F8-(8000*D15)</f>
        <v>30077.984848</v>
      </c>
      <c r="G15" s="988" t="s">
        <v>285</v>
      </c>
      <c r="H15" s="991">
        <v>43</v>
      </c>
      <c r="I15" s="982">
        <f>H15*F15*1000</f>
        <v>1293353348.464</v>
      </c>
      <c r="J15" s="983">
        <f>I15/($K$5*1000)</f>
        <v>32.232799999999997</v>
      </c>
      <c r="K15" s="983">
        <f>(I15/$K$6)/$K$5</f>
        <v>2.0145500000000003</v>
      </c>
      <c r="L15" s="976"/>
    </row>
    <row r="16" spans="2:12" x14ac:dyDescent="0.25">
      <c r="B16" s="977"/>
      <c r="C16" s="985"/>
      <c r="D16" s="986">
        <v>0</v>
      </c>
      <c r="E16" s="987" t="s">
        <v>423</v>
      </c>
      <c r="F16" s="982">
        <f>F9-(10000*D16)</f>
        <v>7519.496212</v>
      </c>
      <c r="G16" s="988" t="s">
        <v>285</v>
      </c>
      <c r="H16" s="991">
        <v>43</v>
      </c>
      <c r="I16" s="982">
        <f>H16*F16*1000</f>
        <v>323338337.116</v>
      </c>
      <c r="J16" s="983">
        <f>I16/($K$5*1000)</f>
        <v>8.0581999999999994</v>
      </c>
      <c r="K16" s="983">
        <f>(I16/$K$6)/$K$5</f>
        <v>0.50363750000000007</v>
      </c>
      <c r="L16" s="976"/>
    </row>
    <row r="17" spans="2:12" x14ac:dyDescent="0.25">
      <c r="B17" s="977"/>
      <c r="C17" s="985"/>
      <c r="D17" s="986">
        <v>0</v>
      </c>
      <c r="E17" s="987" t="s">
        <v>424</v>
      </c>
      <c r="F17" s="982">
        <f>F10-(3000*D17)</f>
        <v>2206.8959</v>
      </c>
      <c r="G17" s="988" t="s">
        <v>285</v>
      </c>
      <c r="H17" s="991">
        <v>43</v>
      </c>
      <c r="I17" s="982">
        <f>H17*F17*1000</f>
        <v>94896523.700000003</v>
      </c>
      <c r="J17" s="983">
        <f>I17/($K$5*1000)</f>
        <v>2.3650000000000002</v>
      </c>
      <c r="K17" s="983">
        <f>(I17/$K$6)/$K$5</f>
        <v>0.14781250000000001</v>
      </c>
      <c r="L17" s="976"/>
    </row>
    <row r="18" spans="2:12" x14ac:dyDescent="0.25">
      <c r="B18" s="977">
        <v>3</v>
      </c>
      <c r="C18" s="989" t="s">
        <v>425</v>
      </c>
      <c r="D18" s="990"/>
      <c r="E18" s="987" t="s">
        <v>426</v>
      </c>
      <c r="F18" s="988">
        <f>SUM(F8:F10)</f>
        <v>39804.376960000001</v>
      </c>
      <c r="G18" s="988" t="s">
        <v>285</v>
      </c>
      <c r="H18" s="977">
        <v>22</v>
      </c>
      <c r="I18" s="982">
        <f>H18*F18*1000</f>
        <v>875696293.12</v>
      </c>
      <c r="J18" s="983">
        <f t="shared" si="1"/>
        <v>21.824000000000002</v>
      </c>
      <c r="K18" s="983">
        <f t="shared" si="0"/>
        <v>1.3640000000000001</v>
      </c>
      <c r="L18" s="976"/>
    </row>
    <row r="19" spans="2:12" x14ac:dyDescent="0.25">
      <c r="B19" s="977">
        <f t="shared" ref="B19:B24" si="2">B18+1</f>
        <v>4</v>
      </c>
      <c r="C19" s="989" t="s">
        <v>427</v>
      </c>
      <c r="D19" s="990"/>
      <c r="E19" s="987" t="s">
        <v>426</v>
      </c>
      <c r="F19" s="982">
        <f>F18</f>
        <v>39804.376960000001</v>
      </c>
      <c r="G19" s="988" t="s">
        <v>285</v>
      </c>
      <c r="H19" s="977">
        <v>26</v>
      </c>
      <c r="I19" s="982">
        <f>H19*F18*1000</f>
        <v>1034913800.96</v>
      </c>
      <c r="J19" s="983">
        <f t="shared" si="1"/>
        <v>25.792000000000002</v>
      </c>
      <c r="K19" s="983">
        <f t="shared" si="0"/>
        <v>1.6120000000000001</v>
      </c>
    </row>
    <row r="20" spans="2:12" x14ac:dyDescent="0.25">
      <c r="B20" s="977">
        <f t="shared" si="2"/>
        <v>5</v>
      </c>
      <c r="C20" s="989" t="s">
        <v>428</v>
      </c>
      <c r="D20" s="990"/>
      <c r="E20" s="987" t="s">
        <v>426</v>
      </c>
      <c r="F20" s="988">
        <f>F18</f>
        <v>39804.376960000001</v>
      </c>
      <c r="G20" s="988" t="s">
        <v>285</v>
      </c>
      <c r="H20" s="977">
        <v>3</v>
      </c>
      <c r="I20" s="982">
        <f>H20*F20*1000</f>
        <v>119413130.88000001</v>
      </c>
      <c r="J20" s="983">
        <f t="shared" si="1"/>
        <v>2.9760000000000004</v>
      </c>
      <c r="K20" s="983">
        <f t="shared" si="0"/>
        <v>0.18600000000000003</v>
      </c>
    </row>
    <row r="21" spans="2:12" x14ac:dyDescent="0.25">
      <c r="B21" s="977">
        <f t="shared" si="2"/>
        <v>6</v>
      </c>
      <c r="C21" s="989" t="s">
        <v>429</v>
      </c>
      <c r="D21" s="990"/>
      <c r="E21" s="987" t="s">
        <v>426</v>
      </c>
      <c r="F21" s="988">
        <f>F20</f>
        <v>39804.376960000001</v>
      </c>
      <c r="G21" s="988" t="s">
        <v>285</v>
      </c>
      <c r="H21" s="977">
        <v>3</v>
      </c>
      <c r="I21" s="982">
        <f>H21*F21*1000</f>
        <v>119413130.88000001</v>
      </c>
      <c r="J21" s="983">
        <f t="shared" si="1"/>
        <v>2.9760000000000004</v>
      </c>
      <c r="K21" s="983">
        <f t="shared" si="0"/>
        <v>0.18600000000000003</v>
      </c>
    </row>
    <row r="22" spans="2:12" x14ac:dyDescent="0.25">
      <c r="B22" s="977">
        <f t="shared" si="2"/>
        <v>7</v>
      </c>
      <c r="C22" s="989" t="s">
        <v>430</v>
      </c>
      <c r="D22" s="990"/>
      <c r="E22" s="984"/>
      <c r="F22" s="984"/>
      <c r="G22" s="984"/>
      <c r="H22" s="984"/>
      <c r="I22" s="982"/>
      <c r="J22" s="983"/>
      <c r="K22" s="983"/>
    </row>
    <row r="23" spans="2:12" x14ac:dyDescent="0.25">
      <c r="B23" s="977">
        <f t="shared" si="2"/>
        <v>8</v>
      </c>
      <c r="C23" s="989" t="s">
        <v>431</v>
      </c>
      <c r="D23" s="990"/>
      <c r="E23" s="984"/>
      <c r="F23" s="984"/>
      <c r="G23" s="984"/>
      <c r="H23" s="977"/>
      <c r="I23" s="982"/>
      <c r="J23" s="983"/>
      <c r="K23" s="983"/>
    </row>
    <row r="24" spans="2:12" ht="13.5" thickBot="1" x14ac:dyDescent="0.3">
      <c r="B24" s="992">
        <f t="shared" si="2"/>
        <v>9</v>
      </c>
      <c r="C24" s="993" t="s">
        <v>432</v>
      </c>
      <c r="D24" s="994"/>
      <c r="E24" s="995"/>
      <c r="F24" s="996"/>
      <c r="G24" s="997"/>
      <c r="H24" s="992"/>
      <c r="I24" s="998"/>
      <c r="J24" s="999"/>
      <c r="K24" s="992"/>
    </row>
    <row r="25" spans="2:12" ht="14.25" thickTop="1" thickBot="1" x14ac:dyDescent="0.3">
      <c r="B25" s="2411" t="s">
        <v>433</v>
      </c>
      <c r="C25" s="2411"/>
      <c r="D25" s="2411"/>
      <c r="E25" s="2411"/>
      <c r="F25" s="2411"/>
      <c r="G25" s="2411"/>
      <c r="H25" s="2411"/>
      <c r="I25" s="1000">
        <f>SUM(I8:I24)</f>
        <v>9913002018.2399979</v>
      </c>
      <c r="J25" s="1001">
        <f>SUM(J8:J24)</f>
        <v>247.05067013047605</v>
      </c>
      <c r="K25" s="1001">
        <f>SUM(K8:K24)</f>
        <v>15.440666883154753</v>
      </c>
      <c r="L25" s="1002"/>
    </row>
    <row r="26" spans="2:12" x14ac:dyDescent="0.25">
      <c r="C26" s="900"/>
      <c r="D26" s="1003"/>
      <c r="E26" s="900"/>
      <c r="F26" s="1003"/>
      <c r="G26" s="1004"/>
      <c r="J26" s="1003"/>
    </row>
    <row r="27" spans="2:12" x14ac:dyDescent="0.25">
      <c r="C27" s="900"/>
      <c r="D27" s="1003"/>
      <c r="E27" s="900"/>
      <c r="F27" s="1003"/>
      <c r="G27" s="1004"/>
      <c r="J27" s="1003"/>
    </row>
    <row r="28" spans="2:12" x14ac:dyDescent="0.25">
      <c r="C28" s="900"/>
      <c r="D28" s="1003"/>
      <c r="E28" s="900"/>
      <c r="F28" s="1005"/>
      <c r="G28" s="1006"/>
      <c r="J28" s="1003"/>
    </row>
    <row r="29" spans="2:12" x14ac:dyDescent="0.25">
      <c r="C29" s="1007"/>
      <c r="D29" s="1005"/>
      <c r="E29" s="1007"/>
      <c r="F29" s="1003"/>
      <c r="G29" s="1004"/>
      <c r="J29" s="1003"/>
    </row>
    <row r="30" spans="2:12" x14ac:dyDescent="0.25">
      <c r="E30" s="900"/>
      <c r="F30" s="1003"/>
      <c r="G30" s="1004"/>
      <c r="J30" s="1003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D2" sqref="D2:L2"/>
    </sheetView>
  </sheetViews>
  <sheetFormatPr defaultColWidth="8.5703125" defaultRowHeight="12.75" x14ac:dyDescent="0.25"/>
  <cols>
    <col min="1" max="1" width="8.5703125" style="956"/>
    <col min="2" max="2" width="5.5703125" style="955" customWidth="1"/>
    <col min="3" max="3" width="64.42578125" style="956" customWidth="1"/>
    <col min="4" max="4" width="15.5703125" style="956" customWidth="1"/>
    <col min="5" max="5" width="15" style="956" customWidth="1"/>
    <col min="6" max="6" width="15.42578125" style="956" customWidth="1"/>
    <col min="7" max="7" width="14.5703125" style="956" customWidth="1"/>
    <col min="8" max="8" width="11.42578125" style="956" customWidth="1"/>
    <col min="9" max="9" width="12.42578125" style="956" customWidth="1"/>
    <col min="10" max="16384" width="8.5703125" style="956"/>
  </cols>
  <sheetData>
    <row r="1" spans="2:9" ht="5.0999999999999996" customHeight="1" x14ac:dyDescent="0.25"/>
    <row r="2" spans="2:9" ht="26.85" customHeight="1" thickBot="1" x14ac:dyDescent="0.3">
      <c r="B2" s="957" t="s">
        <v>434</v>
      </c>
    </row>
    <row r="3" spans="2:9" ht="14.85" customHeight="1" x14ac:dyDescent="0.25">
      <c r="B3" s="2399" t="s">
        <v>356</v>
      </c>
      <c r="C3" s="2400"/>
      <c r="D3" s="958"/>
      <c r="E3" s="958"/>
      <c r="F3" s="958"/>
      <c r="G3" s="958"/>
      <c r="H3" s="960" t="s">
        <v>376</v>
      </c>
      <c r="I3" s="961">
        <f>'HPP REF '!N3</f>
        <v>2006.269</v>
      </c>
    </row>
    <row r="4" spans="2:9" ht="14.85" customHeight="1" x14ac:dyDescent="0.25">
      <c r="B4" s="2401" t="s">
        <v>408</v>
      </c>
      <c r="C4" s="2402"/>
      <c r="H4" s="962" t="s">
        <v>82</v>
      </c>
      <c r="I4" s="963">
        <f>'SUMMARY HPP '!I4</f>
        <v>20</v>
      </c>
    </row>
    <row r="5" spans="2:9" ht="14.85" customHeight="1" x14ac:dyDescent="0.25">
      <c r="B5" s="2401" t="s">
        <v>409</v>
      </c>
      <c r="C5" s="2402"/>
      <c r="H5" s="962" t="s">
        <v>410</v>
      </c>
      <c r="I5" s="963">
        <f>I4*I3</f>
        <v>40125.379999999997</v>
      </c>
    </row>
    <row r="6" spans="2:9" ht="14.85" customHeight="1" thickBot="1" x14ac:dyDescent="0.3">
      <c r="B6" s="934" t="s">
        <v>411</v>
      </c>
      <c r="C6" s="935"/>
      <c r="D6" s="964"/>
      <c r="E6" s="964"/>
      <c r="F6" s="964"/>
      <c r="G6" s="964"/>
      <c r="H6" s="966"/>
      <c r="I6" s="1152">
        <v>16000</v>
      </c>
    </row>
    <row r="7" spans="2:9" ht="15.6" customHeight="1" x14ac:dyDescent="0.25">
      <c r="B7" s="2405" t="s">
        <v>98</v>
      </c>
      <c r="C7" s="2405" t="s">
        <v>284</v>
      </c>
      <c r="D7" s="2415" t="s">
        <v>435</v>
      </c>
      <c r="E7" s="2415"/>
      <c r="F7" s="2415" t="s">
        <v>436</v>
      </c>
      <c r="G7" s="2415"/>
      <c r="H7" s="2415"/>
      <c r="I7" s="2415"/>
    </row>
    <row r="8" spans="2:9" ht="15" customHeight="1" thickBot="1" x14ac:dyDescent="0.3">
      <c r="B8" s="2406"/>
      <c r="C8" s="2406"/>
      <c r="D8" s="1010" t="s">
        <v>437</v>
      </c>
      <c r="E8" s="1010" t="s">
        <v>438</v>
      </c>
      <c r="F8" s="1010" t="s">
        <v>437</v>
      </c>
      <c r="G8" s="1010" t="s">
        <v>438</v>
      </c>
      <c r="H8" s="1011" t="s">
        <v>413</v>
      </c>
      <c r="I8" s="1011" t="s">
        <v>225</v>
      </c>
    </row>
    <row r="9" spans="2:9" ht="13.5" thickTop="1" x14ac:dyDescent="0.25">
      <c r="B9" s="1012">
        <v>1</v>
      </c>
      <c r="C9" s="1013" t="s">
        <v>439</v>
      </c>
      <c r="D9" s="974">
        <v>305458258</v>
      </c>
      <c r="E9" s="974">
        <f>IFERROR(D9/12,0)</f>
        <v>25454854.833333332</v>
      </c>
      <c r="F9" s="1014">
        <f>G9*12</f>
        <v>366549909.59999996</v>
      </c>
      <c r="G9" s="1014">
        <v>30545825.799999997</v>
      </c>
      <c r="H9" s="975">
        <f>G9/($I$5*1000)</f>
        <v>0.76125947716881426</v>
      </c>
      <c r="I9" s="975">
        <f>(G9/$I$6)/$I$5</f>
        <v>4.7578717323050898E-2</v>
      </c>
    </row>
    <row r="10" spans="2:9" x14ac:dyDescent="0.25">
      <c r="B10" s="977">
        <f>B9+1</f>
        <v>2</v>
      </c>
      <c r="C10" s="984" t="s">
        <v>440</v>
      </c>
      <c r="D10" s="982">
        <v>2628729528.8000002</v>
      </c>
      <c r="E10" s="982">
        <f t="shared" ref="E10:E50" si="0">IFERROR(D10/12,0)</f>
        <v>219060794.06666669</v>
      </c>
      <c r="F10" s="1014">
        <f>G10*12</f>
        <v>3548784863.8800001</v>
      </c>
      <c r="G10" s="1014">
        <v>295732071.99000001</v>
      </c>
      <c r="H10" s="975">
        <f t="shared" ref="H10:H50" si="1">G10/($I$5*1000)</f>
        <v>7.3701999081379421</v>
      </c>
      <c r="I10" s="975">
        <f t="shared" ref="I10:I50" si="2">(G10/$I$6)/$I$5</f>
        <v>0.46063749425862144</v>
      </c>
    </row>
    <row r="11" spans="2:9" x14ac:dyDescent="0.25">
      <c r="B11" s="977">
        <f t="shared" ref="B11:B50" si="3">B10+1</f>
        <v>3</v>
      </c>
      <c r="C11" s="984" t="s">
        <v>441</v>
      </c>
      <c r="D11" s="982">
        <v>720175678</v>
      </c>
      <c r="E11" s="982">
        <f t="shared" si="0"/>
        <v>60014639.833333336</v>
      </c>
      <c r="F11" s="1014">
        <f t="shared" ref="F11:F49" si="4">G11*12</f>
        <v>756184461.9000001</v>
      </c>
      <c r="G11" s="1014">
        <v>63015371.825000003</v>
      </c>
      <c r="H11" s="975">
        <f t="shared" si="1"/>
        <v>1.5704616834781377</v>
      </c>
      <c r="I11" s="975">
        <f t="shared" si="2"/>
        <v>9.8153855217383623E-2</v>
      </c>
    </row>
    <row r="12" spans="2:9" x14ac:dyDescent="0.25">
      <c r="B12" s="977">
        <f t="shared" si="3"/>
        <v>4</v>
      </c>
      <c r="C12" s="984" t="s">
        <v>442</v>
      </c>
      <c r="D12" s="982">
        <v>2428347903</v>
      </c>
      <c r="E12" s="982">
        <f t="shared" si="0"/>
        <v>202362325.25</v>
      </c>
      <c r="F12" s="1014">
        <f t="shared" si="4"/>
        <v>2220000000</v>
      </c>
      <c r="G12" s="1014">
        <v>185000000</v>
      </c>
      <c r="H12" s="975">
        <f t="shared" si="1"/>
        <v>4.6105482365525265</v>
      </c>
      <c r="I12" s="975">
        <f t="shared" si="2"/>
        <v>0.28815926478453291</v>
      </c>
    </row>
    <row r="13" spans="2:9" x14ac:dyDescent="0.25">
      <c r="B13" s="977">
        <f t="shared" si="3"/>
        <v>5</v>
      </c>
      <c r="C13" s="984" t="s">
        <v>443</v>
      </c>
      <c r="D13" s="982">
        <v>110862850</v>
      </c>
      <c r="E13" s="982">
        <f t="shared" si="0"/>
        <v>9238570.833333334</v>
      </c>
      <c r="F13" s="1014">
        <f t="shared" si="4"/>
        <v>110862850</v>
      </c>
      <c r="G13" s="1014">
        <v>9238570.833333334</v>
      </c>
      <c r="H13" s="975">
        <f t="shared" si="1"/>
        <v>0.23024257548048976</v>
      </c>
      <c r="I13" s="975">
        <f t="shared" si="2"/>
        <v>1.439016096753061E-2</v>
      </c>
    </row>
    <row r="14" spans="2:9" x14ac:dyDescent="0.25">
      <c r="B14" s="977">
        <f t="shared" si="3"/>
        <v>6</v>
      </c>
      <c r="C14" s="984" t="s">
        <v>444</v>
      </c>
      <c r="D14" s="982">
        <v>126990400</v>
      </c>
      <c r="E14" s="982">
        <f t="shared" si="0"/>
        <v>10582533.333333334</v>
      </c>
      <c r="F14" s="1014">
        <f t="shared" si="4"/>
        <v>110000400</v>
      </c>
      <c r="G14" s="1014">
        <v>9166700</v>
      </c>
      <c r="H14" s="975">
        <f t="shared" si="1"/>
        <v>0.22845141902705968</v>
      </c>
      <c r="I14" s="975">
        <f t="shared" si="2"/>
        <v>1.4278213689191232E-2</v>
      </c>
    </row>
    <row r="15" spans="2:9" x14ac:dyDescent="0.25">
      <c r="B15" s="977">
        <f t="shared" si="3"/>
        <v>7</v>
      </c>
      <c r="C15" s="984" t="s">
        <v>445</v>
      </c>
      <c r="D15" s="982">
        <v>108868060</v>
      </c>
      <c r="E15" s="982">
        <f t="shared" si="0"/>
        <v>9072338.333333334</v>
      </c>
      <c r="F15" s="1014">
        <f t="shared" si="4"/>
        <v>100000000</v>
      </c>
      <c r="G15" s="1014">
        <v>8333333.333333333</v>
      </c>
      <c r="H15" s="975">
        <f t="shared" si="1"/>
        <v>0.20768235299786153</v>
      </c>
      <c r="I15" s="975">
        <f t="shared" si="2"/>
        <v>1.2980147062366346E-2</v>
      </c>
    </row>
    <row r="16" spans="2:9" x14ac:dyDescent="0.25">
      <c r="B16" s="977">
        <f t="shared" si="3"/>
        <v>8</v>
      </c>
      <c r="C16" s="984" t="s">
        <v>446</v>
      </c>
      <c r="D16" s="982">
        <v>203000</v>
      </c>
      <c r="E16" s="982">
        <f t="shared" si="0"/>
        <v>16916.666666666668</v>
      </c>
      <c r="F16" s="1014">
        <f t="shared" si="4"/>
        <v>0</v>
      </c>
      <c r="G16" s="1014">
        <v>0</v>
      </c>
      <c r="H16" s="975">
        <f t="shared" si="1"/>
        <v>0</v>
      </c>
      <c r="I16" s="975">
        <f t="shared" si="2"/>
        <v>0</v>
      </c>
    </row>
    <row r="17" spans="2:9" x14ac:dyDescent="0.25">
      <c r="B17" s="977">
        <f t="shared" si="3"/>
        <v>9</v>
      </c>
      <c r="C17" s="984" t="s">
        <v>447</v>
      </c>
      <c r="D17" s="982">
        <v>108952486</v>
      </c>
      <c r="E17" s="982">
        <f t="shared" si="0"/>
        <v>9079373.833333334</v>
      </c>
      <c r="F17" s="1014">
        <f t="shared" si="4"/>
        <v>114400110.30000001</v>
      </c>
      <c r="G17" s="1014">
        <v>9533342.5250000004</v>
      </c>
      <c r="H17" s="975">
        <f t="shared" si="1"/>
        <v>0.23758884090318896</v>
      </c>
      <c r="I17" s="975">
        <f t="shared" si="2"/>
        <v>1.484930255644931E-2</v>
      </c>
    </row>
    <row r="18" spans="2:9" x14ac:dyDescent="0.25">
      <c r="B18" s="977">
        <f t="shared" si="3"/>
        <v>10</v>
      </c>
      <c r="C18" s="984" t="s">
        <v>448</v>
      </c>
      <c r="D18" s="982">
        <v>32369030</v>
      </c>
      <c r="E18" s="982">
        <f t="shared" si="0"/>
        <v>2697419.1666666665</v>
      </c>
      <c r="F18" s="1014">
        <f t="shared" si="4"/>
        <v>33987481.5</v>
      </c>
      <c r="G18" s="1014">
        <v>2832290.125</v>
      </c>
      <c r="H18" s="975">
        <f t="shared" si="1"/>
        <v>7.058600130391289E-2</v>
      </c>
      <c r="I18" s="975">
        <f t="shared" si="2"/>
        <v>4.4116250814945556E-3</v>
      </c>
    </row>
    <row r="19" spans="2:9" x14ac:dyDescent="0.25">
      <c r="B19" s="977">
        <f t="shared" si="3"/>
        <v>11</v>
      </c>
      <c r="C19" s="984" t="s">
        <v>449</v>
      </c>
      <c r="D19" s="982">
        <v>179265600</v>
      </c>
      <c r="E19" s="982">
        <f t="shared" si="0"/>
        <v>14938800</v>
      </c>
      <c r="F19" s="1014">
        <f t="shared" si="4"/>
        <v>188228880</v>
      </c>
      <c r="G19" s="1014">
        <v>15685740</v>
      </c>
      <c r="H19" s="975">
        <f t="shared" si="1"/>
        <v>0.39091816700552118</v>
      </c>
      <c r="I19" s="975">
        <f t="shared" si="2"/>
        <v>2.4432385437845077E-2</v>
      </c>
    </row>
    <row r="20" spans="2:9" x14ac:dyDescent="0.25">
      <c r="B20" s="977">
        <f t="shared" si="3"/>
        <v>12</v>
      </c>
      <c r="C20" s="984" t="s">
        <v>450</v>
      </c>
      <c r="D20" s="982">
        <v>253700695</v>
      </c>
      <c r="E20" s="982">
        <f t="shared" si="0"/>
        <v>21141724.583333332</v>
      </c>
      <c r="F20" s="1014">
        <f t="shared" si="4"/>
        <v>266385729.75</v>
      </c>
      <c r="G20" s="1014">
        <v>22198810.8125</v>
      </c>
      <c r="H20" s="975">
        <f t="shared" si="1"/>
        <v>0.55323615159532447</v>
      </c>
      <c r="I20" s="975">
        <f t="shared" si="2"/>
        <v>3.4577259474707779E-2</v>
      </c>
    </row>
    <row r="21" spans="2:9" x14ac:dyDescent="0.25">
      <c r="B21" s="977">
        <f t="shared" si="3"/>
        <v>13</v>
      </c>
      <c r="C21" s="984" t="s">
        <v>451</v>
      </c>
      <c r="D21" s="982">
        <v>1859843066</v>
      </c>
      <c r="E21" s="982">
        <f t="shared" si="0"/>
        <v>154986922.16666666</v>
      </c>
      <c r="F21" s="1014">
        <f t="shared" si="4"/>
        <v>335473201</v>
      </c>
      <c r="G21" s="1014">
        <v>27956100.083333332</v>
      </c>
      <c r="H21" s="975">
        <f t="shared" si="1"/>
        <v>0.6967186375140455</v>
      </c>
      <c r="I21" s="975">
        <f t="shared" si="2"/>
        <v>4.3544914844627844E-2</v>
      </c>
    </row>
    <row r="22" spans="2:9" x14ac:dyDescent="0.25">
      <c r="B22" s="977">
        <f t="shared" si="3"/>
        <v>14</v>
      </c>
      <c r="C22" s="984" t="s">
        <v>452</v>
      </c>
      <c r="D22" s="982">
        <v>694460474</v>
      </c>
      <c r="E22" s="982">
        <f t="shared" si="0"/>
        <v>57871706.166666664</v>
      </c>
      <c r="F22" s="1014">
        <f t="shared" si="4"/>
        <v>268391053.16000003</v>
      </c>
      <c r="G22" s="1014">
        <v>22365921.096666668</v>
      </c>
      <c r="H22" s="975">
        <f t="shared" si="1"/>
        <v>0.55740085443842946</v>
      </c>
      <c r="I22" s="975">
        <f t="shared" si="2"/>
        <v>3.4837553402401841E-2</v>
      </c>
    </row>
    <row r="23" spans="2:9" x14ac:dyDescent="0.25">
      <c r="B23" s="977">
        <f t="shared" si="3"/>
        <v>15</v>
      </c>
      <c r="C23" s="984" t="s">
        <v>453</v>
      </c>
      <c r="D23" s="982"/>
      <c r="E23" s="982">
        <f t="shared" si="0"/>
        <v>0</v>
      </c>
      <c r="F23" s="1014">
        <f t="shared" si="4"/>
        <v>60000000</v>
      </c>
      <c r="G23" s="1014">
        <v>5000000</v>
      </c>
      <c r="H23" s="975">
        <f t="shared" si="1"/>
        <v>0.12460941179871692</v>
      </c>
      <c r="I23" s="975">
        <f t="shared" si="2"/>
        <v>7.7880882374198081E-3</v>
      </c>
    </row>
    <row r="24" spans="2:9" x14ac:dyDescent="0.25">
      <c r="B24" s="977">
        <f t="shared" si="3"/>
        <v>16</v>
      </c>
      <c r="C24" s="984" t="s">
        <v>454</v>
      </c>
      <c r="D24" s="982">
        <v>659276883</v>
      </c>
      <c r="E24" s="982">
        <f t="shared" si="0"/>
        <v>54939740.25</v>
      </c>
      <c r="F24" s="1014">
        <f t="shared" si="4"/>
        <v>1518332400</v>
      </c>
      <c r="G24" s="1014">
        <v>126527700</v>
      </c>
      <c r="H24" s="975">
        <f t="shared" si="1"/>
        <v>3.153308454648903</v>
      </c>
      <c r="I24" s="975">
        <f t="shared" si="2"/>
        <v>0.19708177841555644</v>
      </c>
    </row>
    <row r="25" spans="2:9" x14ac:dyDescent="0.25">
      <c r="B25" s="977">
        <f t="shared" si="3"/>
        <v>17</v>
      </c>
      <c r="C25" s="984" t="s">
        <v>455</v>
      </c>
      <c r="D25" s="982"/>
      <c r="E25" s="982">
        <f t="shared" si="0"/>
        <v>0</v>
      </c>
      <c r="F25" s="1014">
        <f t="shared" si="4"/>
        <v>197000000</v>
      </c>
      <c r="G25" s="1014">
        <v>16416666.666666666</v>
      </c>
      <c r="H25" s="975">
        <f t="shared" si="1"/>
        <v>0.40913423540578719</v>
      </c>
      <c r="I25" s="975">
        <f t="shared" si="2"/>
        <v>2.55708897128617E-2</v>
      </c>
    </row>
    <row r="26" spans="2:9" x14ac:dyDescent="0.25">
      <c r="B26" s="977">
        <f t="shared" si="3"/>
        <v>18</v>
      </c>
      <c r="C26" s="984" t="s">
        <v>456</v>
      </c>
      <c r="D26" s="982">
        <v>62716328</v>
      </c>
      <c r="E26" s="982">
        <f t="shared" si="0"/>
        <v>5226360.666666667</v>
      </c>
      <c r="F26" s="1014">
        <f t="shared" si="4"/>
        <v>80400000</v>
      </c>
      <c r="G26" s="1014">
        <v>6700000</v>
      </c>
      <c r="H26" s="975">
        <f t="shared" si="1"/>
        <v>0.16697661181028067</v>
      </c>
      <c r="I26" s="975">
        <f t="shared" si="2"/>
        <v>1.0436038238142542E-2</v>
      </c>
    </row>
    <row r="27" spans="2:9" x14ac:dyDescent="0.25">
      <c r="B27" s="977">
        <f t="shared" si="3"/>
        <v>19</v>
      </c>
      <c r="C27" s="984" t="s">
        <v>457</v>
      </c>
      <c r="D27" s="982">
        <v>1756590</v>
      </c>
      <c r="E27" s="982">
        <f t="shared" si="0"/>
        <v>146382.5</v>
      </c>
      <c r="F27" s="1014">
        <f t="shared" si="4"/>
        <v>6840000</v>
      </c>
      <c r="G27" s="1014">
        <v>570000</v>
      </c>
      <c r="H27" s="975">
        <f t="shared" si="1"/>
        <v>1.4205472945053728E-2</v>
      </c>
      <c r="I27" s="975">
        <f t="shared" si="2"/>
        <v>8.8784205906585812E-4</v>
      </c>
    </row>
    <row r="28" spans="2:9" x14ac:dyDescent="0.25">
      <c r="B28" s="977">
        <f t="shared" si="3"/>
        <v>20</v>
      </c>
      <c r="C28" s="984" t="s">
        <v>458</v>
      </c>
      <c r="D28" s="982">
        <v>1193620819.1700001</v>
      </c>
      <c r="E28" s="982">
        <f t="shared" si="0"/>
        <v>99468401.597500011</v>
      </c>
      <c r="F28" s="1014">
        <f t="shared" si="4"/>
        <v>1193620819.1700001</v>
      </c>
      <c r="G28" s="1014">
        <v>99468401.597500011</v>
      </c>
      <c r="H28" s="975">
        <f t="shared" si="1"/>
        <v>2.4789398031246064</v>
      </c>
      <c r="I28" s="975">
        <f t="shared" si="2"/>
        <v>0.1549337376952879</v>
      </c>
    </row>
    <row r="29" spans="2:9" x14ac:dyDescent="0.25">
      <c r="B29" s="977">
        <f t="shared" si="3"/>
        <v>21</v>
      </c>
      <c r="C29" s="984" t="s">
        <v>459</v>
      </c>
      <c r="D29" s="982">
        <v>488020500</v>
      </c>
      <c r="E29" s="982">
        <f t="shared" si="0"/>
        <v>40668375</v>
      </c>
      <c r="F29" s="1014">
        <f t="shared" si="4"/>
        <v>264000000</v>
      </c>
      <c r="G29" s="1014">
        <v>22000000</v>
      </c>
      <c r="H29" s="975">
        <f t="shared" si="1"/>
        <v>0.54828141191435442</v>
      </c>
      <c r="I29" s="975">
        <f t="shared" si="2"/>
        <v>3.4267588244647158E-2</v>
      </c>
    </row>
    <row r="30" spans="2:9" x14ac:dyDescent="0.25">
      <c r="B30" s="977">
        <f t="shared" si="3"/>
        <v>22</v>
      </c>
      <c r="C30" s="984" t="s">
        <v>460</v>
      </c>
      <c r="D30" s="982">
        <v>68171900</v>
      </c>
      <c r="E30" s="982">
        <f t="shared" si="0"/>
        <v>5680991.666666667</v>
      </c>
      <c r="F30" s="1014">
        <f t="shared" si="4"/>
        <v>258000000</v>
      </c>
      <c r="G30" s="1014">
        <v>21500000</v>
      </c>
      <c r="H30" s="975">
        <f t="shared" si="1"/>
        <v>0.5358204707344828</v>
      </c>
      <c r="I30" s="975">
        <f t="shared" si="2"/>
        <v>3.3488779420905175E-2</v>
      </c>
    </row>
    <row r="31" spans="2:9" x14ac:dyDescent="0.25">
      <c r="B31" s="977">
        <f t="shared" si="3"/>
        <v>23</v>
      </c>
      <c r="C31" s="984" t="s">
        <v>461</v>
      </c>
      <c r="D31" s="982">
        <v>1186354647</v>
      </c>
      <c r="E31" s="982">
        <f t="shared" si="0"/>
        <v>98862887.25</v>
      </c>
      <c r="F31" s="1014">
        <f t="shared" si="4"/>
        <v>10000000</v>
      </c>
      <c r="G31" s="1014">
        <v>833333.33333333337</v>
      </c>
      <c r="H31" s="975">
        <f t="shared" si="1"/>
        <v>2.0768235299786154E-2</v>
      </c>
      <c r="I31" s="975">
        <f t="shared" si="2"/>
        <v>1.2980147062366348E-3</v>
      </c>
    </row>
    <row r="32" spans="2:9" x14ac:dyDescent="0.25">
      <c r="B32" s="977">
        <f t="shared" si="3"/>
        <v>24</v>
      </c>
      <c r="C32" s="984" t="s">
        <v>462</v>
      </c>
      <c r="D32" s="982">
        <v>847778298.30999994</v>
      </c>
      <c r="E32" s="982">
        <f t="shared" si="0"/>
        <v>70648191.525833324</v>
      </c>
      <c r="F32" s="1014">
        <f t="shared" si="4"/>
        <v>907122779.19169986</v>
      </c>
      <c r="G32" s="1014">
        <v>75593564.932641655</v>
      </c>
      <c r="H32" s="975">
        <f t="shared" si="1"/>
        <v>1.8839339324049182</v>
      </c>
      <c r="I32" s="975">
        <f t="shared" si="2"/>
        <v>0.1177458707753074</v>
      </c>
    </row>
    <row r="33" spans="2:9" x14ac:dyDescent="0.25">
      <c r="B33" s="977">
        <f t="shared" si="3"/>
        <v>25</v>
      </c>
      <c r="C33" s="984" t="s">
        <v>463</v>
      </c>
      <c r="D33" s="982">
        <v>245454645</v>
      </c>
      <c r="E33" s="982">
        <f t="shared" si="0"/>
        <v>20454553.75</v>
      </c>
      <c r="F33" s="1014">
        <f t="shared" si="4"/>
        <v>270000109.5</v>
      </c>
      <c r="G33" s="1014">
        <v>22500009.125</v>
      </c>
      <c r="H33" s="975">
        <f t="shared" si="1"/>
        <v>0.56074258050640269</v>
      </c>
      <c r="I33" s="975">
        <f t="shared" si="2"/>
        <v>3.5046411281650168E-2</v>
      </c>
    </row>
    <row r="34" spans="2:9" x14ac:dyDescent="0.25">
      <c r="B34" s="977">
        <f t="shared" si="3"/>
        <v>26</v>
      </c>
      <c r="C34" s="984" t="s">
        <v>464</v>
      </c>
      <c r="D34" s="982"/>
      <c r="E34" s="982">
        <f t="shared" si="0"/>
        <v>0</v>
      </c>
      <c r="F34" s="1014">
        <f t="shared" si="4"/>
        <v>0</v>
      </c>
      <c r="G34" s="1014">
        <v>0</v>
      </c>
      <c r="H34" s="975">
        <f t="shared" si="1"/>
        <v>0</v>
      </c>
      <c r="I34" s="975">
        <f t="shared" si="2"/>
        <v>0</v>
      </c>
    </row>
    <row r="35" spans="2:9" x14ac:dyDescent="0.25">
      <c r="B35" s="977">
        <f t="shared" si="3"/>
        <v>27</v>
      </c>
      <c r="C35" s="984" t="s">
        <v>465</v>
      </c>
      <c r="D35" s="982"/>
      <c r="E35" s="982">
        <f t="shared" si="0"/>
        <v>0</v>
      </c>
      <c r="F35" s="1014">
        <f t="shared" si="4"/>
        <v>0</v>
      </c>
      <c r="G35" s="1014">
        <v>0</v>
      </c>
      <c r="H35" s="975">
        <f t="shared" si="1"/>
        <v>0</v>
      </c>
      <c r="I35" s="975">
        <f t="shared" si="2"/>
        <v>0</v>
      </c>
    </row>
    <row r="36" spans="2:9" x14ac:dyDescent="0.25">
      <c r="B36" s="977">
        <f t="shared" si="3"/>
        <v>28</v>
      </c>
      <c r="C36" s="984" t="s">
        <v>466</v>
      </c>
      <c r="D36" s="982">
        <v>188207400</v>
      </c>
      <c r="E36" s="982">
        <f t="shared" si="0"/>
        <v>15683950</v>
      </c>
      <c r="F36" s="1014">
        <f t="shared" si="4"/>
        <v>207028140</v>
      </c>
      <c r="G36" s="1014">
        <v>17252345</v>
      </c>
      <c r="H36" s="975">
        <f t="shared" si="1"/>
        <v>0.42996091251970697</v>
      </c>
      <c r="I36" s="975">
        <f t="shared" si="2"/>
        <v>2.6872557032481689E-2</v>
      </c>
    </row>
    <row r="37" spans="2:9" x14ac:dyDescent="0.25">
      <c r="B37" s="977">
        <f t="shared" si="3"/>
        <v>29</v>
      </c>
      <c r="C37" s="984" t="s">
        <v>467</v>
      </c>
      <c r="D37" s="982">
        <v>4384212523</v>
      </c>
      <c r="E37" s="982">
        <f t="shared" si="0"/>
        <v>365351043.58333331</v>
      </c>
      <c r="F37" s="1014">
        <f t="shared" si="4"/>
        <v>666345107</v>
      </c>
      <c r="G37" s="1014">
        <v>55528758.916666664</v>
      </c>
      <c r="H37" s="975">
        <f t="shared" si="1"/>
        <v>1.3838811973037182</v>
      </c>
      <c r="I37" s="975">
        <f t="shared" si="2"/>
        <v>8.6492574831482386E-2</v>
      </c>
    </row>
    <row r="38" spans="2:9" x14ac:dyDescent="0.25">
      <c r="B38" s="977">
        <f t="shared" si="3"/>
        <v>30</v>
      </c>
      <c r="C38" s="984" t="s">
        <v>468</v>
      </c>
      <c r="D38" s="982">
        <v>108648500</v>
      </c>
      <c r="E38" s="982">
        <f t="shared" si="0"/>
        <v>9054041.666666666</v>
      </c>
      <c r="F38" s="1014">
        <f t="shared" si="4"/>
        <v>114080925</v>
      </c>
      <c r="G38" s="1014">
        <v>9506743.75</v>
      </c>
      <c r="H38" s="975">
        <f t="shared" si="1"/>
        <v>0.23692594936172567</v>
      </c>
      <c r="I38" s="975">
        <f t="shared" si="2"/>
        <v>1.4807871835107855E-2</v>
      </c>
    </row>
    <row r="39" spans="2:9" x14ac:dyDescent="0.25">
      <c r="B39" s="977">
        <f t="shared" si="3"/>
        <v>31</v>
      </c>
      <c r="C39" s="984" t="s">
        <v>469</v>
      </c>
      <c r="D39" s="982">
        <v>80056015</v>
      </c>
      <c r="E39" s="982">
        <f t="shared" si="0"/>
        <v>6671334.583333333</v>
      </c>
      <c r="F39" s="1014">
        <f t="shared" si="4"/>
        <v>0</v>
      </c>
      <c r="G39" s="1014">
        <v>0</v>
      </c>
      <c r="H39" s="975">
        <f t="shared" si="1"/>
        <v>0</v>
      </c>
      <c r="I39" s="975">
        <f t="shared" si="2"/>
        <v>0</v>
      </c>
    </row>
    <row r="40" spans="2:9" x14ac:dyDescent="0.25">
      <c r="B40" s="977">
        <f t="shared" si="3"/>
        <v>32</v>
      </c>
      <c r="C40" s="984" t="s">
        <v>470</v>
      </c>
      <c r="D40" s="982">
        <v>84564877</v>
      </c>
      <c r="E40" s="982">
        <f t="shared" si="0"/>
        <v>7047073.083333333</v>
      </c>
      <c r="F40" s="1014">
        <f t="shared" si="4"/>
        <v>88793120.849999994</v>
      </c>
      <c r="G40" s="1014">
        <v>7399426.7374999998</v>
      </c>
      <c r="H40" s="975">
        <f t="shared" si="1"/>
        <v>0.1844076426815148</v>
      </c>
      <c r="I40" s="975">
        <f t="shared" si="2"/>
        <v>1.1525477667594675E-2</v>
      </c>
    </row>
    <row r="41" spans="2:9" x14ac:dyDescent="0.25">
      <c r="B41" s="977">
        <f t="shared" si="3"/>
        <v>33</v>
      </c>
      <c r="C41" s="984" t="s">
        <v>471</v>
      </c>
      <c r="D41" s="982"/>
      <c r="E41" s="982">
        <f t="shared" si="0"/>
        <v>0</v>
      </c>
      <c r="F41" s="1014">
        <f t="shared" si="4"/>
        <v>0</v>
      </c>
      <c r="G41" s="1014">
        <v>0</v>
      </c>
      <c r="H41" s="975">
        <f t="shared" si="1"/>
        <v>0</v>
      </c>
      <c r="I41" s="975">
        <f t="shared" si="2"/>
        <v>0</v>
      </c>
    </row>
    <row r="42" spans="2:9" x14ac:dyDescent="0.25">
      <c r="B42" s="977">
        <f t="shared" si="3"/>
        <v>34</v>
      </c>
      <c r="C42" s="984" t="s">
        <v>472</v>
      </c>
      <c r="D42" s="982"/>
      <c r="E42" s="982">
        <f t="shared" si="0"/>
        <v>0</v>
      </c>
      <c r="F42" s="1014">
        <f t="shared" si="4"/>
        <v>0</v>
      </c>
      <c r="G42" s="1014">
        <v>0</v>
      </c>
      <c r="H42" s="975">
        <f t="shared" si="1"/>
        <v>0</v>
      </c>
      <c r="I42" s="975">
        <f t="shared" si="2"/>
        <v>0</v>
      </c>
    </row>
    <row r="43" spans="2:9" x14ac:dyDescent="0.25">
      <c r="B43" s="977">
        <f t="shared" si="3"/>
        <v>35</v>
      </c>
      <c r="C43" s="984" t="s">
        <v>473</v>
      </c>
      <c r="D43" s="982">
        <v>3864122096</v>
      </c>
      <c r="E43" s="982">
        <f t="shared" si="0"/>
        <v>322010174.66666669</v>
      </c>
      <c r="F43" s="1014">
        <f t="shared" si="4"/>
        <v>2223000000</v>
      </c>
      <c r="G43" s="1014">
        <v>185250000</v>
      </c>
      <c r="H43" s="975">
        <f t="shared" si="1"/>
        <v>4.616778707142462</v>
      </c>
      <c r="I43" s="975">
        <f t="shared" si="2"/>
        <v>0.28854866919640387</v>
      </c>
    </row>
    <row r="44" spans="2:9" x14ac:dyDescent="0.25">
      <c r="B44" s="977">
        <f t="shared" si="3"/>
        <v>36</v>
      </c>
      <c r="C44" s="984" t="s">
        <v>474</v>
      </c>
      <c r="D44" s="982">
        <v>810000</v>
      </c>
      <c r="E44" s="982">
        <f t="shared" si="0"/>
        <v>67500</v>
      </c>
      <c r="F44" s="1014">
        <f t="shared" si="4"/>
        <v>0</v>
      </c>
      <c r="G44" s="1014">
        <v>0</v>
      </c>
      <c r="H44" s="975">
        <f t="shared" si="1"/>
        <v>0</v>
      </c>
      <c r="I44" s="975">
        <f t="shared" si="2"/>
        <v>0</v>
      </c>
    </row>
    <row r="45" spans="2:9" x14ac:dyDescent="0.25">
      <c r="B45" s="977">
        <f t="shared" si="3"/>
        <v>37</v>
      </c>
      <c r="C45" s="984" t="s">
        <v>475</v>
      </c>
      <c r="D45" s="982">
        <v>185612516</v>
      </c>
      <c r="E45" s="982">
        <f t="shared" si="0"/>
        <v>15467709.666666666</v>
      </c>
      <c r="F45" s="1014">
        <f t="shared" si="4"/>
        <v>41405668</v>
      </c>
      <c r="G45" s="1014">
        <v>3450472.3333333335</v>
      </c>
      <c r="H45" s="975">
        <f t="shared" si="1"/>
        <v>8.5992265576882596E-2</v>
      </c>
      <c r="I45" s="975">
        <f t="shared" si="2"/>
        <v>5.3745165985551631E-3</v>
      </c>
    </row>
    <row r="46" spans="2:9" x14ac:dyDescent="0.25">
      <c r="B46" s="977">
        <f t="shared" si="3"/>
        <v>38</v>
      </c>
      <c r="C46" s="984" t="s">
        <v>476</v>
      </c>
      <c r="D46" s="982">
        <v>300000</v>
      </c>
      <c r="E46" s="982">
        <f t="shared" si="0"/>
        <v>25000</v>
      </c>
      <c r="F46" s="1014">
        <f t="shared" si="4"/>
        <v>25000000</v>
      </c>
      <c r="G46" s="1014">
        <v>2083333.3333333333</v>
      </c>
      <c r="H46" s="975">
        <f t="shared" si="1"/>
        <v>5.1920588249465383E-2</v>
      </c>
      <c r="I46" s="975">
        <f t="shared" si="2"/>
        <v>3.2450367655915864E-3</v>
      </c>
    </row>
    <row r="47" spans="2:9" x14ac:dyDescent="0.25">
      <c r="B47" s="977">
        <f t="shared" si="3"/>
        <v>39</v>
      </c>
      <c r="C47" s="984" t="s">
        <v>477</v>
      </c>
      <c r="D47" s="982">
        <v>497881607</v>
      </c>
      <c r="E47" s="982">
        <f t="shared" si="0"/>
        <v>41490133.916666664</v>
      </c>
      <c r="F47" s="1014">
        <f t="shared" si="4"/>
        <v>420000000</v>
      </c>
      <c r="G47" s="1014">
        <v>35000000</v>
      </c>
      <c r="H47" s="975">
        <f t="shared" si="1"/>
        <v>0.87226588259101845</v>
      </c>
      <c r="I47" s="975">
        <f t="shared" si="2"/>
        <v>5.451661766193866E-2</v>
      </c>
    </row>
    <row r="48" spans="2:9" x14ac:dyDescent="0.25">
      <c r="B48" s="977">
        <f t="shared" si="3"/>
        <v>40</v>
      </c>
      <c r="C48" s="984" t="s">
        <v>478</v>
      </c>
      <c r="D48" s="982">
        <v>79298165</v>
      </c>
      <c r="E48" s="982">
        <f t="shared" si="0"/>
        <v>6608180.416666667</v>
      </c>
      <c r="F48" s="1014">
        <f t="shared" si="4"/>
        <v>12458700</v>
      </c>
      <c r="G48" s="1014">
        <v>1038225</v>
      </c>
      <c r="H48" s="975">
        <f t="shared" si="1"/>
        <v>2.5874521312944574E-2</v>
      </c>
      <c r="I48" s="975">
        <f t="shared" si="2"/>
        <v>1.6171575820590359E-3</v>
      </c>
    </row>
    <row r="49" spans="2:9" x14ac:dyDescent="0.25">
      <c r="B49" s="977">
        <f t="shared" si="3"/>
        <v>41</v>
      </c>
      <c r="C49" s="984" t="s">
        <v>479</v>
      </c>
      <c r="D49" s="982"/>
      <c r="E49" s="982">
        <f t="shared" si="0"/>
        <v>0</v>
      </c>
      <c r="F49" s="1014">
        <f t="shared" si="4"/>
        <v>250000000</v>
      </c>
      <c r="G49" s="1014">
        <v>20833333.333333332</v>
      </c>
      <c r="H49" s="975">
        <f t="shared" si="1"/>
        <v>0.51920588249465383</v>
      </c>
      <c r="I49" s="975">
        <f t="shared" si="2"/>
        <v>3.2450367655915864E-2</v>
      </c>
    </row>
    <row r="50" spans="2:9" ht="13.5" thickBot="1" x14ac:dyDescent="0.3">
      <c r="B50" s="1015">
        <f t="shared" si="3"/>
        <v>42</v>
      </c>
      <c r="C50" s="1016" t="s">
        <v>480</v>
      </c>
      <c r="D50" s="1017">
        <v>11059767</v>
      </c>
      <c r="E50" s="1017">
        <f t="shared" si="0"/>
        <v>921647.25</v>
      </c>
      <c r="F50" s="1018">
        <f>G50*12</f>
        <v>0</v>
      </c>
      <c r="G50" s="1018">
        <v>0</v>
      </c>
      <c r="H50" s="975">
        <f t="shared" si="1"/>
        <v>0</v>
      </c>
      <c r="I50" s="975">
        <f t="shared" si="2"/>
        <v>0</v>
      </c>
    </row>
    <row r="51" spans="2:9" ht="19.350000000000001" customHeight="1" thickBot="1" x14ac:dyDescent="0.3">
      <c r="D51" s="1019">
        <f t="shared" ref="D51:I51" si="5">SUM(D9:D50)</f>
        <v>23796151105.279999</v>
      </c>
      <c r="E51" s="1019">
        <f t="shared" si="5"/>
        <v>1983012592.1066668</v>
      </c>
      <c r="F51" s="1020">
        <f t="shared" si="5"/>
        <v>17232676709.801701</v>
      </c>
      <c r="G51" s="1020">
        <f t="shared" si="5"/>
        <v>1436056392.483475</v>
      </c>
      <c r="H51" s="1021">
        <f t="shared" si="5"/>
        <v>35.789228475430647</v>
      </c>
      <c r="I51" s="1021">
        <f t="shared" si="5"/>
        <v>2.2368267797144155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D2" sqref="D2:L2"/>
    </sheetView>
  </sheetViews>
  <sheetFormatPr defaultRowHeight="15" x14ac:dyDescent="0.25"/>
  <cols>
    <col min="1" max="1" width="9.42578125" style="939" bestFit="1" customWidth="1"/>
    <col min="2" max="2" width="13.42578125" style="939" customWidth="1"/>
    <col min="3" max="3" width="49.5703125" style="939" bestFit="1" customWidth="1"/>
    <col min="4" max="4" width="39.42578125" style="939" bestFit="1" customWidth="1"/>
    <col min="5" max="5" width="9.42578125" style="939"/>
  </cols>
  <sheetData>
    <row r="1" spans="1:5" ht="24" customHeight="1" x14ac:dyDescent="0.25">
      <c r="A1" s="2416" t="s">
        <v>550</v>
      </c>
      <c r="B1" s="2416" t="s">
        <v>168</v>
      </c>
      <c r="C1" s="2416" t="s">
        <v>551</v>
      </c>
      <c r="D1" s="2416"/>
      <c r="E1" s="1042"/>
    </row>
    <row r="2" spans="1:5" ht="21" customHeight="1" x14ac:dyDescent="0.25">
      <c r="A2" s="2416"/>
      <c r="B2" s="2416"/>
      <c r="C2" s="1042" t="s">
        <v>16</v>
      </c>
      <c r="D2" s="1042" t="s">
        <v>552</v>
      </c>
      <c r="E2" s="1042"/>
    </row>
    <row r="3" spans="1:5" x14ac:dyDescent="0.25">
      <c r="A3" s="1036">
        <v>1</v>
      </c>
      <c r="B3" s="1037">
        <v>45536</v>
      </c>
      <c r="C3" s="1036"/>
      <c r="D3" s="1036"/>
      <c r="E3" s="304"/>
    </row>
    <row r="4" spans="1:5" x14ac:dyDescent="0.25">
      <c r="A4" s="1036">
        <v>2</v>
      </c>
      <c r="B4" s="1037">
        <v>45537</v>
      </c>
      <c r="C4" s="1036"/>
      <c r="D4" s="1036"/>
      <c r="E4" s="304"/>
    </row>
    <row r="5" spans="1:5" x14ac:dyDescent="0.25">
      <c r="A5" s="1036">
        <v>3</v>
      </c>
      <c r="B5" s="1037">
        <v>45538</v>
      </c>
      <c r="C5" s="1036"/>
      <c r="D5" s="1036"/>
      <c r="E5" s="304"/>
    </row>
    <row r="6" spans="1:5" x14ac:dyDescent="0.25">
      <c r="A6" s="1036">
        <v>4</v>
      </c>
      <c r="B6" s="1037">
        <v>45539</v>
      </c>
      <c r="C6" s="1036"/>
      <c r="D6" s="1036"/>
      <c r="E6" s="304"/>
    </row>
    <row r="7" spans="1:5" x14ac:dyDescent="0.25">
      <c r="A7" s="1036">
        <v>5</v>
      </c>
      <c r="B7" s="1037">
        <v>45540</v>
      </c>
      <c r="C7" s="1036"/>
      <c r="D7" s="1036"/>
      <c r="E7" s="304"/>
    </row>
    <row r="8" spans="1:5" x14ac:dyDescent="0.25">
      <c r="A8" s="1036">
        <v>6</v>
      </c>
      <c r="B8" s="1037">
        <v>45541</v>
      </c>
      <c r="C8" s="1036"/>
      <c r="D8" s="1036"/>
      <c r="E8" s="304"/>
    </row>
    <row r="9" spans="1:5" x14ac:dyDescent="0.25">
      <c r="A9" s="1036">
        <v>7</v>
      </c>
      <c r="B9" s="1037">
        <v>45542</v>
      </c>
      <c r="C9" s="1036"/>
      <c r="D9" s="1036"/>
      <c r="E9" s="304"/>
    </row>
    <row r="10" spans="1:5" x14ac:dyDescent="0.25">
      <c r="A10" s="1036">
        <v>8</v>
      </c>
      <c r="B10" s="1037">
        <v>45543</v>
      </c>
      <c r="C10" s="1036"/>
      <c r="D10" s="1036"/>
      <c r="E10" s="304"/>
    </row>
    <row r="11" spans="1:5" x14ac:dyDescent="0.25">
      <c r="A11" s="1036">
        <v>9</v>
      </c>
      <c r="B11" s="1037">
        <v>45544</v>
      </c>
      <c r="C11" s="1036"/>
      <c r="D11" s="1036"/>
      <c r="E11" s="304"/>
    </row>
    <row r="12" spans="1:5" x14ac:dyDescent="0.25">
      <c r="A12" s="1036">
        <v>10</v>
      </c>
      <c r="B12" s="1037">
        <v>45545</v>
      </c>
      <c r="C12" s="1036"/>
      <c r="D12" s="1036"/>
      <c r="E12" s="304"/>
    </row>
    <row r="13" spans="1:5" x14ac:dyDescent="0.25">
      <c r="A13" s="1036">
        <v>11</v>
      </c>
      <c r="B13" s="1037">
        <v>45546</v>
      </c>
      <c r="C13" s="1036"/>
      <c r="D13" s="1036"/>
      <c r="E13" s="304"/>
    </row>
    <row r="14" spans="1:5" x14ac:dyDescent="0.25">
      <c r="A14" s="1036">
        <v>12</v>
      </c>
      <c r="B14" s="1037">
        <v>45547</v>
      </c>
      <c r="C14" s="1036"/>
      <c r="D14" s="1036"/>
      <c r="E14" s="304"/>
    </row>
    <row r="15" spans="1:5" x14ac:dyDescent="0.25">
      <c r="A15" s="1036">
        <v>13</v>
      </c>
      <c r="B15" s="1037">
        <v>45548</v>
      </c>
      <c r="C15" s="1036"/>
      <c r="D15" s="1036"/>
      <c r="E15" s="304"/>
    </row>
    <row r="16" spans="1:5" x14ac:dyDescent="0.25">
      <c r="A16" s="1036">
        <v>14</v>
      </c>
      <c r="B16" s="1037">
        <v>45549</v>
      </c>
      <c r="C16" s="1036"/>
      <c r="D16" s="1036"/>
      <c r="E16" s="304"/>
    </row>
    <row r="17" spans="1:5" x14ac:dyDescent="0.25">
      <c r="A17" s="1036">
        <v>15</v>
      </c>
      <c r="B17" s="1037">
        <v>45550</v>
      </c>
      <c r="C17" s="1036"/>
      <c r="D17" s="1036"/>
      <c r="E17" s="304"/>
    </row>
    <row r="18" spans="1:5" x14ac:dyDescent="0.25">
      <c r="A18" s="1036">
        <v>16</v>
      </c>
      <c r="B18" s="1037">
        <v>45551</v>
      </c>
      <c r="C18" s="1036"/>
      <c r="D18" s="1036"/>
      <c r="E18" s="304"/>
    </row>
    <row r="19" spans="1:5" x14ac:dyDescent="0.25">
      <c r="A19" s="1036">
        <v>17</v>
      </c>
      <c r="B19" s="1037">
        <v>45552</v>
      </c>
      <c r="C19" s="1036"/>
      <c r="D19" s="1036"/>
      <c r="E19" s="304"/>
    </row>
    <row r="20" spans="1:5" x14ac:dyDescent="0.25">
      <c r="A20" s="1036">
        <v>18</v>
      </c>
      <c r="B20" s="1037">
        <v>45553</v>
      </c>
      <c r="C20" s="1036"/>
      <c r="D20" s="1036"/>
      <c r="E20" s="304"/>
    </row>
    <row r="21" spans="1:5" x14ac:dyDescent="0.25">
      <c r="A21" s="1036">
        <v>19</v>
      </c>
      <c r="B21" s="1037">
        <v>45554</v>
      </c>
      <c r="C21" s="1036"/>
      <c r="D21" s="1036"/>
      <c r="E21" s="304"/>
    </row>
    <row r="22" spans="1:5" x14ac:dyDescent="0.25">
      <c r="A22" s="1036">
        <v>20</v>
      </c>
      <c r="B22" s="1037">
        <v>45555</v>
      </c>
      <c r="C22" s="1036"/>
      <c r="D22" s="1036"/>
      <c r="E22" s="304"/>
    </row>
    <row r="23" spans="1:5" x14ac:dyDescent="0.25">
      <c r="A23" s="1036">
        <v>21</v>
      </c>
      <c r="B23" s="1037">
        <v>45556</v>
      </c>
      <c r="C23" s="1036"/>
      <c r="D23" s="1036"/>
      <c r="E23" s="304"/>
    </row>
    <row r="24" spans="1:5" x14ac:dyDescent="0.25">
      <c r="A24" s="1036">
        <v>22</v>
      </c>
      <c r="B24" s="1037">
        <v>45557</v>
      </c>
      <c r="C24" s="1036"/>
      <c r="D24" s="1036"/>
      <c r="E24" s="304"/>
    </row>
    <row r="25" spans="1:5" x14ac:dyDescent="0.25">
      <c r="A25" s="1036">
        <v>23</v>
      </c>
      <c r="B25" s="1037">
        <v>45558</v>
      </c>
      <c r="C25" s="1036"/>
      <c r="D25" s="1036"/>
      <c r="E25" s="304"/>
    </row>
    <row r="26" spans="1:5" ht="120" x14ac:dyDescent="0.25">
      <c r="A26" s="1036">
        <v>24</v>
      </c>
      <c r="B26" s="1037">
        <v>45559</v>
      </c>
      <c r="C26" s="1038" t="s">
        <v>556</v>
      </c>
      <c r="D26" s="1039" t="s">
        <v>553</v>
      </c>
      <c r="E26" s="304"/>
    </row>
    <row r="27" spans="1:5" ht="45" x14ac:dyDescent="0.25">
      <c r="A27" s="1036">
        <v>25</v>
      </c>
      <c r="B27" s="1037">
        <v>45560</v>
      </c>
      <c r="C27" s="1038" t="s">
        <v>554</v>
      </c>
      <c r="D27" s="1040" t="s">
        <v>555</v>
      </c>
      <c r="E27" s="304"/>
    </row>
    <row r="28" spans="1:5" x14ac:dyDescent="0.25">
      <c r="A28" s="1036">
        <v>26</v>
      </c>
      <c r="B28" s="1037">
        <v>45561</v>
      </c>
      <c r="C28" s="1041"/>
      <c r="D28" s="1036"/>
      <c r="E28" s="304"/>
    </row>
    <row r="29" spans="1:5" x14ac:dyDescent="0.25">
      <c r="A29" s="1036">
        <v>27</v>
      </c>
      <c r="B29" s="1037">
        <v>45562</v>
      </c>
      <c r="C29" s="1041"/>
      <c r="D29" s="1036"/>
      <c r="E29" s="304"/>
    </row>
    <row r="30" spans="1:5" x14ac:dyDescent="0.25">
      <c r="A30" s="1036">
        <v>28</v>
      </c>
      <c r="B30" s="1037">
        <v>45563</v>
      </c>
      <c r="C30" s="1041"/>
      <c r="D30" s="1036"/>
      <c r="E30" s="304"/>
    </row>
    <row r="31" spans="1:5" x14ac:dyDescent="0.25">
      <c r="A31" s="1036">
        <v>29</v>
      </c>
      <c r="B31" s="1037">
        <v>45564</v>
      </c>
      <c r="C31" s="1041"/>
      <c r="D31" s="1036"/>
      <c r="E31" s="304"/>
    </row>
    <row r="32" spans="1:5" x14ac:dyDescent="0.25">
      <c r="A32" s="1036">
        <v>30</v>
      </c>
      <c r="B32" s="1037">
        <v>45565</v>
      </c>
      <c r="C32" s="1041"/>
      <c r="D32" s="1036"/>
      <c r="E32" s="304"/>
    </row>
    <row r="33" spans="3:3" x14ac:dyDescent="0.25">
      <c r="C33" s="321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18" t="s">
        <v>171</v>
      </c>
      <c r="B2" s="2418"/>
      <c r="C2" s="2418"/>
      <c r="D2" s="2418"/>
      <c r="E2" s="2418"/>
      <c r="F2" s="2418"/>
      <c r="G2" s="2418"/>
      <c r="H2" s="2418"/>
      <c r="I2" s="2418"/>
      <c r="J2" s="2418"/>
      <c r="K2" s="2418"/>
      <c r="L2" s="2418"/>
      <c r="M2" s="2418"/>
      <c r="N2" s="2418"/>
      <c r="O2" s="2418"/>
      <c r="P2" s="2418"/>
      <c r="Q2" s="2418"/>
      <c r="R2" s="2418"/>
      <c r="S2" s="2418"/>
      <c r="T2" s="2418"/>
    </row>
    <row r="3" spans="1:23" ht="19.5" x14ac:dyDescent="0.3">
      <c r="A3" s="2418" t="s">
        <v>172</v>
      </c>
      <c r="B3" s="2418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</row>
    <row r="4" spans="1:23" x14ac:dyDescent="0.25">
      <c r="A4" s="346"/>
      <c r="B4" s="347"/>
      <c r="C4" s="348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50"/>
      <c r="S4" s="351"/>
      <c r="T4" s="352"/>
      <c r="U4" s="352"/>
    </row>
    <row r="5" spans="1:23" ht="15.75" x14ac:dyDescent="0.25">
      <c r="A5" s="2419" t="s">
        <v>211</v>
      </c>
      <c r="B5" s="2420"/>
      <c r="C5" s="2420"/>
      <c r="D5" s="2420"/>
      <c r="E5" s="2420"/>
      <c r="F5" s="2420"/>
      <c r="G5" s="2420"/>
      <c r="H5" s="2420"/>
      <c r="I5" s="2420"/>
      <c r="J5" s="2420"/>
      <c r="K5" s="2420"/>
      <c r="L5" s="2420"/>
      <c r="M5" s="2420"/>
      <c r="N5" s="2420"/>
      <c r="O5" s="2420"/>
      <c r="P5" s="2420"/>
      <c r="Q5" s="2420"/>
      <c r="R5" s="2420"/>
      <c r="S5" s="2420"/>
      <c r="T5" s="2420"/>
      <c r="U5" s="2420"/>
    </row>
    <row r="6" spans="1:23" s="314" customFormat="1" ht="38.85" customHeight="1" x14ac:dyDescent="0.25">
      <c r="A6" s="312" t="s">
        <v>174</v>
      </c>
      <c r="B6" s="312" t="s">
        <v>175</v>
      </c>
      <c r="C6" s="312" t="s">
        <v>176</v>
      </c>
      <c r="D6" s="312" t="s">
        <v>177</v>
      </c>
      <c r="E6" s="312" t="s">
        <v>178</v>
      </c>
      <c r="F6" s="312" t="s">
        <v>179</v>
      </c>
      <c r="G6" s="312" t="s">
        <v>180</v>
      </c>
      <c r="H6" s="312" t="s">
        <v>181</v>
      </c>
      <c r="I6" s="312" t="s">
        <v>182</v>
      </c>
      <c r="J6" s="312" t="s">
        <v>183</v>
      </c>
      <c r="K6" s="312" t="s">
        <v>184</v>
      </c>
      <c r="L6" s="312" t="s">
        <v>185</v>
      </c>
      <c r="M6" s="312" t="s">
        <v>186</v>
      </c>
      <c r="N6" s="335" t="s">
        <v>196</v>
      </c>
      <c r="O6" s="335" t="s">
        <v>197</v>
      </c>
      <c r="P6" s="335" t="s">
        <v>198</v>
      </c>
      <c r="Q6" s="312" t="s">
        <v>199</v>
      </c>
      <c r="R6" s="313" t="s">
        <v>187</v>
      </c>
      <c r="S6" s="312" t="s">
        <v>188</v>
      </c>
      <c r="T6" s="312" t="s">
        <v>189</v>
      </c>
      <c r="U6" s="312" t="s">
        <v>190</v>
      </c>
    </row>
    <row r="7" spans="1:23" x14ac:dyDescent="0.25">
      <c r="A7" s="315">
        <v>1</v>
      </c>
      <c r="B7" s="315" t="s">
        <v>191</v>
      </c>
      <c r="C7" s="316">
        <f>'[4]01 '!$Q$14</f>
        <v>744924</v>
      </c>
      <c r="D7" s="317">
        <f>'[4]02'!$Q$14</f>
        <v>743972</v>
      </c>
      <c r="E7" s="317">
        <f>'[4]03'!$Q$14</f>
        <v>1048435</v>
      </c>
      <c r="F7" s="317">
        <f>'[4]04'!$Q$14</f>
        <v>1114821</v>
      </c>
      <c r="G7" s="317">
        <v>248126</v>
      </c>
      <c r="H7" s="345">
        <v>389481</v>
      </c>
      <c r="I7" s="345">
        <v>104168</v>
      </c>
      <c r="J7" s="345">
        <v>320907</v>
      </c>
      <c r="K7" s="345">
        <v>100743</v>
      </c>
      <c r="L7" s="317">
        <v>512647</v>
      </c>
      <c r="M7" s="345">
        <v>441064</v>
      </c>
      <c r="N7" s="353">
        <v>524002</v>
      </c>
      <c r="O7" s="317">
        <v>568358</v>
      </c>
      <c r="P7" s="317">
        <v>430750</v>
      </c>
      <c r="Q7" s="317"/>
      <c r="R7" s="318">
        <f>SUM(C7:Q7)</f>
        <v>7292398</v>
      </c>
      <c r="S7" s="344"/>
      <c r="T7" s="2417"/>
      <c r="U7" s="2417"/>
    </row>
    <row r="8" spans="1:23" x14ac:dyDescent="0.25">
      <c r="A8" s="315">
        <v>2</v>
      </c>
      <c r="B8" s="315" t="s">
        <v>192</v>
      </c>
      <c r="C8" s="354">
        <v>713300</v>
      </c>
      <c r="D8" s="345">
        <v>708000</v>
      </c>
      <c r="E8" s="345">
        <v>993100</v>
      </c>
      <c r="F8" s="317">
        <v>1056000</v>
      </c>
      <c r="G8" s="345">
        <v>237021</v>
      </c>
      <c r="H8" s="345">
        <v>365100</v>
      </c>
      <c r="I8" s="345">
        <v>44001</v>
      </c>
      <c r="J8" s="345">
        <v>300010</v>
      </c>
      <c r="K8" s="355">
        <v>94507</v>
      </c>
      <c r="L8" s="356">
        <v>488153</v>
      </c>
      <c r="M8" s="355">
        <v>414337</v>
      </c>
      <c r="N8" s="317">
        <v>492952</v>
      </c>
      <c r="O8" s="317">
        <v>532902</v>
      </c>
      <c r="P8" s="317">
        <v>497845</v>
      </c>
      <c r="Q8" s="317"/>
      <c r="R8" s="318">
        <f>SUM(C8:Q8)</f>
        <v>6937228</v>
      </c>
      <c r="S8" s="345"/>
      <c r="T8" s="319">
        <f>R8/R7</f>
        <v>0.95129585631502833</v>
      </c>
      <c r="U8" s="319" t="e">
        <f>S8/S7</f>
        <v>#DIV/0!</v>
      </c>
      <c r="W8" s="317" t="e">
        <f>4984655+#REF!</f>
        <v>#REF!</v>
      </c>
    </row>
    <row r="9" spans="1:23" x14ac:dyDescent="0.25">
      <c r="A9" s="315">
        <v>3</v>
      </c>
      <c r="B9" s="315" t="s">
        <v>64</v>
      </c>
      <c r="C9" s="316">
        <f>'[4]01 '!$P$25</f>
        <v>25659</v>
      </c>
      <c r="D9" s="345">
        <v>28786</v>
      </c>
      <c r="E9" s="317">
        <f>'[4]03'!$P$25</f>
        <v>46938</v>
      </c>
      <c r="F9" s="317">
        <f>'[4]04'!$P$24</f>
        <v>48667</v>
      </c>
      <c r="G9" s="345">
        <v>8070</v>
      </c>
      <c r="H9" s="345">
        <v>19280</v>
      </c>
      <c r="I9" s="345">
        <v>3234</v>
      </c>
      <c r="J9" s="345">
        <v>18283</v>
      </c>
      <c r="K9" s="345">
        <v>5131</v>
      </c>
      <c r="L9" s="317">
        <v>20426</v>
      </c>
      <c r="M9" s="317">
        <v>23275</v>
      </c>
      <c r="N9" s="317">
        <v>27655</v>
      </c>
      <c r="O9" s="317">
        <v>25803</v>
      </c>
      <c r="P9" s="317">
        <v>20173</v>
      </c>
      <c r="Q9" s="317"/>
      <c r="R9" s="318">
        <f>SUM(C9:Q9)</f>
        <v>321380</v>
      </c>
      <c r="S9" s="345"/>
      <c r="T9" s="319">
        <f>R9/R7</f>
        <v>4.4070551278194085E-2</v>
      </c>
      <c r="U9" s="319" t="e">
        <f>S9/S7</f>
        <v>#DIV/0!</v>
      </c>
    </row>
    <row r="10" spans="1:23" x14ac:dyDescent="0.25">
      <c r="A10" s="346"/>
      <c r="B10" s="347"/>
      <c r="C10" s="343">
        <f>C8/C7</f>
        <v>0.95754734711192013</v>
      </c>
      <c r="D10" s="343">
        <f t="shared" ref="D10:P10" si="0">D8/D7</f>
        <v>0.95164871796250394</v>
      </c>
      <c r="E10" s="343">
        <f t="shared" si="0"/>
        <v>0.94722133465593961</v>
      </c>
      <c r="F10" s="343">
        <f t="shared" si="0"/>
        <v>0.94723726948093012</v>
      </c>
      <c r="G10" s="343">
        <f t="shared" si="0"/>
        <v>0.95524451286846201</v>
      </c>
      <c r="H10" s="343">
        <f t="shared" si="0"/>
        <v>0.93740131097537494</v>
      </c>
      <c r="I10" s="343">
        <f t="shared" si="0"/>
        <v>0.42240419322632672</v>
      </c>
      <c r="J10" s="343">
        <f t="shared" si="0"/>
        <v>0.9348814454031853</v>
      </c>
      <c r="K10" s="343">
        <f t="shared" si="0"/>
        <v>0.93809991761214173</v>
      </c>
      <c r="L10" s="343">
        <f t="shared" si="0"/>
        <v>0.95222053381761718</v>
      </c>
      <c r="M10" s="343">
        <f t="shared" si="0"/>
        <v>0.93940335189450963</v>
      </c>
      <c r="N10" s="343">
        <f t="shared" si="0"/>
        <v>0.94074450097518714</v>
      </c>
      <c r="O10" s="343">
        <f t="shared" si="0"/>
        <v>0.93761678378768309</v>
      </c>
      <c r="P10" s="343">
        <f t="shared" si="0"/>
        <v>1.1557632037144516</v>
      </c>
      <c r="Q10" s="349"/>
      <c r="R10" s="350"/>
      <c r="S10" s="351"/>
      <c r="T10" s="352"/>
      <c r="U10" s="352"/>
    </row>
    <row r="11" spans="1:23" x14ac:dyDescent="0.25">
      <c r="A11" s="346"/>
      <c r="B11" s="347"/>
      <c r="C11" s="343">
        <f>C9/C7*1</f>
        <v>3.4445124603315239E-2</v>
      </c>
      <c r="D11" s="343">
        <f t="shared" ref="D11:P11" si="1">D9/D7*1</f>
        <v>3.8692316377498079E-2</v>
      </c>
      <c r="E11" s="343">
        <f t="shared" si="1"/>
        <v>4.4769585143571135E-2</v>
      </c>
      <c r="F11" s="343">
        <f t="shared" si="1"/>
        <v>4.3654541850216312E-2</v>
      </c>
      <c r="G11" s="343">
        <f t="shared" si="1"/>
        <v>3.2523798392752067E-2</v>
      </c>
      <c r="H11" s="343">
        <f t="shared" si="1"/>
        <v>4.9501772872104159E-2</v>
      </c>
      <c r="I11" s="343">
        <f t="shared" si="1"/>
        <v>3.1046002611166579E-2</v>
      </c>
      <c r="J11" s="343">
        <f t="shared" si="1"/>
        <v>5.6972892457939531E-2</v>
      </c>
      <c r="K11" s="343">
        <f t="shared" si="1"/>
        <v>5.0931578372690904E-2</v>
      </c>
      <c r="L11" s="343">
        <f t="shared" si="1"/>
        <v>3.9844181278735659E-2</v>
      </c>
      <c r="M11" s="343">
        <f t="shared" si="1"/>
        <v>5.2770119529138626E-2</v>
      </c>
      <c r="N11" s="343">
        <f t="shared" si="1"/>
        <v>5.2776516120167483E-2</v>
      </c>
      <c r="O11" s="343">
        <f t="shared" si="1"/>
        <v>4.5399202615253063E-2</v>
      </c>
      <c r="P11" s="343">
        <f t="shared" si="1"/>
        <v>4.6832269297736505E-2</v>
      </c>
      <c r="Q11" s="349"/>
      <c r="R11" s="350"/>
      <c r="S11" s="351"/>
      <c r="T11" s="352"/>
      <c r="U11" s="352"/>
    </row>
    <row r="12" spans="1:23" x14ac:dyDescent="0.25">
      <c r="A12" s="346"/>
      <c r="B12" s="347" t="s">
        <v>212</v>
      </c>
      <c r="C12" s="343">
        <f>(C7-C8-C9)/C7</f>
        <v>8.0075282847646197E-3</v>
      </c>
      <c r="D12" s="343">
        <f t="shared" ref="D12:P12" si="2">(D7-D8-D9)/D7</f>
        <v>9.6589656599979576E-3</v>
      </c>
      <c r="E12" s="343">
        <f t="shared" si="2"/>
        <v>8.0090802004893005E-3</v>
      </c>
      <c r="F12" s="343">
        <f t="shared" si="2"/>
        <v>9.1081886688535642E-3</v>
      </c>
      <c r="G12" s="343">
        <f t="shared" si="2"/>
        <v>1.223168873878594E-2</v>
      </c>
      <c r="H12" s="343">
        <f t="shared" si="2"/>
        <v>1.309691615252092E-2</v>
      </c>
      <c r="I12" s="343">
        <f>(I7-I8-I9)/I7</f>
        <v>0.54654980416250676</v>
      </c>
      <c r="J12" s="343">
        <f t="shared" si="2"/>
        <v>8.1456621388751264E-3</v>
      </c>
      <c r="K12" s="343">
        <f t="shared" si="2"/>
        <v>1.0968504015167307E-2</v>
      </c>
      <c r="L12" s="343">
        <f t="shared" si="2"/>
        <v>7.9352849036471492E-3</v>
      </c>
      <c r="M12" s="343">
        <f t="shared" si="2"/>
        <v>7.8265285763517312E-3</v>
      </c>
      <c r="N12" s="343">
        <f t="shared" si="2"/>
        <v>6.4789829046454023E-3</v>
      </c>
      <c r="O12" s="343">
        <f t="shared" si="2"/>
        <v>1.6984013597063821E-2</v>
      </c>
      <c r="P12" s="343">
        <f t="shared" si="2"/>
        <v>-0.20259547301218805</v>
      </c>
      <c r="Q12" s="349"/>
      <c r="R12" s="350"/>
      <c r="S12" s="351"/>
      <c r="T12" s="352"/>
      <c r="U12" s="352"/>
    </row>
    <row r="13" spans="1:23" x14ac:dyDescent="0.25">
      <c r="A13" s="346"/>
      <c r="B13" s="347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9"/>
      <c r="R13" s="350"/>
      <c r="S13" s="351"/>
      <c r="T13" s="352"/>
      <c r="U13" s="352"/>
    </row>
    <row r="14" spans="1:23" ht="15.75" x14ac:dyDescent="0.25">
      <c r="A14" s="2419" t="s">
        <v>213</v>
      </c>
      <c r="B14" s="2420"/>
      <c r="C14" s="2420"/>
      <c r="D14" s="2420"/>
      <c r="E14" s="2420"/>
      <c r="F14" s="2420"/>
      <c r="G14" s="2420"/>
      <c r="H14" s="2420"/>
      <c r="I14" s="2420"/>
      <c r="J14" s="2420"/>
      <c r="K14" s="2420"/>
      <c r="L14" s="2420"/>
      <c r="M14" s="2420"/>
      <c r="N14" s="2420"/>
      <c r="O14" s="2420"/>
      <c r="P14" s="2420"/>
      <c r="Q14" s="2420"/>
      <c r="R14" s="2420"/>
      <c r="S14" s="2420"/>
      <c r="T14" s="2420"/>
      <c r="U14" s="2420"/>
    </row>
    <row r="15" spans="1:23" s="314" customFormat="1" ht="38.85" customHeight="1" x14ac:dyDescent="0.25">
      <c r="A15" s="312" t="s">
        <v>174</v>
      </c>
      <c r="B15" s="312" t="s">
        <v>175</v>
      </c>
      <c r="C15" s="312" t="s">
        <v>176</v>
      </c>
      <c r="D15" s="312" t="s">
        <v>177</v>
      </c>
      <c r="E15" s="312" t="s">
        <v>178</v>
      </c>
      <c r="F15" s="312" t="s">
        <v>179</v>
      </c>
      <c r="G15" s="312" t="s">
        <v>180</v>
      </c>
      <c r="H15" s="312" t="s">
        <v>181</v>
      </c>
      <c r="I15" s="312" t="s">
        <v>182</v>
      </c>
      <c r="J15" s="312" t="s">
        <v>183</v>
      </c>
      <c r="K15" s="312" t="s">
        <v>184</v>
      </c>
      <c r="L15" s="312" t="s">
        <v>185</v>
      </c>
      <c r="M15" s="312" t="s">
        <v>186</v>
      </c>
      <c r="N15" s="335" t="s">
        <v>196</v>
      </c>
      <c r="O15" s="335" t="s">
        <v>197</v>
      </c>
      <c r="P15" s="335" t="s">
        <v>198</v>
      </c>
      <c r="Q15" s="312" t="s">
        <v>199</v>
      </c>
      <c r="R15" s="313" t="s">
        <v>187</v>
      </c>
      <c r="S15" s="312" t="s">
        <v>188</v>
      </c>
      <c r="T15" s="312" t="s">
        <v>189</v>
      </c>
      <c r="U15" s="312" t="s">
        <v>190</v>
      </c>
    </row>
    <row r="16" spans="1:23" x14ac:dyDescent="0.25">
      <c r="A16" s="315">
        <v>1</v>
      </c>
      <c r="B16" s="315" t="s">
        <v>191</v>
      </c>
      <c r="C16" s="316">
        <v>680800</v>
      </c>
      <c r="D16" s="317">
        <v>806400</v>
      </c>
      <c r="E16" s="317">
        <v>858600</v>
      </c>
      <c r="F16" s="317">
        <v>898100</v>
      </c>
      <c r="G16" s="317">
        <v>26100</v>
      </c>
      <c r="H16" s="317">
        <v>513200</v>
      </c>
      <c r="I16" s="317">
        <v>119200</v>
      </c>
      <c r="J16" s="317">
        <v>208900</v>
      </c>
      <c r="K16" s="317">
        <v>147700</v>
      </c>
      <c r="L16" s="317">
        <v>425800</v>
      </c>
      <c r="M16" s="317">
        <v>347900</v>
      </c>
      <c r="N16" s="317">
        <v>459100</v>
      </c>
      <c r="O16" s="317">
        <v>509200</v>
      </c>
      <c r="P16" s="317">
        <v>396700</v>
      </c>
      <c r="Q16" s="317">
        <v>20200</v>
      </c>
      <c r="R16" s="318">
        <f>SUM(C16:Q16)</f>
        <v>6417900</v>
      </c>
      <c r="S16" s="344">
        <f>5745000+14073+R19</f>
        <v>7292813</v>
      </c>
      <c r="T16" s="2417"/>
      <c r="U16" s="2417"/>
    </row>
    <row r="17" spans="1:23" x14ac:dyDescent="0.25">
      <c r="A17" s="315">
        <v>2</v>
      </c>
      <c r="B17" s="315" t="s">
        <v>192</v>
      </c>
      <c r="C17" s="316">
        <v>722400</v>
      </c>
      <c r="D17" s="317">
        <v>826700</v>
      </c>
      <c r="E17" s="317">
        <v>980700</v>
      </c>
      <c r="F17" s="317">
        <v>980600</v>
      </c>
      <c r="G17" s="317">
        <v>19900</v>
      </c>
      <c r="H17" s="317">
        <v>582000</v>
      </c>
      <c r="I17" s="317">
        <v>150500</v>
      </c>
      <c r="J17" s="317">
        <v>215300</v>
      </c>
      <c r="K17" s="340">
        <v>70837</v>
      </c>
      <c r="L17" s="340">
        <v>488153</v>
      </c>
      <c r="M17" s="340">
        <v>379337</v>
      </c>
      <c r="N17" s="317">
        <v>502200</v>
      </c>
      <c r="O17" s="317">
        <v>535800</v>
      </c>
      <c r="P17" s="317">
        <v>412600</v>
      </c>
      <c r="Q17" s="317">
        <v>92100</v>
      </c>
      <c r="R17" s="318">
        <f>SUM(C17:Q17)</f>
        <v>6959127</v>
      </c>
      <c r="S17" s="345">
        <f>SUM(C17:M17)+R20</f>
        <v>6940126</v>
      </c>
      <c r="T17" s="319">
        <f>R17/R16</f>
        <v>1.0843308558874398</v>
      </c>
      <c r="U17" s="319">
        <f>S17/S16</f>
        <v>0.95163910002902863</v>
      </c>
      <c r="W17" s="317">
        <f>4984655+R20</f>
        <v>6508354</v>
      </c>
    </row>
    <row r="18" spans="1:23" x14ac:dyDescent="0.25">
      <c r="A18" s="315">
        <v>3</v>
      </c>
      <c r="B18" s="315" t="s">
        <v>64</v>
      </c>
      <c r="C18" s="316">
        <v>37300</v>
      </c>
      <c r="D18" s="317">
        <v>38700</v>
      </c>
      <c r="E18" s="317">
        <v>49500</v>
      </c>
      <c r="F18" s="317">
        <v>47100</v>
      </c>
      <c r="G18" s="317">
        <v>3800</v>
      </c>
      <c r="H18" s="317">
        <v>30300</v>
      </c>
      <c r="I18" s="317">
        <v>9300</v>
      </c>
      <c r="J18" s="317">
        <v>14000</v>
      </c>
      <c r="K18" s="317">
        <v>14800</v>
      </c>
      <c r="L18" s="317">
        <v>25100</v>
      </c>
      <c r="M18" s="317">
        <v>23400</v>
      </c>
      <c r="N18" s="317">
        <v>23900</v>
      </c>
      <c r="O18" s="317">
        <v>26800</v>
      </c>
      <c r="P18" s="317">
        <v>22200</v>
      </c>
      <c r="Q18" s="317">
        <v>5900</v>
      </c>
      <c r="R18" s="318">
        <f>SUM(C18:Q18)</f>
        <v>372100</v>
      </c>
      <c r="S18" s="345">
        <f>248746+R21</f>
        <v>322377</v>
      </c>
      <c r="T18" s="319">
        <f>R18/R16</f>
        <v>5.7978466476573336E-2</v>
      </c>
      <c r="U18" s="319">
        <f>S18/S16</f>
        <v>4.4204753364716742E-2</v>
      </c>
    </row>
    <row r="19" spans="1:23" x14ac:dyDescent="0.25">
      <c r="A19" s="320"/>
      <c r="B19" s="320"/>
      <c r="C19" s="343">
        <f>C17/C16</f>
        <v>1.0611045828437133</v>
      </c>
      <c r="D19" s="343">
        <f t="shared" ref="D19:K19" si="3">D17/D16</f>
        <v>1.0251736111111112</v>
      </c>
      <c r="E19" s="343">
        <f t="shared" si="3"/>
        <v>1.1422082459818308</v>
      </c>
      <c r="F19" s="343">
        <f t="shared" si="3"/>
        <v>1.091860594588576</v>
      </c>
      <c r="G19" s="343">
        <f t="shared" si="3"/>
        <v>0.76245210727969348</v>
      </c>
      <c r="H19" s="343">
        <f t="shared" si="3"/>
        <v>1.1340607950116914</v>
      </c>
      <c r="I19" s="343">
        <f t="shared" si="3"/>
        <v>1.2625838926174497</v>
      </c>
      <c r="J19" s="343">
        <f t="shared" si="3"/>
        <v>1.0306366682623265</v>
      </c>
      <c r="K19" s="343">
        <f t="shared" si="3"/>
        <v>0.47960054163845633</v>
      </c>
      <c r="L19" s="331">
        <v>269515</v>
      </c>
      <c r="M19" s="321" t="s">
        <v>200</v>
      </c>
      <c r="N19" s="332">
        <v>534002</v>
      </c>
      <c r="O19" s="333">
        <v>568773</v>
      </c>
      <c r="P19" s="333">
        <v>430750</v>
      </c>
      <c r="Q19" s="333">
        <v>269300</v>
      </c>
      <c r="R19" s="322">
        <f>L19+N19+O19+P19-Q19</f>
        <v>1533740</v>
      </c>
      <c r="S19" s="322"/>
      <c r="U19" s="323">
        <f>100%-U17-U18</f>
        <v>4.1561466062546293E-3</v>
      </c>
      <c r="V19" t="s">
        <v>193</v>
      </c>
    </row>
    <row r="20" spans="1:23" x14ac:dyDescent="0.25">
      <c r="A20" s="320"/>
      <c r="B20" s="320"/>
      <c r="C20" s="321"/>
      <c r="M20" s="321" t="s">
        <v>192</v>
      </c>
      <c r="N20" s="332">
        <v>492952</v>
      </c>
      <c r="O20" s="333">
        <v>532902</v>
      </c>
      <c r="P20" s="333">
        <v>497845</v>
      </c>
      <c r="Q20" s="333"/>
      <c r="R20" s="322">
        <f>SUM(N20:P20)</f>
        <v>1523699</v>
      </c>
    </row>
    <row r="21" spans="1:23" x14ac:dyDescent="0.25">
      <c r="A21" s="320"/>
      <c r="B21" s="320"/>
      <c r="C21" s="321"/>
      <c r="M21" s="321"/>
      <c r="N21" s="359">
        <v>27655</v>
      </c>
      <c r="O21" s="333">
        <v>25803</v>
      </c>
      <c r="P21" s="333">
        <v>20173</v>
      </c>
      <c r="Q21" s="333"/>
      <c r="R21" s="322">
        <f>SUM(N21:P21)</f>
        <v>73631</v>
      </c>
    </row>
    <row r="22" spans="1:23" ht="19.5" x14ac:dyDescent="0.3">
      <c r="A22" s="310"/>
      <c r="B22" s="342" t="s">
        <v>207</v>
      </c>
      <c r="C22" s="2421" t="s">
        <v>208</v>
      </c>
      <c r="D22" s="2421"/>
      <c r="E22" s="2421"/>
      <c r="F22" s="2421"/>
      <c r="G22" s="2421"/>
      <c r="H22" s="2421"/>
      <c r="I22" s="2421"/>
      <c r="J22" s="2421"/>
      <c r="K22" s="2421"/>
      <c r="L22" s="2421"/>
      <c r="M22" s="321"/>
      <c r="N22" s="341"/>
      <c r="O22" s="341"/>
      <c r="P22" s="334"/>
      <c r="Q22" s="334"/>
      <c r="R22" s="322"/>
    </row>
    <row r="23" spans="1:23" ht="19.5" x14ac:dyDescent="0.3">
      <c r="A23" s="310"/>
      <c r="B23" s="310"/>
      <c r="C23" s="2422" t="s">
        <v>209</v>
      </c>
      <c r="D23" s="2422"/>
      <c r="E23" s="2422"/>
      <c r="F23" s="2422"/>
      <c r="G23" s="2422"/>
      <c r="H23" s="2422"/>
      <c r="I23" s="2422"/>
      <c r="J23" s="2422"/>
      <c r="K23" s="2422"/>
      <c r="L23" s="2422"/>
      <c r="M23" s="321"/>
      <c r="N23" s="341"/>
      <c r="O23" s="341"/>
      <c r="P23" s="334"/>
      <c r="Q23" s="334"/>
      <c r="R23" s="322"/>
    </row>
    <row r="24" spans="1:23" ht="19.5" x14ac:dyDescent="0.3">
      <c r="A24" s="310"/>
      <c r="B24" s="310"/>
      <c r="C24" s="2422" t="s">
        <v>210</v>
      </c>
      <c r="D24" s="2422"/>
      <c r="E24" s="2422"/>
      <c r="F24" s="2422"/>
      <c r="G24" s="2422"/>
      <c r="H24" s="2422"/>
      <c r="I24" s="2422"/>
      <c r="J24" s="2422"/>
      <c r="K24" s="320"/>
      <c r="L24" s="320"/>
      <c r="M24" s="321"/>
      <c r="N24" s="341"/>
      <c r="O24" s="341"/>
      <c r="P24" s="334"/>
      <c r="Q24" s="334"/>
      <c r="R24" s="322"/>
    </row>
    <row r="25" spans="1:23" ht="19.5" x14ac:dyDescent="0.3">
      <c r="A25" s="2418" t="s">
        <v>194</v>
      </c>
      <c r="B25" s="2418"/>
      <c r="C25" s="311"/>
      <c r="D25" s="311"/>
      <c r="E25" s="311"/>
      <c r="F25" s="311"/>
      <c r="G25" s="311"/>
      <c r="H25" s="310"/>
      <c r="I25" s="311"/>
      <c r="J25" s="311"/>
      <c r="K25" s="311"/>
      <c r="L25" s="311"/>
      <c r="M25" s="321"/>
      <c r="N25" s="334"/>
      <c r="O25" s="334"/>
      <c r="P25" s="334"/>
      <c r="Q25" s="334"/>
      <c r="R25" s="322"/>
    </row>
    <row r="26" spans="1:23" ht="15.75" x14ac:dyDescent="0.25">
      <c r="A26" s="2241" t="s">
        <v>173</v>
      </c>
      <c r="B26" s="2241"/>
      <c r="C26" s="2241"/>
      <c r="D26" s="2241"/>
      <c r="E26" s="2241"/>
      <c r="F26" s="2241"/>
      <c r="G26" s="2241"/>
      <c r="H26" s="2241"/>
      <c r="I26" s="2241"/>
      <c r="J26" s="2241"/>
      <c r="K26" s="2241"/>
      <c r="L26" s="2241"/>
      <c r="M26" s="2241"/>
      <c r="N26" s="2241"/>
      <c r="O26" s="2241"/>
      <c r="P26" s="2241"/>
      <c r="Q26" s="2241"/>
      <c r="R26" s="2241"/>
      <c r="S26" s="2241"/>
      <c r="T26" s="2241"/>
    </row>
    <row r="27" spans="1:23" s="314" customFormat="1" ht="38.85" customHeight="1" x14ac:dyDescent="0.25">
      <c r="A27" s="312" t="s">
        <v>174</v>
      </c>
      <c r="B27" s="312" t="s">
        <v>175</v>
      </c>
      <c r="C27" s="312" t="s">
        <v>176</v>
      </c>
      <c r="D27" s="312" t="s">
        <v>177</v>
      </c>
      <c r="E27" s="312" t="s">
        <v>178</v>
      </c>
      <c r="F27" s="312" t="s">
        <v>179</v>
      </c>
      <c r="G27" s="312" t="s">
        <v>180</v>
      </c>
      <c r="H27" s="312" t="s">
        <v>181</v>
      </c>
      <c r="I27" s="312" t="s">
        <v>182</v>
      </c>
      <c r="J27" s="312" t="s">
        <v>183</v>
      </c>
      <c r="K27" s="312" t="s">
        <v>184</v>
      </c>
      <c r="L27" s="312" t="s">
        <v>185</v>
      </c>
      <c r="M27" s="312" t="s">
        <v>186</v>
      </c>
      <c r="N27" s="312" t="s">
        <v>196</v>
      </c>
      <c r="O27" s="312" t="s">
        <v>197</v>
      </c>
      <c r="P27" s="312" t="s">
        <v>198</v>
      </c>
      <c r="Q27" s="312" t="s">
        <v>199</v>
      </c>
      <c r="R27" s="313" t="s">
        <v>187</v>
      </c>
      <c r="S27" s="312" t="s">
        <v>188</v>
      </c>
      <c r="T27" s="312" t="s">
        <v>127</v>
      </c>
    </row>
    <row r="28" spans="1:23" s="328" customFormat="1" ht="15" customHeight="1" x14ac:dyDescent="0.25">
      <c r="A28" s="312">
        <v>1</v>
      </c>
      <c r="B28" s="324" t="s">
        <v>192</v>
      </c>
      <c r="C28" s="325">
        <v>667300</v>
      </c>
      <c r="D28" s="325">
        <v>695000</v>
      </c>
      <c r="E28" s="325">
        <v>814100</v>
      </c>
      <c r="F28" s="325">
        <v>760000</v>
      </c>
      <c r="G28" s="325">
        <v>620300</v>
      </c>
      <c r="H28" s="325">
        <v>587100</v>
      </c>
      <c r="I28" s="325">
        <v>118500</v>
      </c>
      <c r="J28" s="325">
        <v>0</v>
      </c>
      <c r="K28" s="325">
        <v>253000</v>
      </c>
      <c r="L28" s="325">
        <v>0</v>
      </c>
      <c r="M28" s="325">
        <v>466900</v>
      </c>
      <c r="N28" s="325">
        <v>258400</v>
      </c>
      <c r="O28" s="325">
        <v>584400</v>
      </c>
      <c r="P28" s="325">
        <v>680200</v>
      </c>
      <c r="Q28" s="325"/>
      <c r="R28" s="326">
        <f>SUM(C28:Q28)</f>
        <v>6505200</v>
      </c>
      <c r="S28" s="326"/>
      <c r="T28" s="327"/>
    </row>
    <row r="29" spans="1:23" x14ac:dyDescent="0.25">
      <c r="A29" s="312">
        <v>2</v>
      </c>
      <c r="B29" s="315" t="s">
        <v>195</v>
      </c>
      <c r="C29" s="316">
        <v>518400</v>
      </c>
      <c r="D29" s="329">
        <v>487200</v>
      </c>
      <c r="E29" s="329">
        <v>539100</v>
      </c>
      <c r="F29" s="329">
        <v>571900</v>
      </c>
      <c r="G29" s="329">
        <v>554300</v>
      </c>
      <c r="H29" s="329">
        <v>449900</v>
      </c>
      <c r="I29" s="329">
        <v>209900</v>
      </c>
      <c r="J29" s="329">
        <v>0</v>
      </c>
      <c r="K29" s="329">
        <v>297100</v>
      </c>
      <c r="L29" s="329">
        <v>0</v>
      </c>
      <c r="M29" s="316">
        <v>472500</v>
      </c>
      <c r="N29" s="316">
        <v>207400</v>
      </c>
      <c r="O29" s="316">
        <v>239100</v>
      </c>
      <c r="P29" s="316">
        <v>414100</v>
      </c>
      <c r="Q29" s="316"/>
      <c r="R29" s="326">
        <f>SUM(C29:Q29)</f>
        <v>4960900</v>
      </c>
      <c r="S29" s="330"/>
      <c r="T29" s="330"/>
    </row>
    <row r="30" spans="1:23" x14ac:dyDescent="0.25">
      <c r="A30" s="312">
        <v>3</v>
      </c>
      <c r="B30" s="315" t="s">
        <v>73</v>
      </c>
      <c r="C30" s="316">
        <v>207500</v>
      </c>
      <c r="D30" s="329">
        <v>202900</v>
      </c>
      <c r="E30" s="329">
        <v>215500</v>
      </c>
      <c r="F30" s="329">
        <f>27400+151100+55600</f>
        <v>234100</v>
      </c>
      <c r="G30" s="329">
        <v>213300</v>
      </c>
      <c r="H30" s="329">
        <v>183700</v>
      </c>
      <c r="I30" s="329">
        <v>104800</v>
      </c>
      <c r="J30" s="329">
        <v>0</v>
      </c>
      <c r="K30" s="329">
        <v>93900</v>
      </c>
      <c r="L30" s="329">
        <v>0</v>
      </c>
      <c r="M30" s="316">
        <v>172400</v>
      </c>
      <c r="N30" s="316">
        <v>111100</v>
      </c>
      <c r="O30" s="316">
        <v>81200</v>
      </c>
      <c r="P30" s="316">
        <v>193200</v>
      </c>
      <c r="Q30" s="316"/>
      <c r="R30" s="326">
        <f>SUM(C30:Q30)</f>
        <v>2013600</v>
      </c>
      <c r="S30" s="330"/>
      <c r="T30" s="330"/>
    </row>
    <row r="31" spans="1:23" x14ac:dyDescent="0.25">
      <c r="A31" s="314"/>
      <c r="B31" s="320"/>
      <c r="C31" s="336"/>
      <c r="D31" s="337"/>
      <c r="E31" s="337"/>
      <c r="F31" s="337"/>
      <c r="G31" s="337"/>
      <c r="H31" s="337"/>
      <c r="I31" s="337"/>
      <c r="J31" s="337"/>
      <c r="K31" s="337"/>
      <c r="L31" s="337"/>
      <c r="M31" s="336"/>
      <c r="N31" s="336"/>
      <c r="O31" s="336"/>
      <c r="P31" s="336"/>
      <c r="Q31" s="336"/>
      <c r="R31" s="338"/>
      <c r="S31" s="339"/>
      <c r="T31" s="339"/>
    </row>
    <row r="32" spans="1:23" x14ac:dyDescent="0.25">
      <c r="O32" s="2423" t="s">
        <v>201</v>
      </c>
      <c r="P32" s="2423"/>
      <c r="Q32" s="2423"/>
      <c r="R32" s="331">
        <f>1311190</f>
        <v>1311190</v>
      </c>
      <c r="S32" s="331"/>
    </row>
    <row r="33" spans="2:19" x14ac:dyDescent="0.25">
      <c r="B33" s="315"/>
      <c r="O33" s="2423" t="s">
        <v>202</v>
      </c>
      <c r="P33" s="2423"/>
      <c r="Q33" s="2423"/>
      <c r="R33" s="331">
        <v>3865830</v>
      </c>
      <c r="S33" s="331"/>
    </row>
    <row r="34" spans="2:19" x14ac:dyDescent="0.25">
      <c r="O34" s="2423" t="s">
        <v>203</v>
      </c>
      <c r="P34" s="2423"/>
      <c r="Q34" s="2423"/>
      <c r="R34" s="331">
        <v>1888995</v>
      </c>
      <c r="S34" s="331"/>
    </row>
    <row r="35" spans="2:19" x14ac:dyDescent="0.25">
      <c r="O35" s="2423" t="s">
        <v>204</v>
      </c>
      <c r="P35" s="2423"/>
      <c r="Q35" s="2423"/>
      <c r="R35" s="331">
        <v>1320540.5602713902</v>
      </c>
      <c r="S35" s="331"/>
    </row>
    <row r="36" spans="2:19" x14ac:dyDescent="0.25">
      <c r="O36" s="357"/>
      <c r="P36" s="357"/>
      <c r="Q36" s="357"/>
      <c r="R36" s="331">
        <f>R32+R33+R34-R35</f>
        <v>5745474.4397286102</v>
      </c>
      <c r="S36" s="331"/>
    </row>
    <row r="37" spans="2:19" x14ac:dyDescent="0.25">
      <c r="O37" s="357"/>
      <c r="P37" s="357"/>
      <c r="Q37" s="357"/>
      <c r="R37" s="331"/>
      <c r="S37" s="331"/>
    </row>
    <row r="38" spans="2:19" x14ac:dyDescent="0.25">
      <c r="O38" s="2422" t="s">
        <v>205</v>
      </c>
      <c r="P38" s="2422"/>
      <c r="Q38" s="2422"/>
      <c r="R38" s="331">
        <v>178489.21760545607</v>
      </c>
      <c r="S38" s="331"/>
    </row>
    <row r="39" spans="2:19" x14ac:dyDescent="0.25">
      <c r="O39" s="2422" t="s">
        <v>206</v>
      </c>
      <c r="P39" s="2422"/>
      <c r="Q39" s="2422"/>
      <c r="R39" s="331">
        <f>SUM(C28:M28)</f>
        <v>4982200</v>
      </c>
      <c r="S39" s="331"/>
    </row>
    <row r="40" spans="2:19" x14ac:dyDescent="0.25">
      <c r="O40" s="2422" t="s">
        <v>204</v>
      </c>
      <c r="P40" s="2422"/>
      <c r="Q40" s="2422"/>
      <c r="R40" s="331"/>
      <c r="S40" s="331"/>
    </row>
    <row r="41" spans="2:19" x14ac:dyDescent="0.25">
      <c r="R41" s="331"/>
      <c r="S41" s="331"/>
    </row>
    <row r="42" spans="2:19" x14ac:dyDescent="0.25">
      <c r="R42" s="331"/>
      <c r="S42" s="331"/>
    </row>
  </sheetData>
  <mergeCells count="18">
    <mergeCell ref="O38:Q38"/>
    <mergeCell ref="O39:Q39"/>
    <mergeCell ref="O40:Q40"/>
    <mergeCell ref="O33:Q33"/>
    <mergeCell ref="O32:Q32"/>
    <mergeCell ref="O34:Q34"/>
    <mergeCell ref="O35:Q35"/>
    <mergeCell ref="C22:L22"/>
    <mergeCell ref="C23:L23"/>
    <mergeCell ref="C24:J24"/>
    <mergeCell ref="A25:B25"/>
    <mergeCell ref="A26:T26"/>
    <mergeCell ref="T16:U16"/>
    <mergeCell ref="A2:T2"/>
    <mergeCell ref="A3:B3"/>
    <mergeCell ref="A5:U5"/>
    <mergeCell ref="T7:U7"/>
    <mergeCell ref="A14:U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32</vt:i4>
      </vt:variant>
      <vt:variant>
        <vt:lpstr>Rentang Bernama</vt:lpstr>
      </vt:variant>
      <vt:variant>
        <vt:i4>4</vt:i4>
      </vt:variant>
    </vt:vector>
  </HeadingPairs>
  <TitlesOfParts>
    <vt:vector size="36" baseType="lpstr">
      <vt:lpstr>Januari 2026 PMG 1</vt:lpstr>
      <vt:lpstr>OIP Ref PMG 1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Lembar1</vt:lpstr>
      <vt:lpstr>OIP Fract PMG 1</vt:lpstr>
      <vt:lpstr>Convert Gas</vt:lpstr>
      <vt:lpstr>Januari 2026 PMG 2</vt:lpstr>
      <vt:lpstr>OIP Ref PMG 2</vt:lpstr>
      <vt:lpstr>OIP Fract PMG 2</vt:lpstr>
      <vt:lpstr>2026</vt:lpstr>
      <vt:lpstr>Downtime Ref Oktober</vt:lpstr>
      <vt:lpstr>Downtime Fract Oktober</vt:lpstr>
      <vt:lpstr>Prod</vt:lpstr>
      <vt:lpstr>Utility</vt:lpstr>
      <vt:lpstr>Qty cons analysis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'2026'!Print_Area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2025-10-27T01:24:05Z</cp:lastPrinted>
  <dcterms:created xsi:type="dcterms:W3CDTF">2022-09-06T08:59:53Z</dcterms:created>
  <dcterms:modified xsi:type="dcterms:W3CDTF">2026-03-03T06:56:18Z</dcterms:modified>
</cp:coreProperties>
</file>